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codeName="ThisWorkbook"/>
  <bookViews>
    <workbookView xWindow="-15" yWindow="-15" windowWidth="28605" windowHeight="11895" tabRatio="833"/>
  </bookViews>
  <sheets>
    <sheet name="Intro" sheetId="7943" r:id="rId1"/>
    <sheet name="Input" sheetId="1" r:id="rId2"/>
    <sheet name="Adjustment for previous period" sheetId="7942" r:id="rId3"/>
    <sheet name="Actual RAB roll forward" sheetId="18" r:id="rId4"/>
    <sheet name="Tax Depn" sheetId="7957" r:id="rId5"/>
    <sheet name="PTRM Tax Inputs" sheetId="7958" r:id="rId6"/>
    <sheet name="Total actual RAB roll forward" sheetId="7941" r:id="rId7"/>
    <sheet name="Asset lives roll forward" sheetId="7955" r:id="rId8"/>
    <sheet name="Tax value roll forward" sheetId="7944" r:id="rId9"/>
  </sheets>
  <externalReferences>
    <externalReference r:id="rId10"/>
    <externalReference r:id="rId11"/>
  </externalReferences>
  <definedNames>
    <definedName name="__123Graph_APRICE3" localSheetId="4" hidden="1">'[1]IPP Cash Flow'!#REF!</definedName>
    <definedName name="__123Graph_APRICE3" hidden="1">'[1]IPP Cash Flow'!#REF!</definedName>
    <definedName name="__123Graph_BPRICE3" localSheetId="4" hidden="1">'[1]IPP Cash Flow'!#REF!</definedName>
    <definedName name="__123Graph_BPRICE3" hidden="1">'[1]IPP Cash Flow'!#REF!</definedName>
    <definedName name="A10remlife" localSheetId="7">Input!$K$16</definedName>
    <definedName name="A10remlife">Input!$K$16</definedName>
    <definedName name="A10stdlife" localSheetId="7">Input!$L$16</definedName>
    <definedName name="A10stdlife">Input!$L$16</definedName>
    <definedName name="A10taxremlife" localSheetId="7">Input!$T$16</definedName>
    <definedName name="A10taxremlife">Input!$T$16</definedName>
    <definedName name="A10taxstdlife" localSheetId="7">Input!$U$16</definedName>
    <definedName name="A10taxstdlife">Input!$U$16</definedName>
    <definedName name="A10taxvalue" localSheetId="7">Input!$S$16</definedName>
    <definedName name="A10taxvalue">Input!$S$16</definedName>
    <definedName name="A10value" localSheetId="7">'Adjustment for previous period'!$H$343</definedName>
    <definedName name="A10value">'Adjustment for previous period'!$H$343</definedName>
    <definedName name="A11acvalue">[2]Input!$K$17</definedName>
    <definedName name="A11remlife" localSheetId="7">Input!$K$17</definedName>
    <definedName name="A11remlife">Input!$K$17</definedName>
    <definedName name="A11stdlife" localSheetId="7">Input!$L$17</definedName>
    <definedName name="A11stdlife">Input!$L$17</definedName>
    <definedName name="A11taxremlife" localSheetId="7">Input!$T$17</definedName>
    <definedName name="A11taxremlife">Input!$T$17</definedName>
    <definedName name="A11taxstdlife" localSheetId="7">Input!$U$17</definedName>
    <definedName name="A11taxstdlife">Input!$U$17</definedName>
    <definedName name="A11taxvalue" localSheetId="7">Input!$S$17</definedName>
    <definedName name="A11taxvalue">Input!$S$17</definedName>
    <definedName name="A11value" localSheetId="7">'Adjustment for previous period'!$H$344</definedName>
    <definedName name="A11value">'Adjustment for previous period'!$H$344</definedName>
    <definedName name="A12acvalue">[2]Input!$K$18</definedName>
    <definedName name="A12remlife" localSheetId="7">Input!$K$18</definedName>
    <definedName name="A12remlife">Input!$K$18</definedName>
    <definedName name="A12stdlife" localSheetId="7">Input!$L$18</definedName>
    <definedName name="A12stdlife">Input!$L$18</definedName>
    <definedName name="A12taxremlife" localSheetId="7">Input!$T$18</definedName>
    <definedName name="A12taxremlife">Input!$T$18</definedName>
    <definedName name="A12taxstdlife" localSheetId="7">Input!$U$18</definedName>
    <definedName name="A12taxstdlife">Input!$U$18</definedName>
    <definedName name="A12taxvalue" localSheetId="7">Input!$S$18</definedName>
    <definedName name="A12taxvalue">Input!$S$18</definedName>
    <definedName name="A12value" localSheetId="7">'Adjustment for previous period'!$H$345</definedName>
    <definedName name="A12value">'Adjustment for previous period'!$H$345</definedName>
    <definedName name="A13acvalue">[2]Input!$K$19</definedName>
    <definedName name="A13remlife" localSheetId="7">Input!$K$19</definedName>
    <definedName name="A13remlife">Input!$K$19</definedName>
    <definedName name="A13stdlife" localSheetId="7">Input!$L$19</definedName>
    <definedName name="A13stdlife">Input!$L$19</definedName>
    <definedName name="A13taxremlife" localSheetId="7">Input!$T$19</definedName>
    <definedName name="A13taxremlife">Input!$T$19</definedName>
    <definedName name="A13taxstdlife" localSheetId="7">Input!$U$19</definedName>
    <definedName name="A13taxstdlife">Input!$U$19</definedName>
    <definedName name="A13taxvalue" localSheetId="7">Input!$S$19</definedName>
    <definedName name="A13taxvalue">Input!$S$19</definedName>
    <definedName name="A13value" localSheetId="7">'Adjustment for previous period'!$H$346</definedName>
    <definedName name="A13value">'Adjustment for previous period'!$H$346</definedName>
    <definedName name="A14acvalue">[2]Input!$K$20</definedName>
    <definedName name="A14remlife" localSheetId="7">Input!$K$20</definedName>
    <definedName name="A14remlife">Input!$K$20</definedName>
    <definedName name="A14stdlife" localSheetId="7">Input!$L$20</definedName>
    <definedName name="A14stdlife">Input!$L$20</definedName>
    <definedName name="A14taxremlife" localSheetId="7">Input!$T$20</definedName>
    <definedName name="A14taxremlife">Input!$T$20</definedName>
    <definedName name="A14taxstdlife" localSheetId="7">Input!$U$20</definedName>
    <definedName name="A14taxstdlife">Input!$U$20</definedName>
    <definedName name="A14taxvalue" localSheetId="7">Input!$S$20</definedName>
    <definedName name="A14taxvalue">Input!$S$20</definedName>
    <definedName name="A14value" localSheetId="7">'Adjustment for previous period'!$H$347</definedName>
    <definedName name="A14value">'Adjustment for previous period'!$H$347</definedName>
    <definedName name="A15acvalue">[2]Input!$K$21</definedName>
    <definedName name="A15remlife" localSheetId="7">Input!$K$21</definedName>
    <definedName name="A15remlife">Input!$K$21</definedName>
    <definedName name="A15stdlife" localSheetId="7">Input!$L$21</definedName>
    <definedName name="A15stdlife">Input!$L$21</definedName>
    <definedName name="A15taxremlife" localSheetId="7">Input!$T$21</definedName>
    <definedName name="A15taxremlife">Input!$T$21</definedName>
    <definedName name="A15taxstdlife" localSheetId="7">Input!$U$21</definedName>
    <definedName name="A15taxstdlife">Input!$U$21</definedName>
    <definedName name="A15taxvalue" localSheetId="7">Input!$S$21</definedName>
    <definedName name="A15taxvalue">Input!$S$21</definedName>
    <definedName name="A15value" localSheetId="7">'Adjustment for previous period'!$H$348</definedName>
    <definedName name="A15value">'Adjustment for previous period'!$H$348</definedName>
    <definedName name="A16acvalue">[2]Input!$K$22</definedName>
    <definedName name="A16remlife" localSheetId="7">Input!$K$22</definedName>
    <definedName name="A16remlife">Input!$K$22</definedName>
    <definedName name="A16stdlife" localSheetId="7">Input!$L$22</definedName>
    <definedName name="A16stdlife">Input!$L$22</definedName>
    <definedName name="A16taxremlife" localSheetId="7">Input!$T$22</definedName>
    <definedName name="A16taxremlife">Input!$T$22</definedName>
    <definedName name="A16taxstdlife" localSheetId="7">Input!$U$22</definedName>
    <definedName name="A16taxstdlife">Input!$U$22</definedName>
    <definedName name="A16taxvalue" localSheetId="7">Input!$S$22</definedName>
    <definedName name="A16taxvalue">Input!$S$22</definedName>
    <definedName name="A16value" localSheetId="7">'Adjustment for previous period'!$H$349</definedName>
    <definedName name="A16value">'Adjustment for previous period'!$H$349</definedName>
    <definedName name="A17acvalue">[2]Input!$K$23</definedName>
    <definedName name="A17remlife" localSheetId="7">Input!$K$23</definedName>
    <definedName name="A17remlife">Input!$K$23</definedName>
    <definedName name="A17stdlife" localSheetId="7">Input!$L$23</definedName>
    <definedName name="A17stdlife">Input!$L$23</definedName>
    <definedName name="A17taxremlife" localSheetId="7">Input!$T$23</definedName>
    <definedName name="A17taxremlife">Input!$T$23</definedName>
    <definedName name="A17taxstdlife" localSheetId="7">Input!$U$23</definedName>
    <definedName name="A17taxstdlife">Input!$U$23</definedName>
    <definedName name="A17taxvalue" localSheetId="7">Input!$S$23</definedName>
    <definedName name="A17taxvalue">Input!$S$23</definedName>
    <definedName name="A17value" localSheetId="7">'Adjustment for previous period'!$H$350</definedName>
    <definedName name="A17value">'Adjustment for previous period'!$H$350</definedName>
    <definedName name="A18acvalue">[2]Input!$K$24</definedName>
    <definedName name="A18remlife" localSheetId="7">Input!$K$24</definedName>
    <definedName name="A18remlife">Input!$K$24</definedName>
    <definedName name="A18stdlife" localSheetId="7">Input!$L$24</definedName>
    <definedName name="A18stdlife">Input!$L$24</definedName>
    <definedName name="A18taxremlife" localSheetId="7">Input!$T$24</definedName>
    <definedName name="A18taxremlife">Input!$T$24</definedName>
    <definedName name="A18taxstdlife" localSheetId="7">Input!$U$24</definedName>
    <definedName name="A18taxstdlife">Input!$U$24</definedName>
    <definedName name="A18taxvalue" localSheetId="7">Input!$S$24</definedName>
    <definedName name="A18taxvalue">Input!$S$24</definedName>
    <definedName name="A18value" localSheetId="7">'Adjustment for previous period'!$H$351</definedName>
    <definedName name="A18value">'Adjustment for previous period'!$H$351</definedName>
    <definedName name="A19acvalue">[2]Input!$K$25</definedName>
    <definedName name="A19remlife" localSheetId="7">Input!$K$25</definedName>
    <definedName name="A19remlife">Input!$K$25</definedName>
    <definedName name="A19stdlife" localSheetId="7">Input!$L$25</definedName>
    <definedName name="A19stdlife">Input!$L$25</definedName>
    <definedName name="A19taxremlife" localSheetId="7">Input!$T$25</definedName>
    <definedName name="A19taxremlife">Input!$T$25</definedName>
    <definedName name="A19taxstdlife" localSheetId="7">Input!$U$25</definedName>
    <definedName name="A19taxstdlife">Input!$U$25</definedName>
    <definedName name="A19taxvalue" localSheetId="7">Input!$S$25</definedName>
    <definedName name="A19taxvalue">Input!$S$25</definedName>
    <definedName name="A19value" localSheetId="7">'Adjustment for previous period'!$H$352</definedName>
    <definedName name="A19value">'Adjustment for previous period'!$H$352</definedName>
    <definedName name="A1acvalue">[2]Input!$K$7</definedName>
    <definedName name="A1remlife">Input!$K$7</definedName>
    <definedName name="A1stdlife">Input!$L$7</definedName>
    <definedName name="A1taxremlife" localSheetId="7">Input!$T$7</definedName>
    <definedName name="A1taxremlife">Input!$T$7</definedName>
    <definedName name="A1taxstdlife" localSheetId="7">Input!$U$7</definedName>
    <definedName name="A1taxstdlife">Input!$U$7</definedName>
    <definedName name="A1taxvalue" localSheetId="7">Input!$S$7</definedName>
    <definedName name="A1taxvalue">Input!$S$7</definedName>
    <definedName name="A1value" localSheetId="7">'Adjustment for previous period'!$H$334</definedName>
    <definedName name="A1value">'Adjustment for previous period'!$H$334</definedName>
    <definedName name="A20acvalue">[2]Input!$K$26</definedName>
    <definedName name="A20remlife" localSheetId="7">Input!$K$26</definedName>
    <definedName name="A20remlife">Input!$K$26</definedName>
    <definedName name="A20stdlife" localSheetId="7">Input!$L$26</definedName>
    <definedName name="A20stdlife">Input!$L$26</definedName>
    <definedName name="A20taxremlife" localSheetId="7">Input!$T$26</definedName>
    <definedName name="A20taxremlife">Input!$T$26</definedName>
    <definedName name="A20taxstdlife" localSheetId="7">Input!$U$26</definedName>
    <definedName name="A20taxstdlife">Input!$U$26</definedName>
    <definedName name="A20taxvalue" localSheetId="7">Input!$S$26</definedName>
    <definedName name="A20taxvalue">Input!$S$26</definedName>
    <definedName name="A20value" localSheetId="7">'Adjustment for previous period'!$H$353</definedName>
    <definedName name="A20value">'Adjustment for previous period'!$H$353</definedName>
    <definedName name="A21acvalue">[2]Input!$K$27</definedName>
    <definedName name="A21remlife" localSheetId="7">Input!$K$27</definedName>
    <definedName name="A21remlife">Input!$K$27</definedName>
    <definedName name="A21stdlife" localSheetId="7">Input!$L$27</definedName>
    <definedName name="A21stdlife">Input!$L$27</definedName>
    <definedName name="A21taxremlife" localSheetId="7">Input!$T$27</definedName>
    <definedName name="A21taxremlife">Input!$T$27</definedName>
    <definedName name="A21taxstdlife" localSheetId="7">Input!$U$27</definedName>
    <definedName name="A21taxstdlife">Input!$U$27</definedName>
    <definedName name="A21taxvalue" localSheetId="7">Input!$S$27</definedName>
    <definedName name="A21taxvalue">Input!$S$27</definedName>
    <definedName name="A21value" localSheetId="7">'Adjustment for previous period'!$H$354</definedName>
    <definedName name="A21value">'Adjustment for previous period'!$H$354</definedName>
    <definedName name="A22acvalue">[2]Input!$K$28</definedName>
    <definedName name="A22remlife" localSheetId="7">Input!$K$28</definedName>
    <definedName name="A22remlife">Input!$K$28</definedName>
    <definedName name="A22stdlife" localSheetId="7">Input!$L$28</definedName>
    <definedName name="A22stdlife">Input!$L$28</definedName>
    <definedName name="A22taxremlife" localSheetId="7">Input!$T$28</definedName>
    <definedName name="A22taxremlife">Input!$T$28</definedName>
    <definedName name="A22taxstdlife" localSheetId="7">Input!$U$28</definedName>
    <definedName name="A22taxstdlife">Input!$U$28</definedName>
    <definedName name="A22taxvalue" localSheetId="7">Input!$S$28</definedName>
    <definedName name="A22taxvalue">Input!$S$28</definedName>
    <definedName name="A22value" localSheetId="7">'Adjustment for previous period'!$H$355</definedName>
    <definedName name="A22value">'Adjustment for previous period'!$H$355</definedName>
    <definedName name="A23acvalue">[2]Input!$K$29</definedName>
    <definedName name="A23remlife" localSheetId="7">Input!$K$29</definedName>
    <definedName name="A23remlife">Input!$K$29</definedName>
    <definedName name="A23stdlife" localSheetId="7">Input!$L$29</definedName>
    <definedName name="A23stdlife">Input!$L$29</definedName>
    <definedName name="A23taxremlife" localSheetId="7">Input!$T$29</definedName>
    <definedName name="A23taxremlife">Input!$T$29</definedName>
    <definedName name="A23taxstdlife" localSheetId="7">Input!$U$29</definedName>
    <definedName name="A23taxstdlife">Input!$U$29</definedName>
    <definedName name="A23taxvalue" localSheetId="7">Input!$S$29</definedName>
    <definedName name="A23taxvalue">Input!$S$29</definedName>
    <definedName name="A23value" localSheetId="7">'Adjustment for previous period'!$H$356</definedName>
    <definedName name="A23value">'Adjustment for previous period'!$H$356</definedName>
    <definedName name="A24acvalue">[2]Input!$K$30</definedName>
    <definedName name="A24remlife" localSheetId="7">Input!$K$30</definedName>
    <definedName name="A24remlife">Input!$K$30</definedName>
    <definedName name="A24stdlife" localSheetId="7">Input!$L$30</definedName>
    <definedName name="A24stdlife">Input!$L$30</definedName>
    <definedName name="A24taxremlife" localSheetId="7">Input!$T$30</definedName>
    <definedName name="A24taxremlife">Input!$T$30</definedName>
    <definedName name="A24taxstdlife" localSheetId="7">Input!$U$30</definedName>
    <definedName name="A24taxstdlife">Input!$U$30</definedName>
    <definedName name="A24taxvalue" localSheetId="7">Input!$S$30</definedName>
    <definedName name="A24taxvalue">Input!$S$30</definedName>
    <definedName name="A24value" localSheetId="7">'Adjustment for previous period'!$H$357</definedName>
    <definedName name="A24value">'Adjustment for previous period'!$H$357</definedName>
    <definedName name="A25acvalue">[2]Input!$K$31</definedName>
    <definedName name="A25remlife" localSheetId="7">Input!$K$31</definedName>
    <definedName name="A25remlife">Input!$K$31</definedName>
    <definedName name="A25stdlife" localSheetId="7">Input!$L$31</definedName>
    <definedName name="A25stdlife">Input!$L$31</definedName>
    <definedName name="A25taxremlife" localSheetId="7">Input!$T$31</definedName>
    <definedName name="A25taxremlife">Input!$T$31</definedName>
    <definedName name="A25taxstdlife" localSheetId="7">Input!$U$31</definedName>
    <definedName name="A25taxstdlife">Input!$U$31</definedName>
    <definedName name="A25taxvalue" localSheetId="7">Input!$S$31</definedName>
    <definedName name="A25taxvalue">Input!$S$31</definedName>
    <definedName name="A25value" localSheetId="7">'Adjustment for previous period'!$H$358</definedName>
    <definedName name="A25value">'Adjustment for previous period'!$H$358</definedName>
    <definedName name="A26acvalue">[2]Input!$K$32</definedName>
    <definedName name="A26remlife" localSheetId="7">Input!$K$32</definedName>
    <definedName name="A26remlife">Input!$K$32</definedName>
    <definedName name="A26stdlife" localSheetId="7">Input!$L$32</definedName>
    <definedName name="A26stdlife">Input!$L$32</definedName>
    <definedName name="A26taxremlife" localSheetId="7">Input!$T$32</definedName>
    <definedName name="A26taxremlife">Input!$T$32</definedName>
    <definedName name="A26taxstdlife" localSheetId="7">Input!$U$32</definedName>
    <definedName name="A26taxstdlife">Input!$U$32</definedName>
    <definedName name="A26taxvalue" localSheetId="7">Input!$S$32</definedName>
    <definedName name="A26taxvalue">Input!$S$32</definedName>
    <definedName name="A26value" localSheetId="7">'Adjustment for previous period'!$H$359</definedName>
    <definedName name="A26value">'Adjustment for previous period'!$H$359</definedName>
    <definedName name="A27acvalue">[2]Input!$K$33</definedName>
    <definedName name="A27remlife" localSheetId="7">Input!$K$33</definedName>
    <definedName name="A27remlife">Input!$K$33</definedName>
    <definedName name="A27stdlife" localSheetId="7">Input!$L$33</definedName>
    <definedName name="A27stdlife">Input!$L$33</definedName>
    <definedName name="A27taxremlife" localSheetId="7">Input!$T$33</definedName>
    <definedName name="A27taxremlife">Input!$T$33</definedName>
    <definedName name="A27taxstdlife" localSheetId="7">Input!$U$33</definedName>
    <definedName name="A27taxstdlife">Input!$U$33</definedName>
    <definedName name="A27taxvalue" localSheetId="7">Input!$S$33</definedName>
    <definedName name="A27taxvalue">Input!$S$33</definedName>
    <definedName name="A27value" localSheetId="7">'Adjustment for previous period'!$H$360</definedName>
    <definedName name="A27value">'Adjustment for previous period'!$H$360</definedName>
    <definedName name="A28acvalue">[2]Input!$K$34</definedName>
    <definedName name="A28remlife" localSheetId="7">Input!$K$34</definedName>
    <definedName name="A28remlife">Input!$K$34</definedName>
    <definedName name="A28stdlife" localSheetId="7">Input!$L$34</definedName>
    <definedName name="A28stdlife">Input!$L$34</definedName>
    <definedName name="A28taxremlife" localSheetId="7">Input!$T$34</definedName>
    <definedName name="A28taxremlife">Input!$T$34</definedName>
    <definedName name="A28taxstdlife" localSheetId="7">Input!$U$34</definedName>
    <definedName name="A28taxstdlife">Input!$U$34</definedName>
    <definedName name="A28taxvalue" localSheetId="7">Input!$S$34</definedName>
    <definedName name="A28taxvalue">Input!$S$34</definedName>
    <definedName name="A28value" localSheetId="7">'Adjustment for previous period'!$H$361</definedName>
    <definedName name="A28value">'Adjustment for previous period'!$H$361</definedName>
    <definedName name="A29acvalue">[2]Input!$K$35</definedName>
    <definedName name="A29remlife" localSheetId="7">Input!$K$35</definedName>
    <definedName name="A29remlife">Input!$K$35</definedName>
    <definedName name="A29stdlife" localSheetId="7">Input!$L$35</definedName>
    <definedName name="A29stdlife">Input!$L$35</definedName>
    <definedName name="A29taxremlife" localSheetId="7">Input!$T$35</definedName>
    <definedName name="A29taxremlife">Input!$T$35</definedName>
    <definedName name="A29taxstdlife" localSheetId="7">Input!$U$35</definedName>
    <definedName name="A29taxstdlife">Input!$U$35</definedName>
    <definedName name="A29taxvalue" localSheetId="7">Input!$S$35</definedName>
    <definedName name="A29taxvalue">Input!$S$35</definedName>
    <definedName name="A29taxxstdlife">Input!$U$35</definedName>
    <definedName name="A29value" localSheetId="7">'Adjustment for previous period'!$H$362</definedName>
    <definedName name="A29value">'Adjustment for previous period'!$H$362</definedName>
    <definedName name="A2acvalue">[2]Input!$K$8</definedName>
    <definedName name="A2remlife">Input!$K$8</definedName>
    <definedName name="A2stdlife">Input!$L$8</definedName>
    <definedName name="A2taxremlife" localSheetId="7">Input!$T$8</definedName>
    <definedName name="A2taxremlife">Input!$T$8</definedName>
    <definedName name="A2taxstdlife" localSheetId="7">Input!$U$8</definedName>
    <definedName name="A2taxstdlife">Input!$U$8</definedName>
    <definedName name="A2taxvalue" localSheetId="7">Input!$S$8</definedName>
    <definedName name="A2taxvalue">Input!$S$8</definedName>
    <definedName name="A2value" localSheetId="7">'Adjustment for previous period'!$H$335</definedName>
    <definedName name="A2value">'Adjustment for previous period'!$H$335</definedName>
    <definedName name="A30acvalue">[2]Input!$K$36</definedName>
    <definedName name="A30remlife" localSheetId="7">Input!$K$36</definedName>
    <definedName name="A30remlife">Input!$K$36</definedName>
    <definedName name="A30stdlife" localSheetId="7">Input!$L$36</definedName>
    <definedName name="A30stdlife">Input!$L$36</definedName>
    <definedName name="A30taxremlife" localSheetId="7">Input!$T$36</definedName>
    <definedName name="A30taxremlife">Input!$T$36</definedName>
    <definedName name="A30taxstdlife" localSheetId="7">Input!$U$36</definedName>
    <definedName name="A30taxstdlife">Input!$U$36</definedName>
    <definedName name="A30taxvalue" localSheetId="7">Input!$S$36</definedName>
    <definedName name="A30taxvalue">Input!$S$36</definedName>
    <definedName name="A30value" localSheetId="7">'Adjustment for previous period'!$H$363</definedName>
    <definedName name="A30value">'Adjustment for previous period'!$H$363</definedName>
    <definedName name="A3acvalue">[2]Input!$K$9</definedName>
    <definedName name="A3remlife">Input!$K$9</definedName>
    <definedName name="A3stdlife">Input!$L$9</definedName>
    <definedName name="A3taxremlife" localSheetId="7">Input!$T$9</definedName>
    <definedName name="A3taxremlife">Input!$T$9</definedName>
    <definedName name="A3taxstdlife" localSheetId="7">Input!$U$9</definedName>
    <definedName name="A3taxstdlife">Input!$U$9</definedName>
    <definedName name="A3taxvalue" localSheetId="7">Input!$S$9</definedName>
    <definedName name="A3taxvalue">Input!$S$9</definedName>
    <definedName name="A3value" localSheetId="7">'Adjustment for previous period'!$H$336</definedName>
    <definedName name="A3value">'Adjustment for previous period'!$H$336</definedName>
    <definedName name="A4acvalue">[2]Input!$K$10</definedName>
    <definedName name="A4remlife">Input!$K$10</definedName>
    <definedName name="A4stdlife">Input!$L$10</definedName>
    <definedName name="A4taxremlife" localSheetId="7">Input!$T$10</definedName>
    <definedName name="A4taxremlife">Input!$T$10</definedName>
    <definedName name="A4taxstdlife" localSheetId="7">Input!$U$10</definedName>
    <definedName name="A4taxstdlife">Input!$U$10</definedName>
    <definedName name="A4taxvalue" localSheetId="7">Input!$S$10</definedName>
    <definedName name="A4taxvalue">Input!$S$10</definedName>
    <definedName name="A4value" localSheetId="7">'Adjustment for previous period'!$H$337</definedName>
    <definedName name="A4value">'Adjustment for previous period'!$H$337</definedName>
    <definedName name="A5acvalue">[2]Input!$K$11</definedName>
    <definedName name="A5remlife">Input!$K$11</definedName>
    <definedName name="A5stdlife">Input!$L$11</definedName>
    <definedName name="A5taxremlife" localSheetId="7">Input!$T$11</definedName>
    <definedName name="A5taxremlife">Input!$T$11</definedName>
    <definedName name="A5taxstdlife" localSheetId="7">Input!$U$11</definedName>
    <definedName name="A5taxstdlife">Input!$U$11</definedName>
    <definedName name="A5taxvalue" localSheetId="7">Input!$S$11</definedName>
    <definedName name="A5taxvalue">Input!$S$11</definedName>
    <definedName name="A5value" localSheetId="7">'Adjustment for previous period'!$H$338</definedName>
    <definedName name="A5value">'Adjustment for previous period'!$H$338</definedName>
    <definedName name="A6acvalue">[2]Input!$K$12</definedName>
    <definedName name="A6remlife">Input!$K$12</definedName>
    <definedName name="A6stdlife">Input!$L$12</definedName>
    <definedName name="A6taxremlife" localSheetId="7">Input!$T$12</definedName>
    <definedName name="A6taxremlife">Input!$T$12</definedName>
    <definedName name="A6taxstdlife" localSheetId="7">Input!$U$12</definedName>
    <definedName name="A6taxstdlife">Input!$U$12</definedName>
    <definedName name="A6taxvalue" localSheetId="7">Input!$S$12</definedName>
    <definedName name="A6taxvalue">Input!$S$12</definedName>
    <definedName name="A6value" localSheetId="7">'Adjustment for previous period'!$H$339</definedName>
    <definedName name="A6value">'Adjustment for previous period'!$H$339</definedName>
    <definedName name="A7acvalue">[2]Input!$K$13</definedName>
    <definedName name="A7remlife">Input!$K$13</definedName>
    <definedName name="A7stdlife">Input!$L$13</definedName>
    <definedName name="A7taxremlife" localSheetId="7">Input!$T$13</definedName>
    <definedName name="A7taxremlife">Input!$T$13</definedName>
    <definedName name="A7taxstdlife" localSheetId="7">Input!$U$13</definedName>
    <definedName name="A7taxstdlife">Input!$U$13</definedName>
    <definedName name="A7taxvalue" localSheetId="7">Input!$S$13</definedName>
    <definedName name="A7taxvalue">Input!$S$13</definedName>
    <definedName name="A7value" localSheetId="7">'Adjustment for previous period'!$H$340</definedName>
    <definedName name="A7value">'Adjustment for previous period'!$H$340</definedName>
    <definedName name="A8acvalue">[2]Input!$K$14</definedName>
    <definedName name="A8remlife">Input!$K$14</definedName>
    <definedName name="A8stdlife">Input!$L$14</definedName>
    <definedName name="A8taxremlife" localSheetId="7">Input!$T$14</definedName>
    <definedName name="A8taxremlife">Input!$T$14</definedName>
    <definedName name="A8taxstdlife" localSheetId="7">Input!$U$14</definedName>
    <definedName name="A8taxstdlife">Input!$U$14</definedName>
    <definedName name="A8taxvalue" localSheetId="7">Input!$S$14</definedName>
    <definedName name="A8taxvalue">Input!$S$14</definedName>
    <definedName name="A8value" localSheetId="7">'Adjustment for previous period'!$H$341</definedName>
    <definedName name="A8value">'Adjustment for previous period'!$H$341</definedName>
    <definedName name="A9acvalue">[2]Input!$K$15</definedName>
    <definedName name="A9remlife" localSheetId="7">Input!$K$15</definedName>
    <definedName name="A9remlife">Input!$K$15</definedName>
    <definedName name="A9stdlife" localSheetId="7">Input!$L$15</definedName>
    <definedName name="A9stdlife">Input!$L$15</definedName>
    <definedName name="A9taxremlife" localSheetId="7">Input!$T$15</definedName>
    <definedName name="A9taxremlife">Input!$T$15</definedName>
    <definedName name="A9taxstdlife" localSheetId="7">Input!$U$15</definedName>
    <definedName name="A9taxstdlife">Input!$U$15</definedName>
    <definedName name="A9taxvalue" localSheetId="7">Input!$S$15</definedName>
    <definedName name="A9taxvalue">Input!$S$15</definedName>
    <definedName name="A9value" localSheetId="7">'Adjustment for previous period'!$H$342</definedName>
    <definedName name="A9value">'Adjustment for previous period'!$H$342</definedName>
    <definedName name="anscount" hidden="1">1</definedName>
    <definedName name="Asset1" localSheetId="7">Input!$G$7</definedName>
    <definedName name="Asset1">Input!$G$7</definedName>
    <definedName name="Asset10" localSheetId="7">Input!$G$16</definedName>
    <definedName name="Asset10">Input!$G$16</definedName>
    <definedName name="Asset11" localSheetId="7">Input!$G$17</definedName>
    <definedName name="Asset11">Input!$G$17</definedName>
    <definedName name="Asset12" localSheetId="7">Input!$G$18</definedName>
    <definedName name="Asset12">Input!$G$18</definedName>
    <definedName name="Asset13" localSheetId="7">Input!$G$19</definedName>
    <definedName name="Asset13">Input!$G$19</definedName>
    <definedName name="Asset14" localSheetId="7">Input!$G$20</definedName>
    <definedName name="Asset14">Input!$G$20</definedName>
    <definedName name="Asset15" localSheetId="7">Input!$G$21</definedName>
    <definedName name="Asset15">Input!$G$21</definedName>
    <definedName name="Asset16" localSheetId="7">Input!$G$22</definedName>
    <definedName name="Asset16">Input!$G$22</definedName>
    <definedName name="Asset17" localSheetId="7">Input!$G$23</definedName>
    <definedName name="Asset17">Input!$G$23</definedName>
    <definedName name="Asset18" localSheetId="7">Input!$G$24</definedName>
    <definedName name="Asset18">Input!$G$24</definedName>
    <definedName name="Asset19" localSheetId="7">Input!$G$25</definedName>
    <definedName name="Asset19">Input!$G$25</definedName>
    <definedName name="Asset2" localSheetId="7">Input!$G$8</definedName>
    <definedName name="Asset2">Input!$G$8</definedName>
    <definedName name="Asset20" localSheetId="7">Input!$G$26</definedName>
    <definedName name="Asset20">Input!$G$26</definedName>
    <definedName name="Asset21" localSheetId="7">Input!$G$27</definedName>
    <definedName name="Asset21">Input!$G$27</definedName>
    <definedName name="Asset22" localSheetId="7">Input!$G$28</definedName>
    <definedName name="Asset22">Input!$G$28</definedName>
    <definedName name="Asset23" localSheetId="7">Input!$G$29</definedName>
    <definedName name="Asset23">Input!$G$29</definedName>
    <definedName name="Asset24" localSheetId="7">Input!$G$30</definedName>
    <definedName name="Asset24">Input!$G$30</definedName>
    <definedName name="Asset25" localSheetId="7">Input!$G$31</definedName>
    <definedName name="Asset25">Input!$G$31</definedName>
    <definedName name="Asset26" localSheetId="7">Input!$G$32</definedName>
    <definedName name="Asset26">Input!$G$32</definedName>
    <definedName name="Asset27" localSheetId="7">Input!$G$33</definedName>
    <definedName name="Asset27">Input!$G$33</definedName>
    <definedName name="Asset28" localSheetId="7">Input!$G$34</definedName>
    <definedName name="Asset28">Input!$G$34</definedName>
    <definedName name="Asset29" localSheetId="7">Input!$G$35</definedName>
    <definedName name="Asset29">Input!$G$35</definedName>
    <definedName name="Asset3" localSheetId="7">Input!$G$9</definedName>
    <definedName name="Asset3">Input!$G$9</definedName>
    <definedName name="Asset30" localSheetId="7">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7">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7">Input!$G$11</definedName>
    <definedName name="Asset5">Input!$G$11</definedName>
    <definedName name="Asset6" localSheetId="7">Input!$G$12</definedName>
    <definedName name="Asset6">Input!$G$12</definedName>
    <definedName name="Asset7" localSheetId="7">Input!$G$13</definedName>
    <definedName name="Asset7">Input!$G$13</definedName>
    <definedName name="Asset8" localSheetId="7">Input!$G$14</definedName>
    <definedName name="Asset8">Input!$G$14</definedName>
    <definedName name="Asset9" localSheetId="7">Input!$G$15</definedName>
    <definedName name="Asset9">Input!$G$15</definedName>
    <definedName name="CRCP_span">CONCATENATE(CRCP_y1, " to ",CRCP_y5)</definedName>
    <definedName name="Drc">[2]Input!$G$271</definedName>
    <definedName name="Drpc">[2]Input!$G$269</definedName>
    <definedName name="Drpt">[2]Input!$G$270</definedName>
    <definedName name="FRCP_1to5">"2015-16 to 2019-20"</definedName>
    <definedName name="FRCP_span">CONCATENATE(FRCP_y1, " to ", FRCP_y5)</definedName>
    <definedName name="Pr">[2]Input!$G$267</definedName>
    <definedName name="previous_vanilla" localSheetId="7">Input!$G$184</definedName>
    <definedName name="previous_vanilla">Input!$G$184</definedName>
    <definedName name="RAB">Input!$J$37</definedName>
    <definedName name="RCP_1to5">"2015-16 to 2019-20"</definedName>
    <definedName name="Seo">[2]Input!$G$268</definedName>
    <definedName name="vanilla1" localSheetId="7">Input!$H$184</definedName>
    <definedName name="vanilla1">Input!$H$184</definedName>
    <definedName name="vanilla10" localSheetId="7">Input!$Q$184</definedName>
    <definedName name="vanilla10">Input!$Q$184</definedName>
    <definedName name="vanilla2" localSheetId="7">Input!$I$184</definedName>
    <definedName name="vanilla2">Input!$I$184</definedName>
    <definedName name="vanilla3" localSheetId="7">Input!$J$184</definedName>
    <definedName name="vanilla3">Input!$J$184</definedName>
    <definedName name="vanilla4" localSheetId="7">Input!$K$184</definedName>
    <definedName name="vanilla4">Input!$K$184</definedName>
    <definedName name="vanilla5" localSheetId="7">Input!$L$184</definedName>
    <definedName name="vanilla5">Input!$L$184</definedName>
    <definedName name="vanilla6" localSheetId="7">Input!$M$184</definedName>
    <definedName name="vanilla6">Input!$M$184</definedName>
    <definedName name="vanilla7" localSheetId="7">Input!$N$184</definedName>
    <definedName name="vanilla7">Input!$N$184</definedName>
    <definedName name="vanilla8" localSheetId="7">Input!$O$184</definedName>
    <definedName name="vanilla8">Input!$O$184</definedName>
    <definedName name="vanilla9" localSheetId="7">Input!$P$184</definedName>
    <definedName name="vanilla9">Input!$P$184</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X_Factor">[2]Smoothing!$E$11</definedName>
  </definedNames>
  <calcPr calcId="145621"/>
</workbook>
</file>

<file path=xl/calcChain.xml><?xml version="1.0" encoding="utf-8"?>
<calcChain xmlns="http://schemas.openxmlformats.org/spreadsheetml/2006/main">
  <c r="H8" i="7958" l="1"/>
  <c r="H9" i="7958"/>
  <c r="H10" i="7958"/>
  <c r="H11" i="7958"/>
  <c r="H12" i="7958"/>
  <c r="H13" i="7958"/>
  <c r="H14" i="7958"/>
  <c r="H7" i="7958"/>
  <c r="F55" i="7958"/>
  <c r="F56" i="7958"/>
  <c r="F57" i="7958"/>
  <c r="F58" i="7958"/>
  <c r="F59" i="7958"/>
  <c r="F60" i="7958"/>
  <c r="F61" i="7958"/>
  <c r="F54" i="7958"/>
  <c r="H684" i="7957" l="1"/>
  <c r="G684" i="7957"/>
  <c r="F684" i="7957"/>
  <c r="E684" i="7957"/>
  <c r="D684" i="7957"/>
  <c r="H654" i="7957"/>
  <c r="G654" i="7957"/>
  <c r="F654" i="7957"/>
  <c r="E654" i="7957"/>
  <c r="D654" i="7957"/>
  <c r="H624" i="7957"/>
  <c r="G624" i="7957"/>
  <c r="F624" i="7957"/>
  <c r="E624" i="7957"/>
  <c r="D624" i="7957"/>
  <c r="H609" i="7957"/>
  <c r="G609" i="7957"/>
  <c r="F609" i="7957"/>
  <c r="E609" i="7957"/>
  <c r="D609" i="7957"/>
  <c r="I178" i="1" l="1"/>
  <c r="J178" i="1" s="1"/>
  <c r="K178" i="1" s="1"/>
  <c r="L178" i="1" s="1"/>
  <c r="M178" i="1" s="1"/>
  <c r="N178" i="1" s="1"/>
  <c r="O178" i="1" s="1"/>
  <c r="P178" i="1" s="1"/>
  <c r="Q178" i="1" s="1"/>
  <c r="H178" i="1"/>
  <c r="G50" i="7942" l="1"/>
  <c r="G51" i="7942"/>
  <c r="G182" i="1" l="1"/>
  <c r="G9" i="7958" l="1"/>
  <c r="D54" i="7958"/>
  <c r="G14" i="7958" l="1"/>
  <c r="G13" i="7958"/>
  <c r="F14" i="7958"/>
  <c r="F13" i="7958"/>
  <c r="G61" i="7958"/>
  <c r="G60" i="7958"/>
  <c r="Q132" i="18" l="1"/>
  <c r="Q131" i="18"/>
  <c r="P131" i="18"/>
  <c r="Q130" i="18"/>
  <c r="P130" i="18"/>
  <c r="O130" i="18"/>
  <c r="Q129" i="18"/>
  <c r="P129" i="18"/>
  <c r="O129" i="18"/>
  <c r="N129" i="18"/>
  <c r="Q128" i="18"/>
  <c r="P128" i="18"/>
  <c r="O128" i="18"/>
  <c r="N128" i="18"/>
  <c r="M128" i="18"/>
  <c r="Q127" i="18"/>
  <c r="P127" i="18"/>
  <c r="O127" i="18"/>
  <c r="N127" i="18"/>
  <c r="M127" i="18"/>
  <c r="L127" i="18"/>
  <c r="Q126" i="18"/>
  <c r="P126" i="18"/>
  <c r="O126" i="18"/>
  <c r="N126" i="18"/>
  <c r="M126" i="18"/>
  <c r="L126" i="18"/>
  <c r="K126" i="18"/>
  <c r="Q125" i="18"/>
  <c r="P125" i="18"/>
  <c r="O125" i="18"/>
  <c r="N125" i="18"/>
  <c r="M125" i="18"/>
  <c r="L125" i="18"/>
  <c r="K125" i="18"/>
  <c r="J125" i="18"/>
  <c r="Q124" i="18"/>
  <c r="P124" i="18"/>
  <c r="O124" i="18"/>
  <c r="N124" i="18"/>
  <c r="M124" i="18"/>
  <c r="L124" i="18"/>
  <c r="K124" i="18"/>
  <c r="J124" i="18"/>
  <c r="I124" i="18"/>
  <c r="R803" i="7957" l="1"/>
  <c r="Q803" i="7957"/>
  <c r="P803" i="7957"/>
  <c r="O803" i="7957"/>
  <c r="N803" i="7957"/>
  <c r="M803" i="7957"/>
  <c r="L803" i="7957"/>
  <c r="K803" i="7957"/>
  <c r="J803" i="7957"/>
  <c r="I803" i="7957"/>
  <c r="H803" i="7957"/>
  <c r="G803" i="7957"/>
  <c r="F803" i="7957"/>
  <c r="E803" i="7957"/>
  <c r="D803" i="7957"/>
  <c r="C803" i="7957"/>
  <c r="B803" i="7957"/>
  <c r="K776" i="7957"/>
  <c r="J776" i="7957"/>
  <c r="I776" i="7957"/>
  <c r="H776" i="7957"/>
  <c r="G776" i="7957"/>
  <c r="F776" i="7957"/>
  <c r="E776" i="7957"/>
  <c r="D776" i="7957"/>
  <c r="C776" i="7957"/>
  <c r="B776" i="7957"/>
  <c r="R762" i="7957"/>
  <c r="Q762" i="7957"/>
  <c r="P762" i="7957"/>
  <c r="O762" i="7957"/>
  <c r="N762" i="7957"/>
  <c r="M762" i="7957"/>
  <c r="L762" i="7957"/>
  <c r="K762" i="7957"/>
  <c r="J762" i="7957"/>
  <c r="I762" i="7957"/>
  <c r="H762" i="7957"/>
  <c r="G762" i="7957"/>
  <c r="F762" i="7957"/>
  <c r="E762" i="7957"/>
  <c r="D762" i="7957"/>
  <c r="C762" i="7957"/>
  <c r="B762" i="7957"/>
  <c r="W751" i="7957"/>
  <c r="V751" i="7957"/>
  <c r="U751" i="7957"/>
  <c r="T751" i="7957"/>
  <c r="S751" i="7957"/>
  <c r="R751" i="7957"/>
  <c r="Q751" i="7957"/>
  <c r="P751" i="7957"/>
  <c r="O751" i="7957"/>
  <c r="N751" i="7957"/>
  <c r="M751" i="7957"/>
  <c r="S748" i="7957"/>
  <c r="T748" i="7957" s="1"/>
  <c r="U748" i="7957" s="1"/>
  <c r="V748" i="7957" s="1"/>
  <c r="W748" i="7957" s="1"/>
  <c r="S736" i="7957"/>
  <c r="S762" i="7957" s="1"/>
  <c r="B731" i="7957"/>
  <c r="W730" i="7957"/>
  <c r="V730" i="7957"/>
  <c r="V781" i="7957" s="1"/>
  <c r="U730" i="7957"/>
  <c r="U781" i="7957" s="1"/>
  <c r="T730" i="7957"/>
  <c r="T781" i="7957" s="1"/>
  <c r="R730" i="7957"/>
  <c r="Q730" i="7957"/>
  <c r="M730" i="7957"/>
  <c r="L730" i="7957"/>
  <c r="B729" i="7957"/>
  <c r="S728" i="7957"/>
  <c r="T728" i="7957" s="1"/>
  <c r="U728" i="7957" s="1"/>
  <c r="V728" i="7957" s="1"/>
  <c r="W728" i="7957" s="1"/>
  <c r="W731" i="7957"/>
  <c r="C725" i="7957"/>
  <c r="D725" i="7957" s="1"/>
  <c r="E725" i="7957" s="1"/>
  <c r="F725" i="7957" s="1"/>
  <c r="G725" i="7957" s="1"/>
  <c r="H725" i="7957" s="1"/>
  <c r="P712" i="7957"/>
  <c r="O712" i="7957"/>
  <c r="N712" i="7957"/>
  <c r="K712" i="7957"/>
  <c r="J712" i="7957"/>
  <c r="I712" i="7957"/>
  <c r="H712" i="7957"/>
  <c r="G712" i="7957"/>
  <c r="F712" i="7957"/>
  <c r="E712" i="7957"/>
  <c r="D712" i="7957"/>
  <c r="C712" i="7957"/>
  <c r="B712" i="7957"/>
  <c r="S710" i="7957"/>
  <c r="T710" i="7957" s="1"/>
  <c r="U710" i="7957" s="1"/>
  <c r="V710" i="7957" s="1"/>
  <c r="W710" i="7957" s="1"/>
  <c r="W703" i="7957"/>
  <c r="V703" i="7957"/>
  <c r="U703" i="7957"/>
  <c r="T703" i="7957"/>
  <c r="S703" i="7957"/>
  <c r="R703" i="7957"/>
  <c r="Q703" i="7957"/>
  <c r="M703" i="7957"/>
  <c r="L703" i="7957"/>
  <c r="S701" i="7957"/>
  <c r="T701" i="7957" s="1"/>
  <c r="U701" i="7957" s="1"/>
  <c r="V701" i="7957" s="1"/>
  <c r="W701" i="7957" s="1"/>
  <c r="C698" i="7957"/>
  <c r="D698" i="7957" s="1"/>
  <c r="E698" i="7957" s="1"/>
  <c r="F698" i="7957" s="1"/>
  <c r="G698" i="7957" s="1"/>
  <c r="H698" i="7957" s="1"/>
  <c r="B695" i="7957"/>
  <c r="B696" i="7957" s="1"/>
  <c r="B694" i="7957"/>
  <c r="A692" i="7957"/>
  <c r="W688" i="7957"/>
  <c r="V688" i="7957"/>
  <c r="U688" i="7957"/>
  <c r="T688" i="7957"/>
  <c r="S688" i="7957"/>
  <c r="R688" i="7957"/>
  <c r="Q688" i="7957"/>
  <c r="M688" i="7957"/>
  <c r="L688" i="7957"/>
  <c r="S686" i="7957"/>
  <c r="T686" i="7957" s="1"/>
  <c r="U686" i="7957" s="1"/>
  <c r="V686" i="7957" s="1"/>
  <c r="W686" i="7957" s="1"/>
  <c r="C683" i="7957"/>
  <c r="D683" i="7957" s="1"/>
  <c r="E683" i="7957" s="1"/>
  <c r="F683" i="7957" s="1"/>
  <c r="G683" i="7957" s="1"/>
  <c r="H683" i="7957" s="1"/>
  <c r="B680" i="7957"/>
  <c r="B679" i="7957"/>
  <c r="A677" i="7957"/>
  <c r="B674" i="7957"/>
  <c r="V673" i="7957"/>
  <c r="V779" i="7957" s="1"/>
  <c r="T673" i="7957"/>
  <c r="T779" i="7957" s="1"/>
  <c r="R673" i="7957"/>
  <c r="Q673" i="7957"/>
  <c r="M673" i="7957"/>
  <c r="L673" i="7957"/>
  <c r="S671" i="7957"/>
  <c r="T671" i="7957" s="1"/>
  <c r="U671" i="7957" s="1"/>
  <c r="V671" i="7957" s="1"/>
  <c r="W671" i="7957" s="1"/>
  <c r="W673" i="7957"/>
  <c r="W779" i="7957" s="1"/>
  <c r="U673" i="7957"/>
  <c r="U779" i="7957" s="1"/>
  <c r="S673" i="7957"/>
  <c r="S779" i="7957" s="1"/>
  <c r="C668" i="7957"/>
  <c r="D668" i="7957" s="1"/>
  <c r="E668" i="7957" s="1"/>
  <c r="F668" i="7957" s="1"/>
  <c r="G668" i="7957" s="1"/>
  <c r="H668" i="7957" s="1"/>
  <c r="B663" i="7957"/>
  <c r="B672" i="7957" s="1"/>
  <c r="A662" i="7957"/>
  <c r="W658" i="7957"/>
  <c r="W778" i="7957" s="1"/>
  <c r="V658" i="7957"/>
  <c r="V778" i="7957" s="1"/>
  <c r="U658" i="7957"/>
  <c r="U778" i="7957" s="1"/>
  <c r="T658" i="7957"/>
  <c r="T778" i="7957" s="1"/>
  <c r="S658" i="7957"/>
  <c r="S778" i="7957" s="1"/>
  <c r="R658" i="7957"/>
  <c r="Q658" i="7957"/>
  <c r="M658" i="7957"/>
  <c r="L658" i="7957"/>
  <c r="S656" i="7957"/>
  <c r="T656" i="7957" s="1"/>
  <c r="U656" i="7957" s="1"/>
  <c r="V656" i="7957" s="1"/>
  <c r="W656" i="7957" s="1"/>
  <c r="C653" i="7957"/>
  <c r="D653" i="7957" s="1"/>
  <c r="E653" i="7957" s="1"/>
  <c r="F653" i="7957" s="1"/>
  <c r="G653" i="7957" s="1"/>
  <c r="H653" i="7957" s="1"/>
  <c r="B650" i="7957"/>
  <c r="B649" i="7957"/>
  <c r="A647" i="7957"/>
  <c r="W643" i="7957"/>
  <c r="V643" i="7957"/>
  <c r="U643" i="7957"/>
  <c r="T643" i="7957"/>
  <c r="S643" i="7957"/>
  <c r="R643" i="7957"/>
  <c r="Q643" i="7957"/>
  <c r="M643" i="7957"/>
  <c r="L643" i="7957"/>
  <c r="S641" i="7957"/>
  <c r="T641" i="7957" s="1"/>
  <c r="U641" i="7957" s="1"/>
  <c r="V641" i="7957" s="1"/>
  <c r="W641" i="7957" s="1"/>
  <c r="C638" i="7957"/>
  <c r="D638" i="7957" s="1"/>
  <c r="E638" i="7957" s="1"/>
  <c r="F638" i="7957" s="1"/>
  <c r="G638" i="7957" s="1"/>
  <c r="H638" i="7957" s="1"/>
  <c r="B635" i="7957"/>
  <c r="B634" i="7957"/>
  <c r="A632" i="7957"/>
  <c r="W628" i="7957"/>
  <c r="V628" i="7957"/>
  <c r="U628" i="7957"/>
  <c r="T628" i="7957"/>
  <c r="S628" i="7957"/>
  <c r="R628" i="7957"/>
  <c r="Q628" i="7957"/>
  <c r="M628" i="7957"/>
  <c r="L628" i="7957"/>
  <c r="S626" i="7957"/>
  <c r="T626" i="7957" s="1"/>
  <c r="U626" i="7957" s="1"/>
  <c r="V626" i="7957" s="1"/>
  <c r="W626" i="7957" s="1"/>
  <c r="C623" i="7957"/>
  <c r="D623" i="7957" s="1"/>
  <c r="E623" i="7957" s="1"/>
  <c r="F623" i="7957" s="1"/>
  <c r="G623" i="7957" s="1"/>
  <c r="H623" i="7957" s="1"/>
  <c r="B620" i="7957"/>
  <c r="B619" i="7957"/>
  <c r="A617" i="7957"/>
  <c r="W613" i="7957"/>
  <c r="V613" i="7957"/>
  <c r="U613" i="7957"/>
  <c r="T613" i="7957"/>
  <c r="S613" i="7957"/>
  <c r="R613" i="7957"/>
  <c r="Q613" i="7957"/>
  <c r="S611" i="7957"/>
  <c r="T611" i="7957" s="1"/>
  <c r="U611" i="7957" s="1"/>
  <c r="V611" i="7957" s="1"/>
  <c r="W611" i="7957" s="1"/>
  <c r="C608" i="7957"/>
  <c r="D608" i="7957" s="1"/>
  <c r="E608" i="7957" s="1"/>
  <c r="F608" i="7957" s="1"/>
  <c r="G608" i="7957" s="1"/>
  <c r="H608" i="7957" s="1"/>
  <c r="B605" i="7957"/>
  <c r="B604" i="7957"/>
  <c r="B603" i="7957"/>
  <c r="B612" i="7957" s="1"/>
  <c r="A602" i="7957"/>
  <c r="B592" i="7957"/>
  <c r="K581" i="7957"/>
  <c r="K753" i="7957" s="1"/>
  <c r="J581" i="7957"/>
  <c r="J753" i="7957" s="1"/>
  <c r="I581" i="7957"/>
  <c r="I753" i="7957" s="1"/>
  <c r="H581" i="7957"/>
  <c r="H753" i="7957" s="1"/>
  <c r="G581" i="7957"/>
  <c r="G753" i="7957" s="1"/>
  <c r="F581" i="7957"/>
  <c r="F753" i="7957" s="1"/>
  <c r="E581" i="7957"/>
  <c r="E753" i="7957" s="1"/>
  <c r="D581" i="7957"/>
  <c r="D753" i="7957" s="1"/>
  <c r="C581" i="7957"/>
  <c r="C753" i="7957" s="1"/>
  <c r="B581" i="7957"/>
  <c r="B753" i="7957" s="1"/>
  <c r="S579" i="7957"/>
  <c r="T579" i="7957" s="1"/>
  <c r="U579" i="7957" s="1"/>
  <c r="V579" i="7957" s="1"/>
  <c r="W579" i="7957" s="1"/>
  <c r="W572" i="7957"/>
  <c r="V572" i="7957"/>
  <c r="U572" i="7957"/>
  <c r="T572" i="7957"/>
  <c r="S572" i="7957"/>
  <c r="R572" i="7957"/>
  <c r="Q572" i="7957"/>
  <c r="P572" i="7957"/>
  <c r="O572" i="7957"/>
  <c r="N572" i="7957"/>
  <c r="M572" i="7957"/>
  <c r="L572" i="7957"/>
  <c r="S570" i="7957"/>
  <c r="T570" i="7957" s="1"/>
  <c r="U570" i="7957" s="1"/>
  <c r="V570" i="7957" s="1"/>
  <c r="W570" i="7957" s="1"/>
  <c r="C567" i="7957"/>
  <c r="D567" i="7957" s="1"/>
  <c r="E567" i="7957" s="1"/>
  <c r="F567" i="7957" s="1"/>
  <c r="G567" i="7957" s="1"/>
  <c r="H567" i="7957" s="1"/>
  <c r="I567" i="7957" s="1"/>
  <c r="J567" i="7957" s="1"/>
  <c r="K567" i="7957" s="1"/>
  <c r="L567" i="7957" s="1"/>
  <c r="M567" i="7957" s="1"/>
  <c r="B564" i="7957"/>
  <c r="B565" i="7957" s="1"/>
  <c r="B563" i="7957"/>
  <c r="A561" i="7957"/>
  <c r="W557" i="7957"/>
  <c r="V557" i="7957"/>
  <c r="U557" i="7957"/>
  <c r="T557" i="7957"/>
  <c r="S557" i="7957"/>
  <c r="R557" i="7957"/>
  <c r="Q557" i="7957"/>
  <c r="P557" i="7957"/>
  <c r="O557" i="7957"/>
  <c r="N557" i="7957"/>
  <c r="M557" i="7957"/>
  <c r="L557" i="7957"/>
  <c r="S555" i="7957"/>
  <c r="T555" i="7957" s="1"/>
  <c r="U555" i="7957" s="1"/>
  <c r="V555" i="7957" s="1"/>
  <c r="W555" i="7957" s="1"/>
  <c r="C552" i="7957"/>
  <c r="D552" i="7957" s="1"/>
  <c r="E552" i="7957" s="1"/>
  <c r="F552" i="7957" s="1"/>
  <c r="G552" i="7957" s="1"/>
  <c r="H552" i="7957" s="1"/>
  <c r="I552" i="7957" s="1"/>
  <c r="J552" i="7957" s="1"/>
  <c r="K552" i="7957" s="1"/>
  <c r="L552" i="7957" s="1"/>
  <c r="M552" i="7957" s="1"/>
  <c r="B549" i="7957"/>
  <c r="B548" i="7957"/>
  <c r="A546" i="7957"/>
  <c r="W542" i="7957"/>
  <c r="V542" i="7957"/>
  <c r="U542" i="7957"/>
  <c r="T542" i="7957"/>
  <c r="S542" i="7957"/>
  <c r="R542" i="7957"/>
  <c r="Q542" i="7957"/>
  <c r="P542" i="7957"/>
  <c r="O542" i="7957"/>
  <c r="N542" i="7957"/>
  <c r="M542" i="7957"/>
  <c r="L542" i="7957"/>
  <c r="S540" i="7957"/>
  <c r="T540" i="7957" s="1"/>
  <c r="U540" i="7957" s="1"/>
  <c r="V540" i="7957" s="1"/>
  <c r="W540" i="7957" s="1"/>
  <c r="C537" i="7957"/>
  <c r="D537" i="7957" s="1"/>
  <c r="E537" i="7957" s="1"/>
  <c r="F537" i="7957" s="1"/>
  <c r="G537" i="7957" s="1"/>
  <c r="H537" i="7957" s="1"/>
  <c r="I537" i="7957" s="1"/>
  <c r="J537" i="7957" s="1"/>
  <c r="K537" i="7957" s="1"/>
  <c r="L537" i="7957" s="1"/>
  <c r="M537" i="7957" s="1"/>
  <c r="B534" i="7957"/>
  <c r="B533" i="7957"/>
  <c r="A531" i="7957"/>
  <c r="W527" i="7957"/>
  <c r="V527" i="7957"/>
  <c r="U527" i="7957"/>
  <c r="T527" i="7957"/>
  <c r="T776" i="7957" s="1"/>
  <c r="S527" i="7957"/>
  <c r="R527" i="7957"/>
  <c r="Q527" i="7957"/>
  <c r="P527" i="7957"/>
  <c r="P776" i="7957" s="1"/>
  <c r="O527" i="7957"/>
  <c r="O776" i="7957" s="1"/>
  <c r="N527" i="7957"/>
  <c r="N776" i="7957" s="1"/>
  <c r="M527" i="7957"/>
  <c r="L527" i="7957"/>
  <c r="S525" i="7957"/>
  <c r="T525" i="7957" s="1"/>
  <c r="U525" i="7957" s="1"/>
  <c r="V525" i="7957" s="1"/>
  <c r="W525" i="7957" s="1"/>
  <c r="C522" i="7957"/>
  <c r="D522" i="7957" s="1"/>
  <c r="E522" i="7957" s="1"/>
  <c r="F522" i="7957" s="1"/>
  <c r="G522" i="7957" s="1"/>
  <c r="H522" i="7957" s="1"/>
  <c r="I522" i="7957" s="1"/>
  <c r="J522" i="7957" s="1"/>
  <c r="K522" i="7957" s="1"/>
  <c r="L522" i="7957" s="1"/>
  <c r="M522" i="7957" s="1"/>
  <c r="B519" i="7957"/>
  <c r="B518" i="7957"/>
  <c r="A516" i="7957"/>
  <c r="W512" i="7957"/>
  <c r="V512" i="7957"/>
  <c r="U512" i="7957"/>
  <c r="T512" i="7957"/>
  <c r="S512" i="7957"/>
  <c r="R512" i="7957"/>
  <c r="Q512" i="7957"/>
  <c r="P512" i="7957"/>
  <c r="O512" i="7957"/>
  <c r="N512" i="7957"/>
  <c r="M512" i="7957"/>
  <c r="L512" i="7957"/>
  <c r="S510" i="7957"/>
  <c r="T510" i="7957" s="1"/>
  <c r="U510" i="7957" s="1"/>
  <c r="V510" i="7957" s="1"/>
  <c r="W510" i="7957" s="1"/>
  <c r="C507" i="7957"/>
  <c r="D507" i="7957" s="1"/>
  <c r="E507" i="7957" s="1"/>
  <c r="F507" i="7957" s="1"/>
  <c r="G507" i="7957" s="1"/>
  <c r="H507" i="7957" s="1"/>
  <c r="I507" i="7957" s="1"/>
  <c r="J507" i="7957" s="1"/>
  <c r="K507" i="7957" s="1"/>
  <c r="L507" i="7957" s="1"/>
  <c r="M507" i="7957" s="1"/>
  <c r="B504" i="7957"/>
  <c r="B503" i="7957"/>
  <c r="A501" i="7957"/>
  <c r="W497" i="7957"/>
  <c r="V497" i="7957"/>
  <c r="U497" i="7957"/>
  <c r="T497" i="7957"/>
  <c r="S497" i="7957"/>
  <c r="R497" i="7957"/>
  <c r="Q497" i="7957"/>
  <c r="P497" i="7957"/>
  <c r="O497" i="7957"/>
  <c r="N497" i="7957"/>
  <c r="M497" i="7957"/>
  <c r="L497" i="7957"/>
  <c r="S495" i="7957"/>
  <c r="T495" i="7957" s="1"/>
  <c r="U495" i="7957" s="1"/>
  <c r="V495" i="7957" s="1"/>
  <c r="W495" i="7957" s="1"/>
  <c r="C492" i="7957"/>
  <c r="D492" i="7957" s="1"/>
  <c r="E492" i="7957" s="1"/>
  <c r="F492" i="7957" s="1"/>
  <c r="G492" i="7957" s="1"/>
  <c r="H492" i="7957" s="1"/>
  <c r="I492" i="7957" s="1"/>
  <c r="J492" i="7957" s="1"/>
  <c r="K492" i="7957" s="1"/>
  <c r="L492" i="7957" s="1"/>
  <c r="M492" i="7957" s="1"/>
  <c r="B489" i="7957"/>
  <c r="B488" i="7957"/>
  <c r="B487" i="7957"/>
  <c r="B496" i="7957" s="1"/>
  <c r="A486" i="7957"/>
  <c r="B477" i="7957"/>
  <c r="B502" i="7957" s="1"/>
  <c r="B511" i="7957" s="1"/>
  <c r="K466" i="7957"/>
  <c r="K752" i="7957" s="1"/>
  <c r="J466" i="7957"/>
  <c r="J752" i="7957" s="1"/>
  <c r="I466" i="7957"/>
  <c r="I752" i="7957" s="1"/>
  <c r="H466" i="7957"/>
  <c r="H752" i="7957" s="1"/>
  <c r="G466" i="7957"/>
  <c r="G752" i="7957" s="1"/>
  <c r="F466" i="7957"/>
  <c r="F752" i="7957" s="1"/>
  <c r="E466" i="7957"/>
  <c r="E752" i="7957" s="1"/>
  <c r="D466" i="7957"/>
  <c r="D752" i="7957" s="1"/>
  <c r="C466" i="7957"/>
  <c r="C752" i="7957" s="1"/>
  <c r="B466" i="7957"/>
  <c r="B752" i="7957" s="1"/>
  <c r="S464" i="7957"/>
  <c r="T464" i="7957" s="1"/>
  <c r="U464" i="7957" s="1"/>
  <c r="V464" i="7957" s="1"/>
  <c r="W464" i="7957" s="1"/>
  <c r="W457" i="7957"/>
  <c r="V457" i="7957"/>
  <c r="U457" i="7957"/>
  <c r="T457" i="7957"/>
  <c r="S457" i="7957"/>
  <c r="R457" i="7957"/>
  <c r="Q457" i="7957"/>
  <c r="P457" i="7957"/>
  <c r="O457" i="7957"/>
  <c r="N457" i="7957"/>
  <c r="M457" i="7957"/>
  <c r="L457" i="7957"/>
  <c r="S455" i="7957"/>
  <c r="T455" i="7957" s="1"/>
  <c r="U455" i="7957" s="1"/>
  <c r="V455" i="7957" s="1"/>
  <c r="W455" i="7957" s="1"/>
  <c r="C452" i="7957"/>
  <c r="D452" i="7957" s="1"/>
  <c r="E452" i="7957" s="1"/>
  <c r="F452" i="7957" s="1"/>
  <c r="G452" i="7957" s="1"/>
  <c r="H452" i="7957" s="1"/>
  <c r="B449" i="7957"/>
  <c r="B450" i="7957" s="1"/>
  <c r="B448" i="7957"/>
  <c r="A446" i="7957"/>
  <c r="W441" i="7957"/>
  <c r="V441" i="7957"/>
  <c r="U441" i="7957"/>
  <c r="T441" i="7957"/>
  <c r="S441" i="7957"/>
  <c r="R441" i="7957"/>
  <c r="Q441" i="7957"/>
  <c r="P441" i="7957"/>
  <c r="O441" i="7957"/>
  <c r="N441" i="7957"/>
  <c r="M441" i="7957"/>
  <c r="L441" i="7957"/>
  <c r="S439" i="7957"/>
  <c r="T439" i="7957" s="1"/>
  <c r="U439" i="7957" s="1"/>
  <c r="V439" i="7957" s="1"/>
  <c r="W439" i="7957" s="1"/>
  <c r="C436" i="7957"/>
  <c r="D436" i="7957" s="1"/>
  <c r="E436" i="7957" s="1"/>
  <c r="F436" i="7957" s="1"/>
  <c r="G436" i="7957" s="1"/>
  <c r="H436" i="7957" s="1"/>
  <c r="B433" i="7957"/>
  <c r="B432" i="7957"/>
  <c r="A430" i="7957"/>
  <c r="W426" i="7957"/>
  <c r="V426" i="7957"/>
  <c r="U426" i="7957"/>
  <c r="T426" i="7957"/>
  <c r="S426" i="7957"/>
  <c r="R426" i="7957"/>
  <c r="Q426" i="7957"/>
  <c r="P426" i="7957"/>
  <c r="O426" i="7957"/>
  <c r="N426" i="7957"/>
  <c r="M426" i="7957"/>
  <c r="L426" i="7957"/>
  <c r="S424" i="7957"/>
  <c r="T424" i="7957" s="1"/>
  <c r="U424" i="7957" s="1"/>
  <c r="V424" i="7957" s="1"/>
  <c r="W424" i="7957" s="1"/>
  <c r="C421" i="7957"/>
  <c r="D421" i="7957" s="1"/>
  <c r="E421" i="7957" s="1"/>
  <c r="F421" i="7957" s="1"/>
  <c r="G421" i="7957" s="1"/>
  <c r="H421" i="7957" s="1"/>
  <c r="B418" i="7957"/>
  <c r="B417" i="7957"/>
  <c r="A415" i="7957"/>
  <c r="W411" i="7957"/>
  <c r="V411" i="7957"/>
  <c r="U411" i="7957"/>
  <c r="T411" i="7957"/>
  <c r="S411" i="7957"/>
  <c r="R411" i="7957"/>
  <c r="Q411" i="7957"/>
  <c r="P411" i="7957"/>
  <c r="O411" i="7957"/>
  <c r="N411" i="7957"/>
  <c r="M411" i="7957"/>
  <c r="L411" i="7957"/>
  <c r="S409" i="7957"/>
  <c r="T409" i="7957" s="1"/>
  <c r="U409" i="7957" s="1"/>
  <c r="V409" i="7957" s="1"/>
  <c r="W409" i="7957" s="1"/>
  <c r="C406" i="7957"/>
  <c r="D406" i="7957" s="1"/>
  <c r="E406" i="7957" s="1"/>
  <c r="F406" i="7957" s="1"/>
  <c r="G406" i="7957" s="1"/>
  <c r="H406" i="7957" s="1"/>
  <c r="B403" i="7957"/>
  <c r="B402" i="7957"/>
  <c r="A400" i="7957"/>
  <c r="W396" i="7957"/>
  <c r="V396" i="7957"/>
  <c r="U396" i="7957"/>
  <c r="T396" i="7957"/>
  <c r="S396" i="7957"/>
  <c r="R396" i="7957"/>
  <c r="Q396" i="7957"/>
  <c r="P396" i="7957"/>
  <c r="O396" i="7957"/>
  <c r="N396" i="7957"/>
  <c r="M396" i="7957"/>
  <c r="L396" i="7957"/>
  <c r="S394" i="7957"/>
  <c r="T394" i="7957" s="1"/>
  <c r="U394" i="7957" s="1"/>
  <c r="V394" i="7957" s="1"/>
  <c r="W394" i="7957" s="1"/>
  <c r="C391" i="7957"/>
  <c r="D391" i="7957" s="1"/>
  <c r="E391" i="7957" s="1"/>
  <c r="F391" i="7957" s="1"/>
  <c r="G391" i="7957" s="1"/>
  <c r="H391" i="7957" s="1"/>
  <c r="B388" i="7957"/>
  <c r="B387" i="7957"/>
  <c r="B386" i="7957"/>
  <c r="B395" i="7957" s="1"/>
  <c r="A385" i="7957"/>
  <c r="B377" i="7957"/>
  <c r="B401" i="7957" s="1"/>
  <c r="B410" i="7957" s="1"/>
  <c r="G365" i="7957"/>
  <c r="G751" i="7957" s="1"/>
  <c r="F365" i="7957"/>
  <c r="F751" i="7957" s="1"/>
  <c r="E365" i="7957"/>
  <c r="E751" i="7957" s="1"/>
  <c r="D365" i="7957"/>
  <c r="D751" i="7957" s="1"/>
  <c r="C365" i="7957"/>
  <c r="C751" i="7957" s="1"/>
  <c r="B365" i="7957"/>
  <c r="B751" i="7957" s="1"/>
  <c r="S363" i="7957"/>
  <c r="T363" i="7957" s="1"/>
  <c r="U363" i="7957" s="1"/>
  <c r="V363" i="7957" s="1"/>
  <c r="W363" i="7957" s="1"/>
  <c r="L356" i="7957"/>
  <c r="K356" i="7957"/>
  <c r="J356" i="7957"/>
  <c r="I356" i="7957"/>
  <c r="H356" i="7957"/>
  <c r="S354" i="7957"/>
  <c r="T354" i="7957" s="1"/>
  <c r="U354" i="7957" s="1"/>
  <c r="V354" i="7957" s="1"/>
  <c r="W354" i="7957" s="1"/>
  <c r="B348" i="7957"/>
  <c r="B347" i="7957"/>
  <c r="A345" i="7957"/>
  <c r="L340" i="7957"/>
  <c r="K340" i="7957"/>
  <c r="K780" i="7957" s="1"/>
  <c r="J340" i="7957"/>
  <c r="J780" i="7957" s="1"/>
  <c r="I340" i="7957"/>
  <c r="I780" i="7957" s="1"/>
  <c r="H340" i="7957"/>
  <c r="S338" i="7957"/>
  <c r="T338" i="7957" s="1"/>
  <c r="U338" i="7957" s="1"/>
  <c r="V338" i="7957" s="1"/>
  <c r="W338" i="7957" s="1"/>
  <c r="B332" i="7957"/>
  <c r="B331" i="7957"/>
  <c r="A329" i="7957"/>
  <c r="L325" i="7957"/>
  <c r="K325" i="7957"/>
  <c r="K777" i="7957" s="1"/>
  <c r="J325" i="7957"/>
  <c r="I325" i="7957"/>
  <c r="I777" i="7957" s="1"/>
  <c r="H325" i="7957"/>
  <c r="S323" i="7957"/>
  <c r="T323" i="7957" s="1"/>
  <c r="U323" i="7957" s="1"/>
  <c r="V323" i="7957" s="1"/>
  <c r="W323" i="7957" s="1"/>
  <c r="B317" i="7957"/>
  <c r="B316" i="7957"/>
  <c r="A314" i="7957"/>
  <c r="L310" i="7957"/>
  <c r="K310" i="7957"/>
  <c r="K775" i="7957" s="1"/>
  <c r="J310" i="7957"/>
  <c r="J775" i="7957" s="1"/>
  <c r="I310" i="7957"/>
  <c r="I775" i="7957" s="1"/>
  <c r="H310" i="7957"/>
  <c r="S308" i="7957"/>
  <c r="T308" i="7957" s="1"/>
  <c r="U308" i="7957" s="1"/>
  <c r="V308" i="7957" s="1"/>
  <c r="W308" i="7957" s="1"/>
  <c r="B302" i="7957"/>
  <c r="B301" i="7957"/>
  <c r="A299" i="7957"/>
  <c r="L295" i="7957"/>
  <c r="K295" i="7957"/>
  <c r="K774" i="7957" s="1"/>
  <c r="J295" i="7957"/>
  <c r="I295" i="7957"/>
  <c r="H295" i="7957"/>
  <c r="S293" i="7957"/>
  <c r="T293" i="7957" s="1"/>
  <c r="U293" i="7957" s="1"/>
  <c r="V293" i="7957" s="1"/>
  <c r="W293" i="7957" s="1"/>
  <c r="B287" i="7957"/>
  <c r="B286" i="7957"/>
  <c r="B285" i="7957"/>
  <c r="B294" i="7957" s="1"/>
  <c r="A284" i="7957"/>
  <c r="B276" i="7957"/>
  <c r="B300" i="7957" s="1"/>
  <c r="B309" i="7957" s="1"/>
  <c r="W264" i="7957"/>
  <c r="W750" i="7957" s="1"/>
  <c r="V264" i="7957"/>
  <c r="V750" i="7957" s="1"/>
  <c r="U264" i="7957"/>
  <c r="U750" i="7957" s="1"/>
  <c r="T264" i="7957"/>
  <c r="T750" i="7957" s="1"/>
  <c r="S264" i="7957"/>
  <c r="S750" i="7957" s="1"/>
  <c r="R264" i="7957"/>
  <c r="R750" i="7957" s="1"/>
  <c r="Q264" i="7957"/>
  <c r="Q750" i="7957" s="1"/>
  <c r="P264" i="7957"/>
  <c r="P750" i="7957" s="1"/>
  <c r="O264" i="7957"/>
  <c r="O750" i="7957" s="1"/>
  <c r="N264" i="7957"/>
  <c r="N750" i="7957" s="1"/>
  <c r="M264" i="7957"/>
  <c r="M750" i="7957" s="1"/>
  <c r="L264" i="7957"/>
  <c r="L750" i="7957" s="1"/>
  <c r="K264" i="7957"/>
  <c r="K750" i="7957" s="1"/>
  <c r="J264" i="7957"/>
  <c r="J750" i="7957" s="1"/>
  <c r="I264" i="7957"/>
  <c r="I750" i="7957" s="1"/>
  <c r="D264" i="7957"/>
  <c r="D750" i="7957" s="1"/>
  <c r="C264" i="7957"/>
  <c r="C750" i="7957" s="1"/>
  <c r="B264" i="7957"/>
  <c r="B750" i="7957" s="1"/>
  <c r="S262" i="7957"/>
  <c r="T262" i="7957" s="1"/>
  <c r="U262" i="7957" s="1"/>
  <c r="V262" i="7957" s="1"/>
  <c r="W262" i="7957" s="1"/>
  <c r="H255" i="7957"/>
  <c r="G255" i="7957"/>
  <c r="F255" i="7957"/>
  <c r="E255" i="7957"/>
  <c r="S253" i="7957"/>
  <c r="T253" i="7957" s="1"/>
  <c r="U253" i="7957" s="1"/>
  <c r="V253" i="7957" s="1"/>
  <c r="W253" i="7957" s="1"/>
  <c r="B247" i="7957"/>
  <c r="B246" i="7957"/>
  <c r="A244" i="7957"/>
  <c r="H239" i="7957"/>
  <c r="G239" i="7957"/>
  <c r="G780" i="7957" s="1"/>
  <c r="F239" i="7957"/>
  <c r="F780" i="7957" s="1"/>
  <c r="E239" i="7957"/>
  <c r="S237" i="7957"/>
  <c r="T237" i="7957" s="1"/>
  <c r="U237" i="7957" s="1"/>
  <c r="V237" i="7957" s="1"/>
  <c r="W237" i="7957" s="1"/>
  <c r="B231" i="7957"/>
  <c r="B230" i="7957"/>
  <c r="A228" i="7957"/>
  <c r="H224" i="7957"/>
  <c r="H777" i="7957" s="1"/>
  <c r="G224" i="7957"/>
  <c r="G777" i="7957" s="1"/>
  <c r="F224" i="7957"/>
  <c r="E224" i="7957"/>
  <c r="S222" i="7957"/>
  <c r="T222" i="7957" s="1"/>
  <c r="U222" i="7957" s="1"/>
  <c r="V222" i="7957" s="1"/>
  <c r="W222" i="7957" s="1"/>
  <c r="B216" i="7957"/>
  <c r="B215" i="7957"/>
  <c r="A213" i="7957"/>
  <c r="H209" i="7957"/>
  <c r="G209" i="7957"/>
  <c r="G775" i="7957" s="1"/>
  <c r="F209" i="7957"/>
  <c r="F775" i="7957" s="1"/>
  <c r="E209" i="7957"/>
  <c r="S207" i="7957"/>
  <c r="T207" i="7957" s="1"/>
  <c r="U207" i="7957" s="1"/>
  <c r="V207" i="7957" s="1"/>
  <c r="W207" i="7957" s="1"/>
  <c r="B201" i="7957"/>
  <c r="B200" i="7957"/>
  <c r="A198" i="7957"/>
  <c r="H194" i="7957"/>
  <c r="G194" i="7957"/>
  <c r="F194" i="7957"/>
  <c r="E194" i="7957"/>
  <c r="S192" i="7957"/>
  <c r="T192" i="7957" s="1"/>
  <c r="U192" i="7957" s="1"/>
  <c r="V192" i="7957" s="1"/>
  <c r="W192" i="7957" s="1"/>
  <c r="B186" i="7957"/>
  <c r="B185" i="7957"/>
  <c r="B184" i="7957"/>
  <c r="B193" i="7957" s="1"/>
  <c r="A183" i="7957"/>
  <c r="B175" i="7957"/>
  <c r="B199" i="7957" s="1"/>
  <c r="B208" i="7957" s="1"/>
  <c r="W163" i="7957"/>
  <c r="W749" i="7957" s="1"/>
  <c r="V163" i="7957"/>
  <c r="V749" i="7957" s="1"/>
  <c r="U163" i="7957"/>
  <c r="U749" i="7957" s="1"/>
  <c r="T163" i="7957"/>
  <c r="T749" i="7957" s="1"/>
  <c r="S163" i="7957"/>
  <c r="S749" i="7957" s="1"/>
  <c r="R163" i="7957"/>
  <c r="R749" i="7957" s="1"/>
  <c r="Q163" i="7957"/>
  <c r="Q749" i="7957" s="1"/>
  <c r="P163" i="7957"/>
  <c r="P749" i="7957" s="1"/>
  <c r="O163" i="7957"/>
  <c r="O749" i="7957" s="1"/>
  <c r="N163" i="7957"/>
  <c r="N749" i="7957" s="1"/>
  <c r="M163" i="7957"/>
  <c r="M749" i="7957" s="1"/>
  <c r="L163" i="7957"/>
  <c r="L749" i="7957" s="1"/>
  <c r="K163" i="7957"/>
  <c r="K749" i="7957" s="1"/>
  <c r="J163" i="7957"/>
  <c r="J749" i="7957" s="1"/>
  <c r="I163" i="7957"/>
  <c r="I749" i="7957" s="1"/>
  <c r="H163" i="7957"/>
  <c r="H749" i="7957" s="1"/>
  <c r="G163" i="7957"/>
  <c r="G749" i="7957" s="1"/>
  <c r="F163" i="7957"/>
  <c r="F749" i="7957" s="1"/>
  <c r="S161" i="7957"/>
  <c r="T161" i="7957" s="1"/>
  <c r="U161" i="7957" s="1"/>
  <c r="V161" i="7957" s="1"/>
  <c r="W161" i="7957" s="1"/>
  <c r="E154" i="7957"/>
  <c r="D154" i="7957"/>
  <c r="C154" i="7957"/>
  <c r="B154" i="7957"/>
  <c r="S152" i="7957"/>
  <c r="T152" i="7957" s="1"/>
  <c r="U152" i="7957" s="1"/>
  <c r="V152" i="7957" s="1"/>
  <c r="W152" i="7957" s="1"/>
  <c r="B146" i="7957"/>
  <c r="B145" i="7957"/>
  <c r="A143" i="7957"/>
  <c r="E138" i="7957"/>
  <c r="D138" i="7957"/>
  <c r="D780" i="7957" s="1"/>
  <c r="C138" i="7957"/>
  <c r="C780" i="7957" s="1"/>
  <c r="B138" i="7957"/>
  <c r="B780" i="7957" s="1"/>
  <c r="S136" i="7957"/>
  <c r="T136" i="7957" s="1"/>
  <c r="U136" i="7957" s="1"/>
  <c r="V136" i="7957" s="1"/>
  <c r="W136" i="7957" s="1"/>
  <c r="B130" i="7957"/>
  <c r="B129" i="7957"/>
  <c r="A127" i="7957"/>
  <c r="E123" i="7957"/>
  <c r="D123" i="7957"/>
  <c r="D777" i="7957" s="1"/>
  <c r="C123" i="7957"/>
  <c r="C777" i="7957" s="1"/>
  <c r="B123" i="7957"/>
  <c r="B777" i="7957" s="1"/>
  <c r="S121" i="7957"/>
  <c r="T121" i="7957" s="1"/>
  <c r="U121" i="7957" s="1"/>
  <c r="V121" i="7957" s="1"/>
  <c r="W121" i="7957" s="1"/>
  <c r="B115" i="7957"/>
  <c r="B114" i="7957"/>
  <c r="A112" i="7957"/>
  <c r="E108" i="7957"/>
  <c r="D108" i="7957"/>
  <c r="D775" i="7957" s="1"/>
  <c r="C108" i="7957"/>
  <c r="C775" i="7957" s="1"/>
  <c r="B108" i="7957"/>
  <c r="B775" i="7957" s="1"/>
  <c r="S106" i="7957"/>
  <c r="T106" i="7957" s="1"/>
  <c r="U106" i="7957" s="1"/>
  <c r="V106" i="7957" s="1"/>
  <c r="W106" i="7957" s="1"/>
  <c r="B100" i="7957"/>
  <c r="B99" i="7957"/>
  <c r="A97" i="7957"/>
  <c r="E93" i="7957"/>
  <c r="D93" i="7957"/>
  <c r="C93" i="7957"/>
  <c r="B93" i="7957"/>
  <c r="S91" i="7957"/>
  <c r="T91" i="7957" s="1"/>
  <c r="U91" i="7957" s="1"/>
  <c r="V91" i="7957" s="1"/>
  <c r="W91" i="7957" s="1"/>
  <c r="B85" i="7957"/>
  <c r="B84" i="7957"/>
  <c r="B83" i="7957"/>
  <c r="B92" i="7957" s="1"/>
  <c r="A82" i="7957"/>
  <c r="B74" i="7957"/>
  <c r="B75" i="7957" s="1"/>
  <c r="B113" i="7957" s="1"/>
  <c r="B122" i="7957" s="1"/>
  <c r="S61" i="7957"/>
  <c r="T61" i="7957" s="1"/>
  <c r="U61" i="7957" s="1"/>
  <c r="V61" i="7957" s="1"/>
  <c r="W61" i="7957" s="1"/>
  <c r="S53" i="7957"/>
  <c r="T53" i="7957" s="1"/>
  <c r="U53" i="7957" s="1"/>
  <c r="V53" i="7957" s="1"/>
  <c r="W53" i="7957" s="1"/>
  <c r="B50" i="7957"/>
  <c r="B49" i="7957"/>
  <c r="B48" i="7957"/>
  <c r="B54" i="7957" s="1"/>
  <c r="A47" i="7957"/>
  <c r="S42" i="7957"/>
  <c r="T42" i="7957" s="1"/>
  <c r="U42" i="7957" s="1"/>
  <c r="V42" i="7957" s="1"/>
  <c r="W42" i="7957" s="1"/>
  <c r="B39" i="7957"/>
  <c r="B38" i="7957"/>
  <c r="B37" i="7957"/>
  <c r="B43" i="7957" s="1"/>
  <c r="A36" i="7957"/>
  <c r="S31" i="7957"/>
  <c r="T31" i="7957" s="1"/>
  <c r="U31" i="7957" s="1"/>
  <c r="V31" i="7957" s="1"/>
  <c r="W31" i="7957" s="1"/>
  <c r="B28" i="7957"/>
  <c r="B29" i="7957" s="1"/>
  <c r="B27" i="7957"/>
  <c r="B26" i="7957"/>
  <c r="B32" i="7957" s="1"/>
  <c r="A25" i="7957"/>
  <c r="S20" i="7957"/>
  <c r="T20" i="7957" s="1"/>
  <c r="U20" i="7957" s="1"/>
  <c r="V20" i="7957" s="1"/>
  <c r="W20" i="7957" s="1"/>
  <c r="B17" i="7957"/>
  <c r="B16" i="7957"/>
  <c r="B15" i="7957"/>
  <c r="B21" i="7957" s="1"/>
  <c r="A14" i="7957"/>
  <c r="B10" i="7957"/>
  <c r="B535" i="7957" l="1"/>
  <c r="N775" i="7957"/>
  <c r="B505" i="7957"/>
  <c r="B513" i="7957" s="1"/>
  <c r="B514" i="7957" s="1"/>
  <c r="C511" i="7957" s="1"/>
  <c r="B288" i="7957"/>
  <c r="B296" i="7957" s="1"/>
  <c r="B297" i="7957" s="1"/>
  <c r="C294" i="7957" s="1"/>
  <c r="O780" i="7957"/>
  <c r="B520" i="7957"/>
  <c r="B528" i="7957" s="1"/>
  <c r="O775" i="7957"/>
  <c r="S775" i="7957"/>
  <c r="W775" i="7957"/>
  <c r="B732" i="7957"/>
  <c r="C729" i="7957" s="1"/>
  <c r="C731" i="7957" s="1"/>
  <c r="S777" i="7957"/>
  <c r="W777" i="7957"/>
  <c r="P780" i="7957"/>
  <c r="M776" i="7957"/>
  <c r="T736" i="7957"/>
  <c r="H780" i="7957"/>
  <c r="S730" i="7957"/>
  <c r="S781" i="7957" s="1"/>
  <c r="B187" i="7957"/>
  <c r="B195" i="7957" s="1"/>
  <c r="B303" i="7957"/>
  <c r="B311" i="7957" s="1"/>
  <c r="B312" i="7957" s="1"/>
  <c r="C309" i="7957" s="1"/>
  <c r="B349" i="7957"/>
  <c r="P777" i="7957"/>
  <c r="T777" i="7957"/>
  <c r="B478" i="7957"/>
  <c r="B517" i="7957" s="1"/>
  <c r="B526" i="7957" s="1"/>
  <c r="B490" i="7957"/>
  <c r="B498" i="7957" s="1"/>
  <c r="L581" i="7957"/>
  <c r="L753" i="7957" s="1"/>
  <c r="P581" i="7957"/>
  <c r="P753" i="7957" s="1"/>
  <c r="T581" i="7957"/>
  <c r="T753" i="7957" s="1"/>
  <c r="E264" i="7957"/>
  <c r="E750" i="7957" s="1"/>
  <c r="B86" i="7957"/>
  <c r="B94" i="7957" s="1"/>
  <c r="B95" i="7957" s="1"/>
  <c r="C92" i="7957" s="1"/>
  <c r="B389" i="7957"/>
  <c r="B397" i="7957" s="1"/>
  <c r="N581" i="7957"/>
  <c r="N753" i="7957" s="1"/>
  <c r="B51" i="7957"/>
  <c r="B55" i="7957" s="1"/>
  <c r="B56" i="7957" s="1"/>
  <c r="C54" i="7957" s="1"/>
  <c r="B176" i="7957"/>
  <c r="B214" i="7957" s="1"/>
  <c r="B223" i="7957" s="1"/>
  <c r="B202" i="7957"/>
  <c r="B210" i="7957" s="1"/>
  <c r="B211" i="7957" s="1"/>
  <c r="C208" i="7957" s="1"/>
  <c r="C210" i="7957" s="1"/>
  <c r="T780" i="7957"/>
  <c r="B606" i="7957"/>
  <c r="V614" i="7957" s="1"/>
  <c r="B621" i="7957"/>
  <c r="S629" i="7957" s="1"/>
  <c r="B651" i="7957"/>
  <c r="B659" i="7957" s="1"/>
  <c r="B98" i="7957"/>
  <c r="B107" i="7957" s="1"/>
  <c r="L777" i="7957"/>
  <c r="B404" i="7957"/>
  <c r="B412" i="7957" s="1"/>
  <c r="B413" i="7957" s="1"/>
  <c r="C410" i="7957" s="1"/>
  <c r="R775" i="7957"/>
  <c r="V775" i="7957"/>
  <c r="R581" i="7957"/>
  <c r="R753" i="7957" s="1"/>
  <c r="V581" i="7957"/>
  <c r="V753" i="7957" s="1"/>
  <c r="B675" i="7957"/>
  <c r="C672" i="7957" s="1"/>
  <c r="C674" i="7957" s="1"/>
  <c r="C675" i="7957" s="1"/>
  <c r="D672" i="7957" s="1"/>
  <c r="B116" i="7957"/>
  <c r="S124" i="7957" s="1"/>
  <c r="B277" i="7957"/>
  <c r="B315" i="7957" s="1"/>
  <c r="B324" i="7957" s="1"/>
  <c r="N777" i="7957"/>
  <c r="R777" i="7957"/>
  <c r="V777" i="7957"/>
  <c r="V466" i="7957"/>
  <c r="V752" i="7957" s="1"/>
  <c r="B18" i="7957"/>
  <c r="B22" i="7957" s="1"/>
  <c r="B40" i="7957"/>
  <c r="B44" i="7957" s="1"/>
  <c r="B45" i="7957" s="1"/>
  <c r="C43" i="7957" s="1"/>
  <c r="B76" i="7957"/>
  <c r="D774" i="7957"/>
  <c r="D782" i="7957" s="1"/>
  <c r="B101" i="7957"/>
  <c r="B131" i="7957"/>
  <c r="B139" i="7957" s="1"/>
  <c r="B147" i="7957"/>
  <c r="G774" i="7957"/>
  <c r="G782" i="7957" s="1"/>
  <c r="R466" i="7957"/>
  <c r="R752" i="7957" s="1"/>
  <c r="E774" i="7957"/>
  <c r="E163" i="7957"/>
  <c r="E749" i="7957" s="1"/>
  <c r="D163" i="7957"/>
  <c r="D749" i="7957" s="1"/>
  <c r="D756" i="7957" s="1"/>
  <c r="B774" i="7957"/>
  <c r="B782" i="7957" s="1"/>
  <c r="E775" i="7957"/>
  <c r="H775" i="7957"/>
  <c r="H264" i="7957"/>
  <c r="H750" i="7957" s="1"/>
  <c r="L365" i="7957"/>
  <c r="L751" i="7957" s="1"/>
  <c r="E777" i="7957"/>
  <c r="E780" i="7957"/>
  <c r="H774" i="7957"/>
  <c r="B217" i="7957"/>
  <c r="J225" i="7957" s="1"/>
  <c r="B232" i="7957"/>
  <c r="B240" i="7957" s="1"/>
  <c r="B248" i="7957"/>
  <c r="H365" i="7957"/>
  <c r="H751" i="7957" s="1"/>
  <c r="L775" i="7957"/>
  <c r="P775" i="7957"/>
  <c r="T775" i="7957"/>
  <c r="B419" i="7957"/>
  <c r="F427" i="7957" s="1"/>
  <c r="S780" i="7957"/>
  <c r="W780" i="7957"/>
  <c r="S731" i="7957"/>
  <c r="S744" i="7957" s="1"/>
  <c r="N466" i="7957"/>
  <c r="N752" i="7957" s="1"/>
  <c r="R712" i="7957"/>
  <c r="B681" i="7957"/>
  <c r="S689" i="7957" s="1"/>
  <c r="B318" i="7957"/>
  <c r="F326" i="7957" s="1"/>
  <c r="B378" i="7957"/>
  <c r="B434" i="7957"/>
  <c r="B442" i="7957" s="1"/>
  <c r="U780" i="7957"/>
  <c r="O581" i="7957"/>
  <c r="O753" i="7957" s="1"/>
  <c r="S581" i="7957"/>
  <c r="S753" i="7957" s="1"/>
  <c r="W581" i="7957"/>
  <c r="W753" i="7957" s="1"/>
  <c r="R776" i="7957"/>
  <c r="V776" i="7957"/>
  <c r="B550" i="7957"/>
  <c r="B558" i="7957" s="1"/>
  <c r="B636" i="7957"/>
  <c r="D644" i="7957" s="1"/>
  <c r="T712" i="7957"/>
  <c r="T754" i="7957" s="1"/>
  <c r="U225" i="7957"/>
  <c r="D225" i="7957"/>
  <c r="B62" i="7957"/>
  <c r="C774" i="7957"/>
  <c r="C782" i="7957" s="1"/>
  <c r="C163" i="7957"/>
  <c r="C749" i="7957" s="1"/>
  <c r="C756" i="7957" s="1"/>
  <c r="O225" i="7957"/>
  <c r="I774" i="7957"/>
  <c r="I782" i="7957" s="1"/>
  <c r="I365" i="7957"/>
  <c r="I751" i="7957" s="1"/>
  <c r="I756" i="7957" s="1"/>
  <c r="T124" i="7957"/>
  <c r="C225" i="7957"/>
  <c r="F774" i="7957"/>
  <c r="F264" i="7957"/>
  <c r="F750" i="7957" s="1"/>
  <c r="F756" i="7957" s="1"/>
  <c r="F777" i="7957"/>
  <c r="J774" i="7957"/>
  <c r="J365" i="7957"/>
  <c r="J751" i="7957" s="1"/>
  <c r="J777" i="7957"/>
  <c r="O774" i="7957"/>
  <c r="O466" i="7957"/>
  <c r="O752" i="7957" s="1"/>
  <c r="O756" i="7957" s="1"/>
  <c r="S774" i="7957"/>
  <c r="S466" i="7957"/>
  <c r="S752" i="7957" s="1"/>
  <c r="W774" i="7957"/>
  <c r="W466" i="7957"/>
  <c r="W752" i="7957" s="1"/>
  <c r="M780" i="7957"/>
  <c r="M466" i="7957"/>
  <c r="M752" i="7957" s="1"/>
  <c r="Q780" i="7957"/>
  <c r="Q466" i="7957"/>
  <c r="Q752" i="7957" s="1"/>
  <c r="E124" i="7957"/>
  <c r="B163" i="7957"/>
  <c r="B749" i="7957" s="1"/>
  <c r="B756" i="7957" s="1"/>
  <c r="J756" i="7957"/>
  <c r="K782" i="7957"/>
  <c r="B333" i="7957"/>
  <c r="L466" i="7957"/>
  <c r="L752" i="7957" s="1"/>
  <c r="P774" i="7957"/>
  <c r="P466" i="7957"/>
  <c r="P752" i="7957" s="1"/>
  <c r="T774" i="7957"/>
  <c r="T466" i="7957"/>
  <c r="T752" i="7957" s="1"/>
  <c r="B33" i="7957"/>
  <c r="G264" i="7957"/>
  <c r="G750" i="7957" s="1"/>
  <c r="G756" i="7957" s="1"/>
  <c r="L774" i="7957"/>
  <c r="K365" i="7957"/>
  <c r="K751" i="7957" s="1"/>
  <c r="K756" i="7957" s="1"/>
  <c r="O777" i="7957"/>
  <c r="M543" i="7957"/>
  <c r="U543" i="7957"/>
  <c r="J543" i="7957"/>
  <c r="F543" i="7957"/>
  <c r="B543" i="7957"/>
  <c r="H543" i="7957"/>
  <c r="D543" i="7957"/>
  <c r="W543" i="7957"/>
  <c r="O543" i="7957"/>
  <c r="G543" i="7957"/>
  <c r="E543" i="7957"/>
  <c r="S543" i="7957"/>
  <c r="K543" i="7957"/>
  <c r="C543" i="7957"/>
  <c r="I543" i="7957"/>
  <c r="S712" i="7957"/>
  <c r="S754" i="7957" s="1"/>
  <c r="W712" i="7957"/>
  <c r="W754" i="7957" s="1"/>
  <c r="Q543" i="7957"/>
  <c r="L712" i="7957"/>
  <c r="W781" i="7957"/>
  <c r="L780" i="7957"/>
  <c r="M774" i="7957"/>
  <c r="Q774" i="7957"/>
  <c r="U774" i="7957"/>
  <c r="M775" i="7957"/>
  <c r="Q775" i="7957"/>
  <c r="U775" i="7957"/>
  <c r="M777" i="7957"/>
  <c r="Q777" i="7957"/>
  <c r="U777" i="7957"/>
  <c r="N780" i="7957"/>
  <c r="R780" i="7957"/>
  <c r="V780" i="7957"/>
  <c r="M581" i="7957"/>
  <c r="M753" i="7957" s="1"/>
  <c r="Q581" i="7957"/>
  <c r="Q753" i="7957" s="1"/>
  <c r="U581" i="7957"/>
  <c r="U753" i="7957" s="1"/>
  <c r="B618" i="7957"/>
  <c r="B627" i="7957" s="1"/>
  <c r="B593" i="7957"/>
  <c r="Q712" i="7957"/>
  <c r="U712" i="7957"/>
  <c r="U754" i="7957" s="1"/>
  <c r="V629" i="7957"/>
  <c r="N774" i="7957"/>
  <c r="R774" i="7957"/>
  <c r="V774" i="7957"/>
  <c r="N427" i="7957"/>
  <c r="U466" i="7957"/>
  <c r="U752" i="7957" s="1"/>
  <c r="L776" i="7957"/>
  <c r="V712" i="7957"/>
  <c r="V754" i="7957" s="1"/>
  <c r="Q776" i="7957"/>
  <c r="U776" i="7957"/>
  <c r="L543" i="7957"/>
  <c r="P543" i="7957"/>
  <c r="T543" i="7957"/>
  <c r="S776" i="7957"/>
  <c r="W776" i="7957"/>
  <c r="N543" i="7957"/>
  <c r="R543" i="7957"/>
  <c r="V543" i="7957"/>
  <c r="M712" i="7957"/>
  <c r="W792" i="7957"/>
  <c r="W744" i="7957"/>
  <c r="T762" i="7957"/>
  <c r="U736" i="7957"/>
  <c r="V731" i="7957"/>
  <c r="U731" i="7957"/>
  <c r="T731" i="7957"/>
  <c r="K109" i="1"/>
  <c r="M427" i="7957" l="1"/>
  <c r="S427" i="7957"/>
  <c r="L427" i="7957"/>
  <c r="T614" i="7957"/>
  <c r="U614" i="7957"/>
  <c r="W427" i="7957"/>
  <c r="S614" i="7957"/>
  <c r="G427" i="7957"/>
  <c r="O427" i="7957"/>
  <c r="I427" i="7957"/>
  <c r="W614" i="7957"/>
  <c r="T782" i="7957"/>
  <c r="L326" i="7957"/>
  <c r="S326" i="7957"/>
  <c r="U124" i="7957"/>
  <c r="B479" i="7957"/>
  <c r="B481" i="7957" s="1"/>
  <c r="B562" i="7957" s="1"/>
  <c r="B571" i="7957" s="1"/>
  <c r="P326" i="7957"/>
  <c r="R124" i="7957"/>
  <c r="B109" i="7957"/>
  <c r="B110" i="7957" s="1"/>
  <c r="C107" i="7957" s="1"/>
  <c r="C109" i="7957" s="1"/>
  <c r="C110" i="7957" s="1"/>
  <c r="D107" i="7957" s="1"/>
  <c r="W629" i="7957"/>
  <c r="P225" i="7957"/>
  <c r="N225" i="7957"/>
  <c r="G644" i="7957"/>
  <c r="G225" i="7957"/>
  <c r="T225" i="7957"/>
  <c r="R225" i="7957"/>
  <c r="F225" i="7957"/>
  <c r="S225" i="7957"/>
  <c r="Q225" i="7957"/>
  <c r="C732" i="7957"/>
  <c r="D729" i="7957" s="1"/>
  <c r="D731" i="7957" s="1"/>
  <c r="D732" i="7957" s="1"/>
  <c r="E729" i="7957" s="1"/>
  <c r="S644" i="7957"/>
  <c r="P756" i="7957"/>
  <c r="C644" i="7957"/>
  <c r="B644" i="7957"/>
  <c r="K225" i="7957"/>
  <c r="E225" i="7957"/>
  <c r="H225" i="7957"/>
  <c r="I225" i="7957"/>
  <c r="B225" i="7957"/>
  <c r="B226" i="7957" s="1"/>
  <c r="C223" i="7957" s="1"/>
  <c r="C226" i="7957" s="1"/>
  <c r="D223" i="7957" s="1"/>
  <c r="D226" i="7957" s="1"/>
  <c r="E223" i="7957" s="1"/>
  <c r="V225" i="7957"/>
  <c r="R427" i="7957"/>
  <c r="B614" i="7957"/>
  <c r="B615" i="7957" s="1"/>
  <c r="U427" i="7957"/>
  <c r="E644" i="7957"/>
  <c r="P427" i="7957"/>
  <c r="W225" i="7957"/>
  <c r="L225" i="7957"/>
  <c r="M225" i="7957"/>
  <c r="B278" i="7957"/>
  <c r="N756" i="7957"/>
  <c r="F644" i="7957"/>
  <c r="H644" i="7957"/>
  <c r="O644" i="7957"/>
  <c r="M644" i="7957"/>
  <c r="K644" i="7957"/>
  <c r="N644" i="7957"/>
  <c r="T644" i="7957"/>
  <c r="I644" i="7957"/>
  <c r="L644" i="7957"/>
  <c r="P644" i="7957"/>
  <c r="J644" i="7957"/>
  <c r="B124" i="7957"/>
  <c r="B125" i="7957" s="1"/>
  <c r="C122" i="7957" s="1"/>
  <c r="K124" i="7957"/>
  <c r="G124" i="7957"/>
  <c r="T326" i="7957"/>
  <c r="Q326" i="7957"/>
  <c r="K427" i="7957"/>
  <c r="B427" i="7957"/>
  <c r="D427" i="7957"/>
  <c r="C427" i="7957"/>
  <c r="Q427" i="7957"/>
  <c r="V427" i="7957"/>
  <c r="J427" i="7957"/>
  <c r="E427" i="7957"/>
  <c r="T427" i="7957"/>
  <c r="H427" i="7957"/>
  <c r="U644" i="7957"/>
  <c r="W124" i="7957"/>
  <c r="V124" i="7957"/>
  <c r="F124" i="7957"/>
  <c r="I124" i="7957"/>
  <c r="H124" i="7957"/>
  <c r="N124" i="7957"/>
  <c r="Q124" i="7957"/>
  <c r="P124" i="7957"/>
  <c r="D124" i="7957"/>
  <c r="V644" i="7957"/>
  <c r="R644" i="7957"/>
  <c r="W644" i="7957"/>
  <c r="Q644" i="7957"/>
  <c r="O124" i="7957"/>
  <c r="L124" i="7957"/>
  <c r="M124" i="7957"/>
  <c r="J124" i="7957"/>
  <c r="C124" i="7957"/>
  <c r="B629" i="7957"/>
  <c r="B630" i="7957" s="1"/>
  <c r="C627" i="7957" s="1"/>
  <c r="U629" i="7957"/>
  <c r="T629" i="7957"/>
  <c r="L756" i="7957"/>
  <c r="E756" i="7957"/>
  <c r="S792" i="7957"/>
  <c r="S755" i="7957"/>
  <c r="S756" i="7957" s="1"/>
  <c r="R756" i="7957"/>
  <c r="N782" i="7957"/>
  <c r="U689" i="7957"/>
  <c r="V756" i="7957"/>
  <c r="V782" i="7957"/>
  <c r="B787" i="7957"/>
  <c r="O326" i="7957"/>
  <c r="E326" i="7957"/>
  <c r="G326" i="7957"/>
  <c r="B326" i="7957"/>
  <c r="B327" i="7957" s="1"/>
  <c r="C324" i="7957" s="1"/>
  <c r="V326" i="7957"/>
  <c r="V689" i="7957"/>
  <c r="P782" i="7957"/>
  <c r="K326" i="7957"/>
  <c r="D326" i="7957"/>
  <c r="U326" i="7957"/>
  <c r="W326" i="7957"/>
  <c r="N326" i="7957"/>
  <c r="W689" i="7957"/>
  <c r="T689" i="7957"/>
  <c r="B689" i="7957"/>
  <c r="W756" i="7957"/>
  <c r="T756" i="7957"/>
  <c r="J326" i="7957"/>
  <c r="I326" i="7957"/>
  <c r="R326" i="7957"/>
  <c r="H326" i="7957"/>
  <c r="H756" i="7957"/>
  <c r="H782" i="7957"/>
  <c r="B177" i="7957"/>
  <c r="R782" i="7957"/>
  <c r="J782" i="7957"/>
  <c r="B379" i="7957"/>
  <c r="B416" i="7957"/>
  <c r="B425" i="7957" s="1"/>
  <c r="E782" i="7957"/>
  <c r="B77" i="7957"/>
  <c r="B144" i="7957" s="1"/>
  <c r="B153" i="7957" s="1"/>
  <c r="B155" i="7957" s="1"/>
  <c r="B156" i="7957" s="1"/>
  <c r="C153" i="7957" s="1"/>
  <c r="C155" i="7957" s="1"/>
  <c r="C156" i="7957" s="1"/>
  <c r="D153" i="7957" s="1"/>
  <c r="B128" i="7957"/>
  <c r="B137" i="7957" s="1"/>
  <c r="C326" i="7957"/>
  <c r="B196" i="7957"/>
  <c r="C193" i="7957" s="1"/>
  <c r="C195" i="7957" s="1"/>
  <c r="C196" i="7957" s="1"/>
  <c r="D193" i="7957" s="1"/>
  <c r="M326" i="7957"/>
  <c r="D674" i="7957"/>
  <c r="D675" i="7957" s="1"/>
  <c r="E672" i="7957" s="1"/>
  <c r="M782" i="7957"/>
  <c r="M756" i="7957"/>
  <c r="B764" i="7957"/>
  <c r="C513" i="7957"/>
  <c r="C514" i="7957" s="1"/>
  <c r="D511" i="7957" s="1"/>
  <c r="C94" i="7957"/>
  <c r="C95" i="7957" s="1"/>
  <c r="D92" i="7957" s="1"/>
  <c r="T792" i="7957"/>
  <c r="T744" i="7957"/>
  <c r="U792" i="7957"/>
  <c r="U744" i="7957"/>
  <c r="U762" i="7957"/>
  <c r="V736" i="7957"/>
  <c r="U756" i="7957"/>
  <c r="C612" i="7957"/>
  <c r="U782" i="7957"/>
  <c r="B499" i="7957"/>
  <c r="Q756" i="7957"/>
  <c r="C55" i="7957"/>
  <c r="V792" i="7957"/>
  <c r="V744" i="7957"/>
  <c r="B633" i="7957"/>
  <c r="B642" i="7957" s="1"/>
  <c r="B645" i="7957" s="1"/>
  <c r="C642" i="7957" s="1"/>
  <c r="B594" i="7957"/>
  <c r="Q782" i="7957"/>
  <c r="W782" i="7957"/>
  <c r="O782" i="7957"/>
  <c r="B529" i="7957"/>
  <c r="C526" i="7957" s="1"/>
  <c r="F782" i="7957"/>
  <c r="B63" i="7957"/>
  <c r="B737" i="7957" s="1"/>
  <c r="C311" i="7957"/>
  <c r="C312" i="7957" s="1"/>
  <c r="D309" i="7957" s="1"/>
  <c r="B23" i="7957"/>
  <c r="C21" i="7957" s="1"/>
  <c r="B532" i="7957"/>
  <c r="B541" i="7957" s="1"/>
  <c r="B480" i="7957"/>
  <c r="L782" i="7957"/>
  <c r="B341" i="7957"/>
  <c r="B791" i="7957" s="1"/>
  <c r="C412" i="7957"/>
  <c r="C413" i="7957" s="1"/>
  <c r="D410" i="7957" s="1"/>
  <c r="S782" i="7957"/>
  <c r="C211" i="7957"/>
  <c r="D208" i="7957" s="1"/>
  <c r="C44" i="7957"/>
  <c r="B34" i="7957"/>
  <c r="C32" i="7957" s="1"/>
  <c r="C296" i="7957"/>
  <c r="B398" i="7957"/>
  <c r="C395" i="7957" s="1"/>
  <c r="E226" i="7957" l="1"/>
  <c r="F223" i="7957" s="1"/>
  <c r="F226" i="7957" s="1"/>
  <c r="G223" i="7957" s="1"/>
  <c r="G226" i="7957" s="1"/>
  <c r="H223" i="7957" s="1"/>
  <c r="H226" i="7957" s="1"/>
  <c r="I223" i="7957" s="1"/>
  <c r="I226" i="7957" s="1"/>
  <c r="J223" i="7957" s="1"/>
  <c r="J226" i="7957" s="1"/>
  <c r="K223" i="7957" s="1"/>
  <c r="K226" i="7957" s="1"/>
  <c r="L223" i="7957" s="1"/>
  <c r="L226" i="7957" s="1"/>
  <c r="M223" i="7957" s="1"/>
  <c r="M226" i="7957" s="1"/>
  <c r="N223" i="7957" s="1"/>
  <c r="N226" i="7957" s="1"/>
  <c r="O223" i="7957" s="1"/>
  <c r="O226" i="7957" s="1"/>
  <c r="P223" i="7957" s="1"/>
  <c r="P226" i="7957" s="1"/>
  <c r="Q223" i="7957" s="1"/>
  <c r="Q226" i="7957" s="1"/>
  <c r="R223" i="7957" s="1"/>
  <c r="R226" i="7957" s="1"/>
  <c r="S223" i="7957" s="1"/>
  <c r="S226" i="7957" s="1"/>
  <c r="T223" i="7957" s="1"/>
  <c r="T226" i="7957" s="1"/>
  <c r="U223" i="7957" s="1"/>
  <c r="U226" i="7957" s="1"/>
  <c r="V223" i="7957" s="1"/>
  <c r="V226" i="7957" s="1"/>
  <c r="W223" i="7957" s="1"/>
  <c r="W226" i="7957" s="1"/>
  <c r="B786" i="7957"/>
  <c r="B765" i="7957"/>
  <c r="B798" i="7957" s="1"/>
  <c r="B330" i="7957"/>
  <c r="B339" i="7957" s="1"/>
  <c r="B342" i="7957" s="1"/>
  <c r="C339" i="7957" s="1"/>
  <c r="C341" i="7957" s="1"/>
  <c r="C342" i="7957" s="1"/>
  <c r="D339" i="7957" s="1"/>
  <c r="B279" i="7957"/>
  <c r="C645" i="7957"/>
  <c r="D642" i="7957" s="1"/>
  <c r="D645" i="7957" s="1"/>
  <c r="E642" i="7957" s="1"/>
  <c r="E645" i="7957" s="1"/>
  <c r="F642" i="7957" s="1"/>
  <c r="F645" i="7957" s="1"/>
  <c r="G642" i="7957" s="1"/>
  <c r="G645" i="7957" s="1"/>
  <c r="H642" i="7957" s="1"/>
  <c r="H645" i="7957" s="1"/>
  <c r="I642" i="7957" s="1"/>
  <c r="I645" i="7957" s="1"/>
  <c r="J642" i="7957" s="1"/>
  <c r="J645" i="7957" s="1"/>
  <c r="K642" i="7957" s="1"/>
  <c r="K645" i="7957" s="1"/>
  <c r="L642" i="7957" s="1"/>
  <c r="L645" i="7957" s="1"/>
  <c r="M642" i="7957" s="1"/>
  <c r="M645" i="7957" s="1"/>
  <c r="N642" i="7957" s="1"/>
  <c r="N645" i="7957" s="1"/>
  <c r="O642" i="7957" s="1"/>
  <c r="O645" i="7957" s="1"/>
  <c r="P642" i="7957" s="1"/>
  <c r="P645" i="7957" s="1"/>
  <c r="Q642" i="7957" s="1"/>
  <c r="Q645" i="7957" s="1"/>
  <c r="R642" i="7957" s="1"/>
  <c r="R645" i="7957" s="1"/>
  <c r="S642" i="7957" s="1"/>
  <c r="S645" i="7957" s="1"/>
  <c r="T642" i="7957" s="1"/>
  <c r="T645" i="7957" s="1"/>
  <c r="U642" i="7957" s="1"/>
  <c r="U645" i="7957" s="1"/>
  <c r="V642" i="7957" s="1"/>
  <c r="V645" i="7957" s="1"/>
  <c r="W642" i="7957" s="1"/>
  <c r="W645" i="7957" s="1"/>
  <c r="C125" i="7957"/>
  <c r="D122" i="7957" s="1"/>
  <c r="D125" i="7957" s="1"/>
  <c r="E122" i="7957" s="1"/>
  <c r="E125" i="7957" s="1"/>
  <c r="F122" i="7957" s="1"/>
  <c r="F125" i="7957" s="1"/>
  <c r="G122" i="7957" s="1"/>
  <c r="G125" i="7957" s="1"/>
  <c r="H122" i="7957" s="1"/>
  <c r="H125" i="7957" s="1"/>
  <c r="I122" i="7957" s="1"/>
  <c r="I125" i="7957" s="1"/>
  <c r="J122" i="7957" s="1"/>
  <c r="J125" i="7957" s="1"/>
  <c r="K122" i="7957" s="1"/>
  <c r="K125" i="7957" s="1"/>
  <c r="L122" i="7957" s="1"/>
  <c r="L125" i="7957" s="1"/>
  <c r="M122" i="7957" s="1"/>
  <c r="M125" i="7957" s="1"/>
  <c r="N122" i="7957" s="1"/>
  <c r="N125" i="7957" s="1"/>
  <c r="O122" i="7957" s="1"/>
  <c r="O125" i="7957" s="1"/>
  <c r="P122" i="7957" s="1"/>
  <c r="P125" i="7957" s="1"/>
  <c r="Q122" i="7957" s="1"/>
  <c r="Q125" i="7957" s="1"/>
  <c r="R122" i="7957" s="1"/>
  <c r="R125" i="7957" s="1"/>
  <c r="S122" i="7957" s="1"/>
  <c r="S125" i="7957" s="1"/>
  <c r="T122" i="7957" s="1"/>
  <c r="T125" i="7957" s="1"/>
  <c r="U122" i="7957" s="1"/>
  <c r="U125" i="7957" s="1"/>
  <c r="V122" i="7957" s="1"/>
  <c r="V125" i="7957" s="1"/>
  <c r="W122" i="7957" s="1"/>
  <c r="W125" i="7957" s="1"/>
  <c r="B164" i="7957"/>
  <c r="B738" i="7957" s="1"/>
  <c r="B162" i="7957"/>
  <c r="C327" i="7957"/>
  <c r="D324" i="7957" s="1"/>
  <c r="D327" i="7957" s="1"/>
  <c r="E324" i="7957" s="1"/>
  <c r="E327" i="7957" s="1"/>
  <c r="F324" i="7957" s="1"/>
  <c r="F327" i="7957" s="1"/>
  <c r="G324" i="7957" s="1"/>
  <c r="G327" i="7957" s="1"/>
  <c r="H324" i="7957" s="1"/>
  <c r="H327" i="7957" s="1"/>
  <c r="I324" i="7957" s="1"/>
  <c r="I327" i="7957" s="1"/>
  <c r="J324" i="7957" s="1"/>
  <c r="J327" i="7957" s="1"/>
  <c r="K324" i="7957" s="1"/>
  <c r="K327" i="7957" s="1"/>
  <c r="L324" i="7957" s="1"/>
  <c r="L327" i="7957" s="1"/>
  <c r="M324" i="7957" s="1"/>
  <c r="M327" i="7957" s="1"/>
  <c r="N324" i="7957" s="1"/>
  <c r="N327" i="7957" s="1"/>
  <c r="O324" i="7957" s="1"/>
  <c r="O327" i="7957" s="1"/>
  <c r="P324" i="7957" s="1"/>
  <c r="P327" i="7957" s="1"/>
  <c r="Q324" i="7957" s="1"/>
  <c r="Q327" i="7957" s="1"/>
  <c r="R324" i="7957" s="1"/>
  <c r="R327" i="7957" s="1"/>
  <c r="S324" i="7957" s="1"/>
  <c r="S327" i="7957" s="1"/>
  <c r="T324" i="7957" s="1"/>
  <c r="T327" i="7957" s="1"/>
  <c r="U324" i="7957" s="1"/>
  <c r="U327" i="7957" s="1"/>
  <c r="V324" i="7957" s="1"/>
  <c r="V327" i="7957" s="1"/>
  <c r="W324" i="7957" s="1"/>
  <c r="W327" i="7957" s="1"/>
  <c r="B64" i="7957"/>
  <c r="C62" i="7957" s="1"/>
  <c r="B178" i="7957"/>
  <c r="B245" i="7957" s="1"/>
  <c r="B254" i="7957" s="1"/>
  <c r="B256" i="7957" s="1"/>
  <c r="B229" i="7957"/>
  <c r="B238" i="7957" s="1"/>
  <c r="B788" i="7957"/>
  <c r="B428" i="7957"/>
  <c r="C425" i="7957" s="1"/>
  <c r="C428" i="7957" s="1"/>
  <c r="D425" i="7957" s="1"/>
  <c r="D428" i="7957" s="1"/>
  <c r="E425" i="7957" s="1"/>
  <c r="E428" i="7957" s="1"/>
  <c r="F425" i="7957" s="1"/>
  <c r="F428" i="7957" s="1"/>
  <c r="G425" i="7957" s="1"/>
  <c r="G428" i="7957" s="1"/>
  <c r="H425" i="7957" s="1"/>
  <c r="H428" i="7957" s="1"/>
  <c r="I425" i="7957" s="1"/>
  <c r="I428" i="7957" s="1"/>
  <c r="J425" i="7957" s="1"/>
  <c r="J428" i="7957" s="1"/>
  <c r="K425" i="7957" s="1"/>
  <c r="K428" i="7957" s="1"/>
  <c r="L425" i="7957" s="1"/>
  <c r="L428" i="7957" s="1"/>
  <c r="M425" i="7957" s="1"/>
  <c r="M428" i="7957" s="1"/>
  <c r="N425" i="7957" s="1"/>
  <c r="N428" i="7957" s="1"/>
  <c r="O425" i="7957" s="1"/>
  <c r="O428" i="7957" s="1"/>
  <c r="P425" i="7957" s="1"/>
  <c r="P428" i="7957" s="1"/>
  <c r="Q425" i="7957" s="1"/>
  <c r="Q428" i="7957" s="1"/>
  <c r="R425" i="7957" s="1"/>
  <c r="R428" i="7957" s="1"/>
  <c r="S425" i="7957" s="1"/>
  <c r="S428" i="7957" s="1"/>
  <c r="T425" i="7957" s="1"/>
  <c r="T428" i="7957" s="1"/>
  <c r="U425" i="7957" s="1"/>
  <c r="U428" i="7957" s="1"/>
  <c r="V425" i="7957" s="1"/>
  <c r="V428" i="7957" s="1"/>
  <c r="W425" i="7957" s="1"/>
  <c r="W428" i="7957" s="1"/>
  <c r="B431" i="7957"/>
  <c r="B440" i="7957" s="1"/>
  <c r="B443" i="7957" s="1"/>
  <c r="C440" i="7957" s="1"/>
  <c r="B380" i="7957"/>
  <c r="B447" i="7957" s="1"/>
  <c r="B456" i="7957" s="1"/>
  <c r="B140" i="7957"/>
  <c r="C137" i="7957" s="1"/>
  <c r="B78" i="7957"/>
  <c r="D311" i="7957"/>
  <c r="D312" i="7957" s="1"/>
  <c r="E309" i="7957" s="1"/>
  <c r="E674" i="7957"/>
  <c r="E675" i="7957" s="1"/>
  <c r="F672" i="7957" s="1"/>
  <c r="D412" i="7957"/>
  <c r="D413" i="7957" s="1"/>
  <c r="E410" i="7957" s="1"/>
  <c r="D195" i="7957"/>
  <c r="C496" i="7957"/>
  <c r="B573" i="7957"/>
  <c r="B574" i="7957" s="1"/>
  <c r="C571" i="7957" s="1"/>
  <c r="B544" i="7957"/>
  <c r="C541" i="7957" s="1"/>
  <c r="D155" i="7957"/>
  <c r="D156" i="7957" s="1"/>
  <c r="E153" i="7957" s="1"/>
  <c r="V762" i="7957"/>
  <c r="W736" i="7957"/>
  <c r="D513" i="7957"/>
  <c r="D514" i="7957" s="1"/>
  <c r="E511" i="7957" s="1"/>
  <c r="B797" i="7957"/>
  <c r="D210" i="7957"/>
  <c r="D211" i="7957" s="1"/>
  <c r="E208" i="7957" s="1"/>
  <c r="C764" i="7957"/>
  <c r="C33" i="7957"/>
  <c r="C22" i="7957"/>
  <c r="C765" i="7957"/>
  <c r="C528" i="7957"/>
  <c r="C787" i="7957" s="1"/>
  <c r="C45" i="7957"/>
  <c r="D43" i="7957" s="1"/>
  <c r="D44" i="7957" s="1"/>
  <c r="B596" i="7957"/>
  <c r="B678" i="7957" s="1"/>
  <c r="B687" i="7957" s="1"/>
  <c r="B690" i="7957" s="1"/>
  <c r="C687" i="7957" s="1"/>
  <c r="B648" i="7957"/>
  <c r="B657" i="7957" s="1"/>
  <c r="B660" i="7957" s="1"/>
  <c r="C657" i="7957" s="1"/>
  <c r="B597" i="7957"/>
  <c r="B693" i="7957" s="1"/>
  <c r="B702" i="7957" s="1"/>
  <c r="C56" i="7957"/>
  <c r="D54" i="7957" s="1"/>
  <c r="C629" i="7957"/>
  <c r="C630" i="7957" s="1"/>
  <c r="D627" i="7957" s="1"/>
  <c r="C397" i="7957"/>
  <c r="B547" i="7957"/>
  <c r="B556" i="7957" s="1"/>
  <c r="B482" i="7957"/>
  <c r="C297" i="7957"/>
  <c r="D294" i="7957" s="1"/>
  <c r="C614" i="7957"/>
  <c r="C615" i="7957" s="1"/>
  <c r="E731" i="7957"/>
  <c r="E732" i="7957" s="1"/>
  <c r="F729" i="7957" s="1"/>
  <c r="D94" i="7957"/>
  <c r="D109" i="7957"/>
  <c r="D110" i="7957" s="1"/>
  <c r="E107" i="7957" s="1"/>
  <c r="B165" i="7957" l="1"/>
  <c r="B346" i="7957"/>
  <c r="B355" i="7957" s="1"/>
  <c r="B364" i="7957" s="1"/>
  <c r="B280" i="7957"/>
  <c r="B381" i="7957"/>
  <c r="B465" i="7957"/>
  <c r="B257" i="7957"/>
  <c r="C254" i="7957" s="1"/>
  <c r="B265" i="7957"/>
  <c r="B739" i="7957" s="1"/>
  <c r="B241" i="7957"/>
  <c r="C238" i="7957" s="1"/>
  <c r="B263" i="7957"/>
  <c r="B179" i="7957"/>
  <c r="C162" i="7957"/>
  <c r="C139" i="7957"/>
  <c r="C164" i="7957" s="1"/>
  <c r="C738" i="7957" s="1"/>
  <c r="C786" i="7957"/>
  <c r="C797" i="7957" s="1"/>
  <c r="B458" i="7957"/>
  <c r="B467" i="7957" s="1"/>
  <c r="C442" i="7957"/>
  <c r="C443" i="7957" s="1"/>
  <c r="D440" i="7957" s="1"/>
  <c r="F674" i="7957"/>
  <c r="F675" i="7957" s="1"/>
  <c r="G672" i="7957" s="1"/>
  <c r="F731" i="7957"/>
  <c r="F732" i="7957" s="1"/>
  <c r="G729" i="7957" s="1"/>
  <c r="E210" i="7957"/>
  <c r="E211" i="7957" s="1"/>
  <c r="F208" i="7957" s="1"/>
  <c r="E513" i="7957"/>
  <c r="E514" i="7957" s="1"/>
  <c r="F511" i="7957" s="1"/>
  <c r="E311" i="7957"/>
  <c r="E312" i="7957" s="1"/>
  <c r="F309" i="7957" s="1"/>
  <c r="B766" i="7957"/>
  <c r="B799" i="7957" s="1"/>
  <c r="C573" i="7957"/>
  <c r="C574" i="7957" s="1"/>
  <c r="D571" i="7957" s="1"/>
  <c r="E412" i="7957"/>
  <c r="E413" i="7957" s="1"/>
  <c r="F410" i="7957" s="1"/>
  <c r="C659" i="7957"/>
  <c r="C788" i="7957" s="1"/>
  <c r="B559" i="7957"/>
  <c r="C556" i="7957" s="1"/>
  <c r="C580" i="7957" s="1"/>
  <c r="B769" i="7957"/>
  <c r="B802" i="7957" s="1"/>
  <c r="D55" i="7957"/>
  <c r="D56" i="7957" s="1"/>
  <c r="E54" i="7957" s="1"/>
  <c r="C63" i="7957"/>
  <c r="E155" i="7957"/>
  <c r="E156" i="7957" s="1"/>
  <c r="F153" i="7957" s="1"/>
  <c r="D341" i="7957"/>
  <c r="D342" i="7957" s="1"/>
  <c r="E339" i="7957" s="1"/>
  <c r="C544" i="7957"/>
  <c r="D541" i="7957" s="1"/>
  <c r="D544" i="7957" s="1"/>
  <c r="E541" i="7957" s="1"/>
  <c r="E544" i="7957" s="1"/>
  <c r="F541" i="7957" s="1"/>
  <c r="F544" i="7957" s="1"/>
  <c r="G541" i="7957" s="1"/>
  <c r="G544" i="7957" s="1"/>
  <c r="H541" i="7957" s="1"/>
  <c r="H544" i="7957" s="1"/>
  <c r="I541" i="7957" s="1"/>
  <c r="I544" i="7957" s="1"/>
  <c r="J541" i="7957" s="1"/>
  <c r="J544" i="7957" s="1"/>
  <c r="K541" i="7957" s="1"/>
  <c r="K544" i="7957" s="1"/>
  <c r="L541" i="7957" s="1"/>
  <c r="L544" i="7957" s="1"/>
  <c r="M541" i="7957" s="1"/>
  <c r="M544" i="7957" s="1"/>
  <c r="N541" i="7957" s="1"/>
  <c r="N544" i="7957" s="1"/>
  <c r="O541" i="7957" s="1"/>
  <c r="O544" i="7957" s="1"/>
  <c r="P541" i="7957" s="1"/>
  <c r="P544" i="7957" s="1"/>
  <c r="Q541" i="7957" s="1"/>
  <c r="Q544" i="7957" s="1"/>
  <c r="R541" i="7957" s="1"/>
  <c r="R544" i="7957" s="1"/>
  <c r="S541" i="7957" s="1"/>
  <c r="S544" i="7957" s="1"/>
  <c r="T541" i="7957" s="1"/>
  <c r="T544" i="7957" s="1"/>
  <c r="U541" i="7957" s="1"/>
  <c r="U544" i="7957" s="1"/>
  <c r="V541" i="7957" s="1"/>
  <c r="V544" i="7957" s="1"/>
  <c r="W541" i="7957" s="1"/>
  <c r="W544" i="7957" s="1"/>
  <c r="C766" i="7957"/>
  <c r="C498" i="7957"/>
  <c r="C499" i="7957" s="1"/>
  <c r="C398" i="7957"/>
  <c r="D395" i="7957" s="1"/>
  <c r="C689" i="7957"/>
  <c r="C690" i="7957" s="1"/>
  <c r="D95" i="7957"/>
  <c r="E92" i="7957" s="1"/>
  <c r="B598" i="7957"/>
  <c r="C529" i="7957"/>
  <c r="D526" i="7957" s="1"/>
  <c r="C23" i="7957"/>
  <c r="D21" i="7957" s="1"/>
  <c r="C34" i="7957"/>
  <c r="D32" i="7957" s="1"/>
  <c r="W762" i="7957"/>
  <c r="D612" i="7957"/>
  <c r="D296" i="7957"/>
  <c r="E109" i="7957"/>
  <c r="E110" i="7957" s="1"/>
  <c r="F107" i="7957" s="1"/>
  <c r="B711" i="7957"/>
  <c r="D629" i="7957"/>
  <c r="D630" i="7957" s="1"/>
  <c r="E627" i="7957" s="1"/>
  <c r="B704" i="7957"/>
  <c r="B713" i="7957" s="1"/>
  <c r="B763" i="7957"/>
  <c r="D45" i="7957"/>
  <c r="E43" i="7957" s="1"/>
  <c r="E44" i="7957" s="1"/>
  <c r="C798" i="7957"/>
  <c r="B580" i="7957"/>
  <c r="B582" i="7957"/>
  <c r="B742" i="7957" s="1"/>
  <c r="D196" i="7957"/>
  <c r="E193" i="7957" s="1"/>
  <c r="B266" i="7957" l="1"/>
  <c r="B357" i="7957"/>
  <c r="B366" i="7957" s="1"/>
  <c r="C165" i="7957"/>
  <c r="C140" i="7957"/>
  <c r="D137" i="7957" s="1"/>
  <c r="D139" i="7957" s="1"/>
  <c r="C240" i="7957"/>
  <c r="C263" i="7957"/>
  <c r="C256" i="7957"/>
  <c r="C257" i="7957" s="1"/>
  <c r="D254" i="7957" s="1"/>
  <c r="D256" i="7957" s="1"/>
  <c r="D257" i="7957" s="1"/>
  <c r="E254" i="7957" s="1"/>
  <c r="B459" i="7957"/>
  <c r="C456" i="7957" s="1"/>
  <c r="C458" i="7957" s="1"/>
  <c r="C467" i="7957" s="1"/>
  <c r="C741" i="7957" s="1"/>
  <c r="C660" i="7957"/>
  <c r="D657" i="7957" s="1"/>
  <c r="D766" i="7957" s="1"/>
  <c r="D442" i="7957"/>
  <c r="D443" i="7957" s="1"/>
  <c r="E440" i="7957" s="1"/>
  <c r="E442" i="7957" s="1"/>
  <c r="E443" i="7957" s="1"/>
  <c r="F440" i="7957" s="1"/>
  <c r="C799" i="7957"/>
  <c r="B741" i="7957"/>
  <c r="B468" i="7957"/>
  <c r="E341" i="7957"/>
  <c r="E342" i="7957" s="1"/>
  <c r="F339" i="7957" s="1"/>
  <c r="F513" i="7957"/>
  <c r="F514" i="7957" s="1"/>
  <c r="G511" i="7957" s="1"/>
  <c r="D687" i="7957"/>
  <c r="F155" i="7957"/>
  <c r="F156" i="7957" s="1"/>
  <c r="G153" i="7957" s="1"/>
  <c r="B771" i="7957"/>
  <c r="F109" i="7957"/>
  <c r="F110" i="7957" s="1"/>
  <c r="G107" i="7957" s="1"/>
  <c r="D614" i="7957"/>
  <c r="D615" i="7957" s="1"/>
  <c r="D22" i="7957"/>
  <c r="D23" i="7957" s="1"/>
  <c r="E21" i="7957" s="1"/>
  <c r="E94" i="7957"/>
  <c r="D496" i="7957"/>
  <c r="C737" i="7957"/>
  <c r="C64" i="7957"/>
  <c r="D62" i="7957" s="1"/>
  <c r="C558" i="7957"/>
  <c r="C582" i="7957" s="1"/>
  <c r="C742" i="7957" s="1"/>
  <c r="C769" i="7957"/>
  <c r="E55" i="7957"/>
  <c r="F412" i="7957"/>
  <c r="F413" i="7957" s="1"/>
  <c r="G410" i="7957" s="1"/>
  <c r="D573" i="7957"/>
  <c r="D574" i="7957" s="1"/>
  <c r="E571" i="7957" s="1"/>
  <c r="F311" i="7957"/>
  <c r="F312" i="7957" s="1"/>
  <c r="G309" i="7957" s="1"/>
  <c r="F210" i="7957"/>
  <c r="F211" i="7957" s="1"/>
  <c r="G208" i="7957" s="1"/>
  <c r="G731" i="7957"/>
  <c r="G732" i="7957" s="1"/>
  <c r="H729" i="7957" s="1"/>
  <c r="G674" i="7957"/>
  <c r="G675" i="7957" s="1"/>
  <c r="H672" i="7957" s="1"/>
  <c r="E629" i="7957"/>
  <c r="E630" i="7957" s="1"/>
  <c r="F627" i="7957" s="1"/>
  <c r="D765" i="7957"/>
  <c r="D528" i="7957"/>
  <c r="D787" i="7957" s="1"/>
  <c r="D397" i="7957"/>
  <c r="D398" i="7957" s="1"/>
  <c r="E395" i="7957" s="1"/>
  <c r="E195" i="7957"/>
  <c r="E45" i="7957"/>
  <c r="F43" i="7957" s="1"/>
  <c r="B705" i="7957"/>
  <c r="D297" i="7957"/>
  <c r="E294" i="7957" s="1"/>
  <c r="D764" i="7957"/>
  <c r="D33" i="7957"/>
  <c r="D786" i="7957" s="1"/>
  <c r="B583" i="7957"/>
  <c r="D162" i="7957" l="1"/>
  <c r="C465" i="7957"/>
  <c r="C468" i="7957" s="1"/>
  <c r="B358" i="7957"/>
  <c r="C355" i="7957" s="1"/>
  <c r="C357" i="7957" s="1"/>
  <c r="B785" i="7957"/>
  <c r="B796" i="7957" s="1"/>
  <c r="B740" i="7957"/>
  <c r="B745" i="7957" s="1"/>
  <c r="B793" i="7957" s="1"/>
  <c r="B804" i="7957" s="1"/>
  <c r="B367" i="7957"/>
  <c r="C791" i="7957"/>
  <c r="E256" i="7957"/>
  <c r="E257" i="7957" s="1"/>
  <c r="F254" i="7957" s="1"/>
  <c r="F256" i="7957" s="1"/>
  <c r="F257" i="7957" s="1"/>
  <c r="G254" i="7957" s="1"/>
  <c r="G256" i="7957" s="1"/>
  <c r="G257" i="7957" s="1"/>
  <c r="H254" i="7957" s="1"/>
  <c r="F442" i="7957"/>
  <c r="F443" i="7957" s="1"/>
  <c r="G440" i="7957" s="1"/>
  <c r="G442" i="7957" s="1"/>
  <c r="G443" i="7957" s="1"/>
  <c r="H440" i="7957" s="1"/>
  <c r="C241" i="7957"/>
  <c r="D238" i="7957" s="1"/>
  <c r="C265" i="7957"/>
  <c r="C739" i="7957" s="1"/>
  <c r="D659" i="7957"/>
  <c r="D788" i="7957" s="1"/>
  <c r="D799" i="7957" s="1"/>
  <c r="C459" i="7957"/>
  <c r="D456" i="7957" s="1"/>
  <c r="D797" i="7957"/>
  <c r="C559" i="7957"/>
  <c r="D556" i="7957" s="1"/>
  <c r="D558" i="7957" s="1"/>
  <c r="D140" i="7957"/>
  <c r="E137" i="7957" s="1"/>
  <c r="D164" i="7957"/>
  <c r="D738" i="7957" s="1"/>
  <c r="H674" i="7957"/>
  <c r="H675" i="7957" s="1"/>
  <c r="I672" i="7957" s="1"/>
  <c r="F341" i="7957"/>
  <c r="F342" i="7957" s="1"/>
  <c r="G339" i="7957" s="1"/>
  <c r="G412" i="7957"/>
  <c r="G413" i="7957" s="1"/>
  <c r="H410" i="7957" s="1"/>
  <c r="G210" i="7957"/>
  <c r="G211" i="7957" s="1"/>
  <c r="H208" i="7957" s="1"/>
  <c r="G155" i="7957"/>
  <c r="G156" i="7957" s="1"/>
  <c r="H153" i="7957" s="1"/>
  <c r="E397" i="7957"/>
  <c r="D798" i="7957"/>
  <c r="D63" i="7957"/>
  <c r="D737" i="7957" s="1"/>
  <c r="E612" i="7957"/>
  <c r="C702" i="7957"/>
  <c r="B714" i="7957"/>
  <c r="F629" i="7957"/>
  <c r="F630" i="7957" s="1"/>
  <c r="G627" i="7957" s="1"/>
  <c r="H731" i="7957"/>
  <c r="H732" i="7957" s="1"/>
  <c r="I729" i="7957" s="1"/>
  <c r="G311" i="7957"/>
  <c r="G312" i="7957" s="1"/>
  <c r="H309" i="7957" s="1"/>
  <c r="E573" i="7957"/>
  <c r="E574" i="7957" s="1"/>
  <c r="F571" i="7957" s="1"/>
  <c r="D498" i="7957"/>
  <c r="E22" i="7957"/>
  <c r="G109" i="7957"/>
  <c r="G110" i="7957" s="1"/>
  <c r="H107" i="7957" s="1"/>
  <c r="G513" i="7957"/>
  <c r="G514" i="7957" s="1"/>
  <c r="H511" i="7957" s="1"/>
  <c r="E196" i="7957"/>
  <c r="F193" i="7957" s="1"/>
  <c r="F44" i="7957"/>
  <c r="F45" i="7957" s="1"/>
  <c r="G43" i="7957" s="1"/>
  <c r="D34" i="7957"/>
  <c r="E32" i="7957" s="1"/>
  <c r="E296" i="7957"/>
  <c r="D529" i="7957"/>
  <c r="E526" i="7957" s="1"/>
  <c r="E56" i="7957"/>
  <c r="F54" i="7957" s="1"/>
  <c r="C802" i="7957"/>
  <c r="E95" i="7957"/>
  <c r="F92" i="7957" s="1"/>
  <c r="D689" i="7957"/>
  <c r="D690" i="7957" s="1"/>
  <c r="E687" i="7957" s="1"/>
  <c r="C364" i="7957" l="1"/>
  <c r="C358" i="7957"/>
  <c r="D355" i="7957" s="1"/>
  <c r="C366" i="7957"/>
  <c r="C740" i="7957" s="1"/>
  <c r="C745" i="7957" s="1"/>
  <c r="C793" i="7957" s="1"/>
  <c r="D769" i="7957"/>
  <c r="C583" i="7957"/>
  <c r="D64" i="7957"/>
  <c r="E62" i="7957" s="1"/>
  <c r="C266" i="7957"/>
  <c r="D580" i="7957"/>
  <c r="D660" i="7957"/>
  <c r="E657" i="7957" s="1"/>
  <c r="D240" i="7957"/>
  <c r="D263" i="7957"/>
  <c r="D582" i="7957"/>
  <c r="D742" i="7957" s="1"/>
  <c r="E139" i="7957"/>
  <c r="E162" i="7957"/>
  <c r="D458" i="7957"/>
  <c r="D467" i="7957" s="1"/>
  <c r="D741" i="7957" s="1"/>
  <c r="D465" i="7957"/>
  <c r="D165" i="7957"/>
  <c r="F573" i="7957"/>
  <c r="F574" i="7957" s="1"/>
  <c r="G571" i="7957" s="1"/>
  <c r="H513" i="7957"/>
  <c r="H514" i="7957" s="1"/>
  <c r="I511" i="7957" s="1"/>
  <c r="I731" i="7957"/>
  <c r="I732" i="7957" s="1"/>
  <c r="J729" i="7957" s="1"/>
  <c r="H210" i="7957"/>
  <c r="H211" i="7957" s="1"/>
  <c r="I208" i="7957" s="1"/>
  <c r="I674" i="7957"/>
  <c r="I675" i="7957" s="1"/>
  <c r="J672" i="7957" s="1"/>
  <c r="F94" i="7957"/>
  <c r="F55" i="7957"/>
  <c r="F56" i="7957" s="1"/>
  <c r="G54" i="7957" s="1"/>
  <c r="E764" i="7957"/>
  <c r="E33" i="7957"/>
  <c r="E786" i="7957" s="1"/>
  <c r="H311" i="7957"/>
  <c r="H312" i="7957" s="1"/>
  <c r="I309" i="7957" s="1"/>
  <c r="G629" i="7957"/>
  <c r="G630" i="7957" s="1"/>
  <c r="H627" i="7957" s="1"/>
  <c r="H442" i="7957"/>
  <c r="H443" i="7957" s="1"/>
  <c r="I440" i="7957" s="1"/>
  <c r="H155" i="7957"/>
  <c r="H156" i="7957" s="1"/>
  <c r="I153" i="7957" s="1"/>
  <c r="H256" i="7957"/>
  <c r="H257" i="7957" s="1"/>
  <c r="I254" i="7957" s="1"/>
  <c r="H412" i="7957"/>
  <c r="H413" i="7957" s="1"/>
  <c r="I410" i="7957" s="1"/>
  <c r="G341" i="7957"/>
  <c r="G342" i="7957" s="1"/>
  <c r="H339" i="7957" s="1"/>
  <c r="H109" i="7957"/>
  <c r="H110" i="7957" s="1"/>
  <c r="I107" i="7957" s="1"/>
  <c r="E297" i="7957"/>
  <c r="F294" i="7957" s="1"/>
  <c r="D559" i="7957"/>
  <c r="E556" i="7957" s="1"/>
  <c r="C704" i="7957"/>
  <c r="C705" i="7957" s="1"/>
  <c r="C763" i="7957"/>
  <c r="C711" i="7957"/>
  <c r="E614" i="7957"/>
  <c r="E615" i="7957" s="1"/>
  <c r="E398" i="7957"/>
  <c r="F395" i="7957" s="1"/>
  <c r="E689" i="7957"/>
  <c r="E690" i="7957" s="1"/>
  <c r="F687" i="7957" s="1"/>
  <c r="E765" i="7957"/>
  <c r="E528" i="7957"/>
  <c r="E787" i="7957" s="1"/>
  <c r="G44" i="7957"/>
  <c r="G45" i="7957" s="1"/>
  <c r="H43" i="7957" s="1"/>
  <c r="F195" i="7957"/>
  <c r="E23" i="7957"/>
  <c r="F21" i="7957" s="1"/>
  <c r="D499" i="7957"/>
  <c r="M69" i="7955"/>
  <c r="C367" i="7957" l="1"/>
  <c r="D468" i="7957"/>
  <c r="D364" i="7957"/>
  <c r="D357" i="7957"/>
  <c r="D459" i="7957"/>
  <c r="E456" i="7957" s="1"/>
  <c r="E465" i="7957" s="1"/>
  <c r="D241" i="7957"/>
  <c r="E238" i="7957" s="1"/>
  <c r="E769" i="7957" s="1"/>
  <c r="D265" i="7957"/>
  <c r="D739" i="7957" s="1"/>
  <c r="E766" i="7957"/>
  <c r="E659" i="7957"/>
  <c r="E529" i="7957"/>
  <c r="F526" i="7957" s="1"/>
  <c r="F765" i="7957" s="1"/>
  <c r="D791" i="7957"/>
  <c r="D802" i="7957" s="1"/>
  <c r="E63" i="7957"/>
  <c r="E737" i="7957" s="1"/>
  <c r="E458" i="7957"/>
  <c r="E798" i="7957"/>
  <c r="F196" i="7957"/>
  <c r="G193" i="7957" s="1"/>
  <c r="G195" i="7957" s="1"/>
  <c r="F95" i="7957"/>
  <c r="G92" i="7957" s="1"/>
  <c r="G94" i="7957" s="1"/>
  <c r="E140" i="7957"/>
  <c r="F137" i="7957" s="1"/>
  <c r="E164" i="7957"/>
  <c r="E738" i="7957" s="1"/>
  <c r="F689" i="7957"/>
  <c r="F690" i="7957" s="1"/>
  <c r="G687" i="7957" s="1"/>
  <c r="H44" i="7957"/>
  <c r="H45" i="7957" s="1"/>
  <c r="I43" i="7957" s="1"/>
  <c r="I513" i="7957"/>
  <c r="I514" i="7957" s="1"/>
  <c r="J511" i="7957" s="1"/>
  <c r="I311" i="7957"/>
  <c r="I312" i="7957" s="1"/>
  <c r="J309" i="7957" s="1"/>
  <c r="H341" i="7957"/>
  <c r="H342" i="7957" s="1"/>
  <c r="I339" i="7957" s="1"/>
  <c r="I155" i="7957"/>
  <c r="I156" i="7957" s="1"/>
  <c r="J153" i="7957" s="1"/>
  <c r="I442" i="7957"/>
  <c r="I443" i="7957" s="1"/>
  <c r="J440" i="7957" s="1"/>
  <c r="I210" i="7957"/>
  <c r="I211" i="7957" s="1"/>
  <c r="J208" i="7957" s="1"/>
  <c r="G573" i="7957"/>
  <c r="G574" i="7957" s="1"/>
  <c r="H571" i="7957" s="1"/>
  <c r="C785" i="7957"/>
  <c r="C796" i="7957" s="1"/>
  <c r="C713" i="7957"/>
  <c r="I109" i="7957"/>
  <c r="I110" i="7957" s="1"/>
  <c r="J107" i="7957" s="1"/>
  <c r="J674" i="7957"/>
  <c r="J675" i="7957" s="1"/>
  <c r="K672" i="7957" s="1"/>
  <c r="D583" i="7957"/>
  <c r="E496" i="7957"/>
  <c r="F612" i="7957"/>
  <c r="D702" i="7957"/>
  <c r="C714" i="7957"/>
  <c r="E558" i="7957"/>
  <c r="F296" i="7957"/>
  <c r="I412" i="7957"/>
  <c r="I413" i="7957" s="1"/>
  <c r="J410" i="7957" s="1"/>
  <c r="I256" i="7957"/>
  <c r="I257" i="7957" s="1"/>
  <c r="J254" i="7957" s="1"/>
  <c r="H629" i="7957"/>
  <c r="H630" i="7957" s="1"/>
  <c r="I627" i="7957" s="1"/>
  <c r="G55" i="7957"/>
  <c r="J731" i="7957"/>
  <c r="J732" i="7957" s="1"/>
  <c r="K729" i="7957" s="1"/>
  <c r="F22" i="7957"/>
  <c r="E34" i="7957"/>
  <c r="F32" i="7957" s="1"/>
  <c r="F397" i="7957"/>
  <c r="C771" i="7957"/>
  <c r="C804" i="7957" s="1"/>
  <c r="E797" i="7957"/>
  <c r="W23" i="7955"/>
  <c r="X23" i="7955"/>
  <c r="Y23" i="7955" s="1"/>
  <c r="Z23" i="7955" s="1"/>
  <c r="D358" i="7957" l="1"/>
  <c r="E355" i="7957" s="1"/>
  <c r="D366" i="7957"/>
  <c r="D740" i="7957" s="1"/>
  <c r="D745" i="7957" s="1"/>
  <c r="D793" i="7957" s="1"/>
  <c r="E64" i="7957"/>
  <c r="F62" i="7957" s="1"/>
  <c r="F528" i="7957"/>
  <c r="F787" i="7957" s="1"/>
  <c r="F798" i="7957" s="1"/>
  <c r="D266" i="7957"/>
  <c r="G196" i="7957"/>
  <c r="H193" i="7957" s="1"/>
  <c r="H195" i="7957" s="1"/>
  <c r="E240" i="7957"/>
  <c r="E791" i="7957" s="1"/>
  <c r="E802" i="7957" s="1"/>
  <c r="E263" i="7957"/>
  <c r="E788" i="7957"/>
  <c r="E799" i="7957" s="1"/>
  <c r="E660" i="7957"/>
  <c r="F657" i="7957" s="1"/>
  <c r="F139" i="7957"/>
  <c r="F164" i="7957" s="1"/>
  <c r="F738" i="7957" s="1"/>
  <c r="F162" i="7957"/>
  <c r="E459" i="7957"/>
  <c r="F456" i="7957" s="1"/>
  <c r="E467" i="7957"/>
  <c r="E741" i="7957" s="1"/>
  <c r="E165" i="7957"/>
  <c r="J256" i="7957"/>
  <c r="J257" i="7957" s="1"/>
  <c r="K254" i="7957" s="1"/>
  <c r="G689" i="7957"/>
  <c r="G690" i="7957" s="1"/>
  <c r="H687" i="7957" s="1"/>
  <c r="I341" i="7957"/>
  <c r="I342" i="7957" s="1"/>
  <c r="J339" i="7957" s="1"/>
  <c r="J442" i="7957"/>
  <c r="J443" i="7957" s="1"/>
  <c r="K440" i="7957" s="1"/>
  <c r="J513" i="7957"/>
  <c r="J514" i="7957" s="1"/>
  <c r="K511" i="7957" s="1"/>
  <c r="J210" i="7957"/>
  <c r="J211" i="7957" s="1"/>
  <c r="K208" i="7957" s="1"/>
  <c r="J311" i="7957"/>
  <c r="J312" i="7957" s="1"/>
  <c r="K309" i="7957" s="1"/>
  <c r="I629" i="7957"/>
  <c r="I630" i="7957" s="1"/>
  <c r="J627" i="7957" s="1"/>
  <c r="J412" i="7957"/>
  <c r="J413" i="7957" s="1"/>
  <c r="K410" i="7957" s="1"/>
  <c r="D704" i="7957"/>
  <c r="D711" i="7957"/>
  <c r="D763" i="7957"/>
  <c r="K674" i="7957"/>
  <c r="K675" i="7957" s="1"/>
  <c r="L672" i="7957" s="1"/>
  <c r="H573" i="7957"/>
  <c r="H574" i="7957" s="1"/>
  <c r="I571" i="7957" s="1"/>
  <c r="J155" i="7957"/>
  <c r="J156" i="7957" s="1"/>
  <c r="K153" i="7957" s="1"/>
  <c r="K731" i="7957"/>
  <c r="K732" i="7957" s="1"/>
  <c r="L729" i="7957" s="1"/>
  <c r="E580" i="7957"/>
  <c r="E498" i="7957"/>
  <c r="E499" i="7957" s="1"/>
  <c r="J109" i="7957"/>
  <c r="J110" i="7957" s="1"/>
  <c r="K107" i="7957" s="1"/>
  <c r="F764" i="7957"/>
  <c r="F33" i="7957"/>
  <c r="F786" i="7957" s="1"/>
  <c r="F23" i="7957"/>
  <c r="G21" i="7957" s="1"/>
  <c r="F297" i="7957"/>
  <c r="G294" i="7957" s="1"/>
  <c r="E559" i="7957"/>
  <c r="F556" i="7957" s="1"/>
  <c r="F398" i="7957"/>
  <c r="G395" i="7957" s="1"/>
  <c r="G95" i="7957"/>
  <c r="H92" i="7957" s="1"/>
  <c r="G56" i="7957"/>
  <c r="H54" i="7957" s="1"/>
  <c r="F614" i="7957"/>
  <c r="F529" i="7957"/>
  <c r="G526" i="7957" s="1"/>
  <c r="I44" i="7957"/>
  <c r="I45" i="7957" s="1"/>
  <c r="J43" i="7957" s="1"/>
  <c r="D367" i="7957" l="1"/>
  <c r="E357" i="7957"/>
  <c r="E364" i="7957"/>
  <c r="F766" i="7957"/>
  <c r="F659" i="7957"/>
  <c r="F788" i="7957" s="1"/>
  <c r="E241" i="7957"/>
  <c r="F238" i="7957" s="1"/>
  <c r="F769" i="7957" s="1"/>
  <c r="E265" i="7957"/>
  <c r="E739" i="7957" s="1"/>
  <c r="F165" i="7957"/>
  <c r="F458" i="7957"/>
  <c r="F465" i="7957"/>
  <c r="F140" i="7957"/>
  <c r="G137" i="7957" s="1"/>
  <c r="E468" i="7957"/>
  <c r="J629" i="7957"/>
  <c r="J630" i="7957" s="1"/>
  <c r="K627" i="7957" s="1"/>
  <c r="K442" i="7957"/>
  <c r="K443" i="7957" s="1"/>
  <c r="L440" i="7957" s="1"/>
  <c r="H689" i="7957"/>
  <c r="H690" i="7957" s="1"/>
  <c r="I687" i="7957" s="1"/>
  <c r="K109" i="7957"/>
  <c r="K110" i="7957" s="1"/>
  <c r="L107" i="7957" s="1"/>
  <c r="L674" i="7957"/>
  <c r="L675" i="7957" s="1"/>
  <c r="M672" i="7957" s="1"/>
  <c r="L731" i="7957"/>
  <c r="L732" i="7957" s="1"/>
  <c r="M729" i="7957" s="1"/>
  <c r="K412" i="7957"/>
  <c r="K413" i="7957" s="1"/>
  <c r="L410" i="7957" s="1"/>
  <c r="K210" i="7957"/>
  <c r="K211" i="7957" s="1"/>
  <c r="L208" i="7957" s="1"/>
  <c r="K256" i="7957"/>
  <c r="K257" i="7957" s="1"/>
  <c r="L254" i="7957" s="1"/>
  <c r="H55" i="7957"/>
  <c r="H56" i="7957" s="1"/>
  <c r="I54" i="7957" s="1"/>
  <c r="G765" i="7957"/>
  <c r="G528" i="7957"/>
  <c r="G787" i="7957" s="1"/>
  <c r="G296" i="7957"/>
  <c r="E582" i="7957"/>
  <c r="E742" i="7957" s="1"/>
  <c r="K155" i="7957"/>
  <c r="K156" i="7957" s="1"/>
  <c r="L153" i="7957" s="1"/>
  <c r="I573" i="7957"/>
  <c r="I574" i="7957" s="1"/>
  <c r="J571" i="7957" s="1"/>
  <c r="D771" i="7957"/>
  <c r="D804" i="7957" s="1"/>
  <c r="H94" i="7957"/>
  <c r="H95" i="7957" s="1"/>
  <c r="I92" i="7957" s="1"/>
  <c r="E583" i="7957"/>
  <c r="F496" i="7957"/>
  <c r="F63" i="7957"/>
  <c r="K311" i="7957"/>
  <c r="K312" i="7957" s="1"/>
  <c r="L309" i="7957" s="1"/>
  <c r="K513" i="7957"/>
  <c r="K514" i="7957" s="1"/>
  <c r="L511" i="7957" s="1"/>
  <c r="J341" i="7957"/>
  <c r="J342" i="7957" s="1"/>
  <c r="K339" i="7957" s="1"/>
  <c r="J44" i="7957"/>
  <c r="J45" i="7957" s="1"/>
  <c r="K43" i="7957" s="1"/>
  <c r="G397" i="7957"/>
  <c r="F34" i="7957"/>
  <c r="G32" i="7957" s="1"/>
  <c r="H196" i="7957"/>
  <c r="I193" i="7957" s="1"/>
  <c r="D713" i="7957"/>
  <c r="D785" i="7957"/>
  <c r="D796" i="7957" s="1"/>
  <c r="F615" i="7957"/>
  <c r="F558" i="7957"/>
  <c r="G22" i="7957"/>
  <c r="G23" i="7957" s="1"/>
  <c r="H21" i="7957" s="1"/>
  <c r="F797" i="7957"/>
  <c r="D705" i="7957"/>
  <c r="I182" i="1"/>
  <c r="E358" i="7957" l="1"/>
  <c r="F355" i="7957" s="1"/>
  <c r="E366" i="7957"/>
  <c r="E740" i="7957" s="1"/>
  <c r="E745" i="7957" s="1"/>
  <c r="E793" i="7957" s="1"/>
  <c r="E266" i="7957"/>
  <c r="F799" i="7957"/>
  <c r="F240" i="7957"/>
  <c r="F791" i="7957" s="1"/>
  <c r="F802" i="7957" s="1"/>
  <c r="F263" i="7957"/>
  <c r="F660" i="7957"/>
  <c r="G657" i="7957" s="1"/>
  <c r="G139" i="7957"/>
  <c r="G164" i="7957" s="1"/>
  <c r="G738" i="7957" s="1"/>
  <c r="G162" i="7957"/>
  <c r="F459" i="7957"/>
  <c r="G456" i="7957" s="1"/>
  <c r="F467" i="7957"/>
  <c r="F741" i="7957" s="1"/>
  <c r="F559" i="7957"/>
  <c r="G556" i="7957" s="1"/>
  <c r="G558" i="7957" s="1"/>
  <c r="G297" i="7957"/>
  <c r="H294" i="7957" s="1"/>
  <c r="H296" i="7957" s="1"/>
  <c r="K341" i="7957"/>
  <c r="K342" i="7957" s="1"/>
  <c r="L339" i="7957" s="1"/>
  <c r="L513" i="7957"/>
  <c r="L514" i="7957" s="1"/>
  <c r="M511" i="7957" s="1"/>
  <c r="L155" i="7957"/>
  <c r="L156" i="7957" s="1"/>
  <c r="M153" i="7957" s="1"/>
  <c r="L210" i="7957"/>
  <c r="L211" i="7957" s="1"/>
  <c r="M208" i="7957" s="1"/>
  <c r="L109" i="7957"/>
  <c r="L110" i="7957" s="1"/>
  <c r="M107" i="7957" s="1"/>
  <c r="K629" i="7957"/>
  <c r="K630" i="7957" s="1"/>
  <c r="L627" i="7957" s="1"/>
  <c r="M731" i="7957"/>
  <c r="M732" i="7957" s="1"/>
  <c r="N729" i="7957" s="1"/>
  <c r="L412" i="7957"/>
  <c r="L413" i="7957" s="1"/>
  <c r="M410" i="7957" s="1"/>
  <c r="L256" i="7957"/>
  <c r="L257" i="7957" s="1"/>
  <c r="M254" i="7957" s="1"/>
  <c r="I55" i="7957"/>
  <c r="I56" i="7957" s="1"/>
  <c r="J54" i="7957" s="1"/>
  <c r="M674" i="7957"/>
  <c r="M675" i="7957" s="1"/>
  <c r="N672" i="7957" s="1"/>
  <c r="F580" i="7957"/>
  <c r="F498" i="7957"/>
  <c r="E702" i="7957"/>
  <c r="D714" i="7957"/>
  <c r="L442" i="7957"/>
  <c r="L443" i="7957" s="1"/>
  <c r="M440" i="7957" s="1"/>
  <c r="L311" i="7957"/>
  <c r="L312" i="7957" s="1"/>
  <c r="M309" i="7957" s="1"/>
  <c r="I94" i="7957"/>
  <c r="J573" i="7957"/>
  <c r="J574" i="7957" s="1"/>
  <c r="K571" i="7957" s="1"/>
  <c r="I195" i="7957"/>
  <c r="G398" i="7957"/>
  <c r="H395" i="7957" s="1"/>
  <c r="G529" i="7957"/>
  <c r="H526" i="7957" s="1"/>
  <c r="I689" i="7957"/>
  <c r="I690" i="7957" s="1"/>
  <c r="J687" i="7957" s="1"/>
  <c r="G764" i="7957"/>
  <c r="G33" i="7957"/>
  <c r="G786" i="7957" s="1"/>
  <c r="G798" i="7957"/>
  <c r="H22" i="7957"/>
  <c r="H23" i="7957" s="1"/>
  <c r="I21" i="7957" s="1"/>
  <c r="G612" i="7957"/>
  <c r="K44" i="7957"/>
  <c r="F737" i="7957"/>
  <c r="F64" i="7957"/>
  <c r="G62" i="7957" s="1"/>
  <c r="I179" i="1"/>
  <c r="J179" i="1" s="1"/>
  <c r="E367" i="7957" l="1"/>
  <c r="F357" i="7957"/>
  <c r="F364" i="7957"/>
  <c r="G659" i="7957"/>
  <c r="G788" i="7957" s="1"/>
  <c r="G766" i="7957"/>
  <c r="G660" i="7957"/>
  <c r="H657" i="7957" s="1"/>
  <c r="F241" i="7957"/>
  <c r="G238" i="7957" s="1"/>
  <c r="F265" i="7957"/>
  <c r="F739" i="7957" s="1"/>
  <c r="G140" i="7957"/>
  <c r="H137" i="7957" s="1"/>
  <c r="H162" i="7957" s="1"/>
  <c r="H297" i="7957"/>
  <c r="I294" i="7957" s="1"/>
  <c r="G165" i="7957"/>
  <c r="G458" i="7957"/>
  <c r="G465" i="7957"/>
  <c r="G559" i="7957"/>
  <c r="H556" i="7957" s="1"/>
  <c r="H558" i="7957" s="1"/>
  <c r="F468" i="7957"/>
  <c r="M442" i="7957"/>
  <c r="M443" i="7957" s="1"/>
  <c r="N440" i="7957" s="1"/>
  <c r="I22" i="7957"/>
  <c r="I23" i="7957" s="1"/>
  <c r="J21" i="7957" s="1"/>
  <c r="M256" i="7957"/>
  <c r="M257" i="7957" s="1"/>
  <c r="N254" i="7957" s="1"/>
  <c r="M155" i="7957"/>
  <c r="M156" i="7957" s="1"/>
  <c r="N153" i="7957" s="1"/>
  <c r="L629" i="7957"/>
  <c r="L630" i="7957" s="1"/>
  <c r="M627" i="7957" s="1"/>
  <c r="M412" i="7957"/>
  <c r="M413" i="7957" s="1"/>
  <c r="N410" i="7957" s="1"/>
  <c r="J689" i="7957"/>
  <c r="J690" i="7957" s="1"/>
  <c r="K687" i="7957" s="1"/>
  <c r="N674" i="7957"/>
  <c r="N675" i="7957" s="1"/>
  <c r="O672" i="7957" s="1"/>
  <c r="N731" i="7957"/>
  <c r="N732" i="7957" s="1"/>
  <c r="O729" i="7957" s="1"/>
  <c r="L341" i="7957"/>
  <c r="L342" i="7957" s="1"/>
  <c r="M339" i="7957" s="1"/>
  <c r="G614" i="7957"/>
  <c r="G797" i="7957"/>
  <c r="H397" i="7957"/>
  <c r="K573" i="7957"/>
  <c r="K574" i="7957" s="1"/>
  <c r="L571" i="7957" s="1"/>
  <c r="K45" i="7957"/>
  <c r="L43" i="7957" s="1"/>
  <c r="L44" i="7957" s="1"/>
  <c r="M311" i="7957"/>
  <c r="M312" i="7957" s="1"/>
  <c r="N309" i="7957" s="1"/>
  <c r="E704" i="7957"/>
  <c r="E705" i="7957" s="1"/>
  <c r="E711" i="7957"/>
  <c r="E763" i="7957"/>
  <c r="F582" i="7957"/>
  <c r="F742" i="7957" s="1"/>
  <c r="J55" i="7957"/>
  <c r="J56" i="7957" s="1"/>
  <c r="K54" i="7957" s="1"/>
  <c r="M109" i="7957"/>
  <c r="M110" i="7957" s="1"/>
  <c r="N107" i="7957" s="1"/>
  <c r="M210" i="7957"/>
  <c r="M211" i="7957" s="1"/>
  <c r="N208" i="7957" s="1"/>
  <c r="M513" i="7957"/>
  <c r="M514" i="7957" s="1"/>
  <c r="N511" i="7957" s="1"/>
  <c r="G63" i="7957"/>
  <c r="G737" i="7957" s="1"/>
  <c r="F499" i="7957"/>
  <c r="G34" i="7957"/>
  <c r="H32" i="7957" s="1"/>
  <c r="H765" i="7957"/>
  <c r="H528" i="7957"/>
  <c r="H787" i="7957" s="1"/>
  <c r="I196" i="7957"/>
  <c r="J193" i="7957" s="1"/>
  <c r="I95" i="7957"/>
  <c r="J92" i="7957" s="1"/>
  <c r="H183" i="1"/>
  <c r="F358" i="7957" l="1"/>
  <c r="G355" i="7957" s="1"/>
  <c r="F366" i="7957"/>
  <c r="F740" i="7957" s="1"/>
  <c r="F745" i="7957" s="1"/>
  <c r="F793" i="7957" s="1"/>
  <c r="H139" i="7957"/>
  <c r="H164" i="7957" s="1"/>
  <c r="H738" i="7957" s="1"/>
  <c r="I296" i="7957"/>
  <c r="G240" i="7957"/>
  <c r="G263" i="7957"/>
  <c r="G769" i="7957"/>
  <c r="H659" i="7957"/>
  <c r="H788" i="7957" s="1"/>
  <c r="H766" i="7957"/>
  <c r="F266" i="7957"/>
  <c r="G799" i="7957"/>
  <c r="H559" i="7957"/>
  <c r="I556" i="7957" s="1"/>
  <c r="I558" i="7957" s="1"/>
  <c r="I559" i="7957" s="1"/>
  <c r="J556" i="7957" s="1"/>
  <c r="H529" i="7957"/>
  <c r="I526" i="7957" s="1"/>
  <c r="I765" i="7957" s="1"/>
  <c r="H798" i="7957"/>
  <c r="G459" i="7957"/>
  <c r="H456" i="7957" s="1"/>
  <c r="G467" i="7957"/>
  <c r="G741" i="7957" s="1"/>
  <c r="N311" i="7957"/>
  <c r="N312" i="7957" s="1"/>
  <c r="O309" i="7957" s="1"/>
  <c r="N412" i="7957"/>
  <c r="N413" i="7957" s="1"/>
  <c r="O410" i="7957" s="1"/>
  <c r="N256" i="7957"/>
  <c r="N257" i="7957" s="1"/>
  <c r="O254" i="7957" s="1"/>
  <c r="N210" i="7957"/>
  <c r="N211" i="7957" s="1"/>
  <c r="O208" i="7957" s="1"/>
  <c r="O731" i="7957"/>
  <c r="O732" i="7957" s="1"/>
  <c r="P729" i="7957" s="1"/>
  <c r="N442" i="7957"/>
  <c r="N443" i="7957" s="1"/>
  <c r="O440" i="7957" s="1"/>
  <c r="J94" i="7957"/>
  <c r="N513" i="7957"/>
  <c r="N514" i="7957" s="1"/>
  <c r="O511" i="7957" s="1"/>
  <c r="N109" i="7957"/>
  <c r="N110" i="7957" s="1"/>
  <c r="O107" i="7957" s="1"/>
  <c r="K55" i="7957"/>
  <c r="E713" i="7957"/>
  <c r="E785" i="7957"/>
  <c r="E796" i="7957" s="1"/>
  <c r="M341" i="7957"/>
  <c r="M342" i="7957" s="1"/>
  <c r="N339" i="7957" s="1"/>
  <c r="O674" i="7957"/>
  <c r="O675" i="7957" s="1"/>
  <c r="P672" i="7957" s="1"/>
  <c r="K689" i="7957"/>
  <c r="K690" i="7957" s="1"/>
  <c r="L687" i="7957" s="1"/>
  <c r="M629" i="7957"/>
  <c r="M630" i="7957" s="1"/>
  <c r="N627" i="7957" s="1"/>
  <c r="N155" i="7957"/>
  <c r="N156" i="7957" s="1"/>
  <c r="O153" i="7957" s="1"/>
  <c r="J22" i="7957"/>
  <c r="F702" i="7957"/>
  <c r="E714" i="7957"/>
  <c r="L573" i="7957"/>
  <c r="L574" i="7957" s="1"/>
  <c r="M571" i="7957" s="1"/>
  <c r="J195" i="7957"/>
  <c r="J196" i="7957" s="1"/>
  <c r="K193" i="7957" s="1"/>
  <c r="G64" i="7957"/>
  <c r="H62" i="7957" s="1"/>
  <c r="E771" i="7957"/>
  <c r="E804" i="7957" s="1"/>
  <c r="G496" i="7957"/>
  <c r="F583" i="7957"/>
  <c r="H764" i="7957"/>
  <c r="H33" i="7957"/>
  <c r="H34" i="7957" s="1"/>
  <c r="I32" i="7957" s="1"/>
  <c r="L45" i="7957"/>
  <c r="M43" i="7957" s="1"/>
  <c r="M44" i="7957" s="1"/>
  <c r="H398" i="7957"/>
  <c r="I395" i="7957" s="1"/>
  <c r="G615" i="7957"/>
  <c r="J71" i="1"/>
  <c r="G48" i="1"/>
  <c r="G47" i="1"/>
  <c r="H140" i="7957" l="1"/>
  <c r="I137" i="7957" s="1"/>
  <c r="F367" i="7957"/>
  <c r="G357" i="7957"/>
  <c r="G364" i="7957"/>
  <c r="I528" i="7957"/>
  <c r="I787" i="7957" s="1"/>
  <c r="I798" i="7957" s="1"/>
  <c r="I297" i="7957"/>
  <c r="J294" i="7957" s="1"/>
  <c r="J296" i="7957" s="1"/>
  <c r="H799" i="7957"/>
  <c r="H660" i="7957"/>
  <c r="I657" i="7957" s="1"/>
  <c r="I659" i="7957" s="1"/>
  <c r="H165" i="7957"/>
  <c r="G241" i="7957"/>
  <c r="H238" i="7957" s="1"/>
  <c r="G265" i="7957"/>
  <c r="G739" i="7957" s="1"/>
  <c r="G791" i="7957"/>
  <c r="G802" i="7957" s="1"/>
  <c r="G468" i="7957"/>
  <c r="H458" i="7957"/>
  <c r="H467" i="7957" s="1"/>
  <c r="H741" i="7957" s="1"/>
  <c r="H465" i="7957"/>
  <c r="I139" i="7957"/>
  <c r="I164" i="7957" s="1"/>
  <c r="I738" i="7957" s="1"/>
  <c r="I162" i="7957"/>
  <c r="P731" i="7957"/>
  <c r="P732" i="7957" s="1"/>
  <c r="Q729" i="7957" s="1"/>
  <c r="M573" i="7957"/>
  <c r="M574" i="7957" s="1"/>
  <c r="N571" i="7957" s="1"/>
  <c r="O109" i="7957"/>
  <c r="O110" i="7957" s="1"/>
  <c r="P107" i="7957" s="1"/>
  <c r="O256" i="7957"/>
  <c r="O257" i="7957" s="1"/>
  <c r="P254" i="7957" s="1"/>
  <c r="N629" i="7957"/>
  <c r="N630" i="7957" s="1"/>
  <c r="O627" i="7957" s="1"/>
  <c r="P674" i="7957"/>
  <c r="P675" i="7957" s="1"/>
  <c r="Q672" i="7957" s="1"/>
  <c r="G580" i="7957"/>
  <c r="G498" i="7957"/>
  <c r="G499" i="7957" s="1"/>
  <c r="F704" i="7957"/>
  <c r="F711" i="7957"/>
  <c r="F763" i="7957"/>
  <c r="J558" i="7957"/>
  <c r="J559" i="7957" s="1"/>
  <c r="K556" i="7957" s="1"/>
  <c r="O155" i="7957"/>
  <c r="O156" i="7957" s="1"/>
  <c r="P153" i="7957" s="1"/>
  <c r="L689" i="7957"/>
  <c r="L690" i="7957" s="1"/>
  <c r="M687" i="7957" s="1"/>
  <c r="N341" i="7957"/>
  <c r="N342" i="7957" s="1"/>
  <c r="O339" i="7957" s="1"/>
  <c r="O513" i="7957"/>
  <c r="O514" i="7957" s="1"/>
  <c r="P511" i="7957" s="1"/>
  <c r="O442" i="7957"/>
  <c r="O443" i="7957" s="1"/>
  <c r="P440" i="7957" s="1"/>
  <c r="O210" i="7957"/>
  <c r="O211" i="7957" s="1"/>
  <c r="P208" i="7957" s="1"/>
  <c r="O412" i="7957"/>
  <c r="O413" i="7957" s="1"/>
  <c r="P410" i="7957" s="1"/>
  <c r="O311" i="7957"/>
  <c r="O312" i="7957" s="1"/>
  <c r="P309" i="7957" s="1"/>
  <c r="H612" i="7957"/>
  <c r="J23" i="7957"/>
  <c r="K21" i="7957" s="1"/>
  <c r="K56" i="7957"/>
  <c r="L54" i="7957" s="1"/>
  <c r="I397" i="7957"/>
  <c r="K195" i="7957"/>
  <c r="M45" i="7957"/>
  <c r="N43" i="7957" s="1"/>
  <c r="I764" i="7957"/>
  <c r="I33" i="7957"/>
  <c r="H786" i="7957"/>
  <c r="H797" i="7957" s="1"/>
  <c r="H63" i="7957"/>
  <c r="H737" i="7957" s="1"/>
  <c r="I529" i="7957"/>
  <c r="J526" i="7957" s="1"/>
  <c r="J95" i="7957"/>
  <c r="K92" i="7957" s="1"/>
  <c r="H71" i="1"/>
  <c r="G358" i="7957" l="1"/>
  <c r="H355" i="7957" s="1"/>
  <c r="G366" i="7957"/>
  <c r="G740" i="7957" s="1"/>
  <c r="J297" i="7957"/>
  <c r="K294" i="7957" s="1"/>
  <c r="I766" i="7957"/>
  <c r="H240" i="7957"/>
  <c r="H263" i="7957"/>
  <c r="H769" i="7957"/>
  <c r="I788" i="7957"/>
  <c r="I660" i="7957"/>
  <c r="J657" i="7957" s="1"/>
  <c r="I140" i="7957"/>
  <c r="J137" i="7957" s="1"/>
  <c r="J162" i="7957" s="1"/>
  <c r="G266" i="7957"/>
  <c r="H459" i="7957"/>
  <c r="I456" i="7957" s="1"/>
  <c r="I165" i="7957"/>
  <c r="H468" i="7957"/>
  <c r="P442" i="7957"/>
  <c r="P443" i="7957" s="1"/>
  <c r="Q440" i="7957" s="1"/>
  <c r="P210" i="7957"/>
  <c r="P211" i="7957" s="1"/>
  <c r="Q208" i="7957" s="1"/>
  <c r="P155" i="7957"/>
  <c r="P156" i="7957" s="1"/>
  <c r="Q153" i="7957" s="1"/>
  <c r="Q674" i="7957"/>
  <c r="Q675" i="7957" s="1"/>
  <c r="R672" i="7957" s="1"/>
  <c r="P412" i="7957"/>
  <c r="P413" i="7957" s="1"/>
  <c r="Q410" i="7957" s="1"/>
  <c r="M689" i="7957"/>
  <c r="M690" i="7957" s="1"/>
  <c r="N687" i="7957" s="1"/>
  <c r="O629" i="7957"/>
  <c r="O630" i="7957" s="1"/>
  <c r="P627" i="7957" s="1"/>
  <c r="Q731" i="7957"/>
  <c r="Q732" i="7957" s="1"/>
  <c r="R729" i="7957" s="1"/>
  <c r="K94" i="7957"/>
  <c r="P311" i="7957"/>
  <c r="P312" i="7957" s="1"/>
  <c r="Q309" i="7957" s="1"/>
  <c r="P513" i="7957"/>
  <c r="P514" i="7957" s="1"/>
  <c r="Q511" i="7957" s="1"/>
  <c r="K558" i="7957"/>
  <c r="F771" i="7957"/>
  <c r="F804" i="7957" s="1"/>
  <c r="G582" i="7957"/>
  <c r="G742" i="7957" s="1"/>
  <c r="H614" i="7957"/>
  <c r="O341" i="7957"/>
  <c r="O342" i="7957" s="1"/>
  <c r="P339" i="7957" s="1"/>
  <c r="N44" i="7957"/>
  <c r="G583" i="7957"/>
  <c r="H496" i="7957"/>
  <c r="P256" i="7957"/>
  <c r="P257" i="7957" s="1"/>
  <c r="Q254" i="7957" s="1"/>
  <c r="P109" i="7957"/>
  <c r="P110" i="7957" s="1"/>
  <c r="Q107" i="7957" s="1"/>
  <c r="N573" i="7957"/>
  <c r="N574" i="7957" s="1"/>
  <c r="O571" i="7957" s="1"/>
  <c r="J765" i="7957"/>
  <c r="J528" i="7957"/>
  <c r="J787" i="7957" s="1"/>
  <c r="I398" i="7957"/>
  <c r="J395" i="7957" s="1"/>
  <c r="F713" i="7957"/>
  <c r="F785" i="7957"/>
  <c r="F796" i="7957" s="1"/>
  <c r="H64" i="7957"/>
  <c r="I62" i="7957" s="1"/>
  <c r="I786" i="7957"/>
  <c r="I797" i="7957" s="1"/>
  <c r="I63" i="7957"/>
  <c r="I737" i="7957" s="1"/>
  <c r="I34" i="7957"/>
  <c r="J32" i="7957" s="1"/>
  <c r="K196" i="7957"/>
  <c r="L193" i="7957" s="1"/>
  <c r="L55" i="7957"/>
  <c r="L56" i="7957" s="1"/>
  <c r="M54" i="7957" s="1"/>
  <c r="K22" i="7957"/>
  <c r="F705" i="7957"/>
  <c r="K144" i="1"/>
  <c r="I799" i="7957" l="1"/>
  <c r="G745" i="7957"/>
  <c r="G793" i="7957" s="1"/>
  <c r="J529" i="7957"/>
  <c r="K526" i="7957" s="1"/>
  <c r="K765" i="7957" s="1"/>
  <c r="J139" i="7957"/>
  <c r="J164" i="7957" s="1"/>
  <c r="J738" i="7957" s="1"/>
  <c r="H357" i="7957"/>
  <c r="H364" i="7957"/>
  <c r="K296" i="7957"/>
  <c r="G367" i="7957"/>
  <c r="J659" i="7957"/>
  <c r="J788" i="7957" s="1"/>
  <c r="J766" i="7957"/>
  <c r="H241" i="7957"/>
  <c r="I238" i="7957" s="1"/>
  <c r="H265" i="7957"/>
  <c r="H739" i="7957" s="1"/>
  <c r="H791" i="7957"/>
  <c r="H802" i="7957" s="1"/>
  <c r="J798" i="7957"/>
  <c r="I458" i="7957"/>
  <c r="I465" i="7957"/>
  <c r="K559" i="7957"/>
  <c r="L556" i="7957" s="1"/>
  <c r="L558" i="7957" s="1"/>
  <c r="Q513" i="7957"/>
  <c r="Q514" i="7957" s="1"/>
  <c r="R511" i="7957" s="1"/>
  <c r="Q412" i="7957"/>
  <c r="Q413" i="7957" s="1"/>
  <c r="R410" i="7957" s="1"/>
  <c r="Q109" i="7957"/>
  <c r="Q110" i="7957" s="1"/>
  <c r="R107" i="7957" s="1"/>
  <c r="P629" i="7957"/>
  <c r="P630" i="7957" s="1"/>
  <c r="Q627" i="7957" s="1"/>
  <c r="Q155" i="7957"/>
  <c r="Q156" i="7957" s="1"/>
  <c r="R153" i="7957" s="1"/>
  <c r="R674" i="7957"/>
  <c r="R675" i="7957" s="1"/>
  <c r="S672" i="7957" s="1"/>
  <c r="Q442" i="7957"/>
  <c r="Q443" i="7957" s="1"/>
  <c r="R440" i="7957" s="1"/>
  <c r="G702" i="7957"/>
  <c r="F714" i="7957"/>
  <c r="J764" i="7957"/>
  <c r="J33" i="7957"/>
  <c r="J34" i="7957" s="1"/>
  <c r="K32" i="7957" s="1"/>
  <c r="L195" i="7957"/>
  <c r="O573" i="7957"/>
  <c r="O574" i="7957" s="1"/>
  <c r="P571" i="7957" s="1"/>
  <c r="Q256" i="7957"/>
  <c r="Q257" i="7957" s="1"/>
  <c r="R254" i="7957" s="1"/>
  <c r="M55" i="7957"/>
  <c r="M56" i="7957" s="1"/>
  <c r="N54" i="7957" s="1"/>
  <c r="K528" i="7957"/>
  <c r="K787" i="7957" s="1"/>
  <c r="H580" i="7957"/>
  <c r="H498" i="7957"/>
  <c r="P341" i="7957"/>
  <c r="P342" i="7957" s="1"/>
  <c r="Q339" i="7957" s="1"/>
  <c r="Q311" i="7957"/>
  <c r="Q312" i="7957" s="1"/>
  <c r="R309" i="7957" s="1"/>
  <c r="R731" i="7957"/>
  <c r="R732" i="7957" s="1"/>
  <c r="S729" i="7957" s="1"/>
  <c r="N689" i="7957"/>
  <c r="N690" i="7957" s="1"/>
  <c r="O687" i="7957" s="1"/>
  <c r="Q210" i="7957"/>
  <c r="Q211" i="7957" s="1"/>
  <c r="R208" i="7957" s="1"/>
  <c r="K95" i="7957"/>
  <c r="L92" i="7957" s="1"/>
  <c r="I64" i="7957"/>
  <c r="J62" i="7957" s="1"/>
  <c r="J397" i="7957"/>
  <c r="J398" i="7957" s="1"/>
  <c r="K395" i="7957" s="1"/>
  <c r="K23" i="7957"/>
  <c r="L21" i="7957" s="1"/>
  <c r="H615" i="7957"/>
  <c r="N45" i="7957"/>
  <c r="O43" i="7957" s="1"/>
  <c r="O44" i="7957" s="1"/>
  <c r="L71" i="1"/>
  <c r="F5" i="1"/>
  <c r="J165" i="7957" l="1"/>
  <c r="J140" i="7957"/>
  <c r="K137" i="7957" s="1"/>
  <c r="K139" i="7957" s="1"/>
  <c r="K297" i="7957"/>
  <c r="L294" i="7957" s="1"/>
  <c r="H358" i="7957"/>
  <c r="I355" i="7957" s="1"/>
  <c r="H366" i="7957"/>
  <c r="H740" i="7957" s="1"/>
  <c r="K529" i="7957"/>
  <c r="L526" i="7957" s="1"/>
  <c r="L528" i="7957" s="1"/>
  <c r="L787" i="7957" s="1"/>
  <c r="K798" i="7957"/>
  <c r="J799" i="7957"/>
  <c r="J660" i="7957"/>
  <c r="K657" i="7957" s="1"/>
  <c r="K659" i="7957" s="1"/>
  <c r="I240" i="7957"/>
  <c r="I263" i="7957"/>
  <c r="I769" i="7957"/>
  <c r="K766" i="7957"/>
  <c r="H266" i="7957"/>
  <c r="I459" i="7957"/>
  <c r="J456" i="7957" s="1"/>
  <c r="I467" i="7957"/>
  <c r="I741" i="7957" s="1"/>
  <c r="L559" i="7957"/>
  <c r="M556" i="7957" s="1"/>
  <c r="M558" i="7957" s="1"/>
  <c r="M559" i="7957" s="1"/>
  <c r="N556" i="7957" s="1"/>
  <c r="R109" i="7957"/>
  <c r="R110" i="7957" s="1"/>
  <c r="S107" i="7957" s="1"/>
  <c r="O689" i="7957"/>
  <c r="O690" i="7957" s="1"/>
  <c r="P687" i="7957" s="1"/>
  <c r="R311" i="7957"/>
  <c r="R312" i="7957" s="1"/>
  <c r="S309" i="7957" s="1"/>
  <c r="K764" i="7957"/>
  <c r="K33" i="7957"/>
  <c r="K34" i="7957" s="1"/>
  <c r="L32" i="7957" s="1"/>
  <c r="O45" i="7957"/>
  <c r="P43" i="7957" s="1"/>
  <c r="P44" i="7957" s="1"/>
  <c r="Q341" i="7957"/>
  <c r="Q342" i="7957" s="1"/>
  <c r="R339" i="7957" s="1"/>
  <c r="H582" i="7957"/>
  <c r="H742" i="7957" s="1"/>
  <c r="H745" i="7957" s="1"/>
  <c r="H793" i="7957" s="1"/>
  <c r="R442" i="7957"/>
  <c r="R443" i="7957" s="1"/>
  <c r="S440" i="7957" s="1"/>
  <c r="S768" i="7957"/>
  <c r="S674" i="7957"/>
  <c r="S790" i="7957" s="1"/>
  <c r="R155" i="7957"/>
  <c r="R156" i="7957" s="1"/>
  <c r="S153" i="7957" s="1"/>
  <c r="Q629" i="7957"/>
  <c r="Q630" i="7957" s="1"/>
  <c r="R627" i="7957" s="1"/>
  <c r="R412" i="7957"/>
  <c r="R413" i="7957" s="1"/>
  <c r="S410" i="7957" s="1"/>
  <c r="R513" i="7957"/>
  <c r="R514" i="7957" s="1"/>
  <c r="S511" i="7957" s="1"/>
  <c r="P573" i="7957"/>
  <c r="P574" i="7957" s="1"/>
  <c r="Q571" i="7957" s="1"/>
  <c r="K397" i="7957"/>
  <c r="K398" i="7957" s="1"/>
  <c r="L395" i="7957" s="1"/>
  <c r="R210" i="7957"/>
  <c r="R211" i="7957" s="1"/>
  <c r="S208" i="7957" s="1"/>
  <c r="S770" i="7957"/>
  <c r="S803" i="7957" s="1"/>
  <c r="S732" i="7957"/>
  <c r="T729" i="7957" s="1"/>
  <c r="N55" i="7957"/>
  <c r="N56" i="7957" s="1"/>
  <c r="O54" i="7957" s="1"/>
  <c r="R256" i="7957"/>
  <c r="R257" i="7957" s="1"/>
  <c r="S254" i="7957" s="1"/>
  <c r="I612" i="7957"/>
  <c r="L22" i="7957"/>
  <c r="L94" i="7957"/>
  <c r="H499" i="7957"/>
  <c r="L196" i="7957"/>
  <c r="M193" i="7957" s="1"/>
  <c r="J786" i="7957"/>
  <c r="J797" i="7957" s="1"/>
  <c r="J63" i="7957"/>
  <c r="J737" i="7957" s="1"/>
  <c r="G704" i="7957"/>
  <c r="G711" i="7957"/>
  <c r="G763" i="7957"/>
  <c r="F41" i="1"/>
  <c r="H40" i="1"/>
  <c r="I40" i="1" s="1"/>
  <c r="J40" i="1" s="1"/>
  <c r="K40" i="1" s="1"/>
  <c r="L40" i="1" s="1"/>
  <c r="M40" i="1" s="1"/>
  <c r="N40" i="1" s="1"/>
  <c r="O40" i="1" s="1"/>
  <c r="P40" i="1" s="1"/>
  <c r="Q40" i="1" s="1"/>
  <c r="H367" i="7957" l="1"/>
  <c r="K162" i="7957"/>
  <c r="L765" i="7957"/>
  <c r="L798" i="7957" s="1"/>
  <c r="K140" i="7957"/>
  <c r="L137" i="7957" s="1"/>
  <c r="K164" i="7957"/>
  <c r="K738" i="7957" s="1"/>
  <c r="L296" i="7957"/>
  <c r="I357" i="7957"/>
  <c r="I364" i="7957"/>
  <c r="G40" i="1"/>
  <c r="I468" i="7957"/>
  <c r="S801" i="7957"/>
  <c r="K788" i="7957"/>
  <c r="K799" i="7957" s="1"/>
  <c r="K660" i="7957"/>
  <c r="L657" i="7957" s="1"/>
  <c r="I241" i="7957"/>
  <c r="J238" i="7957" s="1"/>
  <c r="I265" i="7957"/>
  <c r="I739" i="7957" s="1"/>
  <c r="I791" i="7957"/>
  <c r="I802" i="7957" s="1"/>
  <c r="J458" i="7957"/>
  <c r="J467" i="7957" s="1"/>
  <c r="J741" i="7957" s="1"/>
  <c r="J465" i="7957"/>
  <c r="S675" i="7957"/>
  <c r="T672" i="7957" s="1"/>
  <c r="T768" i="7957" s="1"/>
  <c r="S210" i="7957"/>
  <c r="S211" i="7957" s="1"/>
  <c r="T208" i="7957" s="1"/>
  <c r="Q573" i="7957"/>
  <c r="Q574" i="7957" s="1"/>
  <c r="R571" i="7957" s="1"/>
  <c r="R341" i="7957"/>
  <c r="R342" i="7957" s="1"/>
  <c r="S339" i="7957" s="1"/>
  <c r="L397" i="7957"/>
  <c r="S442" i="7957"/>
  <c r="S443" i="7957" s="1"/>
  <c r="T440" i="7957" s="1"/>
  <c r="S109" i="7957"/>
  <c r="S110" i="7957" s="1"/>
  <c r="T107" i="7957" s="1"/>
  <c r="R629" i="7957"/>
  <c r="R630" i="7957" s="1"/>
  <c r="S627" i="7957" s="1"/>
  <c r="S630" i="7957" s="1"/>
  <c r="T627" i="7957" s="1"/>
  <c r="T630" i="7957" s="1"/>
  <c r="U627" i="7957" s="1"/>
  <c r="U630" i="7957" s="1"/>
  <c r="V627" i="7957" s="1"/>
  <c r="V630" i="7957" s="1"/>
  <c r="W627" i="7957" s="1"/>
  <c r="W630" i="7957" s="1"/>
  <c r="O55" i="7957"/>
  <c r="S513" i="7957"/>
  <c r="S514" i="7957" s="1"/>
  <c r="T511" i="7957" s="1"/>
  <c r="H583" i="7957"/>
  <c r="I496" i="7957"/>
  <c r="I614" i="7957"/>
  <c r="I615" i="7957" s="1"/>
  <c r="S155" i="7957"/>
  <c r="S156" i="7957" s="1"/>
  <c r="T153" i="7957" s="1"/>
  <c r="L764" i="7957"/>
  <c r="L33" i="7957"/>
  <c r="L786" i="7957" s="1"/>
  <c r="S311" i="7957"/>
  <c r="S312" i="7957" s="1"/>
  <c r="T309" i="7957" s="1"/>
  <c r="M195" i="7957"/>
  <c r="T770" i="7957"/>
  <c r="T803" i="7957" s="1"/>
  <c r="T732" i="7957"/>
  <c r="U729" i="7957" s="1"/>
  <c r="L529" i="7957"/>
  <c r="M526" i="7957" s="1"/>
  <c r="N558" i="7957"/>
  <c r="N559" i="7957" s="1"/>
  <c r="O556" i="7957" s="1"/>
  <c r="P689" i="7957"/>
  <c r="P690" i="7957" s="1"/>
  <c r="Q687" i="7957" s="1"/>
  <c r="G771" i="7957"/>
  <c r="G804" i="7957" s="1"/>
  <c r="S412" i="7957"/>
  <c r="S413" i="7957" s="1"/>
  <c r="T410" i="7957" s="1"/>
  <c r="G713" i="7957"/>
  <c r="G785" i="7957"/>
  <c r="G796" i="7957" s="1"/>
  <c r="G705" i="7957"/>
  <c r="L95" i="7957"/>
  <c r="M92" i="7957" s="1"/>
  <c r="L23" i="7957"/>
  <c r="M21" i="7957" s="1"/>
  <c r="J64" i="7957"/>
  <c r="K62" i="7957" s="1"/>
  <c r="K786" i="7957"/>
  <c r="K797" i="7957" s="1"/>
  <c r="K63" i="7957"/>
  <c r="K737" i="7957" s="1"/>
  <c r="S256" i="7957"/>
  <c r="S257" i="7957" s="1"/>
  <c r="T254" i="7957" s="1"/>
  <c r="P45" i="7957"/>
  <c r="Q43" i="7957" s="1"/>
  <c r="T674" i="7957" l="1"/>
  <c r="T790" i="7957" s="1"/>
  <c r="T801" i="7957" s="1"/>
  <c r="L139" i="7957"/>
  <c r="L162" i="7957"/>
  <c r="K165" i="7957"/>
  <c r="I358" i="7957"/>
  <c r="J355" i="7957" s="1"/>
  <c r="I366" i="7957"/>
  <c r="I740" i="7957" s="1"/>
  <c r="L297" i="7957"/>
  <c r="M294" i="7957" s="1"/>
  <c r="M296" i="7957" s="1"/>
  <c r="L63" i="7957"/>
  <c r="L737" i="7957" s="1"/>
  <c r="J468" i="7957"/>
  <c r="J459" i="7957"/>
  <c r="K456" i="7957" s="1"/>
  <c r="K458" i="7957" s="1"/>
  <c r="L34" i="7957"/>
  <c r="M32" i="7957" s="1"/>
  <c r="M764" i="7957" s="1"/>
  <c r="L659" i="7957"/>
  <c r="L788" i="7957" s="1"/>
  <c r="L766" i="7957"/>
  <c r="J240" i="7957"/>
  <c r="J263" i="7957"/>
  <c r="J769" i="7957"/>
  <c r="I266" i="7957"/>
  <c r="L797" i="7957"/>
  <c r="T442" i="7957"/>
  <c r="T443" i="7957" s="1"/>
  <c r="U440" i="7957" s="1"/>
  <c r="T256" i="7957"/>
  <c r="T257" i="7957" s="1"/>
  <c r="U254" i="7957" s="1"/>
  <c r="T311" i="7957"/>
  <c r="T312" i="7957" s="1"/>
  <c r="U309" i="7957" s="1"/>
  <c r="T412" i="7957"/>
  <c r="T413" i="7957" s="1"/>
  <c r="U410" i="7957" s="1"/>
  <c r="T155" i="7957"/>
  <c r="T156" i="7957" s="1"/>
  <c r="U153" i="7957" s="1"/>
  <c r="T109" i="7957"/>
  <c r="T110" i="7957" s="1"/>
  <c r="U107" i="7957" s="1"/>
  <c r="R573" i="7957"/>
  <c r="R574" i="7957" s="1"/>
  <c r="S571" i="7957" s="1"/>
  <c r="T513" i="7957"/>
  <c r="T514" i="7957" s="1"/>
  <c r="U511" i="7957" s="1"/>
  <c r="Q689" i="7957"/>
  <c r="Q690" i="7957" s="1"/>
  <c r="R687" i="7957" s="1"/>
  <c r="T210" i="7957"/>
  <c r="T211" i="7957" s="1"/>
  <c r="U208" i="7957" s="1"/>
  <c r="K64" i="7957"/>
  <c r="L62" i="7957" s="1"/>
  <c r="H702" i="7957"/>
  <c r="G714" i="7957"/>
  <c r="U770" i="7957"/>
  <c r="U803" i="7957" s="1"/>
  <c r="U732" i="7957"/>
  <c r="V729" i="7957" s="1"/>
  <c r="L398" i="7957"/>
  <c r="M395" i="7957" s="1"/>
  <c r="O558" i="7957"/>
  <c r="O559" i="7957" s="1"/>
  <c r="P556" i="7957" s="1"/>
  <c r="O56" i="7957"/>
  <c r="P54" i="7957" s="1"/>
  <c r="M22" i="7957"/>
  <c r="J612" i="7957"/>
  <c r="M94" i="7957"/>
  <c r="M765" i="7957"/>
  <c r="M528" i="7957"/>
  <c r="M787" i="7957" s="1"/>
  <c r="Q44" i="7957"/>
  <c r="M196" i="7957"/>
  <c r="N193" i="7957" s="1"/>
  <c r="M33" i="7957"/>
  <c r="M786" i="7957" s="1"/>
  <c r="I580" i="7957"/>
  <c r="I498" i="7957"/>
  <c r="I499" i="7957" s="1"/>
  <c r="S341" i="7957"/>
  <c r="S342" i="7957" s="1"/>
  <c r="T339" i="7957" s="1"/>
  <c r="S37" i="1"/>
  <c r="M297" i="7957" l="1"/>
  <c r="N294" i="7957" s="1"/>
  <c r="N296" i="7957" s="1"/>
  <c r="L64" i="7957"/>
  <c r="M62" i="7957" s="1"/>
  <c r="T675" i="7957"/>
  <c r="U672" i="7957" s="1"/>
  <c r="K465" i="7957"/>
  <c r="L140" i="7957"/>
  <c r="M137" i="7957" s="1"/>
  <c r="L164" i="7957"/>
  <c r="L738" i="7957" s="1"/>
  <c r="J357" i="7957"/>
  <c r="J364" i="7957"/>
  <c r="L799" i="7957"/>
  <c r="I367" i="7957"/>
  <c r="L660" i="7957"/>
  <c r="M657" i="7957" s="1"/>
  <c r="M797" i="7957"/>
  <c r="J241" i="7957"/>
  <c r="K238" i="7957" s="1"/>
  <c r="J265" i="7957"/>
  <c r="J739" i="7957" s="1"/>
  <c r="J791" i="7957"/>
  <c r="J802" i="7957" s="1"/>
  <c r="M95" i="7957"/>
  <c r="N92" i="7957" s="1"/>
  <c r="K459" i="7957"/>
  <c r="L456" i="7957" s="1"/>
  <c r="K467" i="7957"/>
  <c r="I583" i="7957"/>
  <c r="J496" i="7957"/>
  <c r="U210" i="7957"/>
  <c r="U211" i="7957" s="1"/>
  <c r="V208" i="7957" s="1"/>
  <c r="U513" i="7957"/>
  <c r="U514" i="7957" s="1"/>
  <c r="V511" i="7957" s="1"/>
  <c r="U256" i="7957"/>
  <c r="U257" i="7957" s="1"/>
  <c r="V254" i="7957" s="1"/>
  <c r="U311" i="7957"/>
  <c r="U312" i="7957" s="1"/>
  <c r="V309" i="7957" s="1"/>
  <c r="T341" i="7957"/>
  <c r="T342" i="7957" s="1"/>
  <c r="U339" i="7957" s="1"/>
  <c r="U155" i="7957"/>
  <c r="U156" i="7957" s="1"/>
  <c r="V153" i="7957" s="1"/>
  <c r="U442" i="7957"/>
  <c r="U443" i="7957" s="1"/>
  <c r="V440" i="7957" s="1"/>
  <c r="P55" i="7957"/>
  <c r="P56" i="7957" s="1"/>
  <c r="Q54" i="7957" s="1"/>
  <c r="S573" i="7957"/>
  <c r="S574" i="7957" s="1"/>
  <c r="T571" i="7957" s="1"/>
  <c r="N195" i="7957"/>
  <c r="M34" i="7957"/>
  <c r="N32" i="7957" s="1"/>
  <c r="N297" i="7957"/>
  <c r="O294" i="7957" s="1"/>
  <c r="M397" i="7957"/>
  <c r="M398" i="7957" s="1"/>
  <c r="N395" i="7957" s="1"/>
  <c r="V770" i="7957"/>
  <c r="V803" i="7957" s="1"/>
  <c r="V732" i="7957"/>
  <c r="W729" i="7957" s="1"/>
  <c r="P558" i="7957"/>
  <c r="P559" i="7957" s="1"/>
  <c r="Q556" i="7957" s="1"/>
  <c r="U109" i="7957"/>
  <c r="U110" i="7957" s="1"/>
  <c r="V107" i="7957" s="1"/>
  <c r="U412" i="7957"/>
  <c r="U413" i="7957" s="1"/>
  <c r="V410" i="7957" s="1"/>
  <c r="M529" i="7957"/>
  <c r="N526" i="7957" s="1"/>
  <c r="N94" i="7957"/>
  <c r="J614" i="7957"/>
  <c r="M63" i="7957"/>
  <c r="M737" i="7957" s="1"/>
  <c r="Q45" i="7957"/>
  <c r="R43" i="7957" s="1"/>
  <c r="R44" i="7957" s="1"/>
  <c r="U768" i="7957"/>
  <c r="U674" i="7957"/>
  <c r="U790" i="7957" s="1"/>
  <c r="R689" i="7957"/>
  <c r="R690" i="7957" s="1"/>
  <c r="S687" i="7957" s="1"/>
  <c r="S690" i="7957" s="1"/>
  <c r="T687" i="7957" s="1"/>
  <c r="T690" i="7957" s="1"/>
  <c r="U687" i="7957" s="1"/>
  <c r="U690" i="7957" s="1"/>
  <c r="V687" i="7957" s="1"/>
  <c r="V690" i="7957" s="1"/>
  <c r="W687" i="7957" s="1"/>
  <c r="W690" i="7957" s="1"/>
  <c r="I582" i="7957"/>
  <c r="I742" i="7957" s="1"/>
  <c r="I745" i="7957" s="1"/>
  <c r="I793" i="7957" s="1"/>
  <c r="M798" i="7957"/>
  <c r="M23" i="7957"/>
  <c r="N21" i="7957" s="1"/>
  <c r="H704" i="7957"/>
  <c r="H705" i="7957" s="1"/>
  <c r="H711" i="7957"/>
  <c r="H763" i="7957"/>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U26" i="7955" s="1"/>
  <c r="C80" i="7955"/>
  <c r="D79" i="7955"/>
  <c r="D78" i="7955"/>
  <c r="D77" i="7955"/>
  <c r="D76" i="7955"/>
  <c r="D75" i="7955"/>
  <c r="D74" i="7955"/>
  <c r="D73" i="7955"/>
  <c r="D72" i="7955"/>
  <c r="D71" i="7955"/>
  <c r="D70" i="7955"/>
  <c r="D69" i="7955"/>
  <c r="B67" i="7955"/>
  <c r="U25" i="7955" s="1"/>
  <c r="C65" i="7955"/>
  <c r="D64" i="7955"/>
  <c r="D63" i="7955"/>
  <c r="D62" i="7955"/>
  <c r="D61" i="7955"/>
  <c r="D60" i="7955"/>
  <c r="D59" i="7955"/>
  <c r="D58" i="7955"/>
  <c r="D57" i="7955"/>
  <c r="D56" i="7955"/>
  <c r="D55" i="7955"/>
  <c r="D54" i="7955"/>
  <c r="B52" i="7955"/>
  <c r="U24" i="7955" s="1"/>
  <c r="C50" i="7955"/>
  <c r="D49" i="7955"/>
  <c r="D48" i="7955"/>
  <c r="D47" i="7955"/>
  <c r="D46" i="7955"/>
  <c r="D45" i="7955"/>
  <c r="D44" i="7955"/>
  <c r="D43" i="7955"/>
  <c r="D42" i="7955"/>
  <c r="D41" i="7955"/>
  <c r="D40" i="7955"/>
  <c r="D39" i="7955"/>
  <c r="B37" i="7955"/>
  <c r="U23" i="7955" s="1"/>
  <c r="C35" i="7955"/>
  <c r="D34" i="7955"/>
  <c r="D33" i="7955"/>
  <c r="D32" i="7955"/>
  <c r="D31" i="7955"/>
  <c r="D30" i="7955"/>
  <c r="D29" i="7955"/>
  <c r="D28" i="7955"/>
  <c r="D27" i="7955"/>
  <c r="D26" i="7955"/>
  <c r="D25" i="7955"/>
  <c r="D24" i="7955"/>
  <c r="B22" i="7955"/>
  <c r="U22" i="7955" s="1"/>
  <c r="C20" i="7955"/>
  <c r="B7" i="7955"/>
  <c r="U21" i="7955" s="1"/>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K14" i="7955" s="1"/>
  <c r="M40" i="7944"/>
  <c r="J15" i="7955" s="1"/>
  <c r="K15" i="7955" s="1"/>
  <c r="N40" i="7944"/>
  <c r="J16" i="7955" s="1"/>
  <c r="K16" i="7955" s="1"/>
  <c r="O40" i="7944"/>
  <c r="J17" i="7955" s="1"/>
  <c r="K17" i="7955" s="1"/>
  <c r="P40" i="7944"/>
  <c r="J18" i="7955" s="1"/>
  <c r="K18" i="7955" s="1"/>
  <c r="Q40" i="7944"/>
  <c r="J19" i="7955"/>
  <c r="K19" i="7955" s="1"/>
  <c r="C41" i="7944"/>
  <c r="G41" i="7944"/>
  <c r="H41" i="7944"/>
  <c r="I41" i="7944"/>
  <c r="J41" i="7944"/>
  <c r="L41" i="7944"/>
  <c r="J29" i="7955" s="1"/>
  <c r="K29" i="7955" s="1"/>
  <c r="M41" i="7944"/>
  <c r="J30" i="7955"/>
  <c r="K30" i="7955" s="1"/>
  <c r="N41" i="7944"/>
  <c r="J31" i="7955" s="1"/>
  <c r="K31" i="7955" s="1"/>
  <c r="O41" i="7944"/>
  <c r="J32" i="7955" s="1"/>
  <c r="K32" i="7955" s="1"/>
  <c r="P41" i="7944"/>
  <c r="J33" i="7955"/>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c r="K60" i="7955" s="1"/>
  <c r="N43" i="7944"/>
  <c r="J61" i="7955" s="1"/>
  <c r="K61" i="7955" s="1"/>
  <c r="O43" i="7944"/>
  <c r="J62" i="7955" s="1"/>
  <c r="K62" i="7955" s="1"/>
  <c r="P43" i="7944"/>
  <c r="J63" i="7955"/>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s="1"/>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s="1"/>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s="1"/>
  <c r="K240" i="7955" s="1"/>
  <c r="N55" i="7944"/>
  <c r="J241" i="7955" s="1"/>
  <c r="K241" i="7955" s="1"/>
  <c r="O55" i="7944"/>
  <c r="J242" i="7955" s="1"/>
  <c r="K242" i="7955" s="1"/>
  <c r="P55" i="7944"/>
  <c r="J243" i="7955" s="1"/>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s="1"/>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s="1"/>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s="1"/>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s="1"/>
  <c r="K404" i="7955" s="1"/>
  <c r="M66" i="7944"/>
  <c r="J405" i="7955" s="1"/>
  <c r="K405" i="7955" s="1"/>
  <c r="N66" i="7944"/>
  <c r="J406" i="7955" s="1"/>
  <c r="K406" i="7955" s="1"/>
  <c r="O66" i="7944"/>
  <c r="J407" i="7955" s="1"/>
  <c r="K407" i="7955" s="1"/>
  <c r="P66" i="7944"/>
  <c r="J408" i="7955"/>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s="1"/>
  <c r="K424" i="7955" s="1"/>
  <c r="C68" i="7944"/>
  <c r="G68" i="7944"/>
  <c r="H68" i="7944"/>
  <c r="I68" i="7944"/>
  <c r="J68" i="7944"/>
  <c r="K68" i="7944"/>
  <c r="L68" i="7944"/>
  <c r="J434" i="7955" s="1"/>
  <c r="K434" i="7955" s="1"/>
  <c r="M68" i="7944"/>
  <c r="J435" i="7955"/>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H34"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G444" i="18"/>
  <c r="D445" i="18"/>
  <c r="G445" i="18"/>
  <c r="G14" i="7941" s="1"/>
  <c r="D446" i="18"/>
  <c r="G446" i="18"/>
  <c r="G15" i="7941"/>
  <c r="D447" i="18"/>
  <c r="G447" i="18"/>
  <c r="D448" i="18"/>
  <c r="G448" i="18"/>
  <c r="G17" i="7941" s="1"/>
  <c r="D449" i="18"/>
  <c r="G449" i="18"/>
  <c r="G18" i="7941" s="1"/>
  <c r="D450" i="18"/>
  <c r="G450" i="18"/>
  <c r="G19" i="7941" s="1"/>
  <c r="D451" i="18"/>
  <c r="G451" i="18"/>
  <c r="D452" i="18"/>
  <c r="G452" i="18"/>
  <c r="G21" i="7941"/>
  <c r="D453" i="18"/>
  <c r="G453" i="18"/>
  <c r="G22" i="7941" s="1"/>
  <c r="D454" i="18"/>
  <c r="G454" i="18"/>
  <c r="D455" i="18"/>
  <c r="G455" i="18"/>
  <c r="G24" i="7941" s="1"/>
  <c r="D456" i="18"/>
  <c r="G456" i="18"/>
  <c r="G25" i="7941" s="1"/>
  <c r="D457" i="18"/>
  <c r="G457" i="18"/>
  <c r="G26" i="7941" s="1"/>
  <c r="D458" i="18"/>
  <c r="G458" i="18"/>
  <c r="G27" i="7941" s="1"/>
  <c r="D459" i="18"/>
  <c r="G459" i="18"/>
  <c r="G28" i="7941"/>
  <c r="D460" i="18"/>
  <c r="G460" i="18"/>
  <c r="G29" i="7941" s="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C13" i="7942"/>
  <c r="C14" i="7942"/>
  <c r="C15" i="7942"/>
  <c r="C16" i="7942"/>
  <c r="C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G243" i="7942" s="1"/>
  <c r="C180" i="7942"/>
  <c r="G180" i="7942"/>
  <c r="C181" i="7942"/>
  <c r="G181" i="7942"/>
  <c r="C182" i="7942"/>
  <c r="G182" i="7942"/>
  <c r="C183" i="7942"/>
  <c r="G183" i="7942"/>
  <c r="G247" i="7942" s="1"/>
  <c r="C184" i="7942"/>
  <c r="G184" i="7942"/>
  <c r="C185" i="7942"/>
  <c r="G185" i="7942"/>
  <c r="C186" i="7942"/>
  <c r="G186" i="7942"/>
  <c r="C187" i="7942"/>
  <c r="G187" i="7942"/>
  <c r="C188" i="7942"/>
  <c r="G188" i="7942"/>
  <c r="C189" i="7942"/>
  <c r="G189" i="7942"/>
  <c r="C190" i="7942"/>
  <c r="G190" i="7942"/>
  <c r="C191" i="7942"/>
  <c r="G191" i="7942"/>
  <c r="G255" i="7942" s="1"/>
  <c r="C192" i="7942"/>
  <c r="G192" i="7942"/>
  <c r="C193" i="7942"/>
  <c r="G193" i="7942"/>
  <c r="C194" i="7942"/>
  <c r="G194" i="7942"/>
  <c r="C195" i="7942"/>
  <c r="G195" i="7942"/>
  <c r="G259" i="7942" s="1"/>
  <c r="C196" i="7942"/>
  <c r="G196" i="7942"/>
  <c r="C197" i="7942"/>
  <c r="G197" i="7942"/>
  <c r="C198" i="7942"/>
  <c r="G198" i="7942"/>
  <c r="C199" i="7942"/>
  <c r="G199" i="7942"/>
  <c r="G263" i="7942" s="1"/>
  <c r="C200" i="7942"/>
  <c r="G200" i="7942"/>
  <c r="C201" i="7942"/>
  <c r="G201" i="7942"/>
  <c r="C202" i="7942"/>
  <c r="G202" i="7942"/>
  <c r="C205" i="7942"/>
  <c r="G205" i="7942"/>
  <c r="C206" i="7942"/>
  <c r="G206" i="7942"/>
  <c r="G238" i="7942" s="1"/>
  <c r="C207" i="7942"/>
  <c r="G207" i="7942"/>
  <c r="C208" i="7942"/>
  <c r="G208" i="7942"/>
  <c r="C209" i="7942"/>
  <c r="G209" i="7942"/>
  <c r="C210" i="7942"/>
  <c r="G210" i="7942"/>
  <c r="G242" i="7942"/>
  <c r="C211" i="7942"/>
  <c r="G211" i="7942"/>
  <c r="C212" i="7942"/>
  <c r="G212" i="7942"/>
  <c r="G244" i="7942" s="1"/>
  <c r="C213" i="7942"/>
  <c r="G213" i="7942"/>
  <c r="C214" i="7942"/>
  <c r="G214" i="7942"/>
  <c r="G246" i="7942" s="1"/>
  <c r="C215" i="7942"/>
  <c r="G215" i="7942"/>
  <c r="C216" i="7942"/>
  <c r="G216" i="7942"/>
  <c r="G248" i="7942" s="1"/>
  <c r="C217" i="7942"/>
  <c r="G217" i="7942"/>
  <c r="C218" i="7942"/>
  <c r="G218" i="7942"/>
  <c r="G250" i="7942" s="1"/>
  <c r="C219" i="7942"/>
  <c r="G219" i="7942"/>
  <c r="C220" i="7942"/>
  <c r="G220" i="7942"/>
  <c r="G252" i="7942" s="1"/>
  <c r="C221" i="7942"/>
  <c r="G221" i="7942"/>
  <c r="C222" i="7942"/>
  <c r="G222" i="7942"/>
  <c r="G254" i="7942" s="1"/>
  <c r="C223" i="7942"/>
  <c r="G223" i="7942"/>
  <c r="C224" i="7942"/>
  <c r="G224" i="7942"/>
  <c r="C225" i="7942"/>
  <c r="G225" i="7942"/>
  <c r="C226" i="7942"/>
  <c r="G226" i="7942"/>
  <c r="G258" i="7942"/>
  <c r="C227" i="7942"/>
  <c r="G227" i="7942"/>
  <c r="C228" i="7942"/>
  <c r="G228" i="7942"/>
  <c r="G260" i="7942" s="1"/>
  <c r="C229" i="7942"/>
  <c r="G229" i="7942"/>
  <c r="C230" i="7942"/>
  <c r="G230" i="7942"/>
  <c r="G262" i="7942" s="1"/>
  <c r="C231" i="7942"/>
  <c r="G231" i="7942"/>
  <c r="C232" i="7942"/>
  <c r="G232" i="7942"/>
  <c r="G264" i="7942" s="1"/>
  <c r="C233" i="7942"/>
  <c r="G233" i="7942"/>
  <c r="C234" i="7942"/>
  <c r="G234" i="7942"/>
  <c r="G266" i="7942" s="1"/>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G340" i="7942"/>
  <c r="C341" i="7942"/>
  <c r="G341" i="7942"/>
  <c r="C342" i="7942"/>
  <c r="G342" i="7942"/>
  <c r="C343" i="7942"/>
  <c r="G343" i="7942"/>
  <c r="C344" i="7942"/>
  <c r="G344" i="7942"/>
  <c r="C345" i="7942"/>
  <c r="G345" i="7942"/>
  <c r="C346" i="7942"/>
  <c r="G346" i="7942"/>
  <c r="H346" i="7942" s="1"/>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C367" i="7942"/>
  <c r="C368" i="7942"/>
  <c r="C369" i="7942"/>
  <c r="C370" i="7942"/>
  <c r="C371" i="7942"/>
  <c r="C372" i="7942"/>
  <c r="G372" i="7942"/>
  <c r="G476" i="18" s="1"/>
  <c r="G45" i="7941" s="1"/>
  <c r="C373" i="7942"/>
  <c r="G373" i="7942"/>
  <c r="G477" i="18" s="1"/>
  <c r="C374" i="7942"/>
  <c r="G374" i="7942"/>
  <c r="G478" i="18" s="1"/>
  <c r="C375" i="7942"/>
  <c r="G375" i="7942"/>
  <c r="G479" i="18" s="1"/>
  <c r="G48" i="7941" s="1"/>
  <c r="C376" i="7942"/>
  <c r="G376" i="7942"/>
  <c r="C377" i="7942"/>
  <c r="G377" i="7942"/>
  <c r="G481" i="18" s="1"/>
  <c r="G50" i="7941" s="1"/>
  <c r="C378" i="7942"/>
  <c r="G378" i="7942"/>
  <c r="G482" i="18" s="1"/>
  <c r="C379" i="7942"/>
  <c r="G379" i="7942"/>
  <c r="G483" i="18"/>
  <c r="G52" i="7941" s="1"/>
  <c r="C380" i="7942"/>
  <c r="G380" i="7942"/>
  <c r="G484" i="18" s="1"/>
  <c r="G53" i="7941" s="1"/>
  <c r="C381" i="7942"/>
  <c r="G381" i="7942"/>
  <c r="G485" i="18" s="1"/>
  <c r="C382" i="7942"/>
  <c r="G382" i="7942"/>
  <c r="G486" i="18" s="1"/>
  <c r="G55" i="7941" s="1"/>
  <c r="C383" i="7942"/>
  <c r="G383" i="7942"/>
  <c r="G487" i="18"/>
  <c r="G56" i="7941" s="1"/>
  <c r="C384" i="7942"/>
  <c r="G384" i="7942"/>
  <c r="C385" i="7942"/>
  <c r="G385" i="7942"/>
  <c r="G489" i="18" s="1"/>
  <c r="G58" i="7941" s="1"/>
  <c r="C386" i="7942"/>
  <c r="G386" i="7942"/>
  <c r="G490" i="18" s="1"/>
  <c r="C387" i="7942"/>
  <c r="G387" i="7942"/>
  <c r="G491" i="18"/>
  <c r="C388" i="7942"/>
  <c r="G388" i="7942"/>
  <c r="G492" i="18" s="1"/>
  <c r="G61" i="7941" s="1"/>
  <c r="C389" i="7942"/>
  <c r="G389" i="7942"/>
  <c r="G493" i="18" s="1"/>
  <c r="G62" i="7941" s="1"/>
  <c r="C390" i="7942"/>
  <c r="G390" i="7942"/>
  <c r="G494" i="18" s="1"/>
  <c r="C391" i="7942"/>
  <c r="G391" i="7942"/>
  <c r="G495" i="18" s="1"/>
  <c r="G64" i="7941" s="1"/>
  <c r="C392" i="7942"/>
  <c r="G392" i="7942"/>
  <c r="C393" i="7942"/>
  <c r="G393" i="7942"/>
  <c r="G497" i="18" s="1"/>
  <c r="G66" i="7941" s="1"/>
  <c r="C394" i="7942"/>
  <c r="G394" i="7942"/>
  <c r="C395" i="7942"/>
  <c r="G395" i="7942"/>
  <c r="G499" i="18"/>
  <c r="C398" i="7942"/>
  <c r="C399" i="7942"/>
  <c r="C400" i="7942"/>
  <c r="C401" i="7942"/>
  <c r="C402" i="7942"/>
  <c r="C403" i="7942"/>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s="1"/>
  <c r="C410" i="7942"/>
  <c r="G410" i="7942"/>
  <c r="G514" i="18" s="1"/>
  <c r="G83" i="7941" s="1"/>
  <c r="C411" i="7942"/>
  <c r="G411" i="7942"/>
  <c r="G515" i="18"/>
  <c r="G84" i="7941" s="1"/>
  <c r="C412" i="7942"/>
  <c r="G412" i="7942"/>
  <c r="G516" i="18" s="1"/>
  <c r="G85" i="7941" s="1"/>
  <c r="C413" i="7942"/>
  <c r="G413" i="7942"/>
  <c r="G517" i="18"/>
  <c r="G86" i="7941" s="1"/>
  <c r="C414" i="7942"/>
  <c r="G414" i="7942"/>
  <c r="G518" i="18" s="1"/>
  <c r="G87" i="7941" s="1"/>
  <c r="C415" i="7942"/>
  <c r="G415" i="7942"/>
  <c r="G519" i="18" s="1"/>
  <c r="G88" i="7941" s="1"/>
  <c r="C416" i="7942"/>
  <c r="G416" i="7942"/>
  <c r="G520" i="18" s="1"/>
  <c r="G89" i="7941" s="1"/>
  <c r="C417" i="7942"/>
  <c r="G417" i="7942"/>
  <c r="G521" i="18"/>
  <c r="G90" i="7941" s="1"/>
  <c r="C418" i="7942"/>
  <c r="G418" i="7942"/>
  <c r="C419" i="7942"/>
  <c r="G419" i="7942"/>
  <c r="G523" i="18" s="1"/>
  <c r="G92" i="7941" s="1"/>
  <c r="C420" i="7942"/>
  <c r="G420" i="7942"/>
  <c r="G524" i="18" s="1"/>
  <c r="G654" i="18" s="1"/>
  <c r="C421" i="7942"/>
  <c r="G421" i="7942"/>
  <c r="G525" i="18" s="1"/>
  <c r="G655" i="18" s="1"/>
  <c r="C422" i="7942"/>
  <c r="G422" i="7942"/>
  <c r="G526" i="18" s="1"/>
  <c r="C423" i="7942"/>
  <c r="G423" i="7942"/>
  <c r="G527" i="18" s="1"/>
  <c r="G96" i="7941" s="1"/>
  <c r="C424" i="7942"/>
  <c r="G424" i="7942"/>
  <c r="G528" i="18" s="1"/>
  <c r="C425" i="7942"/>
  <c r="G425" i="7942"/>
  <c r="G529" i="18" s="1"/>
  <c r="G659" i="18" s="1"/>
  <c r="C426" i="7942"/>
  <c r="G426" i="7942"/>
  <c r="G530" i="18"/>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c r="G113" i="7941" s="1"/>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s="1"/>
  <c r="G119" i="7941" s="1"/>
  <c r="C447" i="7942"/>
  <c r="G447" i="7942"/>
  <c r="C448" i="7942"/>
  <c r="G448" i="7942"/>
  <c r="G552" i="18" s="1"/>
  <c r="G121" i="7941" s="1"/>
  <c r="C449" i="7942"/>
  <c r="G449" i="7942"/>
  <c r="G553" i="18"/>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c r="G127" i="7941" s="1"/>
  <c r="C455" i="7942"/>
  <c r="G455" i="7942"/>
  <c r="G559" i="18" s="1"/>
  <c r="G128" i="7941" s="1"/>
  <c r="C456" i="7942"/>
  <c r="G456" i="7942"/>
  <c r="G560" i="18"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c r="G138" i="7941" s="1"/>
  <c r="C466" i="7942"/>
  <c r="G466" i="7942"/>
  <c r="G570" i="18" s="1"/>
  <c r="G139" i="7941" s="1"/>
  <c r="C467" i="7942"/>
  <c r="G467" i="7942"/>
  <c r="G571" i="18"/>
  <c r="G140" i="7941" s="1"/>
  <c r="C468" i="7942"/>
  <c r="G468" i="7942"/>
  <c r="G572" i="18" s="1"/>
  <c r="G141" i="7941" s="1"/>
  <c r="C469" i="7942"/>
  <c r="G469" i="7942"/>
  <c r="G573" i="18"/>
  <c r="G142" i="7941" s="1"/>
  <c r="C470" i="7942"/>
  <c r="G470" i="7942"/>
  <c r="G574" i="18" s="1"/>
  <c r="G143" i="7941" s="1"/>
  <c r="C471" i="7942"/>
  <c r="G471" i="7942"/>
  <c r="G575" i="18" s="1"/>
  <c r="C472" i="7942"/>
  <c r="G472" i="7942"/>
  <c r="G576" i="18" s="1"/>
  <c r="G145" i="7941" s="1"/>
  <c r="C473" i="7942"/>
  <c r="G473" i="7942"/>
  <c r="G577" i="18"/>
  <c r="G146" i="7941" s="1"/>
  <c r="C474" i="7942"/>
  <c r="G474" i="7942"/>
  <c r="G578" i="18" s="1"/>
  <c r="G147" i="7941" s="1"/>
  <c r="C475" i="7942"/>
  <c r="G475" i="7942"/>
  <c r="G579" i="18"/>
  <c r="G148" i="7941" s="1"/>
  <c r="C476" i="7942"/>
  <c r="G476" i="7942"/>
  <c r="G580" i="18" s="1"/>
  <c r="G149" i="7941" s="1"/>
  <c r="C477" i="7942"/>
  <c r="G477" i="7942"/>
  <c r="G581" i="18"/>
  <c r="G150" i="7941" s="1"/>
  <c r="C478" i="7942"/>
  <c r="G478" i="7942"/>
  <c r="G582" i="18" s="1"/>
  <c r="G151" i="7941" s="1"/>
  <c r="C479" i="7942"/>
  <c r="G479" i="7942"/>
  <c r="G583" i="18" s="1"/>
  <c r="G152" i="7941" s="1"/>
  <c r="C480" i="7942"/>
  <c r="G480" i="7942"/>
  <c r="G584" i="18" s="1"/>
  <c r="G153" i="7941" s="1"/>
  <c r="C481" i="7942"/>
  <c r="G481" i="7942"/>
  <c r="G585" i="18"/>
  <c r="G154" i="7941" s="1"/>
  <c r="C482" i="7942"/>
  <c r="G482" i="7942"/>
  <c r="G586" i="18" s="1"/>
  <c r="G155" i="7941" s="1"/>
  <c r="C483" i="7942"/>
  <c r="G483" i="7942"/>
  <c r="G587" i="18"/>
  <c r="G156" i="7941" s="1"/>
  <c r="C484" i="7942"/>
  <c r="G484" i="7942"/>
  <c r="G588" i="18" s="1"/>
  <c r="G157" i="7941" s="1"/>
  <c r="C485" i="7942"/>
  <c r="G485" i="7942"/>
  <c r="G589" i="18"/>
  <c r="G158" i="7941" s="1"/>
  <c r="C486" i="7942"/>
  <c r="G486" i="7942"/>
  <c r="G590" i="18" s="1"/>
  <c r="G159" i="7941" s="1"/>
  <c r="C487" i="7942"/>
  <c r="G487" i="7942"/>
  <c r="G591" i="18" s="1"/>
  <c r="C488" i="7942"/>
  <c r="G488" i="7942"/>
  <c r="G592" i="18" s="1"/>
  <c r="G161" i="7941" s="1"/>
  <c r="C489" i="7942"/>
  <c r="G489" i="7942"/>
  <c r="G593" i="18"/>
  <c r="G162" i="7941" s="1"/>
  <c r="C490" i="7942"/>
  <c r="G490" i="7942"/>
  <c r="G594" i="18" s="1"/>
  <c r="G163" i="7941" s="1"/>
  <c r="C491" i="7942"/>
  <c r="G491" i="7942"/>
  <c r="G595" i="18"/>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I105" i="1"/>
  <c r="R106" i="1" s="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H139" i="1"/>
  <c r="I139" i="1"/>
  <c r="J139" i="1"/>
  <c r="K139" i="1"/>
  <c r="L139" i="1"/>
  <c r="M139" i="1"/>
  <c r="N139" i="1"/>
  <c r="O139" i="1"/>
  <c r="P139" i="1"/>
  <c r="Q139" i="1"/>
  <c r="F141" i="1"/>
  <c r="F143" i="1"/>
  <c r="G143" i="1"/>
  <c r="G44" i="7942" s="1"/>
  <c r="F144" i="1"/>
  <c r="G144" i="1"/>
  <c r="G45" i="7942" s="1"/>
  <c r="F145" i="1"/>
  <c r="G145" i="1"/>
  <c r="G46" i="7942" s="1"/>
  <c r="F146" i="1"/>
  <c r="G146" i="1"/>
  <c r="G47" i="7942" s="1"/>
  <c r="F147" i="1"/>
  <c r="G147" i="1"/>
  <c r="G48" i="7942" s="1"/>
  <c r="F148" i="1"/>
  <c r="G148" i="1"/>
  <c r="G49" i="7942" s="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G53" i="7942"/>
  <c r="H184" i="1"/>
  <c r="H82" i="18"/>
  <c r="H56" i="18"/>
  <c r="H95" i="18"/>
  <c r="H108" i="18"/>
  <c r="H121" i="18"/>
  <c r="H69" i="18"/>
  <c r="I144" i="1"/>
  <c r="I148" i="1"/>
  <c r="I152" i="1"/>
  <c r="I160" i="1"/>
  <c r="I164" i="1"/>
  <c r="I168" i="1"/>
  <c r="I171" i="1"/>
  <c r="I169" i="1"/>
  <c r="H172" i="1"/>
  <c r="H170" i="1"/>
  <c r="H167" i="1"/>
  <c r="H163" i="1"/>
  <c r="H159" i="1"/>
  <c r="H155" i="1"/>
  <c r="H151" i="1"/>
  <c r="H147" i="1"/>
  <c r="H143" i="1"/>
  <c r="Q39" i="7944"/>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H148" i="1"/>
  <c r="I3" i="18"/>
  <c r="J3" i="18" s="1"/>
  <c r="G129" i="7941"/>
  <c r="G653" i="18"/>
  <c r="G566" i="18"/>
  <c r="G135" i="7941" s="1"/>
  <c r="G155" i="7944"/>
  <c r="I166" i="1"/>
  <c r="I162" i="1"/>
  <c r="I158" i="1"/>
  <c r="I154" i="1"/>
  <c r="I150" i="1"/>
  <c r="I146" i="1"/>
  <c r="H144" i="1"/>
  <c r="H171" i="1"/>
  <c r="H169" i="1"/>
  <c r="H165" i="1"/>
  <c r="H161" i="1"/>
  <c r="H157" i="1"/>
  <c r="H153" i="1"/>
  <c r="H149" i="1"/>
  <c r="H145" i="1"/>
  <c r="I183" i="1"/>
  <c r="I184" i="1" s="1"/>
  <c r="I143" i="1"/>
  <c r="I145" i="1"/>
  <c r="I147" i="1"/>
  <c r="I149" i="1"/>
  <c r="I151" i="1"/>
  <c r="I153" i="1"/>
  <c r="I155" i="1"/>
  <c r="I157" i="1"/>
  <c r="I159" i="1"/>
  <c r="I161" i="1"/>
  <c r="I163" i="1"/>
  <c r="I165" i="1"/>
  <c r="I167" i="1"/>
  <c r="I172" i="1"/>
  <c r="I170" i="1"/>
  <c r="J171" i="1"/>
  <c r="H4" i="7942"/>
  <c r="G16" i="7941"/>
  <c r="G184" i="7944"/>
  <c r="G197" i="7944" s="1"/>
  <c r="G226" i="7944"/>
  <c r="G450" i="7944"/>
  <c r="G463" i="7944" s="1"/>
  <c r="L165" i="7957" l="1"/>
  <c r="H23" i="7944"/>
  <c r="G657" i="18"/>
  <c r="G85" i="7942"/>
  <c r="H349" i="7942"/>
  <c r="G253" i="7942"/>
  <c r="G239" i="7942"/>
  <c r="J266" i="7957"/>
  <c r="M139" i="7957"/>
  <c r="M162" i="7957"/>
  <c r="J358" i="7957"/>
  <c r="K355" i="7957" s="1"/>
  <c r="J366" i="7957"/>
  <c r="J740" i="7957" s="1"/>
  <c r="H359" i="7942"/>
  <c r="H357" i="7942"/>
  <c r="H355" i="7942"/>
  <c r="H347" i="7942"/>
  <c r="H213" i="18" s="1"/>
  <c r="I213" i="18" s="1"/>
  <c r="H345" i="7942"/>
  <c r="H343" i="7942"/>
  <c r="H161" i="18" s="1"/>
  <c r="H341" i="7942"/>
  <c r="H135" i="18" s="1"/>
  <c r="G261" i="7942"/>
  <c r="G245" i="7942"/>
  <c r="G675" i="18"/>
  <c r="G641" i="18" s="1"/>
  <c r="G257" i="7942"/>
  <c r="G251" i="7942"/>
  <c r="G172" i="7942"/>
  <c r="G461" i="7942"/>
  <c r="G265" i="7942"/>
  <c r="G256" i="7942"/>
  <c r="G249" i="7942"/>
  <c r="G240" i="7942"/>
  <c r="G685" i="18"/>
  <c r="G651" i="18" s="1"/>
  <c r="H16" i="7944"/>
  <c r="H26" i="7944"/>
  <c r="H18" i="7944"/>
  <c r="K240" i="7957"/>
  <c r="K263" i="7957"/>
  <c r="K769" i="7957"/>
  <c r="M64" i="7957"/>
  <c r="N62" i="7957" s="1"/>
  <c r="M766" i="7957"/>
  <c r="M659" i="7957"/>
  <c r="M788" i="7957" s="1"/>
  <c r="N196" i="7957"/>
  <c r="O193" i="7957" s="1"/>
  <c r="K741" i="7957"/>
  <c r="K468" i="7957"/>
  <c r="N95" i="7957"/>
  <c r="O92" i="7957" s="1"/>
  <c r="O94" i="7957" s="1"/>
  <c r="L458" i="7957"/>
  <c r="L465" i="7957"/>
  <c r="U801" i="7957"/>
  <c r="U675" i="7957"/>
  <c r="V672" i="7957" s="1"/>
  <c r="V768" i="7957" s="1"/>
  <c r="V155" i="7957"/>
  <c r="V156" i="7957" s="1"/>
  <c r="W153" i="7957" s="1"/>
  <c r="T573" i="7957"/>
  <c r="T574" i="7957" s="1"/>
  <c r="U571" i="7957" s="1"/>
  <c r="Q558" i="7957"/>
  <c r="Q559" i="7957" s="1"/>
  <c r="R556" i="7957" s="1"/>
  <c r="V256" i="7957"/>
  <c r="V257" i="7957" s="1"/>
  <c r="W254" i="7957" s="1"/>
  <c r="Q55" i="7957"/>
  <c r="V513" i="7957"/>
  <c r="V514" i="7957" s="1"/>
  <c r="W511" i="7957" s="1"/>
  <c r="H713" i="7957"/>
  <c r="H785" i="7957"/>
  <c r="H796" i="7957" s="1"/>
  <c r="I702" i="7957"/>
  <c r="H714" i="7957"/>
  <c r="R45" i="7957"/>
  <c r="S43" i="7957" s="1"/>
  <c r="V109" i="7957"/>
  <c r="V110" i="7957" s="1"/>
  <c r="W107" i="7957" s="1"/>
  <c r="V442" i="7957"/>
  <c r="V443" i="7957" s="1"/>
  <c r="W440" i="7957" s="1"/>
  <c r="U341" i="7957"/>
  <c r="U342" i="7957" s="1"/>
  <c r="V339" i="7957" s="1"/>
  <c r="V311" i="7957"/>
  <c r="V312" i="7957" s="1"/>
  <c r="W309" i="7957" s="1"/>
  <c r="V210" i="7957"/>
  <c r="V211" i="7957" s="1"/>
  <c r="W208" i="7957" s="1"/>
  <c r="H771" i="7957"/>
  <c r="H804" i="7957" s="1"/>
  <c r="W770" i="7957"/>
  <c r="W803" i="7957" s="1"/>
  <c r="W732" i="7957"/>
  <c r="N397" i="7957"/>
  <c r="N398" i="7957" s="1"/>
  <c r="O395" i="7957" s="1"/>
  <c r="O195" i="7957"/>
  <c r="J580" i="7957"/>
  <c r="J498" i="7957"/>
  <c r="J499" i="7957" s="1"/>
  <c r="N22" i="7957"/>
  <c r="N23" i="7957" s="1"/>
  <c r="O21" i="7957" s="1"/>
  <c r="J615" i="7957"/>
  <c r="N765" i="7957"/>
  <c r="N528" i="7957"/>
  <c r="N787" i="7957" s="1"/>
  <c r="V412" i="7957"/>
  <c r="V413" i="7957" s="1"/>
  <c r="W410" i="7957" s="1"/>
  <c r="O296" i="7957"/>
  <c r="N764" i="7957"/>
  <c r="N33" i="7957"/>
  <c r="N786" i="7957" s="1"/>
  <c r="G693" i="18"/>
  <c r="H340" i="7942"/>
  <c r="G94" i="7941"/>
  <c r="H30" i="7941" s="1"/>
  <c r="G660" i="18"/>
  <c r="H122" i="18"/>
  <c r="H134" i="18" s="1"/>
  <c r="H638" i="18" s="1"/>
  <c r="H13" i="7944"/>
  <c r="H12" i="7944"/>
  <c r="I39" i="18"/>
  <c r="I16" i="18"/>
  <c r="E71" i="7955" s="1"/>
  <c r="I7" i="7942"/>
  <c r="I32" i="18"/>
  <c r="I24" i="18"/>
  <c r="J183" i="1"/>
  <c r="K183" i="1" s="1"/>
  <c r="L183" i="1" s="1"/>
  <c r="H637" i="18"/>
  <c r="H369" i="18"/>
  <c r="H381" i="18" s="1"/>
  <c r="H657" i="18" s="1"/>
  <c r="H343" i="18"/>
  <c r="H355" i="18" s="1"/>
  <c r="H655" i="18" s="1"/>
  <c r="H317" i="18"/>
  <c r="H329" i="18" s="1"/>
  <c r="H653" i="18" s="1"/>
  <c r="G408" i="7944"/>
  <c r="G421" i="7944" s="1"/>
  <c r="G338" i="7944"/>
  <c r="G351" i="7944" s="1"/>
  <c r="H27" i="7944" s="1"/>
  <c r="G170" i="7944"/>
  <c r="G183" i="7944" s="1"/>
  <c r="H15" i="7944" s="1"/>
  <c r="G156" i="7944"/>
  <c r="G380" i="7944"/>
  <c r="G393" i="7944" s="1"/>
  <c r="H30" i="7944" s="1"/>
  <c r="G296" i="7944"/>
  <c r="G309" i="7944" s="1"/>
  <c r="H24" i="7944" s="1"/>
  <c r="G268" i="7944"/>
  <c r="G281" i="7944" s="1"/>
  <c r="H22" i="7944" s="1"/>
  <c r="G422" i="7944"/>
  <c r="G435" i="7944" s="1"/>
  <c r="H33" i="7944" s="1"/>
  <c r="G464" i="7944"/>
  <c r="G477" i="7944" s="1"/>
  <c r="H36" i="7944" s="1"/>
  <c r="G72" i="7944"/>
  <c r="G85" i="7944" s="1"/>
  <c r="G352" i="7944"/>
  <c r="G365" i="7944" s="1"/>
  <c r="H28" i="7944" s="1"/>
  <c r="H3" i="7944"/>
  <c r="H186"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H200" i="18"/>
  <c r="I200" i="18" s="1"/>
  <c r="J200" i="18" s="1"/>
  <c r="G565" i="18"/>
  <c r="H461" i="18"/>
  <c r="H689" i="18" s="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173" i="1"/>
  <c r="G39" i="7944"/>
  <c r="H8" i="7944"/>
  <c r="H15" i="18"/>
  <c r="H473" i="18" s="1"/>
  <c r="H42" i="7941" s="1"/>
  <c r="H39" i="7944"/>
  <c r="G7" i="7944"/>
  <c r="G676" i="18"/>
  <c r="G642" i="18" s="1"/>
  <c r="G683" i="18"/>
  <c r="G649" i="18" s="1"/>
  <c r="G687" i="18"/>
  <c r="G691" i="18"/>
  <c r="G695" i="18"/>
  <c r="H14" i="18"/>
  <c r="H472" i="18" s="1"/>
  <c r="H41" i="7941" s="1"/>
  <c r="H30" i="18"/>
  <c r="H488" i="18" s="1"/>
  <c r="H57" i="7941" s="1"/>
  <c r="H13" i="18"/>
  <c r="H471" i="18" s="1"/>
  <c r="H40" i="7941" s="1"/>
  <c r="H632" i="18"/>
  <c r="H21" i="18"/>
  <c r="H479" i="18" s="1"/>
  <c r="H48" i="7941" s="1"/>
  <c r="I371" i="18"/>
  <c r="H27" i="18"/>
  <c r="H485" i="18" s="1"/>
  <c r="H54" i="7941" s="1"/>
  <c r="H37" i="18"/>
  <c r="H495" i="18" s="1"/>
  <c r="H64" i="7941" s="1"/>
  <c r="G677" i="18"/>
  <c r="G643" i="18" s="1"/>
  <c r="G684" i="18"/>
  <c r="G650" i="18" s="1"/>
  <c r="G688" i="18"/>
  <c r="G692" i="18"/>
  <c r="G678" i="18"/>
  <c r="G644" i="18" s="1"/>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371" i="18"/>
  <c r="J158" i="1"/>
  <c r="J168" i="1"/>
  <c r="J7" i="18"/>
  <c r="J637" i="18" s="1"/>
  <c r="J281" i="18"/>
  <c r="J144" i="1"/>
  <c r="J155" i="1"/>
  <c r="J154" i="1"/>
  <c r="H636" i="18"/>
  <c r="G82"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L39" i="7944"/>
  <c r="K43" i="7944"/>
  <c r="K46" i="7944"/>
  <c r="K71" i="1"/>
  <c r="R72" i="1" s="1"/>
  <c r="K44" i="7944"/>
  <c r="H35" i="7944"/>
  <c r="H32" i="7944"/>
  <c r="J320" i="18"/>
  <c r="I15" i="18"/>
  <c r="E56" i="7955" s="1"/>
  <c r="P39" i="7944"/>
  <c r="J39" i="7944"/>
  <c r="I26" i="18"/>
  <c r="M39" i="7944"/>
  <c r="H268" i="7944"/>
  <c r="G239" i="7944"/>
  <c r="H19"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68" i="7941"/>
  <c r="H467" i="18"/>
  <c r="G496" i="18"/>
  <c r="H360" i="7942"/>
  <c r="G60" i="7941"/>
  <c r="H459" i="18"/>
  <c r="G488" i="18"/>
  <c r="H352" i="7942"/>
  <c r="G480" i="18"/>
  <c r="H344" i="7942"/>
  <c r="G241" i="7942"/>
  <c r="G204" i="7942"/>
  <c r="G23" i="7941"/>
  <c r="G682" i="18"/>
  <c r="G648" i="18" s="1"/>
  <c r="G679" i="18"/>
  <c r="G645" i="18" s="1"/>
  <c r="H451" i="18"/>
  <c r="G20" i="7941"/>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396" i="7944"/>
  <c r="H452" i="7944"/>
  <c r="G160" i="7941"/>
  <c r="G224" i="7941" s="1"/>
  <c r="H463" i="18"/>
  <c r="G144" i="7941"/>
  <c r="G134" i="7941" s="1"/>
  <c r="H447" i="18"/>
  <c r="G522" i="18"/>
  <c r="H354" i="7942"/>
  <c r="H444" i="18"/>
  <c r="G77" i="7941"/>
  <c r="G498" i="18"/>
  <c r="H362" i="7942"/>
  <c r="G222" i="7941"/>
  <c r="G59" i="7941"/>
  <c r="H458" i="18"/>
  <c r="G54" i="7941"/>
  <c r="H453" i="18"/>
  <c r="G51" i="7941"/>
  <c r="H450" i="18"/>
  <c r="G46" i="7941"/>
  <c r="H445" i="18"/>
  <c r="H363" i="7942"/>
  <c r="H361" i="7942"/>
  <c r="H353" i="7942"/>
  <c r="H187" i="18"/>
  <c r="I187" i="18"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83" i="7942"/>
  <c r="G52" i="7942"/>
  <c r="G84" i="7942" s="1"/>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J451" i="7955"/>
  <c r="K451" i="7955" s="1"/>
  <c r="N39" i="7944"/>
  <c r="J362" i="7955"/>
  <c r="K362" i="7955" s="1"/>
  <c r="O39" i="7944"/>
  <c r="I156" i="1"/>
  <c r="I7" i="18"/>
  <c r="G237" i="7942"/>
  <c r="G13" i="7941"/>
  <c r="G672" i="18"/>
  <c r="G638" i="18" s="1"/>
  <c r="H380" i="7944" l="1"/>
  <c r="H298" i="7944"/>
  <c r="H226" i="7944"/>
  <c r="I226" i="7944" s="1"/>
  <c r="H130" i="7944"/>
  <c r="H158" i="7944"/>
  <c r="H422" i="7944"/>
  <c r="G113" i="7944"/>
  <c r="H10" i="7944" s="1"/>
  <c r="H284" i="7944"/>
  <c r="I284" i="7944" s="1"/>
  <c r="I3" i="7944"/>
  <c r="I343" i="18"/>
  <c r="J343" i="18" s="1"/>
  <c r="J355" i="18" s="1"/>
  <c r="J655" i="18" s="1"/>
  <c r="I317" i="18"/>
  <c r="J317" i="18" s="1"/>
  <c r="J329" i="18" s="1"/>
  <c r="J653" i="18" s="1"/>
  <c r="M140" i="7957"/>
  <c r="N137" i="7957" s="1"/>
  <c r="M164" i="7957"/>
  <c r="M738" i="7957" s="1"/>
  <c r="K357" i="7957"/>
  <c r="K364" i="7957"/>
  <c r="J367" i="7957"/>
  <c r="J137" i="18"/>
  <c r="M660" i="7957"/>
  <c r="N657" i="7957" s="1"/>
  <c r="N34" i="7957"/>
  <c r="O32" i="7957" s="1"/>
  <c r="O764" i="7957" s="1"/>
  <c r="M799" i="7957"/>
  <c r="N798" i="7957"/>
  <c r="K241" i="7957"/>
  <c r="L238" i="7957" s="1"/>
  <c r="K265" i="7957"/>
  <c r="K739" i="7957" s="1"/>
  <c r="K791" i="7957"/>
  <c r="K802" i="7957" s="1"/>
  <c r="L459" i="7957"/>
  <c r="M456" i="7957" s="1"/>
  <c r="L467" i="7957"/>
  <c r="L741" i="7957" s="1"/>
  <c r="N797" i="7957"/>
  <c r="N529" i="7957"/>
  <c r="O526" i="7957" s="1"/>
  <c r="O196" i="7957"/>
  <c r="P193" i="7957" s="1"/>
  <c r="V674" i="7957"/>
  <c r="V790" i="7957" s="1"/>
  <c r="V801" i="7957" s="1"/>
  <c r="K496" i="7957"/>
  <c r="J583" i="7957"/>
  <c r="V341" i="7957"/>
  <c r="V342" i="7957" s="1"/>
  <c r="W339" i="7957" s="1"/>
  <c r="W513" i="7957"/>
  <c r="W514" i="7957" s="1"/>
  <c r="W256" i="7957"/>
  <c r="W257" i="7957" s="1"/>
  <c r="W412" i="7957"/>
  <c r="W413" i="7957" s="1"/>
  <c r="W210" i="7957"/>
  <c r="W211" i="7957" s="1"/>
  <c r="W109" i="7957"/>
  <c r="W110" i="7957" s="1"/>
  <c r="R558" i="7957"/>
  <c r="R559" i="7957" s="1"/>
  <c r="S556" i="7957" s="1"/>
  <c r="W155" i="7957"/>
  <c r="W156" i="7957" s="1"/>
  <c r="N63" i="7957"/>
  <c r="W311" i="7957"/>
  <c r="W312" i="7957" s="1"/>
  <c r="W442" i="7957"/>
  <c r="W443" i="7957" s="1"/>
  <c r="S766" i="7957"/>
  <c r="S44" i="7957"/>
  <c r="S45" i="7957" s="1"/>
  <c r="T43" i="7957" s="1"/>
  <c r="O22" i="7957"/>
  <c r="O23" i="7957" s="1"/>
  <c r="P21" i="7957" s="1"/>
  <c r="P195" i="7957"/>
  <c r="U573" i="7957"/>
  <c r="U574" i="7957" s="1"/>
  <c r="V571" i="7957" s="1"/>
  <c r="J582" i="7957"/>
  <c r="J742" i="7957" s="1"/>
  <c r="J745" i="7957" s="1"/>
  <c r="J793" i="7957" s="1"/>
  <c r="O397" i="7957"/>
  <c r="Q56" i="7957"/>
  <c r="R54" i="7957" s="1"/>
  <c r="O297" i="7957"/>
  <c r="P294" i="7957" s="1"/>
  <c r="K612" i="7957"/>
  <c r="O95" i="7957"/>
  <c r="P92" i="7957" s="1"/>
  <c r="I704" i="7957"/>
  <c r="I711" i="7957"/>
  <c r="I763" i="7957"/>
  <c r="H11" i="18"/>
  <c r="H148" i="7942"/>
  <c r="I148" i="7942" s="1"/>
  <c r="H150" i="7942"/>
  <c r="I150" i="7942" s="1"/>
  <c r="I369" i="18"/>
  <c r="J369" i="18" s="1"/>
  <c r="J381" i="18" s="1"/>
  <c r="J657" i="18" s="1"/>
  <c r="I471" i="18"/>
  <c r="I40" i="7941" s="1"/>
  <c r="K184" i="1"/>
  <c r="K31" i="18" s="1"/>
  <c r="I122" i="18"/>
  <c r="J122" i="18" s="1"/>
  <c r="J134" i="18" s="1"/>
  <c r="J638" i="18" s="1"/>
  <c r="J184" i="1"/>
  <c r="J25" i="18" s="1"/>
  <c r="J483" i="18" s="1"/>
  <c r="J52" i="7941" s="1"/>
  <c r="F71" i="7955"/>
  <c r="P71" i="7955" s="1"/>
  <c r="Q71" i="7955" s="1"/>
  <c r="F56" i="7955"/>
  <c r="P56" i="7955" s="1"/>
  <c r="F41" i="7955"/>
  <c r="F26" i="7955"/>
  <c r="P26" i="7955" s="1"/>
  <c r="F11" i="7955"/>
  <c r="P11" i="7955" s="1"/>
  <c r="E55" i="7955"/>
  <c r="E85" i="7955"/>
  <c r="E100"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I424" i="7944" s="1"/>
  <c r="H340" i="7944"/>
  <c r="H408" i="7944"/>
  <c r="H184" i="7944"/>
  <c r="I184" i="7944" s="1"/>
  <c r="H74" i="7944"/>
  <c r="H312" i="7944"/>
  <c r="H354" i="7944"/>
  <c r="I354" i="7944" s="1"/>
  <c r="H480" i="7944"/>
  <c r="I480" i="7944" s="1"/>
  <c r="H338" i="7944"/>
  <c r="H240" i="7944"/>
  <c r="I240" i="7944" s="1"/>
  <c r="H382" i="7944"/>
  <c r="I382" i="7944" s="1"/>
  <c r="H228" i="7944"/>
  <c r="H466" i="7944"/>
  <c r="I466" i="7944" s="1"/>
  <c r="H200" i="7944"/>
  <c r="H170" i="7944"/>
  <c r="H256" i="7944"/>
  <c r="H144" i="7944"/>
  <c r="H394" i="7944"/>
  <c r="H438" i="7944"/>
  <c r="I438" i="7944" s="1"/>
  <c r="H478" i="7944"/>
  <c r="H491" i="7944" s="1"/>
  <c r="I37" i="7944" s="1"/>
  <c r="H128" i="7944"/>
  <c r="I128" i="7944" s="1"/>
  <c r="H366" i="7944"/>
  <c r="I366" i="7944" s="1"/>
  <c r="H296" i="7944"/>
  <c r="H309" i="7944" s="1"/>
  <c r="I24" i="7944" s="1"/>
  <c r="H172" i="7944"/>
  <c r="I172" i="7944" s="1"/>
  <c r="H410" i="7944"/>
  <c r="I410" i="7944" s="1"/>
  <c r="H86" i="7944"/>
  <c r="I86" i="7944" s="1"/>
  <c r="H464" i="7944"/>
  <c r="I464" i="7944" s="1"/>
  <c r="H116" i="7944"/>
  <c r="I116" i="7944" s="1"/>
  <c r="H282" i="7944"/>
  <c r="I282" i="7944" s="1"/>
  <c r="H368" i="7944"/>
  <c r="H379" i="7944" s="1"/>
  <c r="I29" i="7944" s="1"/>
  <c r="H254" i="7944"/>
  <c r="I254" i="7944" s="1"/>
  <c r="H326" i="7944"/>
  <c r="I326" i="7944" s="1"/>
  <c r="H450" i="7944"/>
  <c r="H463" i="7944" s="1"/>
  <c r="I35" i="7944" s="1"/>
  <c r="H310" i="7944"/>
  <c r="H88" i="7944"/>
  <c r="I88" i="7944" s="1"/>
  <c r="H214" i="7944"/>
  <c r="I214" i="7944" s="1"/>
  <c r="H72" i="7944"/>
  <c r="H270" i="7944"/>
  <c r="H281" i="7944" s="1"/>
  <c r="I22" i="7944" s="1"/>
  <c r="H212" i="7944"/>
  <c r="I212" i="7944" s="1"/>
  <c r="H156" i="7944"/>
  <c r="I156" i="7944" s="1"/>
  <c r="G169" i="7944"/>
  <c r="H14" i="7944" s="1"/>
  <c r="H407" i="7944"/>
  <c r="I31" i="7944" s="1"/>
  <c r="H32" i="7941"/>
  <c r="H446" i="18"/>
  <c r="H674" i="18" s="1"/>
  <c r="I212" i="18"/>
  <c r="I644" i="18" s="1"/>
  <c r="H212" i="18"/>
  <c r="H644" i="18" s="1"/>
  <c r="I225" i="18"/>
  <c r="I645" i="18" s="1"/>
  <c r="E40" i="7955"/>
  <c r="E70" i="7955"/>
  <c r="E25" i="7955"/>
  <c r="J632" i="18"/>
  <c r="G208" i="7941"/>
  <c r="H14" i="7941"/>
  <c r="I634" i="18"/>
  <c r="K7" i="18"/>
  <c r="K635" i="18" s="1"/>
  <c r="K169" i="1"/>
  <c r="J633" i="18"/>
  <c r="K147" i="1"/>
  <c r="K156" i="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K39" i="7944"/>
  <c r="I309" i="7942"/>
  <c r="H13" i="7941"/>
  <c r="G205" i="7941"/>
  <c r="G207" i="7941"/>
  <c r="H15" i="7941"/>
  <c r="H693" i="18"/>
  <c r="G168" i="7941"/>
  <c r="G166" i="7941" s="1"/>
  <c r="G597" i="18"/>
  <c r="G43" i="7942"/>
  <c r="H497" i="18"/>
  <c r="H66" i="7941" s="1"/>
  <c r="H482" i="18"/>
  <c r="H51" i="7941" s="1"/>
  <c r="J332" i="18"/>
  <c r="H678" i="18"/>
  <c r="H408" i="18"/>
  <c r="H420" i="18" s="1"/>
  <c r="H660" i="18" s="1"/>
  <c r="H691" i="18"/>
  <c r="H527" i="18" s="1"/>
  <c r="H96" i="7941" s="1"/>
  <c r="J173" i="1"/>
  <c r="H147" i="18"/>
  <c r="H251" i="18"/>
  <c r="H647" i="18" s="1"/>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380" i="7944"/>
  <c r="I131" i="7944"/>
  <c r="I187" i="7944"/>
  <c r="I369" i="7944"/>
  <c r="I243" i="7944"/>
  <c r="I103" i="7944"/>
  <c r="I453" i="7944"/>
  <c r="I411" i="7944"/>
  <c r="I383" i="7944"/>
  <c r="I355" i="7944"/>
  <c r="I467" i="7944"/>
  <c r="I229" i="7944"/>
  <c r="I285" i="7944"/>
  <c r="I341" i="7944"/>
  <c r="I186" i="7944"/>
  <c r="I313" i="7944"/>
  <c r="I74" i="7944"/>
  <c r="I75" i="7944"/>
  <c r="I452" i="7944"/>
  <c r="I271" i="7944"/>
  <c r="I327" i="7944"/>
  <c r="I268" i="7944"/>
  <c r="I200" i="7944"/>
  <c r="I170" i="7944"/>
  <c r="I117" i="7944"/>
  <c r="I201" i="7944"/>
  <c r="I439" i="7944"/>
  <c r="I89" i="7944"/>
  <c r="I159" i="7944"/>
  <c r="I422" i="7944"/>
  <c r="I368" i="7944"/>
  <c r="I408" i="7944"/>
  <c r="I312" i="7944"/>
  <c r="I481" i="7944"/>
  <c r="I396" i="7944"/>
  <c r="I394" i="7944"/>
  <c r="I270" i="7944"/>
  <c r="J3" i="7944"/>
  <c r="I450" i="7944"/>
  <c r="I144" i="7944"/>
  <c r="I425" i="7944"/>
  <c r="I340" i="7944"/>
  <c r="I310" i="7944"/>
  <c r="I257" i="7944"/>
  <c r="I158" i="7944"/>
  <c r="I298" i="7944"/>
  <c r="I215" i="7944"/>
  <c r="H152" i="7942"/>
  <c r="I74" i="1"/>
  <c r="I108" i="1" s="1"/>
  <c r="I142" i="1"/>
  <c r="I4" i="7944"/>
  <c r="I176" i="1"/>
  <c r="I4" i="18"/>
  <c r="I4" i="7941"/>
  <c r="I4" i="7942"/>
  <c r="E86" i="7955"/>
  <c r="I475" i="18"/>
  <c r="I44" i="7941" s="1"/>
  <c r="H499" i="18"/>
  <c r="H68" i="7941" s="1"/>
  <c r="J293" i="18"/>
  <c r="K293" i="18" s="1"/>
  <c r="I239" i="18"/>
  <c r="I251" i="18" s="1"/>
  <c r="I647" i="18" s="1"/>
  <c r="H277" i="7942"/>
  <c r="I277" i="7942" s="1"/>
  <c r="H174" i="18"/>
  <c r="H186" i="18" s="1"/>
  <c r="H642" i="18" s="1"/>
  <c r="H687" i="18"/>
  <c r="H523" i="18" s="1"/>
  <c r="H92" i="7941" s="1"/>
  <c r="H695" i="18"/>
  <c r="G120" i="7941"/>
  <c r="H455" i="18"/>
  <c r="I25" i="18"/>
  <c r="J216" i="18"/>
  <c r="K216" i="18" s="1"/>
  <c r="H31" i="7941"/>
  <c r="G223" i="7941"/>
  <c r="H460" i="18"/>
  <c r="H132" i="7942"/>
  <c r="I132" i="7942" s="1"/>
  <c r="H144" i="7942"/>
  <c r="I144" i="7942" s="1"/>
  <c r="J202" i="18"/>
  <c r="J212" i="18" s="1"/>
  <c r="J644" i="18" s="1"/>
  <c r="H477" i="18"/>
  <c r="H46" i="7941" s="1"/>
  <c r="H480" i="18"/>
  <c r="H49" i="7941" s="1"/>
  <c r="H476" i="18"/>
  <c r="H45" i="7941" s="1"/>
  <c r="H481" i="18"/>
  <c r="H50" i="7941" s="1"/>
  <c r="H199" i="18"/>
  <c r="H643" i="18" s="1"/>
  <c r="J187" i="18"/>
  <c r="J199" i="18" s="1"/>
  <c r="J643" i="18" s="1"/>
  <c r="H673" i="18"/>
  <c r="H681" i="18"/>
  <c r="H675" i="18"/>
  <c r="I479" i="18"/>
  <c r="I48" i="7941" s="1"/>
  <c r="I636" i="18"/>
  <c r="I492" i="18"/>
  <c r="I61" i="7941" s="1"/>
  <c r="I135" i="18"/>
  <c r="I147" i="18" s="1"/>
  <c r="I173" i="1"/>
  <c r="H470" i="18"/>
  <c r="E10" i="7955"/>
  <c r="G206" i="7941"/>
  <c r="G212" i="7941"/>
  <c r="H20" i="7941"/>
  <c r="H454" i="18"/>
  <c r="G49" i="7941"/>
  <c r="H448" i="18"/>
  <c r="H28" i="7941"/>
  <c r="G220" i="7941"/>
  <c r="G228" i="7941"/>
  <c r="H36" i="7941"/>
  <c r="H226" i="18"/>
  <c r="H238" i="18" s="1"/>
  <c r="H646" i="18" s="1"/>
  <c r="K371" i="18"/>
  <c r="K137"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343" i="18"/>
  <c r="K203" i="18"/>
  <c r="K138" i="18"/>
  <c r="K151" i="18"/>
  <c r="K345" i="18"/>
  <c r="K150" i="18"/>
  <c r="K320" i="18"/>
  <c r="K398" i="18"/>
  <c r="K294" i="18"/>
  <c r="H156" i="7942"/>
  <c r="I156" i="7942" s="1"/>
  <c r="J280" i="18"/>
  <c r="K280" i="18" s="1"/>
  <c r="H173" i="18"/>
  <c r="H641" i="18" s="1"/>
  <c r="I161" i="18"/>
  <c r="H395" i="18"/>
  <c r="H407" i="18" s="1"/>
  <c r="H659" i="18" s="1"/>
  <c r="H686" i="18"/>
  <c r="H304" i="18"/>
  <c r="H316" i="18" s="1"/>
  <c r="H652" i="18" s="1"/>
  <c r="G142" i="1"/>
  <c r="G74" i="1"/>
  <c r="G108" i="1" s="1"/>
  <c r="G4" i="7944"/>
  <c r="E5" i="7955" s="1"/>
  <c r="G4" i="7942"/>
  <c r="G4" i="7941"/>
  <c r="G4" i="18"/>
  <c r="G176" i="1"/>
  <c r="L184" i="1"/>
  <c r="M183" i="1"/>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I355" i="18"/>
  <c r="I655" i="18" s="1"/>
  <c r="H22" i="7941"/>
  <c r="G214" i="7941"/>
  <c r="H672" i="18"/>
  <c r="H508" i="18" s="1"/>
  <c r="H77" i="7941" s="1"/>
  <c r="H393" i="7944"/>
  <c r="I30" i="7944" s="1"/>
  <c r="I484" i="18"/>
  <c r="I53" i="7941" s="1"/>
  <c r="I481" i="18"/>
  <c r="I50" i="7941" s="1"/>
  <c r="H498" i="18"/>
  <c r="H67" i="7941" s="1"/>
  <c r="H252" i="18"/>
  <c r="H264" i="18" s="1"/>
  <c r="H648" i="18" s="1"/>
  <c r="H486" i="18"/>
  <c r="H55" i="7941" s="1"/>
  <c r="I487" i="18"/>
  <c r="I56" i="7941" s="1"/>
  <c r="I498" i="18"/>
  <c r="I67" i="7941" s="1"/>
  <c r="H679" i="18"/>
  <c r="H23" i="7941"/>
  <c r="G215" i="7941"/>
  <c r="H278" i="18"/>
  <c r="H290" i="18" s="1"/>
  <c r="H650" i="18" s="1"/>
  <c r="H382" i="18"/>
  <c r="I382" i="18" s="1"/>
  <c r="I394" i="18" s="1"/>
  <c r="I658" i="18" s="1"/>
  <c r="H677" i="18"/>
  <c r="G106" i="7941"/>
  <c r="G533" i="18"/>
  <c r="G117" i="7941"/>
  <c r="H452" i="18"/>
  <c r="I32" i="7941" l="1"/>
  <c r="I102" i="7944"/>
  <c r="H141" i="7944"/>
  <c r="I12" i="7944" s="1"/>
  <c r="H211" i="7944"/>
  <c r="I17" i="7944" s="1"/>
  <c r="K317" i="18"/>
  <c r="I296" i="7944"/>
  <c r="O33" i="7957"/>
  <c r="O786" i="7957" s="1"/>
  <c r="O797" i="7957" s="1"/>
  <c r="I130" i="7944"/>
  <c r="H239" i="7944"/>
  <c r="I19" i="7944" s="1"/>
  <c r="I10" i="7944"/>
  <c r="I329" i="18"/>
  <c r="I653" i="18" s="1"/>
  <c r="N139" i="7957"/>
  <c r="N162" i="7957"/>
  <c r="O765" i="7957"/>
  <c r="O528" i="7957"/>
  <c r="O787" i="7957" s="1"/>
  <c r="M165" i="7957"/>
  <c r="K358" i="7957"/>
  <c r="L355" i="7957" s="1"/>
  <c r="K366" i="7957"/>
  <c r="K740" i="7957" s="1"/>
  <c r="H85" i="7944"/>
  <c r="I8" i="7944" s="1"/>
  <c r="H267" i="7944"/>
  <c r="I21" i="7944" s="1"/>
  <c r="H449" i="7944"/>
  <c r="I34" i="7944" s="1"/>
  <c r="F4" i="7942"/>
  <c r="F4" i="18" s="1"/>
  <c r="H365" i="7944"/>
  <c r="I28" i="7944" s="1"/>
  <c r="H351" i="7944"/>
  <c r="I27" i="7944" s="1"/>
  <c r="H7" i="7944"/>
  <c r="H99" i="7944"/>
  <c r="I9" i="7944" s="1"/>
  <c r="K266" i="7957"/>
  <c r="L468" i="7957"/>
  <c r="L240" i="7957"/>
  <c r="L263" i="7957"/>
  <c r="L769" i="7957"/>
  <c r="N659" i="7957"/>
  <c r="N788" i="7957" s="1"/>
  <c r="N766" i="7957"/>
  <c r="M458" i="7957"/>
  <c r="M467" i="7957" s="1"/>
  <c r="M741" i="7957" s="1"/>
  <c r="M465" i="7957"/>
  <c r="V675" i="7957"/>
  <c r="W672" i="7957" s="1"/>
  <c r="W674" i="7957" s="1"/>
  <c r="W790" i="7957" s="1"/>
  <c r="P22" i="7957"/>
  <c r="V573" i="7957"/>
  <c r="V574" i="7957" s="1"/>
  <c r="W571" i="7957" s="1"/>
  <c r="T766" i="7957"/>
  <c r="S558" i="7957"/>
  <c r="S559" i="7957" s="1"/>
  <c r="T556" i="7957" s="1"/>
  <c r="W341" i="7957"/>
  <c r="W342" i="7957" s="1"/>
  <c r="I771" i="7957"/>
  <c r="I804" i="7957" s="1"/>
  <c r="K369" i="18"/>
  <c r="I381" i="18"/>
  <c r="I657" i="18" s="1"/>
  <c r="I713" i="7957"/>
  <c r="I785" i="7957"/>
  <c r="I796" i="7957" s="1"/>
  <c r="P296" i="7957"/>
  <c r="O398" i="7957"/>
  <c r="P395" i="7957" s="1"/>
  <c r="S788" i="7957"/>
  <c r="S799" i="7957" s="1"/>
  <c r="T44" i="7957"/>
  <c r="K614" i="7957"/>
  <c r="K615" i="7957" s="1"/>
  <c r="H295" i="7944"/>
  <c r="I23" i="7944" s="1"/>
  <c r="H435" i="7944"/>
  <c r="I33" i="7944" s="1"/>
  <c r="G71" i="7944"/>
  <c r="I72" i="7944"/>
  <c r="I85" i="7944" s="1"/>
  <c r="I338" i="7944"/>
  <c r="I705" i="7957"/>
  <c r="P94" i="7957"/>
  <c r="R55" i="7957"/>
  <c r="P196" i="7957"/>
  <c r="Q193" i="7957" s="1"/>
  <c r="N737" i="7957"/>
  <c r="N64" i="7957"/>
  <c r="O62" i="7957" s="1"/>
  <c r="O34" i="7957"/>
  <c r="P32" i="7957" s="1"/>
  <c r="K580" i="7957"/>
  <c r="K498" i="7957"/>
  <c r="K499" i="7957" s="1"/>
  <c r="K14" i="18"/>
  <c r="K472" i="18" s="1"/>
  <c r="K41" i="7941" s="1"/>
  <c r="K20" i="18"/>
  <c r="K478" i="18" s="1"/>
  <c r="K47" i="7941" s="1"/>
  <c r="H514" i="18"/>
  <c r="H83" i="7941" s="1"/>
  <c r="H211" i="7941" s="1"/>
  <c r="K25" i="18"/>
  <c r="K483" i="18" s="1"/>
  <c r="K52" i="7941" s="1"/>
  <c r="K17" i="18"/>
  <c r="K475" i="18" s="1"/>
  <c r="K44" i="7941" s="1"/>
  <c r="K36" i="18"/>
  <c r="K494" i="18" s="1"/>
  <c r="K63" i="7941" s="1"/>
  <c r="K34" i="18"/>
  <c r="K492" i="18" s="1"/>
  <c r="K61" i="7941" s="1"/>
  <c r="K23" i="18"/>
  <c r="K481" i="18" s="1"/>
  <c r="K50" i="7941" s="1"/>
  <c r="K22" i="18"/>
  <c r="K480" i="18" s="1"/>
  <c r="K49" i="7941" s="1"/>
  <c r="K35" i="18"/>
  <c r="K493" i="18" s="1"/>
  <c r="K62" i="7941" s="1"/>
  <c r="K15" i="18"/>
  <c r="E58" i="7955" s="1"/>
  <c r="K33" i="18"/>
  <c r="K491" i="18" s="1"/>
  <c r="K60" i="7941" s="1"/>
  <c r="K37" i="18"/>
  <c r="K495" i="18" s="1"/>
  <c r="K64" i="7941" s="1"/>
  <c r="K16" i="18"/>
  <c r="E73" i="7955" s="1"/>
  <c r="F73" i="7955" s="1"/>
  <c r="P73" i="7955" s="1"/>
  <c r="Q73" i="7955" s="1"/>
  <c r="R73" i="7955" s="1"/>
  <c r="S73" i="7955" s="1"/>
  <c r="K29" i="18"/>
  <c r="K487" i="18" s="1"/>
  <c r="K56" i="7941" s="1"/>
  <c r="K40" i="18"/>
  <c r="K498" i="18" s="1"/>
  <c r="K67" i="7941" s="1"/>
  <c r="K12" i="18"/>
  <c r="K470" i="18"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E28" i="7955" s="1"/>
  <c r="K38" i="18"/>
  <c r="K496" i="18" s="1"/>
  <c r="K65" i="7941" s="1"/>
  <c r="K217" i="18"/>
  <c r="L217" i="18" s="1"/>
  <c r="E207" i="7955" s="1"/>
  <c r="F207" i="7955" s="1"/>
  <c r="M71" i="7955"/>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K355" i="18" s="1"/>
  <c r="K655" i="18" s="1"/>
  <c r="J26" i="18"/>
  <c r="J484" i="18" s="1"/>
  <c r="J53" i="7941" s="1"/>
  <c r="K269" i="18"/>
  <c r="L269" i="18" s="1"/>
  <c r="J13" i="18"/>
  <c r="E27" i="7955" s="1"/>
  <c r="F27" i="7955" s="1"/>
  <c r="P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F87" i="7955" s="1"/>
  <c r="P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156" i="7942" s="1"/>
  <c r="J41" i="18"/>
  <c r="J499" i="18" s="1"/>
  <c r="J68" i="7941" s="1"/>
  <c r="J19" i="18"/>
  <c r="J477" i="18" s="1"/>
  <c r="J46" i="7941" s="1"/>
  <c r="K373" i="18"/>
  <c r="L373" i="18" s="1"/>
  <c r="K308" i="18"/>
  <c r="L308" i="18" s="1"/>
  <c r="K152" i="18"/>
  <c r="L152" i="18" s="1"/>
  <c r="K243" i="18"/>
  <c r="L243" i="18" s="1"/>
  <c r="E237" i="7955" s="1"/>
  <c r="F237" i="7955"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P85" i="7955" s="1"/>
  <c r="F70" i="7955"/>
  <c r="P70" i="7955" s="1"/>
  <c r="F55" i="7955"/>
  <c r="P55" i="7955" s="1"/>
  <c r="F40" i="7955"/>
  <c r="F25" i="7955"/>
  <c r="P25" i="7955" s="1"/>
  <c r="F10" i="7955"/>
  <c r="P10" i="7955" s="1"/>
  <c r="E101" i="7955"/>
  <c r="F101" i="7955" s="1"/>
  <c r="H127" i="7944"/>
  <c r="I11" i="7944" s="1"/>
  <c r="H197" i="7944"/>
  <c r="I16" i="7944" s="1"/>
  <c r="I228" i="7944"/>
  <c r="I436" i="7944"/>
  <c r="I449" i="7944" s="1"/>
  <c r="J34" i="7944" s="1"/>
  <c r="I114" i="7944"/>
  <c r="H477" i="7944"/>
  <c r="I36" i="7944" s="1"/>
  <c r="H155" i="7944"/>
  <c r="I13" i="7944" s="1"/>
  <c r="H169" i="7944"/>
  <c r="I14" i="7944" s="1"/>
  <c r="H225" i="7944"/>
  <c r="I18" i="7944" s="1"/>
  <c r="H183" i="7944"/>
  <c r="I15" i="7944" s="1"/>
  <c r="H421" i="7944"/>
  <c r="I32" i="7944" s="1"/>
  <c r="I478" i="7944"/>
  <c r="J478" i="7944" s="1"/>
  <c r="I256" i="7944"/>
  <c r="J256" i="7944" s="1"/>
  <c r="H253" i="7944"/>
  <c r="I20" i="7944" s="1"/>
  <c r="H323" i="7944"/>
  <c r="I25" i="7944" s="1"/>
  <c r="H337" i="7944"/>
  <c r="I26" i="7944" s="1"/>
  <c r="J239" i="18"/>
  <c r="J251" i="18" s="1"/>
  <c r="J647" i="18" s="1"/>
  <c r="I291" i="18"/>
  <c r="I303" i="18" s="1"/>
  <c r="I651" i="18" s="1"/>
  <c r="I356" i="18"/>
  <c r="I368" i="18" s="1"/>
  <c r="I656" i="18" s="1"/>
  <c r="I226" i="18"/>
  <c r="I238" i="18" s="1"/>
  <c r="I646" i="18" s="1"/>
  <c r="K633" i="18"/>
  <c r="K636" i="18"/>
  <c r="N183" i="1"/>
  <c r="M184" i="1"/>
  <c r="I278" i="18"/>
  <c r="I290" i="18" s="1"/>
  <c r="I650" i="18" s="1"/>
  <c r="I265" i="18"/>
  <c r="I277" i="18" s="1"/>
  <c r="I649" i="18" s="1"/>
  <c r="I304" i="18"/>
  <c r="I316" i="18" s="1"/>
  <c r="I652" i="18" s="1"/>
  <c r="I174" i="18"/>
  <c r="I186" i="18" s="1"/>
  <c r="I642" i="18" s="1"/>
  <c r="K489" i="18"/>
  <c r="K58" i="7941" s="1"/>
  <c r="K637" i="18"/>
  <c r="K634" i="18"/>
  <c r="K632" i="18"/>
  <c r="H224" i="7941"/>
  <c r="K173" i="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F164" i="7955" s="1"/>
  <c r="L143" i="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44" i="1"/>
  <c r="L158" i="1"/>
  <c r="L27" i="18" s="1"/>
  <c r="E239" i="7955" s="1"/>
  <c r="F239" i="7955" s="1"/>
  <c r="L145" i="1"/>
  <c r="L168" i="1"/>
  <c r="L37" i="18" s="1"/>
  <c r="L165" i="1"/>
  <c r="L34" i="18" s="1"/>
  <c r="E344" i="7955" s="1"/>
  <c r="F344" i="7955" s="1"/>
  <c r="L147" i="1"/>
  <c r="L35" i="18"/>
  <c r="E359" i="7955" s="1"/>
  <c r="F359" i="7955" s="1"/>
  <c r="I459" i="18"/>
  <c r="I687" i="18" s="1"/>
  <c r="K202" i="18"/>
  <c r="I444" i="18"/>
  <c r="I672" i="18" s="1"/>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P86" i="7955" s="1"/>
  <c r="I351" i="7944"/>
  <c r="J27" i="7944" s="1"/>
  <c r="I183" i="7944"/>
  <c r="J15" i="7944" s="1"/>
  <c r="I281" i="7944"/>
  <c r="J22" i="7944" s="1"/>
  <c r="G227" i="7941"/>
  <c r="H35" i="7941"/>
  <c r="H531" i="18"/>
  <c r="H100" i="7941" s="1"/>
  <c r="I36" i="7941" s="1"/>
  <c r="G217" i="7941"/>
  <c r="H25" i="7941"/>
  <c r="G213" i="7941"/>
  <c r="H21" i="7941"/>
  <c r="I252" i="18"/>
  <c r="I264" i="18" s="1"/>
  <c r="I648" i="18" s="1"/>
  <c r="I120" i="7942"/>
  <c r="I305" i="7942"/>
  <c r="I275" i="7942"/>
  <c r="I313" i="7942"/>
  <c r="I319" i="7942"/>
  <c r="I291" i="7942"/>
  <c r="I315" i="7942"/>
  <c r="I301" i="7942"/>
  <c r="I279" i="7942"/>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F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F130" i="7955" s="1"/>
  <c r="L320" i="18"/>
  <c r="E326" i="7955" s="1"/>
  <c r="F326" i="7955" s="1"/>
  <c r="L268" i="18"/>
  <c r="E266" i="7955" s="1"/>
  <c r="F266" i="7955" s="1"/>
  <c r="L374" i="18"/>
  <c r="L166" i="18"/>
  <c r="L309" i="18"/>
  <c r="L296" i="18"/>
  <c r="E298" i="7955" s="1"/>
  <c r="F298" i="7955" s="1"/>
  <c r="L231" i="18"/>
  <c r="L163" i="18"/>
  <c r="E145" i="7955" s="1"/>
  <c r="F145" i="7955" s="1"/>
  <c r="L254" i="18"/>
  <c r="E250" i="7955" s="1"/>
  <c r="F250" i="7955" s="1"/>
  <c r="L153" i="18"/>
  <c r="L397" i="18"/>
  <c r="E415" i="7955" s="1"/>
  <c r="F415" i="7955" s="1"/>
  <c r="L359" i="18"/>
  <c r="E371" i="7955" s="1"/>
  <c r="F371" i="7955" s="1"/>
  <c r="L322" i="18"/>
  <c r="L426" i="18"/>
  <c r="L369" i="18"/>
  <c r="L317" i="18"/>
  <c r="L151" i="18"/>
  <c r="E131" i="7955" s="1"/>
  <c r="F131" i="7955" s="1"/>
  <c r="L280" i="18"/>
  <c r="E280" i="7955" s="1"/>
  <c r="F280" i="7955" s="1"/>
  <c r="L257" i="18"/>
  <c r="L343" i="18"/>
  <c r="L348" i="18"/>
  <c r="L345" i="18"/>
  <c r="E355" i="7955" s="1"/>
  <c r="F355" i="7955" s="1"/>
  <c r="L164" i="18"/>
  <c r="E146" i="7955" s="1"/>
  <c r="F146" i="7955" s="1"/>
  <c r="L242" i="18"/>
  <c r="E236" i="7955" s="1"/>
  <c r="F236" i="7955" s="1"/>
  <c r="L400" i="18"/>
  <c r="L358" i="18"/>
  <c r="E370" i="7955" s="1"/>
  <c r="F370" i="7955" s="1"/>
  <c r="L218" i="18"/>
  <c r="L335" i="18"/>
  <c r="L244" i="18"/>
  <c r="L176" i="18"/>
  <c r="E160" i="7955" s="1"/>
  <c r="F160" i="7955" s="1"/>
  <c r="L203" i="18"/>
  <c r="E191" i="7955" s="1"/>
  <c r="F191" i="7955" s="1"/>
  <c r="L190" i="18"/>
  <c r="E176" i="7955" s="1"/>
  <c r="F176" i="7955" s="1"/>
  <c r="L307" i="18"/>
  <c r="E311" i="7955" s="1"/>
  <c r="F311" i="7955" s="1"/>
  <c r="H17" i="7941"/>
  <c r="G209" i="7941"/>
  <c r="G216" i="7941"/>
  <c r="H24" i="7941"/>
  <c r="I152" i="7942"/>
  <c r="I463" i="7944"/>
  <c r="J35" i="7944" s="1"/>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450" i="7944"/>
  <c r="J228" i="7944"/>
  <c r="J142" i="7944"/>
  <c r="J327" i="7944"/>
  <c r="J394" i="7944"/>
  <c r="J174" i="7944"/>
  <c r="J144" i="7944"/>
  <c r="J312" i="7944"/>
  <c r="J170" i="7944"/>
  <c r="J114" i="7944"/>
  <c r="J398" i="7944"/>
  <c r="J272" i="7944"/>
  <c r="J90" i="7944"/>
  <c r="J86" i="7944"/>
  <c r="J454" i="7944"/>
  <c r="J156" i="7944"/>
  <c r="J482" i="7944"/>
  <c r="J75" i="7944"/>
  <c r="J368" i="7944"/>
  <c r="J300" i="7944"/>
  <c r="J370" i="7944"/>
  <c r="J103" i="7944"/>
  <c r="J326" i="7944"/>
  <c r="J466" i="7944"/>
  <c r="J88" i="7944"/>
  <c r="J352" i="7944"/>
  <c r="J440" i="7944"/>
  <c r="J424" i="7944"/>
  <c r="J342" i="7944"/>
  <c r="J216" i="7944"/>
  <c r="J397" i="7944"/>
  <c r="J396" i="7944"/>
  <c r="J282" i="7944"/>
  <c r="J270" i="7944"/>
  <c r="J438" i="7944"/>
  <c r="J215" i="7944"/>
  <c r="J200"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354"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J33" i="7944" s="1"/>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H682" i="18"/>
  <c r="H518" i="18" s="1"/>
  <c r="I639" i="18"/>
  <c r="F100" i="7955"/>
  <c r="I11" i="18"/>
  <c r="J135" i="18"/>
  <c r="I225" i="7944"/>
  <c r="I155" i="7944"/>
  <c r="I337" i="7944"/>
  <c r="I365" i="7944"/>
  <c r="I197" i="7944"/>
  <c r="I309" i="7944"/>
  <c r="J24" i="7944" s="1"/>
  <c r="G219" i="7941"/>
  <c r="H510" i="18"/>
  <c r="G225" i="7941"/>
  <c r="H33" i="7941"/>
  <c r="H517" i="18"/>
  <c r="H639" i="18"/>
  <c r="G102" i="7941"/>
  <c r="I327" i="7942"/>
  <c r="I299" i="7942"/>
  <c r="I134" i="7942"/>
  <c r="I311" i="7942"/>
  <c r="I140" i="7942"/>
  <c r="I323" i="7942"/>
  <c r="I136" i="7942"/>
  <c r="I317" i="7942"/>
  <c r="I325" i="7942"/>
  <c r="I158" i="7942"/>
  <c r="L7" i="7942"/>
  <c r="I395" i="18"/>
  <c r="K213" i="18"/>
  <c r="L213" i="18" s="1"/>
  <c r="K187" i="18"/>
  <c r="H220" i="7941"/>
  <c r="I28" i="7941"/>
  <c r="H39" i="7941"/>
  <c r="H469" i="18"/>
  <c r="J4" i="7942"/>
  <c r="J4" i="18"/>
  <c r="J176" i="1"/>
  <c r="J74" i="1"/>
  <c r="J108" i="1" s="1"/>
  <c r="J4" i="7944"/>
  <c r="J4" i="7941"/>
  <c r="J142" i="1"/>
  <c r="I211" i="7944"/>
  <c r="J17" i="7944" s="1"/>
  <c r="I323" i="7944"/>
  <c r="J25" i="7944" s="1"/>
  <c r="I379" i="7944"/>
  <c r="J29" i="7944" s="1"/>
  <c r="I407" i="7944"/>
  <c r="J31" i="7944" s="1"/>
  <c r="I141" i="7944"/>
  <c r="J12" i="7944" s="1"/>
  <c r="I421" i="7944"/>
  <c r="J32" i="7944" s="1"/>
  <c r="I477" i="7944"/>
  <c r="I253" i="7944"/>
  <c r="J20" i="7944" s="1"/>
  <c r="I239" i="7944"/>
  <c r="I127"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I13" i="7941"/>
  <c r="H205" i="7941"/>
  <c r="H521" i="18"/>
  <c r="H268" i="7942"/>
  <c r="I148" i="18"/>
  <c r="H692" i="18"/>
  <c r="K239" i="18" l="1"/>
  <c r="J26" i="7944"/>
  <c r="J174" i="18"/>
  <c r="J186" i="18" s="1"/>
  <c r="J642" i="18" s="1"/>
  <c r="E88" i="7955"/>
  <c r="F88" i="7955" s="1"/>
  <c r="P88" i="7955" s="1"/>
  <c r="J265" i="18"/>
  <c r="J28" i="7944"/>
  <c r="I491" i="7944"/>
  <c r="J37" i="7944" s="1"/>
  <c r="J436" i="7944"/>
  <c r="J449" i="7944" s="1"/>
  <c r="K34" i="7944" s="1"/>
  <c r="E312" i="7955"/>
  <c r="F312" i="7955" s="1"/>
  <c r="O63" i="7957"/>
  <c r="O737" i="7957" s="1"/>
  <c r="O798" i="7957"/>
  <c r="J19" i="7944"/>
  <c r="K161" i="18"/>
  <c r="K173" i="18" s="1"/>
  <c r="K641" i="18" s="1"/>
  <c r="J23" i="7944"/>
  <c r="J72" i="7944"/>
  <c r="I523" i="18"/>
  <c r="I92" i="7941" s="1"/>
  <c r="J28" i="7941" s="1"/>
  <c r="J356" i="18"/>
  <c r="J368" i="18" s="1"/>
  <c r="J656" i="18" s="1"/>
  <c r="E133" i="7955"/>
  <c r="F133" i="7955" s="1"/>
  <c r="N799" i="7957"/>
  <c r="N140" i="7957"/>
  <c r="O137" i="7957" s="1"/>
  <c r="N164" i="7957"/>
  <c r="N738" i="7957" s="1"/>
  <c r="O529" i="7957"/>
  <c r="P526" i="7957" s="1"/>
  <c r="N660" i="7957"/>
  <c r="O657" i="7957" s="1"/>
  <c r="O659" i="7957" s="1"/>
  <c r="O788" i="7957" s="1"/>
  <c r="L357" i="7957"/>
  <c r="L364" i="7957"/>
  <c r="K367" i="7957"/>
  <c r="L13" i="18"/>
  <c r="L17" i="18"/>
  <c r="L475" i="18" s="1"/>
  <c r="L44" i="7941" s="1"/>
  <c r="E116" i="7955"/>
  <c r="F116" i="7955" s="1"/>
  <c r="E115" i="7955"/>
  <c r="F115" i="7955" s="1"/>
  <c r="L18" i="18"/>
  <c r="E104" i="7955" s="1"/>
  <c r="F104" i="7955" s="1"/>
  <c r="L15" i="18"/>
  <c r="L473" i="18" s="1"/>
  <c r="L42" i="7941" s="1"/>
  <c r="L16" i="18"/>
  <c r="E74" i="7955" s="1"/>
  <c r="F74" i="7955" s="1"/>
  <c r="M74" i="7955" s="1"/>
  <c r="L139" i="18"/>
  <c r="L14" i="18"/>
  <c r="E44" i="7955" s="1"/>
  <c r="L12" i="18"/>
  <c r="L470" i="18" s="1"/>
  <c r="L39" i="7941" s="1"/>
  <c r="L19" i="18"/>
  <c r="E119" i="7955" s="1"/>
  <c r="F119" i="7955" s="1"/>
  <c r="E252" i="7955"/>
  <c r="F252" i="7955" s="1"/>
  <c r="K471" i="18"/>
  <c r="K40" i="7941" s="1"/>
  <c r="E43" i="7955"/>
  <c r="F43" i="7955" s="1"/>
  <c r="J14" i="7944"/>
  <c r="J9" i="7944"/>
  <c r="J197" i="7944"/>
  <c r="M468" i="7957"/>
  <c r="L265" i="7957"/>
  <c r="L739" i="7957" s="1"/>
  <c r="L791" i="7957"/>
  <c r="L802" i="7957" s="1"/>
  <c r="L241" i="7957"/>
  <c r="M238" i="7957" s="1"/>
  <c r="M459" i="7957"/>
  <c r="N456" i="7957" s="1"/>
  <c r="R56" i="7957"/>
  <c r="S54" i="7957" s="1"/>
  <c r="S55" i="7957" s="1"/>
  <c r="W675" i="7957"/>
  <c r="W768" i="7957"/>
  <c r="W801" i="7957" s="1"/>
  <c r="E27" i="7958" s="1"/>
  <c r="K583" i="7957"/>
  <c r="L496" i="7957"/>
  <c r="J702" i="7957"/>
  <c r="I714" i="7957"/>
  <c r="P397" i="7957"/>
  <c r="T558" i="7957"/>
  <c r="T559" i="7957" s="1"/>
  <c r="U556" i="7957" s="1"/>
  <c r="W573" i="7957"/>
  <c r="W574" i="7957" s="1"/>
  <c r="L612" i="7957"/>
  <c r="J36" i="7944"/>
  <c r="J16" i="7944"/>
  <c r="J18" i="7944"/>
  <c r="J226" i="18"/>
  <c r="J238" i="18" s="1"/>
  <c r="J646" i="18" s="1"/>
  <c r="I267" i="7944"/>
  <c r="J21" i="7944" s="1"/>
  <c r="P764" i="7957"/>
  <c r="P33" i="7957"/>
  <c r="P786" i="7957" s="1"/>
  <c r="Q195" i="7957"/>
  <c r="P297" i="7957"/>
  <c r="Q294" i="7957" s="1"/>
  <c r="H43" i="18"/>
  <c r="P23" i="7957"/>
  <c r="Q21" i="7957" s="1"/>
  <c r="K582" i="7957"/>
  <c r="K742" i="7957" s="1"/>
  <c r="K745" i="7957" s="1"/>
  <c r="K793" i="7957" s="1"/>
  <c r="P95" i="7957"/>
  <c r="Q92" i="7957" s="1"/>
  <c r="T45" i="7957"/>
  <c r="U43" i="7957" s="1"/>
  <c r="E118" i="7955"/>
  <c r="F118" i="7955" s="1"/>
  <c r="I19" i="7941"/>
  <c r="J11" i="7944"/>
  <c r="I450" i="18"/>
  <c r="I678" i="18" s="1"/>
  <c r="I514" i="18" s="1"/>
  <c r="I83" i="7941" s="1"/>
  <c r="E13" i="7955"/>
  <c r="F13" i="7955" s="1"/>
  <c r="P13" i="7955" s="1"/>
  <c r="E372" i="7955"/>
  <c r="F372" i="7955" s="1"/>
  <c r="E418" i="7955"/>
  <c r="F418" i="7955" s="1"/>
  <c r="K199" i="18"/>
  <c r="K643" i="18" s="1"/>
  <c r="E373" i="7955"/>
  <c r="F373" i="7955" s="1"/>
  <c r="E253" i="7955"/>
  <c r="F253" i="7955" s="1"/>
  <c r="E148" i="7955"/>
  <c r="F148" i="7955" s="1"/>
  <c r="E178" i="7955"/>
  <c r="F178" i="7955" s="1"/>
  <c r="E208" i="7955"/>
  <c r="F208" i="7955" s="1"/>
  <c r="E343" i="7955"/>
  <c r="F343" i="7955" s="1"/>
  <c r="E448" i="7955"/>
  <c r="F448" i="7955" s="1"/>
  <c r="E388" i="7955"/>
  <c r="F388" i="7955" s="1"/>
  <c r="E163" i="7955"/>
  <c r="F163" i="7955" s="1"/>
  <c r="E313" i="7955"/>
  <c r="F313" i="7955" s="1"/>
  <c r="E403" i="7955"/>
  <c r="F403" i="7955" s="1"/>
  <c r="E193" i="7955"/>
  <c r="F193" i="7955" s="1"/>
  <c r="E358" i="7955"/>
  <c r="F358" i="7955" s="1"/>
  <c r="K474" i="18"/>
  <c r="K43" i="7941" s="1"/>
  <c r="K156" i="7942"/>
  <c r="L156" i="7942" s="1"/>
  <c r="J144" i="7942"/>
  <c r="K144" i="7942" s="1"/>
  <c r="I7" i="7944"/>
  <c r="K11" i="18"/>
  <c r="L347" i="18"/>
  <c r="E357" i="7955" s="1"/>
  <c r="F357" i="7955" s="1"/>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L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F57" i="7955" s="1"/>
  <c r="P57" i="7955" s="1"/>
  <c r="E103" i="7955"/>
  <c r="F103" i="7955" s="1"/>
  <c r="J150" i="7942"/>
  <c r="K150" i="7942" s="1"/>
  <c r="L150" i="7942" s="1"/>
  <c r="J148" i="7942"/>
  <c r="K148" i="7942" s="1"/>
  <c r="M73" i="7955"/>
  <c r="M70" i="7955"/>
  <c r="J278" i="18"/>
  <c r="J290" i="18" s="1"/>
  <c r="J650" i="18" s="1"/>
  <c r="I508" i="18"/>
  <c r="I77" i="7941" s="1"/>
  <c r="J13" i="7941" s="1"/>
  <c r="E177" i="7955"/>
  <c r="F177" i="7955" s="1"/>
  <c r="E12" i="7955"/>
  <c r="F12" i="7955" s="1"/>
  <c r="P12" i="7955" s="1"/>
  <c r="E387" i="7955"/>
  <c r="F387" i="7955" s="1"/>
  <c r="K381" i="18"/>
  <c r="K657" i="18" s="1"/>
  <c r="K251" i="18"/>
  <c r="K647" i="18" s="1"/>
  <c r="E447" i="7955"/>
  <c r="F447" i="7955" s="1"/>
  <c r="J471" i="18"/>
  <c r="J40" i="7941" s="1"/>
  <c r="E297" i="7955"/>
  <c r="F297" i="7955" s="1"/>
  <c r="E327" i="7955"/>
  <c r="F327" i="7955" s="1"/>
  <c r="E432" i="7955"/>
  <c r="F432" i="7955" s="1"/>
  <c r="L122" i="18"/>
  <c r="E98" i="7955" s="1"/>
  <c r="F98" i="7955" s="1"/>
  <c r="E342" i="7955"/>
  <c r="F342" i="7955" s="1"/>
  <c r="E162" i="7955"/>
  <c r="F162" i="7955" s="1"/>
  <c r="E147" i="7955"/>
  <c r="F147" i="7955" s="1"/>
  <c r="E132" i="7955"/>
  <c r="F132" i="7955" s="1"/>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58" i="7955"/>
  <c r="P58" i="7955" s="1"/>
  <c r="L480" i="18"/>
  <c r="L49" i="7941" s="1"/>
  <c r="E224" i="7955"/>
  <c r="F224" i="7955" s="1"/>
  <c r="M7" i="7942"/>
  <c r="J291" i="18"/>
  <c r="K291" i="18" s="1"/>
  <c r="J408" i="18"/>
  <c r="J420" i="18" s="1"/>
  <c r="J660" i="18" s="1"/>
  <c r="K174" i="18"/>
  <c r="K186" i="18" s="1"/>
  <c r="K642" i="18" s="1"/>
  <c r="J421" i="18"/>
  <c r="J433" i="18" s="1"/>
  <c r="J661" i="18" s="1"/>
  <c r="L202" i="18"/>
  <c r="E190" i="7955" s="1"/>
  <c r="F190" i="7955" s="1"/>
  <c r="O183" i="1"/>
  <c r="N184" i="1"/>
  <c r="L481" i="18"/>
  <c r="L50" i="7941" s="1"/>
  <c r="L477" i="18"/>
  <c r="L46" i="7941" s="1"/>
  <c r="L489" i="18"/>
  <c r="L58" i="7941" s="1"/>
  <c r="E179" i="7955"/>
  <c r="F179" i="7955" s="1"/>
  <c r="L492" i="18"/>
  <c r="L61" i="7941" s="1"/>
  <c r="L483" i="18"/>
  <c r="L52" i="7941" s="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E29" i="7955"/>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173" i="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H38" i="7941"/>
  <c r="J379" i="7944"/>
  <c r="K29" i="7944" s="1"/>
  <c r="J211" i="7944"/>
  <c r="K17" i="7944" s="1"/>
  <c r="J85" i="7944"/>
  <c r="J435" i="7944"/>
  <c r="K33" i="7944" s="1"/>
  <c r="J99" i="7944"/>
  <c r="K9" i="7944" s="1"/>
  <c r="J459" i="18"/>
  <c r="H87" i="7941"/>
  <c r="I454" i="18"/>
  <c r="H89" i="7941"/>
  <c r="H217" i="7941" s="1"/>
  <c r="I456" i="18"/>
  <c r="E434" i="7955"/>
  <c r="F434" i="7955" s="1"/>
  <c r="L498" i="18"/>
  <c r="L67" i="7941" s="1"/>
  <c r="H86" i="7941"/>
  <c r="I453" i="18"/>
  <c r="H528" i="18"/>
  <c r="E353" i="7955"/>
  <c r="J120" i="7942"/>
  <c r="J273" i="7942"/>
  <c r="K273" i="7942" s="1"/>
  <c r="L487" i="18"/>
  <c r="L56" i="7941" s="1"/>
  <c r="E269" i="7955"/>
  <c r="F269" i="7955" s="1"/>
  <c r="J337" i="7944"/>
  <c r="J477" i="7944"/>
  <c r="L499" i="18"/>
  <c r="L68" i="7941" s="1"/>
  <c r="E449" i="7955"/>
  <c r="F449" i="7955" s="1"/>
  <c r="I342" i="18"/>
  <c r="I654" i="18" s="1"/>
  <c r="J330" i="18"/>
  <c r="J342" i="18" s="1"/>
  <c r="J654" i="18" s="1"/>
  <c r="I689" i="18"/>
  <c r="I525" i="18" s="1"/>
  <c r="I94" i="7941" s="1"/>
  <c r="E134" i="7955"/>
  <c r="F134" i="7955" s="1"/>
  <c r="L478" i="18"/>
  <c r="L47" i="7941" s="1"/>
  <c r="K225" i="18"/>
  <c r="K645" i="18" s="1"/>
  <c r="E203" i="7955"/>
  <c r="E404" i="7955"/>
  <c r="F404" i="7955" s="1"/>
  <c r="L496" i="18"/>
  <c r="L65" i="7941" s="1"/>
  <c r="J325" i="7942"/>
  <c r="H509" i="18"/>
  <c r="H631" i="18"/>
  <c r="H79" i="7941"/>
  <c r="I446" i="18"/>
  <c r="J303" i="18"/>
  <c r="J651" i="18" s="1"/>
  <c r="J147" i="18"/>
  <c r="K135" i="18"/>
  <c r="I467" i="18"/>
  <c r="J162" i="7942"/>
  <c r="J293" i="7942"/>
  <c r="K293" i="7942" s="1"/>
  <c r="J289" i="7942"/>
  <c r="J239" i="7944"/>
  <c r="K19" i="7944" s="1"/>
  <c r="J253" i="7944"/>
  <c r="K20" i="7944" s="1"/>
  <c r="J351" i="7944"/>
  <c r="K27" i="7944" s="1"/>
  <c r="J295" i="7944"/>
  <c r="K23" i="7944" s="1"/>
  <c r="J183" i="7944"/>
  <c r="K15" i="7944" s="1"/>
  <c r="J407" i="7944"/>
  <c r="K31" i="7944" s="1"/>
  <c r="J463" i="7944"/>
  <c r="K35" i="7944" s="1"/>
  <c r="J113" i="7944"/>
  <c r="K10" i="7944" s="1"/>
  <c r="L329" i="18"/>
  <c r="L653" i="18" s="1"/>
  <c r="L239" i="18"/>
  <c r="L251" i="18" s="1"/>
  <c r="L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139"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J158" i="7942"/>
  <c r="K158" i="7942" s="1"/>
  <c r="J134" i="7942"/>
  <c r="K134" i="7942" s="1"/>
  <c r="J39" i="7941"/>
  <c r="K26" i="7944"/>
  <c r="J285" i="7942"/>
  <c r="J267" i="7944"/>
  <c r="J491" i="7944"/>
  <c r="K37" i="7944" s="1"/>
  <c r="J281" i="7944"/>
  <c r="K22" i="7944" s="1"/>
  <c r="J225" i="7944"/>
  <c r="K18" i="7944" s="1"/>
  <c r="J169" i="7944"/>
  <c r="J393" i="7944"/>
  <c r="K30" i="7944" s="1"/>
  <c r="I24" i="7941"/>
  <c r="H216" i="7941"/>
  <c r="I17" i="7941"/>
  <c r="H209" i="7941"/>
  <c r="L384" i="18"/>
  <c r="M384" i="18" s="1"/>
  <c r="L187" i="18"/>
  <c r="L199" i="18" s="1"/>
  <c r="L643" i="18" s="1"/>
  <c r="E323" i="7955"/>
  <c r="J275" i="7942"/>
  <c r="K275" i="7942" s="1"/>
  <c r="K39" i="7941"/>
  <c r="J8" i="7944"/>
  <c r="J126" i="7942"/>
  <c r="H84" i="7941"/>
  <c r="I451" i="18"/>
  <c r="H90" i="7941"/>
  <c r="I457" i="18"/>
  <c r="I691" i="18"/>
  <c r="I527" i="18" s="1"/>
  <c r="I96" i="7941" s="1"/>
  <c r="K4" i="18"/>
  <c r="K74" i="1"/>
  <c r="K108" i="1" s="1"/>
  <c r="K4" i="7941"/>
  <c r="K4" i="7942"/>
  <c r="K142" i="1"/>
  <c r="K176" i="1"/>
  <c r="K4" i="7944"/>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450"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200"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228" i="7944"/>
  <c r="K76" i="7944"/>
  <c r="K408" i="7944"/>
  <c r="K385" i="7944"/>
  <c r="K396" i="7944"/>
  <c r="K102" i="7944"/>
  <c r="K259" i="7944"/>
  <c r="K147" i="7944"/>
  <c r="K357" i="7944"/>
  <c r="K242" i="7944"/>
  <c r="K426" i="7944"/>
  <c r="K133" i="7944"/>
  <c r="K90" i="7944"/>
  <c r="K144" i="7944"/>
  <c r="K425" i="7944"/>
  <c r="K188" i="7944"/>
  <c r="K282" i="7944"/>
  <c r="K397" i="7944"/>
  <c r="K478" i="7944"/>
  <c r="K186" i="7944"/>
  <c r="K299" i="7944"/>
  <c r="K341"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J277" i="18"/>
  <c r="J649" i="18" s="1"/>
  <c r="K265" i="18"/>
  <c r="L479" i="18"/>
  <c r="L48" i="7941" s="1"/>
  <c r="E149" i="7955"/>
  <c r="F149" i="7955" s="1"/>
  <c r="I407" i="18"/>
  <c r="I659" i="18" s="1"/>
  <c r="J395" i="18"/>
  <c r="J407" i="18" s="1"/>
  <c r="J659" i="18" s="1"/>
  <c r="F188" i="7955"/>
  <c r="J309" i="7944"/>
  <c r="K24" i="7944" s="1"/>
  <c r="J421" i="7944"/>
  <c r="K32" i="7944" s="1"/>
  <c r="J323" i="7944"/>
  <c r="K25" i="7944" s="1"/>
  <c r="J365" i="7944"/>
  <c r="J127" i="7944"/>
  <c r="J141" i="7944"/>
  <c r="K12" i="7944" s="1"/>
  <c r="L161" i="18"/>
  <c r="L173" i="18" s="1"/>
  <c r="L641" i="18" s="1"/>
  <c r="J315" i="7942"/>
  <c r="I21" i="7941"/>
  <c r="H213" i="7941"/>
  <c r="H82" i="7941"/>
  <c r="I449" i="18"/>
  <c r="F28" i="7955"/>
  <c r="P28" i="7955" s="1"/>
  <c r="N165" i="7957" l="1"/>
  <c r="K356" i="18"/>
  <c r="K368" i="18" s="1"/>
  <c r="K656" i="18" s="1"/>
  <c r="K16" i="7944"/>
  <c r="I71" i="7944"/>
  <c r="L472" i="18"/>
  <c r="L41" i="7941" s="1"/>
  <c r="L11" i="18"/>
  <c r="L476" i="18"/>
  <c r="L45" i="7941" s="1"/>
  <c r="L174" i="18"/>
  <c r="L186" i="18" s="1"/>
  <c r="L642" i="18" s="1"/>
  <c r="K28" i="7944"/>
  <c r="K436" i="7944"/>
  <c r="L436" i="7944" s="1"/>
  <c r="K14" i="7944"/>
  <c r="L471" i="18"/>
  <c r="L40" i="7941" s="1"/>
  <c r="O64" i="7957"/>
  <c r="P62" i="7957" s="1"/>
  <c r="O766" i="7957"/>
  <c r="O799" i="7957" s="1"/>
  <c r="L474" i="18"/>
  <c r="L43" i="7941" s="1"/>
  <c r="E59" i="7955"/>
  <c r="F59" i="7955" s="1"/>
  <c r="E14" i="7955"/>
  <c r="F14" i="7955" s="1"/>
  <c r="P14" i="7955" s="1"/>
  <c r="O139" i="7957"/>
  <c r="O162" i="7957"/>
  <c r="P528" i="7957"/>
  <c r="P765" i="7957"/>
  <c r="L358" i="7957"/>
  <c r="M355" i="7957" s="1"/>
  <c r="M357" i="7957" s="1"/>
  <c r="L366" i="7957"/>
  <c r="L740" i="7957" s="1"/>
  <c r="E89" i="7955"/>
  <c r="F89" i="7955" s="1"/>
  <c r="E117" i="7955"/>
  <c r="F117" i="7955" s="1"/>
  <c r="J19" i="7941"/>
  <c r="K11" i="7944"/>
  <c r="K21" i="7944"/>
  <c r="O660" i="7957"/>
  <c r="P657" i="7957" s="1"/>
  <c r="P766" i="7957" s="1"/>
  <c r="M240" i="7957"/>
  <c r="M769" i="7957"/>
  <c r="M263" i="7957"/>
  <c r="P659" i="7957"/>
  <c r="P788" i="7957" s="1"/>
  <c r="L266" i="7957"/>
  <c r="S56" i="7957"/>
  <c r="T54" i="7957" s="1"/>
  <c r="T55" i="7957" s="1"/>
  <c r="N458" i="7957"/>
  <c r="N465" i="7957"/>
  <c r="Q196" i="7957"/>
  <c r="R193" i="7957" s="1"/>
  <c r="R195" i="7957" s="1"/>
  <c r="U558" i="7957"/>
  <c r="U559" i="7957" s="1"/>
  <c r="V556" i="7957" s="1"/>
  <c r="K278" i="18"/>
  <c r="K290" i="18" s="1"/>
  <c r="K650" i="18" s="1"/>
  <c r="K36" i="7944"/>
  <c r="U766" i="7957"/>
  <c r="P63" i="7957"/>
  <c r="Q296" i="7957"/>
  <c r="P797" i="7957"/>
  <c r="U44" i="7957"/>
  <c r="L580" i="7957"/>
  <c r="L498" i="7957"/>
  <c r="L499" i="7957" s="1"/>
  <c r="L614" i="7957"/>
  <c r="L615" i="7957" s="1"/>
  <c r="P398" i="7957"/>
  <c r="Q395" i="7957" s="1"/>
  <c r="J704" i="7957"/>
  <c r="J705" i="7957" s="1"/>
  <c r="J711" i="7957"/>
  <c r="J763" i="7957"/>
  <c r="K226" i="18"/>
  <c r="K238" i="18" s="1"/>
  <c r="K646" i="18" s="1"/>
  <c r="Q94" i="7957"/>
  <c r="Q22" i="7957"/>
  <c r="Q23" i="7957" s="1"/>
  <c r="R21" i="7957" s="1"/>
  <c r="P34" i="7957"/>
  <c r="Q32" i="7957" s="1"/>
  <c r="T643" i="18"/>
  <c r="M122" i="18"/>
  <c r="N122" i="18" s="1"/>
  <c r="L144" i="7942"/>
  <c r="M144" i="7942" s="1"/>
  <c r="T641" i="18"/>
  <c r="L301" i="7942"/>
  <c r="M301" i="7942" s="1"/>
  <c r="L302" i="7942" s="1"/>
  <c r="M150" i="7942"/>
  <c r="L151" i="7942" s="1"/>
  <c r="K469" i="18"/>
  <c r="M347" i="18"/>
  <c r="N347" i="18" s="1"/>
  <c r="L355" i="18"/>
  <c r="L655" i="18" s="1"/>
  <c r="T655" i="18" s="1"/>
  <c r="L269" i="7942"/>
  <c r="M269" i="7942" s="1"/>
  <c r="L270" i="7942" s="1"/>
  <c r="K38" i="7941"/>
  <c r="M128" i="7942"/>
  <c r="L129" i="7942" s="1"/>
  <c r="J444" i="18"/>
  <c r="J672" i="18" s="1"/>
  <c r="J508" i="18" s="1"/>
  <c r="J77" i="7941" s="1"/>
  <c r="K13" i="7941" s="1"/>
  <c r="L148" i="7942"/>
  <c r="M148" i="7942" s="1"/>
  <c r="F72" i="7955"/>
  <c r="P72" i="7955" s="1"/>
  <c r="Q72" i="7955" s="1"/>
  <c r="R72" i="7955" s="1"/>
  <c r="L356" i="18"/>
  <c r="L368" i="18" s="1"/>
  <c r="L656" i="18" s="1"/>
  <c r="T656" i="18" s="1"/>
  <c r="Q74" i="7955"/>
  <c r="R74" i="7955" s="1"/>
  <c r="S74" i="7955" s="1"/>
  <c r="T74" i="7955" s="1"/>
  <c r="L164" i="7942"/>
  <c r="M164" i="7942" s="1"/>
  <c r="T647" i="18"/>
  <c r="M313" i="7942"/>
  <c r="L314" i="7942" s="1"/>
  <c r="M146" i="7942"/>
  <c r="L147" i="7942" s="1"/>
  <c r="M156" i="7942"/>
  <c r="L157" i="7942" s="1"/>
  <c r="M307" i="7942"/>
  <c r="L308" i="7942" s="1"/>
  <c r="K13" i="7944"/>
  <c r="M202" i="18"/>
  <c r="N202" i="18" s="1"/>
  <c r="M140" i="7942"/>
  <c r="L141" i="7942" s="1"/>
  <c r="F42" i="7955"/>
  <c r="P50" i="7955" s="1"/>
  <c r="L134" i="18"/>
  <c r="E102" i="7955"/>
  <c r="F102" i="7955" s="1"/>
  <c r="J38" i="7941"/>
  <c r="J469" i="18"/>
  <c r="F29" i="7955"/>
  <c r="P29" i="7955" s="1"/>
  <c r="L212" i="18"/>
  <c r="L644" i="18" s="1"/>
  <c r="T644" i="18" s="1"/>
  <c r="N7" i="7942"/>
  <c r="K252" i="18"/>
  <c r="K264" i="18" s="1"/>
  <c r="K648" i="18" s="1"/>
  <c r="K408" i="18"/>
  <c r="L408" i="18" s="1"/>
  <c r="M408" i="18" s="1"/>
  <c r="H227" i="7941"/>
  <c r="L382" i="18"/>
  <c r="M382" i="18" s="1"/>
  <c r="K421" i="18"/>
  <c r="K304" i="18"/>
  <c r="K316" i="18" s="1"/>
  <c r="K652" i="18" s="1"/>
  <c r="P183" i="1"/>
  <c r="O184" i="1"/>
  <c r="E143" i="7955"/>
  <c r="F143" i="7955" s="1"/>
  <c r="M161" i="18"/>
  <c r="N161" i="18" s="1"/>
  <c r="K330" i="18"/>
  <c r="K342" i="18" s="1"/>
  <c r="K654" i="18" s="1"/>
  <c r="I205" i="794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L309" i="7942"/>
  <c r="M309" i="7942" s="1"/>
  <c r="J463" i="18"/>
  <c r="J691" i="18" s="1"/>
  <c r="J527" i="18" s="1"/>
  <c r="L152" i="7942"/>
  <c r="E400" i="7955"/>
  <c r="F400" i="7955" s="1"/>
  <c r="L142" i="7942"/>
  <c r="M287" i="7942"/>
  <c r="L288" i="7942" s="1"/>
  <c r="M271" i="7942"/>
  <c r="L272" i="7942" s="1"/>
  <c r="J21" i="7941"/>
  <c r="I213" i="7941"/>
  <c r="I16" i="7941"/>
  <c r="H208" i="7941"/>
  <c r="K183" i="7944"/>
  <c r="L15" i="7944" s="1"/>
  <c r="K225" i="7944"/>
  <c r="L18" i="7944" s="1"/>
  <c r="K85" i="7944"/>
  <c r="K169" i="7944"/>
  <c r="K253" i="7944"/>
  <c r="L20" i="7944" s="1"/>
  <c r="K267" i="7944"/>
  <c r="K477" i="7944"/>
  <c r="J71" i="7944"/>
  <c r="L4" i="7942"/>
  <c r="L4" i="7944"/>
  <c r="L4" i="7941"/>
  <c r="L176" i="1"/>
  <c r="L4" i="18"/>
  <c r="L74" i="1"/>
  <c r="L108" i="1" s="1"/>
  <c r="L142" i="1"/>
  <c r="K126" i="7942"/>
  <c r="L126" i="7942" s="1"/>
  <c r="I211" i="7941"/>
  <c r="J160" i="18"/>
  <c r="J640" i="18" s="1"/>
  <c r="I676" i="18"/>
  <c r="I512" i="18" s="1"/>
  <c r="I81" i="7941" s="1"/>
  <c r="I209" i="7941" s="1"/>
  <c r="K147" i="18"/>
  <c r="L135" i="18"/>
  <c r="L147" i="18" s="1"/>
  <c r="K303" i="18"/>
  <c r="K651" i="18" s="1"/>
  <c r="L291" i="18"/>
  <c r="E293" i="7955" s="1"/>
  <c r="H207" i="7941"/>
  <c r="I15" i="7941"/>
  <c r="F203" i="7955"/>
  <c r="T642" i="18"/>
  <c r="F353" i="7955"/>
  <c r="L138" i="7942"/>
  <c r="M323" i="7942"/>
  <c r="L319" i="7942"/>
  <c r="M319" i="7942" s="1"/>
  <c r="L273" i="7942"/>
  <c r="I684" i="18"/>
  <c r="I520" i="18" s="1"/>
  <c r="L21" i="7944"/>
  <c r="K277" i="18"/>
  <c r="K649" i="18" s="1"/>
  <c r="F383" i="7955"/>
  <c r="K295" i="7944"/>
  <c r="K141" i="7944"/>
  <c r="L12" i="7944" s="1"/>
  <c r="K407" i="7944"/>
  <c r="L31" i="7944" s="1"/>
  <c r="K281" i="7944"/>
  <c r="L22" i="7944" s="1"/>
  <c r="K463" i="7944"/>
  <c r="L35" i="7944" s="1"/>
  <c r="I224" i="7941"/>
  <c r="J32" i="7941"/>
  <c r="F44" i="7955"/>
  <c r="I679" i="18"/>
  <c r="I515" i="18" s="1"/>
  <c r="I84" i="7941" s="1"/>
  <c r="J7" i="7944"/>
  <c r="K8" i="7944"/>
  <c r="K148" i="18"/>
  <c r="K160" i="18" s="1"/>
  <c r="K640" i="18" s="1"/>
  <c r="I688" i="18"/>
  <c r="I524" i="18" s="1"/>
  <c r="M174" i="18"/>
  <c r="N17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L265" i="18"/>
  <c r="L277" i="18" s="1"/>
  <c r="L649" i="18" s="1"/>
  <c r="I677" i="18"/>
  <c r="I513" i="18" s="1"/>
  <c r="I82" i="7941" s="1"/>
  <c r="M160" i="7942"/>
  <c r="T657" i="18"/>
  <c r="K351" i="7944"/>
  <c r="L27" i="7944" s="1"/>
  <c r="K127" i="7944"/>
  <c r="K197" i="7944"/>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L232" i="7944"/>
  <c r="J178" i="7955" s="1"/>
  <c r="K178" i="7955" s="1"/>
  <c r="L400" i="7944"/>
  <c r="J358" i="7955" s="1"/>
  <c r="K358" i="7955" s="1"/>
  <c r="L411" i="7944"/>
  <c r="J370" i="7955" s="1"/>
  <c r="K370"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J402" i="7955" s="1"/>
  <c r="K402" i="7955" s="1"/>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K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K10" i="7955" s="1"/>
  <c r="L201" i="7944"/>
  <c r="J145" i="7955" s="1"/>
  <c r="K145" i="7955" s="1"/>
  <c r="L230" i="7944"/>
  <c r="J176" i="7955" s="1"/>
  <c r="K176" i="7955" s="1"/>
  <c r="L184" i="7944"/>
  <c r="L160" i="7944"/>
  <c r="J101" i="7955" s="1"/>
  <c r="K101" i="7955" s="1"/>
  <c r="L229" i="7944"/>
  <c r="J175" i="7955" s="1"/>
  <c r="K175" i="7955" s="1"/>
  <c r="L78" i="7944"/>
  <c r="J13" i="7955" s="1"/>
  <c r="K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M3" i="7944"/>
  <c r="L383" i="7944"/>
  <c r="J340" i="7955" s="1"/>
  <c r="K340" i="7955" s="1"/>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00" i="7944"/>
  <c r="J144" i="7955" s="1"/>
  <c r="K144"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K11" i="7955" s="1"/>
  <c r="L117" i="7944"/>
  <c r="J55" i="7955" s="1"/>
  <c r="K55" i="7955" s="1"/>
  <c r="L214" i="7944"/>
  <c r="J159" i="7955" s="1"/>
  <c r="K159" i="7955" s="1"/>
  <c r="K211" i="7944"/>
  <c r="L17" i="7944" s="1"/>
  <c r="K323" i="7944"/>
  <c r="L25" i="7944" s="1"/>
  <c r="K99" i="7944"/>
  <c r="L9" i="7944" s="1"/>
  <c r="K155" i="7944"/>
  <c r="K379" i="7944"/>
  <c r="L29" i="7944" s="1"/>
  <c r="K113" i="7944"/>
  <c r="L10" i="7944" s="1"/>
  <c r="K435" i="7944"/>
  <c r="L33" i="7944" s="1"/>
  <c r="I685" i="18"/>
  <c r="I521" i="18" s="1"/>
  <c r="I90" i="7941" s="1"/>
  <c r="I20" i="7941"/>
  <c r="H212" i="7941"/>
  <c r="K120" i="7942"/>
  <c r="F323" i="7955"/>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I682" i="18"/>
  <c r="I518" i="18" s="1"/>
  <c r="I87" i="7941" s="1"/>
  <c r="H210" i="7941"/>
  <c r="I18" i="7941"/>
  <c r="T653" i="18"/>
  <c r="E158" i="7955"/>
  <c r="L23" i="7944"/>
  <c r="I675" i="18"/>
  <c r="I511" i="18" s="1"/>
  <c r="I80" i="7941" s="1"/>
  <c r="K309" i="7944"/>
  <c r="L24" i="7944" s="1"/>
  <c r="K449" i="7944"/>
  <c r="L34" i="7944" s="1"/>
  <c r="K491" i="7944"/>
  <c r="L37" i="7944" s="1"/>
  <c r="J207" i="7955"/>
  <c r="K207" i="7955" s="1"/>
  <c r="K421" i="7944"/>
  <c r="L32" i="7944" s="1"/>
  <c r="K337" i="7944"/>
  <c r="L26" i="7944" s="1"/>
  <c r="J417" i="7955"/>
  <c r="K417" i="7955" s="1"/>
  <c r="K393" i="7944"/>
  <c r="L30" i="7944" s="1"/>
  <c r="K365" i="7944"/>
  <c r="L28" i="7944" s="1"/>
  <c r="J429" i="7955"/>
  <c r="K429" i="7955" s="1"/>
  <c r="I26" i="7941"/>
  <c r="H218" i="7941"/>
  <c r="L252" i="18"/>
  <c r="J450" i="18"/>
  <c r="I690" i="18"/>
  <c r="I526" i="18" s="1"/>
  <c r="I95" i="7941" s="1"/>
  <c r="E233" i="7955"/>
  <c r="K325" i="7942"/>
  <c r="L325" i="7942" s="1"/>
  <c r="H219" i="7941"/>
  <c r="I27" i="7941"/>
  <c r="O3" i="18"/>
  <c r="N215" i="18"/>
  <c r="N137" i="18"/>
  <c r="N200" i="18"/>
  <c r="N306" i="18"/>
  <c r="N423" i="18"/>
  <c r="N150" i="18"/>
  <c r="N242" i="18"/>
  <c r="N333" i="18"/>
  <c r="N358" i="18"/>
  <c r="N28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139"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239" i="18"/>
  <c r="N412" i="18"/>
  <c r="N323" i="18"/>
  <c r="N154" i="18"/>
  <c r="N308" i="18"/>
  <c r="N259" i="18"/>
  <c r="N389" i="18"/>
  <c r="N218" i="18"/>
  <c r="N402" i="18"/>
  <c r="N324" i="18"/>
  <c r="N116" i="18"/>
  <c r="N191" i="18"/>
  <c r="L394" i="18"/>
  <c r="L658" i="18" s="1"/>
  <c r="T658" i="18" s="1"/>
  <c r="J278" i="7955"/>
  <c r="I674" i="18"/>
  <c r="H78" i="7941"/>
  <c r="I445" i="18"/>
  <c r="J461" i="18"/>
  <c r="M303" i="7942"/>
  <c r="E173" i="7955"/>
  <c r="J452" i="18"/>
  <c r="L226" i="18"/>
  <c r="H214" i="7941"/>
  <c r="I22" i="7941"/>
  <c r="M115" i="7942"/>
  <c r="L134" i="7942"/>
  <c r="L130" i="7942"/>
  <c r="L283" i="7942"/>
  <c r="L297" i="7942"/>
  <c r="K289" i="7942"/>
  <c r="K395" i="18"/>
  <c r="H215" i="7941"/>
  <c r="I23" i="7941"/>
  <c r="J687" i="18"/>
  <c r="J523" i="18" s="1"/>
  <c r="J92" i="7941" s="1"/>
  <c r="J220" i="7941" s="1"/>
  <c r="N382" i="18" l="1"/>
  <c r="L38" i="7941"/>
  <c r="L16" i="7944"/>
  <c r="E398" i="7955"/>
  <c r="E368" i="7955"/>
  <c r="F368" i="7955" s="1"/>
  <c r="L14" i="7944"/>
  <c r="K420" i="18"/>
  <c r="K660" i="18" s="1"/>
  <c r="L36" i="7944"/>
  <c r="M356" i="18"/>
  <c r="N356" i="18" s="1"/>
  <c r="O356" i="18" s="1"/>
  <c r="J398" i="7955"/>
  <c r="J410" i="7955" s="1"/>
  <c r="K410" i="7955" s="1"/>
  <c r="L469" i="18"/>
  <c r="P787" i="7957"/>
  <c r="P798" i="7957" s="1"/>
  <c r="P529" i="7957"/>
  <c r="Q526" i="7957" s="1"/>
  <c r="P799" i="7957"/>
  <c r="O140" i="7957"/>
  <c r="P137" i="7957" s="1"/>
  <c r="O164" i="7957"/>
  <c r="O738" i="7957" s="1"/>
  <c r="M358" i="7957"/>
  <c r="N355" i="7957" s="1"/>
  <c r="N357" i="7957" s="1"/>
  <c r="M366" i="7957"/>
  <c r="M740" i="7957" s="1"/>
  <c r="L367" i="7957"/>
  <c r="M364" i="7957" s="1"/>
  <c r="L11" i="7944"/>
  <c r="Q95" i="7957"/>
  <c r="R92" i="7957" s="1"/>
  <c r="R94" i="7957" s="1"/>
  <c r="P660" i="7957"/>
  <c r="Q657" i="7957" s="1"/>
  <c r="M241" i="7957"/>
  <c r="N238" i="7957" s="1"/>
  <c r="M791" i="7957"/>
  <c r="M802" i="7957" s="1"/>
  <c r="M265" i="7957"/>
  <c r="M739" i="7957" s="1"/>
  <c r="R196" i="7957"/>
  <c r="S193" i="7957" s="1"/>
  <c r="S195" i="7957" s="1"/>
  <c r="T56" i="7957"/>
  <c r="U54" i="7957" s="1"/>
  <c r="N459" i="7957"/>
  <c r="O456" i="7957" s="1"/>
  <c r="N467" i="7957"/>
  <c r="N741" i="7957" s="1"/>
  <c r="K702" i="7957"/>
  <c r="J714" i="7957"/>
  <c r="V558" i="7957"/>
  <c r="V559" i="7957" s="1"/>
  <c r="W556" i="7957" s="1"/>
  <c r="L583" i="7957"/>
  <c r="M496" i="7957"/>
  <c r="U55" i="7957"/>
  <c r="L278" i="18"/>
  <c r="L290" i="18" s="1"/>
  <c r="L650" i="18" s="1"/>
  <c r="T650" i="18" s="1"/>
  <c r="Q297" i="7957"/>
  <c r="R294" i="7957" s="1"/>
  <c r="R22" i="7957"/>
  <c r="J771" i="7957"/>
  <c r="J804" i="7957" s="1"/>
  <c r="Q397" i="7957"/>
  <c r="M612" i="7957"/>
  <c r="P737" i="7957"/>
  <c r="P64" i="7957"/>
  <c r="Q62" i="7957" s="1"/>
  <c r="L304" i="18"/>
  <c r="E308" i="7955" s="1"/>
  <c r="F308" i="7955" s="1"/>
  <c r="Q764" i="7957"/>
  <c r="Q33" i="7957"/>
  <c r="Q786" i="7957" s="1"/>
  <c r="J713" i="7957"/>
  <c r="J785" i="7957"/>
  <c r="J796" i="7957" s="1"/>
  <c r="L582" i="7957"/>
  <c r="L742" i="7957" s="1"/>
  <c r="L745" i="7957" s="1"/>
  <c r="L793" i="7957" s="1"/>
  <c r="U45" i="7957"/>
  <c r="V43" i="7957" s="1"/>
  <c r="V44" i="7957" s="1"/>
  <c r="L638" i="18"/>
  <c r="T638" i="18" s="1"/>
  <c r="N313" i="7942"/>
  <c r="M314" i="7942" s="1"/>
  <c r="N148" i="7942"/>
  <c r="N150" i="7942"/>
  <c r="M151" i="7942" s="1"/>
  <c r="M72" i="7955"/>
  <c r="F75" i="7955"/>
  <c r="M75" i="7955" s="1"/>
  <c r="M135" i="18"/>
  <c r="N135" i="18" s="1"/>
  <c r="O135" i="18" s="1"/>
  <c r="N307" i="7942"/>
  <c r="M308" i="7942" s="1"/>
  <c r="N317" i="7942"/>
  <c r="M318" i="7942" s="1"/>
  <c r="N166" i="7942"/>
  <c r="N128" i="7942"/>
  <c r="M129" i="7942" s="1"/>
  <c r="N156" i="7942"/>
  <c r="M157" i="7942" s="1"/>
  <c r="N146" i="7942"/>
  <c r="M147" i="7942" s="1"/>
  <c r="O122" i="18"/>
  <c r="Y22" i="7955"/>
  <c r="N269" i="7942"/>
  <c r="M270" i="7942" s="1"/>
  <c r="N160" i="7942"/>
  <c r="M161" i="7942" s="1"/>
  <c r="N301" i="7942"/>
  <c r="M302" i="7942" s="1"/>
  <c r="N140" i="7942"/>
  <c r="M141" i="7942" s="1"/>
  <c r="L13" i="7944"/>
  <c r="O7" i="7942"/>
  <c r="M265" i="18"/>
  <c r="N265" i="18" s="1"/>
  <c r="L330" i="18"/>
  <c r="E338" i="7955" s="1"/>
  <c r="F338" i="7955" s="1"/>
  <c r="K433" i="18"/>
  <c r="K661" i="18" s="1"/>
  <c r="L421" i="18"/>
  <c r="Q183" i="1"/>
  <c r="Q184" i="1" s="1"/>
  <c r="Q7" i="7942" s="1"/>
  <c r="P184" i="1"/>
  <c r="L300" i="7942"/>
  <c r="N299" i="7942"/>
  <c r="N287" i="7942"/>
  <c r="M288" i="7942" s="1"/>
  <c r="N271" i="7942"/>
  <c r="M272" i="7942" s="1"/>
  <c r="M113" i="7942"/>
  <c r="N281" i="7942"/>
  <c r="M282" i="7942" s="1"/>
  <c r="E263" i="7955"/>
  <c r="F263" i="7955" s="1"/>
  <c r="E113" i="7955"/>
  <c r="F113" i="7955" s="1"/>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N305" i="7942"/>
  <c r="L285" i="7942"/>
  <c r="M152" i="7942"/>
  <c r="L153" i="7942" s="1"/>
  <c r="J462" i="18"/>
  <c r="M119" i="7942"/>
  <c r="J451" i="18"/>
  <c r="J679" i="18" s="1"/>
  <c r="J515" i="18" s="1"/>
  <c r="J84"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M15" i="7944" s="1"/>
  <c r="J113" i="7955"/>
  <c r="L421" i="7944"/>
  <c r="M32" i="7944" s="1"/>
  <c r="J368" i="7955"/>
  <c r="L113" i="7944"/>
  <c r="M10" i="7944" s="1"/>
  <c r="L161" i="7942"/>
  <c r="M291" i="7942"/>
  <c r="L292" i="7942" s="1"/>
  <c r="M297" i="7942"/>
  <c r="L298" i="7942" s="1"/>
  <c r="I214" i="7941"/>
  <c r="J22" i="7941"/>
  <c r="I692" i="18"/>
  <c r="I528" i="18" s="1"/>
  <c r="I97" i="7941" s="1"/>
  <c r="I510" i="18"/>
  <c r="I631" i="18"/>
  <c r="L477" i="7944"/>
  <c r="J428" i="7955"/>
  <c r="J23" i="7941"/>
  <c r="I215" i="7941"/>
  <c r="I673" i="18"/>
  <c r="I509" i="18" s="1"/>
  <c r="I78" i="7941" s="1"/>
  <c r="F398" i="7955"/>
  <c r="L137" i="7942"/>
  <c r="N136" i="7942"/>
  <c r="M137" i="7942" s="1"/>
  <c r="M275" i="7942"/>
  <c r="N311" i="7942"/>
  <c r="M312" i="7942" s="1"/>
  <c r="I89" i="7941"/>
  <c r="J456" i="18"/>
  <c r="L324" i="7942"/>
  <c r="N323" i="7942"/>
  <c r="K203" i="7955"/>
  <c r="J215" i="7955"/>
  <c r="K215" i="7955" s="1"/>
  <c r="K71" i="7944"/>
  <c r="I98" i="7941"/>
  <c r="J465" i="18"/>
  <c r="M283" i="7942"/>
  <c r="L284" i="7942" s="1"/>
  <c r="K407" i="18"/>
  <c r="K659" i="18" s="1"/>
  <c r="L395" i="18"/>
  <c r="H206" i="7941"/>
  <c r="I14" i="7941"/>
  <c r="I219" i="7941"/>
  <c r="J27" i="7941"/>
  <c r="F233" i="7955"/>
  <c r="I223" i="7941"/>
  <c r="J31" i="7941"/>
  <c r="L264" i="18"/>
  <c r="L648" i="18" s="1"/>
  <c r="M252" i="18"/>
  <c r="N252" i="18" s="1"/>
  <c r="E248" i="7955"/>
  <c r="L420" i="18"/>
  <c r="L660" i="18" s="1"/>
  <c r="N408" i="18"/>
  <c r="O408" i="18" s="1"/>
  <c r="E428" i="7955"/>
  <c r="L145" i="7942"/>
  <c r="N144" i="7942"/>
  <c r="J457" i="18"/>
  <c r="K23" i="7955"/>
  <c r="J35" i="7955"/>
  <c r="J694" i="18"/>
  <c r="J530" i="18" s="1"/>
  <c r="J99" i="7941" s="1"/>
  <c r="J227" i="7941" s="1"/>
  <c r="I100" i="7941"/>
  <c r="J467" i="18"/>
  <c r="L289"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J20" i="7955" s="1"/>
  <c r="M117" i="7942"/>
  <c r="L125" i="7942"/>
  <c r="N124" i="7942"/>
  <c r="M125" i="7942" s="1"/>
  <c r="M134" i="7942"/>
  <c r="L135" i="7942" s="1"/>
  <c r="J680" i="18"/>
  <c r="J516" i="18" s="1"/>
  <c r="J85" i="7941" s="1"/>
  <c r="K21" i="7941" s="1"/>
  <c r="L304" i="7942"/>
  <c r="N303" i="7942"/>
  <c r="M304" i="7942" s="1"/>
  <c r="K278" i="7955"/>
  <c r="J290" i="7955"/>
  <c r="K290" i="7955" s="1"/>
  <c r="J26" i="7941"/>
  <c r="I218" i="7941"/>
  <c r="M295" i="7942"/>
  <c r="L296" i="7942" s="1"/>
  <c r="J38" i="7955"/>
  <c r="L337" i="7944"/>
  <c r="M26" i="7944" s="1"/>
  <c r="L281" i="7944"/>
  <c r="M22" i="7944" s="1"/>
  <c r="J218" i="7955"/>
  <c r="L127" i="7944"/>
  <c r="J53" i="7955"/>
  <c r="L8" i="7944"/>
  <c r="K7" i="7944"/>
  <c r="M126" i="7942"/>
  <c r="L127" i="7942" s="1"/>
  <c r="K268" i="7942"/>
  <c r="F173" i="7955"/>
  <c r="J689" i="18"/>
  <c r="J525" i="18" s="1"/>
  <c r="J94" i="7941" s="1"/>
  <c r="K30" i="7941" s="1"/>
  <c r="M325" i="7942"/>
  <c r="N325" i="7942" s="1"/>
  <c r="L328" i="7942"/>
  <c r="N327" i="7942"/>
  <c r="M328" i="7942" s="1"/>
  <c r="L315" i="7942"/>
  <c r="M277" i="7942"/>
  <c r="L278" i="7942" s="1"/>
  <c r="I33" i="7941"/>
  <c r="H225" i="7941"/>
  <c r="L449" i="7944"/>
  <c r="M34" i="7944" s="1"/>
  <c r="L280" i="7942"/>
  <c r="N154" i="7942"/>
  <c r="M155" i="7942" s="1"/>
  <c r="K233" i="7955"/>
  <c r="J245" i="7955"/>
  <c r="K245" i="7955" s="1"/>
  <c r="M4" i="7941"/>
  <c r="M74" i="1"/>
  <c r="M108" i="1" s="1"/>
  <c r="M4" i="7942"/>
  <c r="M142" i="1"/>
  <c r="M4" i="7944"/>
  <c r="M4" i="18"/>
  <c r="M176" i="1"/>
  <c r="M138" i="7942"/>
  <c r="N279" i="7942"/>
  <c r="M280" i="7942" s="1"/>
  <c r="O382" i="18"/>
  <c r="O242" i="18"/>
  <c r="O215" i="18"/>
  <c r="O281" i="18"/>
  <c r="O174"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F158" i="7955"/>
  <c r="J395" i="7955"/>
  <c r="K395" i="7955" s="1"/>
  <c r="K383" i="7955"/>
  <c r="L120" i="7942"/>
  <c r="J20" i="7941"/>
  <c r="I212" i="7941"/>
  <c r="L365" i="7944"/>
  <c r="M28" i="7944" s="1"/>
  <c r="J308" i="7955"/>
  <c r="L323" i="7944"/>
  <c r="M25" i="7944" s="1"/>
  <c r="L225" i="7944"/>
  <c r="M18" i="7944" s="1"/>
  <c r="L435" i="7944"/>
  <c r="M33" i="7944" s="1"/>
  <c r="L463" i="7944"/>
  <c r="M35" i="7944" s="1"/>
  <c r="L197" i="7944"/>
  <c r="J128" i="7955"/>
  <c r="L211" i="7944"/>
  <c r="M17" i="7944" s="1"/>
  <c r="J143" i="7955"/>
  <c r="L407" i="7944"/>
  <c r="M31" i="7944" s="1"/>
  <c r="L155" i="7944"/>
  <c r="J83" i="7955"/>
  <c r="L141" i="7944"/>
  <c r="M12" i="7944" s="1"/>
  <c r="J68" i="7955"/>
  <c r="L267" i="7944"/>
  <c r="M21" i="7944" s="1"/>
  <c r="M130" i="7942"/>
  <c r="J631" i="18"/>
  <c r="M273" i="7942"/>
  <c r="M122" i="7942"/>
  <c r="L123" i="7942" s="1"/>
  <c r="F293" i="7955"/>
  <c r="L639" i="18"/>
  <c r="L148" i="18"/>
  <c r="J110" i="7955"/>
  <c r="K98" i="7955"/>
  <c r="J158" i="7955"/>
  <c r="I208" i="7941"/>
  <c r="J16" i="7941"/>
  <c r="K459" i="18"/>
  <c r="L162" i="7942"/>
  <c r="M162" i="7942" s="1"/>
  <c r="L163" i="7942" s="1"/>
  <c r="L238" i="18"/>
  <c r="L646" i="18" s="1"/>
  <c r="E218" i="7955"/>
  <c r="M226" i="18"/>
  <c r="N226" i="18" s="1"/>
  <c r="K248" i="7955"/>
  <c r="J260" i="7955"/>
  <c r="K260" i="7955" s="1"/>
  <c r="J447" i="18"/>
  <c r="J18" i="7941"/>
  <c r="I210" i="7941"/>
  <c r="J454" i="18"/>
  <c r="M158" i="7942"/>
  <c r="L321" i="7942"/>
  <c r="J353" i="7955"/>
  <c r="N132" i="7942"/>
  <c r="M133" i="7942" s="1"/>
  <c r="J263" i="7955"/>
  <c r="L253" i="7944"/>
  <c r="M20" i="7944" s="1"/>
  <c r="L379" i="7944"/>
  <c r="M29" i="7944" s="1"/>
  <c r="J323" i="7955"/>
  <c r="L169" i="7944"/>
  <c r="M14" i="7944" s="1"/>
  <c r="L309" i="7944"/>
  <c r="M24" i="7944" s="1"/>
  <c r="L295" i="7944"/>
  <c r="M23" i="7944" s="1"/>
  <c r="L99" i="7944"/>
  <c r="M9" i="7944" s="1"/>
  <c r="L167" i="7942"/>
  <c r="J413" i="7955"/>
  <c r="L303" i="18"/>
  <c r="L651" i="18" s="1"/>
  <c r="M291" i="18"/>
  <c r="N291" i="18" s="1"/>
  <c r="K639" i="18"/>
  <c r="J448" i="18"/>
  <c r="J188" i="7955"/>
  <c r="M16" i="7944" l="1"/>
  <c r="L342" i="18"/>
  <c r="L654" i="18" s="1"/>
  <c r="M36" i="7944"/>
  <c r="K398" i="7955"/>
  <c r="M304" i="18"/>
  <c r="N304" i="18" s="1"/>
  <c r="T660" i="18"/>
  <c r="O265" i="18"/>
  <c r="P265" i="18" s="1"/>
  <c r="L316" i="18"/>
  <c r="L652" i="18" s="1"/>
  <c r="T652" i="18" s="1"/>
  <c r="P122" i="18"/>
  <c r="P139" i="7957"/>
  <c r="P162" i="7957"/>
  <c r="Q765" i="7957"/>
  <c r="Q528" i="7957"/>
  <c r="Q787" i="7957" s="1"/>
  <c r="O165" i="7957"/>
  <c r="M367" i="7957"/>
  <c r="N364" i="7957" s="1"/>
  <c r="N358" i="7957"/>
  <c r="O355" i="7957" s="1"/>
  <c r="O357" i="7957" s="1"/>
  <c r="N366" i="7957"/>
  <c r="N740" i="7957" s="1"/>
  <c r="M11" i="7944"/>
  <c r="E278" i="7955"/>
  <c r="F278" i="7955" s="1"/>
  <c r="M278" i="18"/>
  <c r="N278" i="18" s="1"/>
  <c r="O278" i="18" s="1"/>
  <c r="P278" i="18" s="1"/>
  <c r="M266" i="7957"/>
  <c r="N468" i="7957"/>
  <c r="N240" i="7957"/>
  <c r="N769" i="7957"/>
  <c r="N263" i="7957"/>
  <c r="Q659" i="7957"/>
  <c r="Q788" i="7957" s="1"/>
  <c r="Q766" i="7957"/>
  <c r="Q797" i="7957"/>
  <c r="O458" i="7957"/>
  <c r="O465" i="7957"/>
  <c r="U56" i="7957"/>
  <c r="V54" i="7957" s="1"/>
  <c r="V55" i="7957" s="1"/>
  <c r="V56" i="7957" s="1"/>
  <c r="W54" i="7957" s="1"/>
  <c r="Q34" i="7957"/>
  <c r="R32" i="7957" s="1"/>
  <c r="R33" i="7957" s="1"/>
  <c r="R786" i="7957" s="1"/>
  <c r="W558" i="7957"/>
  <c r="W559" i="7957" s="1"/>
  <c r="Q398" i="7957"/>
  <c r="R395" i="7957" s="1"/>
  <c r="R296" i="7957"/>
  <c r="V766" i="7957"/>
  <c r="V45" i="7957"/>
  <c r="W43" i="7957" s="1"/>
  <c r="W44" i="7957" s="1"/>
  <c r="M614" i="7957"/>
  <c r="M615" i="7957" s="1"/>
  <c r="R95" i="7957"/>
  <c r="S92" i="7957" s="1"/>
  <c r="Q63" i="7957"/>
  <c r="Q737" i="7957" s="1"/>
  <c r="S196" i="7957"/>
  <c r="T193" i="7957" s="1"/>
  <c r="R23" i="7957"/>
  <c r="S21" i="7957" s="1"/>
  <c r="M580" i="7957"/>
  <c r="M498" i="7957"/>
  <c r="M499" i="7957" s="1"/>
  <c r="K704" i="7957"/>
  <c r="K705" i="7957" s="1"/>
  <c r="K711" i="7957"/>
  <c r="K763" i="7957"/>
  <c r="M13" i="7944"/>
  <c r="O150" i="7942"/>
  <c r="N151" i="7942" s="1"/>
  <c r="O307" i="7942"/>
  <c r="N308" i="7942" s="1"/>
  <c r="O166" i="7942"/>
  <c r="N167" i="7942" s="1"/>
  <c r="O148" i="7942"/>
  <c r="F76" i="7955"/>
  <c r="M76" i="7955" s="1"/>
  <c r="O140" i="7942"/>
  <c r="N141" i="7942" s="1"/>
  <c r="M167" i="7942"/>
  <c r="O146" i="7942"/>
  <c r="N147" i="7942" s="1"/>
  <c r="Y24" i="7955"/>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52" i="18"/>
  <c r="P252"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K460" i="18"/>
  <c r="K688" i="18" s="1"/>
  <c r="K524" i="18" s="1"/>
  <c r="K93" i="7941" s="1"/>
  <c r="J464" i="18"/>
  <c r="J692" i="18" s="1"/>
  <c r="J528" i="18" s="1"/>
  <c r="J97" i="7941" s="1"/>
  <c r="N109" i="7942"/>
  <c r="M326" i="7942"/>
  <c r="M111" i="7942"/>
  <c r="K18" i="7941"/>
  <c r="J210" i="7941"/>
  <c r="K158" i="7955"/>
  <c r="J170" i="7955"/>
  <c r="K170" i="7955" s="1"/>
  <c r="K308" i="7955"/>
  <c r="J320" i="7955"/>
  <c r="K320" i="7955" s="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174"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74" i="18"/>
  <c r="P297" i="18"/>
  <c r="P401" i="18"/>
  <c r="M315" i="7942"/>
  <c r="L316" i="7942"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F248" i="7955"/>
  <c r="L407" i="18"/>
  <c r="L659" i="18" s="1"/>
  <c r="T659" i="18" s="1"/>
  <c r="J25" i="7941"/>
  <c r="I217" i="7941"/>
  <c r="O136" i="7942"/>
  <c r="N137" i="7942" s="1"/>
  <c r="O154" i="7942"/>
  <c r="T651" i="18"/>
  <c r="K110" i="7955"/>
  <c r="O311" i="7942"/>
  <c r="K128" i="7955"/>
  <c r="J140" i="7955"/>
  <c r="K140" i="7955" s="1"/>
  <c r="L463" i="18"/>
  <c r="K188" i="7955"/>
  <c r="J200" i="7955"/>
  <c r="K200" i="7955" s="1"/>
  <c r="K631" i="18"/>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K461" i="18"/>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O132" i="7942"/>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I225" i="7941"/>
  <c r="J33" i="7941"/>
  <c r="T654" i="18"/>
  <c r="L326" i="7942"/>
  <c r="O325" i="7942"/>
  <c r="N326" i="7942" s="1"/>
  <c r="N283" i="7942"/>
  <c r="M8" i="7944"/>
  <c r="L7" i="7944"/>
  <c r="K218" i="7955"/>
  <c r="J230" i="7955"/>
  <c r="K230" i="7955" s="1"/>
  <c r="N295" i="7942"/>
  <c r="M296" i="7942" s="1"/>
  <c r="K8" i="7955"/>
  <c r="K20" i="7955" s="1"/>
  <c r="K443" i="7955"/>
  <c r="J455" i="7955"/>
  <c r="K455" i="7955" s="1"/>
  <c r="E413" i="7955"/>
  <c r="J693" i="18"/>
  <c r="J529" i="18" s="1"/>
  <c r="J98" i="7941" s="1"/>
  <c r="J440" i="7955"/>
  <c r="K440" i="7955" s="1"/>
  <c r="K428" i="7955"/>
  <c r="O304" i="18" l="1"/>
  <c r="P304" i="18" s="1"/>
  <c r="Q122" i="18"/>
  <c r="R764" i="7957"/>
  <c r="Q798" i="7957"/>
  <c r="P165" i="7957"/>
  <c r="Q529" i="7957"/>
  <c r="R526" i="7957" s="1"/>
  <c r="P140" i="7957"/>
  <c r="Q137" i="7957" s="1"/>
  <c r="P164" i="7957"/>
  <c r="P738" i="7957" s="1"/>
  <c r="O358" i="7957"/>
  <c r="P355" i="7957" s="1"/>
  <c r="P357" i="7957" s="1"/>
  <c r="O366" i="7957"/>
  <c r="O740" i="7957" s="1"/>
  <c r="N367" i="7957"/>
  <c r="O364" i="7957" s="1"/>
  <c r="P166" i="7942"/>
  <c r="O167" i="7942" s="1"/>
  <c r="Q799" i="7957"/>
  <c r="N241" i="7957"/>
  <c r="O238" i="7957" s="1"/>
  <c r="N791" i="7957"/>
  <c r="N802" i="7957" s="1"/>
  <c r="N265" i="7957"/>
  <c r="N739" i="7957" s="1"/>
  <c r="Q660" i="7957"/>
  <c r="R657" i="7957" s="1"/>
  <c r="O459" i="7957"/>
  <c r="P456" i="7957" s="1"/>
  <c r="O467" i="7957"/>
  <c r="O741" i="7957" s="1"/>
  <c r="N612" i="7957"/>
  <c r="P330" i="18"/>
  <c r="Q330" i="18" s="1"/>
  <c r="M582" i="7957"/>
  <c r="M742" i="7957" s="1"/>
  <c r="M745" i="7957" s="1"/>
  <c r="M793" i="7957" s="1"/>
  <c r="R34" i="7957"/>
  <c r="S32" i="7957" s="1"/>
  <c r="W766" i="7957"/>
  <c r="W45" i="7957"/>
  <c r="R297" i="7957"/>
  <c r="S294" i="7957" s="1"/>
  <c r="Q64" i="7957"/>
  <c r="R62" i="7957" s="1"/>
  <c r="K771" i="7957"/>
  <c r="K804" i="7957" s="1"/>
  <c r="K785" i="7957"/>
  <c r="K796" i="7957" s="1"/>
  <c r="K713" i="7957"/>
  <c r="M583" i="7957"/>
  <c r="N496" i="7957"/>
  <c r="S22" i="7957"/>
  <c r="S23" i="7957" s="1"/>
  <c r="T21" i="7957" s="1"/>
  <c r="R797" i="7957"/>
  <c r="S94" i="7957"/>
  <c r="L702" i="7957"/>
  <c r="K714" i="7957"/>
  <c r="T195" i="7957"/>
  <c r="W55" i="7957"/>
  <c r="R397" i="7957"/>
  <c r="R63" i="7957"/>
  <c r="R737" i="7957" s="1"/>
  <c r="P307" i="7942"/>
  <c r="O308" i="7942" s="1"/>
  <c r="P299" i="7942"/>
  <c r="O300" i="7942" s="1"/>
  <c r="P140" i="7942"/>
  <c r="Q140" i="7942" s="1"/>
  <c r="L43" i="18"/>
  <c r="P148" i="7942"/>
  <c r="Q148" i="7942" s="1"/>
  <c r="P150" i="7942"/>
  <c r="Q150" i="7942" s="1"/>
  <c r="F77" i="7955"/>
  <c r="M77" i="7955" s="1"/>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M249" i="7941"/>
  <c r="M316" i="7941"/>
  <c r="M245" i="7941"/>
  <c r="L275" i="7941"/>
  <c r="L336" i="7941"/>
  <c r="M319" i="7941"/>
  <c r="M324" i="7941"/>
  <c r="L332" i="7941"/>
  <c r="M259" i="7941"/>
  <c r="M246" i="7941"/>
  <c r="M321" i="7941"/>
  <c r="M242" i="7941"/>
  <c r="M309" i="7941"/>
  <c r="M295" i="7941"/>
  <c r="M298" i="7941"/>
  <c r="M260" i="7941"/>
  <c r="M297" i="7941"/>
  <c r="M243" i="7941"/>
  <c r="L287" i="7941"/>
  <c r="L282" i="7941"/>
  <c r="M235" i="7941"/>
  <c r="L272" i="7941"/>
  <c r="M303" i="7941"/>
  <c r="L291" i="7941"/>
  <c r="M241" i="7941"/>
  <c r="L343" i="7941"/>
  <c r="L347" i="7941"/>
  <c r="L284" i="7941"/>
  <c r="M323" i="7941"/>
  <c r="M234" i="7941"/>
  <c r="M307" i="7941"/>
  <c r="M318" i="7941"/>
  <c r="M317"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M107" i="7942"/>
  <c r="L455" i="18"/>
  <c r="L683" i="18" s="1"/>
  <c r="L519" i="18" s="1"/>
  <c r="L88" i="7941" s="1"/>
  <c r="K99" i="7941"/>
  <c r="K227" i="7941" s="1"/>
  <c r="L466" i="18"/>
  <c r="L694" i="18" s="1"/>
  <c r="L530" i="18" s="1"/>
  <c r="L99" i="7941" s="1"/>
  <c r="P136" i="7942"/>
  <c r="Q136" i="7942" s="1"/>
  <c r="L449" i="18"/>
  <c r="L677" i="18" s="1"/>
  <c r="L513" i="18" s="1"/>
  <c r="L82" i="7941" s="1"/>
  <c r="K216" i="7941"/>
  <c r="K50" i="7955"/>
  <c r="K213" i="7941"/>
  <c r="M143" i="7942"/>
  <c r="O142" i="7942"/>
  <c r="K95" i="7955"/>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M131" i="7942"/>
  <c r="O130" i="7942"/>
  <c r="N131" i="7942" s="1"/>
  <c r="J215" i="7941"/>
  <c r="F413" i="7955"/>
  <c r="Q166" i="7942"/>
  <c r="M7" i="7944"/>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L640" i="18"/>
  <c r="L22" i="7941"/>
  <c r="K214" i="7941"/>
  <c r="M149" i="7942"/>
  <c r="O275" i="7942"/>
  <c r="P109" i="7942"/>
  <c r="Q109" i="7942"/>
  <c r="Q263" i="7941" s="1"/>
  <c r="K34" i="7941"/>
  <c r="J226" i="7941"/>
  <c r="K679" i="18"/>
  <c r="K515" i="18" s="1"/>
  <c r="K84" i="7941" s="1"/>
  <c r="L20" i="7941" s="1"/>
  <c r="L672" i="18"/>
  <c r="L508" i="18" s="1"/>
  <c r="L77" i="7941" s="1"/>
  <c r="L205" i="7941" s="1"/>
  <c r="F128" i="7955"/>
  <c r="K464" i="18"/>
  <c r="L290" i="7942"/>
  <c r="L337" i="7941" s="1"/>
  <c r="J217" i="7941"/>
  <c r="K25" i="7941"/>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174"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56" i="18"/>
  <c r="J228" i="7941"/>
  <c r="K36" i="7941"/>
  <c r="M123" i="7942"/>
  <c r="O122" i="7942"/>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Q301" i="7942" l="1"/>
  <c r="Q302" i="7942" s="1"/>
  <c r="Q343" i="7941" s="1"/>
  <c r="Q139" i="7957"/>
  <c r="Q162" i="7957"/>
  <c r="R765" i="7957"/>
  <c r="R528" i="7957"/>
  <c r="R787" i="7957" s="1"/>
  <c r="N266" i="7957"/>
  <c r="O367" i="7957"/>
  <c r="P364" i="7957" s="1"/>
  <c r="P358" i="7957"/>
  <c r="Q355" i="7957" s="1"/>
  <c r="Q357" i="7957" s="1"/>
  <c r="P366" i="7957"/>
  <c r="P740" i="7957" s="1"/>
  <c r="O240" i="7957"/>
  <c r="O769" i="7957"/>
  <c r="O263" i="7957"/>
  <c r="R659" i="7957"/>
  <c r="R788" i="7957" s="1"/>
  <c r="R766" i="7957"/>
  <c r="W56" i="7957"/>
  <c r="T196" i="7957"/>
  <c r="U193" i="7957" s="1"/>
  <c r="U195" i="7957" s="1"/>
  <c r="U196" i="7957" s="1"/>
  <c r="V193" i="7957" s="1"/>
  <c r="P458" i="7957"/>
  <c r="P467" i="7957" s="1"/>
  <c r="P741" i="7957" s="1"/>
  <c r="P465" i="7957"/>
  <c r="O468" i="7957"/>
  <c r="S764" i="7957"/>
  <c r="S33" i="7957"/>
  <c r="S786" i="7957" s="1"/>
  <c r="N580" i="7957"/>
  <c r="N498" i="7957"/>
  <c r="N499" i="7957" s="1"/>
  <c r="S95" i="7957"/>
  <c r="T92" i="7957" s="1"/>
  <c r="R64" i="7957"/>
  <c r="S62" i="7957" s="1"/>
  <c r="S296" i="7957"/>
  <c r="R398" i="7957"/>
  <c r="S395" i="7957" s="1"/>
  <c r="L704" i="7957"/>
  <c r="L763" i="7957"/>
  <c r="L711" i="7957"/>
  <c r="T22" i="7957"/>
  <c r="N614" i="7957"/>
  <c r="N615" i="7957" s="1"/>
  <c r="O141" i="7942"/>
  <c r="Q307" i="7942"/>
  <c r="P308" i="7942" s="1"/>
  <c r="O161" i="7942"/>
  <c r="Q299" i="7942"/>
  <c r="Q300" i="7942" s="1"/>
  <c r="Q342" i="7941" s="1"/>
  <c r="O314" i="7942"/>
  <c r="O151" i="7942"/>
  <c r="O294" i="7942"/>
  <c r="O129" i="7942"/>
  <c r="Q319" i="7942"/>
  <c r="Q320" i="7942" s="1"/>
  <c r="Q352" i="7941" s="1"/>
  <c r="Q146" i="7942"/>
  <c r="Q147" i="7942" s="1"/>
  <c r="Q282" i="7941" s="1"/>
  <c r="F78" i="7955"/>
  <c r="M78" i="7955" s="1"/>
  <c r="Q156" i="7942"/>
  <c r="Q157" i="7942" s="1"/>
  <c r="Q287" i="7941" s="1"/>
  <c r="P277" i="7942"/>
  <c r="O278" i="7942" s="1"/>
  <c r="P126" i="7942"/>
  <c r="Q126" i="7942" s="1"/>
  <c r="L224" i="7941"/>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N256" i="7941"/>
  <c r="M345" i="7941"/>
  <c r="M268" i="7941"/>
  <c r="N308" i="7941"/>
  <c r="N258" i="7941"/>
  <c r="N238" i="7941"/>
  <c r="M289" i="7941"/>
  <c r="N247" i="7941"/>
  <c r="N305" i="7941"/>
  <c r="N320" i="7941"/>
  <c r="N237" i="7941"/>
  <c r="M291" i="794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J206" i="7941"/>
  <c r="L458" i="18"/>
  <c r="L686" i="18" s="1"/>
  <c r="L522" i="18" s="1"/>
  <c r="L91" i="7941" s="1"/>
  <c r="L27" i="7941"/>
  <c r="N149" i="7942"/>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141" i="7942"/>
  <c r="Q141" i="7942"/>
  <c r="Q279" i="7941" s="1"/>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447" i="18"/>
  <c r="M444" i="18"/>
  <c r="M672" i="18" s="1"/>
  <c r="M508" i="18" s="1"/>
  <c r="M77" i="7941" s="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P302" i="7942" l="1"/>
  <c r="R798" i="7957"/>
  <c r="R529" i="7957"/>
  <c r="S526" i="7957" s="1"/>
  <c r="S528" i="7957" s="1"/>
  <c r="S787" i="7957" s="1"/>
  <c r="S63" i="7957"/>
  <c r="S737" i="7957" s="1"/>
  <c r="Q140" i="7957"/>
  <c r="R137" i="7957" s="1"/>
  <c r="Q164" i="7957"/>
  <c r="Q738" i="7957" s="1"/>
  <c r="Q358" i="7957"/>
  <c r="R355" i="7957" s="1"/>
  <c r="R357" i="7957" s="1"/>
  <c r="Q366" i="7957"/>
  <c r="Q740" i="7957" s="1"/>
  <c r="P367" i="7957"/>
  <c r="Q364" i="7957" s="1"/>
  <c r="S34" i="7957"/>
  <c r="T32" i="7957" s="1"/>
  <c r="T764" i="7957" s="1"/>
  <c r="P468" i="7957"/>
  <c r="R799" i="7957"/>
  <c r="O241" i="7957"/>
  <c r="P238" i="7957" s="1"/>
  <c r="O791" i="7957"/>
  <c r="O802" i="7957" s="1"/>
  <c r="O265" i="7957"/>
  <c r="O739" i="7957" s="1"/>
  <c r="P459" i="7957"/>
  <c r="Q456" i="7957" s="1"/>
  <c r="Q458" i="7957" s="1"/>
  <c r="R660" i="7957"/>
  <c r="S657" i="7957" s="1"/>
  <c r="S297" i="7957"/>
  <c r="T294" i="7957" s="1"/>
  <c r="T296" i="7957" s="1"/>
  <c r="S797" i="7957"/>
  <c r="O612" i="7957"/>
  <c r="L771" i="7957"/>
  <c r="L804" i="7957" s="1"/>
  <c r="T94" i="7957"/>
  <c r="N582" i="7957"/>
  <c r="N742" i="7957" s="1"/>
  <c r="N745" i="7957" s="1"/>
  <c r="N793" i="7957" s="1"/>
  <c r="L713" i="7957"/>
  <c r="L785" i="7957"/>
  <c r="L796" i="7957" s="1"/>
  <c r="O496" i="7957"/>
  <c r="N583" i="7957"/>
  <c r="V195" i="7957"/>
  <c r="T23" i="7957"/>
  <c r="U21" i="7957" s="1"/>
  <c r="L705" i="7957"/>
  <c r="S397" i="7957"/>
  <c r="P300" i="7942"/>
  <c r="Q308" i="7942"/>
  <c r="Q346" i="7941" s="1"/>
  <c r="O127" i="7942"/>
  <c r="P147" i="7942"/>
  <c r="Q324" i="7942"/>
  <c r="Q354" i="7941" s="1"/>
  <c r="M387" i="7941"/>
  <c r="M385" i="7941"/>
  <c r="Q130" i="7942"/>
  <c r="Q131" i="7942" s="1"/>
  <c r="Q274" i="7941" s="1"/>
  <c r="M363" i="7941"/>
  <c r="M383" i="7941"/>
  <c r="Q277" i="7942"/>
  <c r="P278" i="7942" s="1"/>
  <c r="Q291" i="7942"/>
  <c r="Q292" i="7942" s="1"/>
  <c r="Q338" i="7941"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R174" i="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72" i="7941" s="1"/>
  <c r="N353" i="7941"/>
  <c r="F439" i="7955"/>
  <c r="E440" i="7955"/>
  <c r="F440" i="7955" s="1"/>
  <c r="F49" i="7955"/>
  <c r="F244" i="7955"/>
  <c r="E245" i="7955"/>
  <c r="F245" i="7955" s="1"/>
  <c r="N275" i="7941"/>
  <c r="M373" i="7941"/>
  <c r="F79" i="7955"/>
  <c r="M79" i="7955" s="1"/>
  <c r="E380" i="7955"/>
  <c r="F380" i="7955" s="1"/>
  <c r="F379" i="7955"/>
  <c r="F64" i="7955"/>
  <c r="N331" i="7941"/>
  <c r="N267" i="7941"/>
  <c r="P6" i="7941"/>
  <c r="P632" i="18"/>
  <c r="F154" i="7955"/>
  <c r="E155" i="7955"/>
  <c r="F155" i="7955" s="1"/>
  <c r="F94"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M457" i="18"/>
  <c r="M685" i="18" s="1"/>
  <c r="M521" i="18" s="1"/>
  <c r="M90" i="7941" s="1"/>
  <c r="M458" i="18"/>
  <c r="M686" i="18" s="1"/>
  <c r="M522" i="18" s="1"/>
  <c r="M91"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P135" i="7942"/>
  <c r="Q135" i="7942"/>
  <c r="Q276" i="7941" s="1"/>
  <c r="N290" i="7942"/>
  <c r="N337" i="7941" s="1"/>
  <c r="P289" i="7942"/>
  <c r="M453" i="18"/>
  <c r="M681" i="18" s="1"/>
  <c r="M517" i="18" s="1"/>
  <c r="M86" i="7941" s="1"/>
  <c r="P326" i="7942"/>
  <c r="Q326" i="7942"/>
  <c r="Q355" i="7941" s="1"/>
  <c r="Q133" i="7942"/>
  <c r="Q275" i="7941" s="1"/>
  <c r="P133" i="7942"/>
  <c r="P145" i="7942"/>
  <c r="Q145" i="7942"/>
  <c r="Q281" i="7941" s="1"/>
  <c r="Q127" i="7942"/>
  <c r="Q272" i="7941" s="1"/>
  <c r="P127" i="7942"/>
  <c r="M452" i="18"/>
  <c r="M680" i="18" s="1"/>
  <c r="M516" i="18" s="1"/>
  <c r="M85" i="7941" s="1"/>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S765" i="7957" l="1"/>
  <c r="S798" i="7957" s="1"/>
  <c r="S64" i="7957"/>
  <c r="T62" i="7957" s="1"/>
  <c r="Q165" i="7957"/>
  <c r="S529" i="7957"/>
  <c r="T526" i="7957" s="1"/>
  <c r="R139" i="7957"/>
  <c r="R162" i="7957"/>
  <c r="Q367" i="7957"/>
  <c r="R364" i="7957" s="1"/>
  <c r="R358" i="7957"/>
  <c r="S355" i="7957" s="1"/>
  <c r="S357" i="7957" s="1"/>
  <c r="R366" i="7957"/>
  <c r="R740" i="7957" s="1"/>
  <c r="T33" i="7957"/>
  <c r="T786" i="7957" s="1"/>
  <c r="T797" i="7957" s="1"/>
  <c r="Q467" i="7957"/>
  <c r="Q741" i="7957" s="1"/>
  <c r="Q459" i="7957"/>
  <c r="R456" i="7957" s="1"/>
  <c r="R465" i="7957" s="1"/>
  <c r="Q465" i="7957"/>
  <c r="P240" i="7957"/>
  <c r="P769" i="7957"/>
  <c r="P263" i="7957"/>
  <c r="S659" i="7957"/>
  <c r="S767" i="7957"/>
  <c r="O266" i="7957"/>
  <c r="V196" i="7957"/>
  <c r="W193" i="7957" s="1"/>
  <c r="W195" i="7957" s="1"/>
  <c r="T95" i="7957"/>
  <c r="U92" i="7957" s="1"/>
  <c r="S398" i="7957"/>
  <c r="T395" i="7957" s="1"/>
  <c r="O580" i="7957"/>
  <c r="O498" i="7957"/>
  <c r="T297" i="7957"/>
  <c r="U294" i="7957" s="1"/>
  <c r="O614" i="7957"/>
  <c r="O615" i="7957" s="1"/>
  <c r="U22" i="7957"/>
  <c r="U23" i="7957" s="1"/>
  <c r="V21" i="7957" s="1"/>
  <c r="M702" i="7957"/>
  <c r="L714" i="7957"/>
  <c r="P292" i="7942"/>
  <c r="P131" i="7942"/>
  <c r="Q321" i="7942"/>
  <c r="P322" i="7942" s="1"/>
  <c r="Q278" i="7942"/>
  <c r="Q331" i="7941" s="1"/>
  <c r="Q153" i="7942"/>
  <c r="Q285" i="7941" s="1"/>
  <c r="N367" i="7941"/>
  <c r="Q198" i="7941"/>
  <c r="P276" i="7941" s="1"/>
  <c r="P159" i="7942"/>
  <c r="Q43" i="18"/>
  <c r="L217" i="7941"/>
  <c r="N360" i="794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19" i="7955"/>
  <c r="F110" i="7955"/>
  <c r="O264" i="7941"/>
  <c r="O338" i="7941"/>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O288" i="794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O290" i="7942"/>
  <c r="O337" i="7941" s="1"/>
  <c r="Q289" i="7942"/>
  <c r="N262" i="7941"/>
  <c r="O316" i="7942"/>
  <c r="O350" i="7941" s="1"/>
  <c r="Q315" i="7942"/>
  <c r="L676" i="18"/>
  <c r="L512" i="18" s="1"/>
  <c r="L81" i="7941" s="1"/>
  <c r="L209" i="7941" s="1"/>
  <c r="N369" i="7941"/>
  <c r="N326" i="7941"/>
  <c r="P284" i="7942"/>
  <c r="Q284" i="7942"/>
  <c r="Q334" i="7941" s="1"/>
  <c r="P268" i="7942"/>
  <c r="O329" i="7942" s="1"/>
  <c r="M467" i="18"/>
  <c r="M695" i="18" s="1"/>
  <c r="M531" i="18" s="1"/>
  <c r="M100" i="7941" s="1"/>
  <c r="M358" i="7941"/>
  <c r="O384" i="7941" l="1"/>
  <c r="T34" i="7957"/>
  <c r="U32" i="7957" s="1"/>
  <c r="U764" i="7957" s="1"/>
  <c r="R140" i="7957"/>
  <c r="S137" i="7957" s="1"/>
  <c r="R164" i="7957"/>
  <c r="R738" i="7957" s="1"/>
  <c r="T528" i="7957"/>
  <c r="T787" i="7957" s="1"/>
  <c r="T765" i="7957"/>
  <c r="T63" i="7957"/>
  <c r="T737" i="7957" s="1"/>
  <c r="S358" i="7957"/>
  <c r="T355" i="7957" s="1"/>
  <c r="T357" i="7957" s="1"/>
  <c r="S366" i="7957"/>
  <c r="S740" i="7957" s="1"/>
  <c r="R367" i="7957"/>
  <c r="S364" i="7957" s="1"/>
  <c r="R458" i="7957"/>
  <c r="R467" i="7957" s="1"/>
  <c r="R741" i="7957" s="1"/>
  <c r="Q468" i="7957"/>
  <c r="U94" i="7957"/>
  <c r="S660" i="7957"/>
  <c r="T657" i="7957" s="1"/>
  <c r="S789" i="7957"/>
  <c r="S800" i="7957" s="1"/>
  <c r="P241" i="7957"/>
  <c r="Q238" i="7957" s="1"/>
  <c r="P791" i="7957"/>
  <c r="P802" i="7957" s="1"/>
  <c r="P265" i="7957"/>
  <c r="P739" i="7957" s="1"/>
  <c r="W196" i="7957"/>
  <c r="P612" i="7957"/>
  <c r="M704" i="7957"/>
  <c r="M705" i="7957" s="1"/>
  <c r="M763" i="7957"/>
  <c r="M711" i="7957"/>
  <c r="U296" i="7957"/>
  <c r="T397" i="7957"/>
  <c r="O582" i="7957"/>
  <c r="O742" i="7957" s="1"/>
  <c r="O745" i="7957" s="1"/>
  <c r="O793" i="7957" s="1"/>
  <c r="V22" i="7957"/>
  <c r="O499" i="7957"/>
  <c r="O367" i="7941"/>
  <c r="Q322" i="7942"/>
  <c r="Q353" i="7941" s="1"/>
  <c r="Q50" i="7955"/>
  <c r="Z24" i="7955"/>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84" i="7941" s="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Q316" i="7942"/>
  <c r="Q350" i="7941" s="1"/>
  <c r="P316" i="7942"/>
  <c r="P350" i="7941" s="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T64" i="7957" l="1"/>
  <c r="U62" i="7957" s="1"/>
  <c r="U33" i="7957"/>
  <c r="U786" i="7957" s="1"/>
  <c r="U797" i="7957" s="1"/>
  <c r="R165" i="7957"/>
  <c r="S367" i="7957"/>
  <c r="T364" i="7957" s="1"/>
  <c r="U34" i="7957"/>
  <c r="V32" i="7957" s="1"/>
  <c r="V33" i="7957" s="1"/>
  <c r="V786" i="7957" s="1"/>
  <c r="T529" i="7957"/>
  <c r="U526" i="7957" s="1"/>
  <c r="U528" i="7957" s="1"/>
  <c r="T798" i="7957"/>
  <c r="U765" i="7957"/>
  <c r="S139" i="7957"/>
  <c r="S162" i="7957"/>
  <c r="U63" i="7957"/>
  <c r="U737" i="7957" s="1"/>
  <c r="T358" i="7957"/>
  <c r="U355" i="7957" s="1"/>
  <c r="U357" i="7957" s="1"/>
  <c r="U358" i="7957" s="1"/>
  <c r="V355" i="7957" s="1"/>
  <c r="V357" i="7957" s="1"/>
  <c r="V358" i="7957" s="1"/>
  <c r="W355" i="7957" s="1"/>
  <c r="W357" i="7957" s="1"/>
  <c r="W358" i="7957" s="1"/>
  <c r="T366" i="7957"/>
  <c r="T740" i="7957" s="1"/>
  <c r="U95" i="7957"/>
  <c r="V92" i="7957" s="1"/>
  <c r="V94" i="7957" s="1"/>
  <c r="R459" i="7957"/>
  <c r="S456" i="7957" s="1"/>
  <c r="S458" i="7957" s="1"/>
  <c r="R468" i="7957"/>
  <c r="T767" i="7957"/>
  <c r="T659" i="7957"/>
  <c r="Q240" i="7957"/>
  <c r="Q769" i="7957"/>
  <c r="Q263" i="7957"/>
  <c r="P266" i="7957"/>
  <c r="N702" i="7957"/>
  <c r="M714" i="7957"/>
  <c r="O583" i="7957"/>
  <c r="P496" i="7957"/>
  <c r="V23" i="7957"/>
  <c r="W21" i="7957" s="1"/>
  <c r="U297" i="7957"/>
  <c r="V294" i="7957" s="1"/>
  <c r="M771" i="7957"/>
  <c r="M804" i="7957" s="1"/>
  <c r="P614" i="7957"/>
  <c r="P615" i="7957" s="1"/>
  <c r="V764" i="7957"/>
  <c r="T398" i="7957"/>
  <c r="U395" i="7957" s="1"/>
  <c r="M713" i="7957"/>
  <c r="M785" i="7957"/>
  <c r="M796" i="7957" s="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P168" i="7942"/>
  <c r="Q168" i="7942"/>
  <c r="M446" i="18"/>
  <c r="M674" i="18" s="1"/>
  <c r="M510" i="18" s="1"/>
  <c r="M79" i="7941" s="1"/>
  <c r="P365" i="7941"/>
  <c r="P262" i="7941"/>
  <c r="S465" i="7957" l="1"/>
  <c r="U64" i="7957"/>
  <c r="V62" i="7957" s="1"/>
  <c r="T367" i="7957"/>
  <c r="U364" i="7957" s="1"/>
  <c r="S140" i="7957"/>
  <c r="T137" i="7957" s="1"/>
  <c r="S164" i="7957"/>
  <c r="S738" i="7957" s="1"/>
  <c r="U798" i="7957"/>
  <c r="U787" i="7957"/>
  <c r="U529" i="7957"/>
  <c r="V526" i="7957" s="1"/>
  <c r="U366" i="7957"/>
  <c r="T660" i="7957"/>
  <c r="U657" i="7957" s="1"/>
  <c r="T788" i="7957"/>
  <c r="T799" i="7957" s="1"/>
  <c r="T789" i="7957"/>
  <c r="T800" i="7957" s="1"/>
  <c r="Q241" i="7957"/>
  <c r="R238" i="7957" s="1"/>
  <c r="Q791" i="7957"/>
  <c r="Q802" i="7957" s="1"/>
  <c r="Q265" i="7957"/>
  <c r="Q739" i="7957" s="1"/>
  <c r="S459" i="7957"/>
  <c r="T456" i="7957" s="1"/>
  <c r="S467" i="7957"/>
  <c r="S741" i="7957" s="1"/>
  <c r="V95" i="7957"/>
  <c r="W92" i="7957" s="1"/>
  <c r="V296" i="7957"/>
  <c r="V366" i="7957" s="1"/>
  <c r="P580" i="7957"/>
  <c r="P498" i="7957"/>
  <c r="P499" i="7957" s="1"/>
  <c r="V34" i="7957"/>
  <c r="W32" i="7957" s="1"/>
  <c r="V63" i="7957"/>
  <c r="Q612" i="7957"/>
  <c r="W22" i="7957"/>
  <c r="W23" i="7957" s="1"/>
  <c r="U397" i="7957"/>
  <c r="U398" i="7957" s="1"/>
  <c r="V395" i="7957" s="1"/>
  <c r="V797" i="7957"/>
  <c r="N704" i="7957"/>
  <c r="N705" i="7957" s="1"/>
  <c r="N711" i="7957"/>
  <c r="N763" i="7957"/>
  <c r="Z22" i="7955"/>
  <c r="Q358" i="7941"/>
  <c r="P358" i="7941"/>
  <c r="S165" i="7957" l="1"/>
  <c r="V528" i="7957"/>
  <c r="V787" i="7957" s="1"/>
  <c r="V765" i="7957"/>
  <c r="T139" i="7957"/>
  <c r="T162" i="7957"/>
  <c r="U740" i="7957"/>
  <c r="U367" i="7957"/>
  <c r="V364" i="7957" s="1"/>
  <c r="W94" i="7957"/>
  <c r="R240" i="7957"/>
  <c r="R769" i="7957"/>
  <c r="R263" i="7957"/>
  <c r="U767" i="7957"/>
  <c r="U659" i="7957"/>
  <c r="Q266" i="7957"/>
  <c r="S468" i="7957"/>
  <c r="T458" i="7957"/>
  <c r="T467" i="7957" s="1"/>
  <c r="T741" i="7957" s="1"/>
  <c r="T465" i="7957"/>
  <c r="V737" i="7957"/>
  <c r="V64" i="7957"/>
  <c r="W62" i="7957" s="1"/>
  <c r="V740" i="7957"/>
  <c r="V367" i="7957"/>
  <c r="W364" i="7957" s="1"/>
  <c r="N771" i="7957"/>
  <c r="N804" i="7957" s="1"/>
  <c r="W764" i="7957"/>
  <c r="W33" i="7957"/>
  <c r="W786" i="7957" s="1"/>
  <c r="P582" i="7957"/>
  <c r="P742" i="7957" s="1"/>
  <c r="P745" i="7957" s="1"/>
  <c r="P793" i="7957" s="1"/>
  <c r="V297" i="7957"/>
  <c r="W294" i="7957" s="1"/>
  <c r="V397" i="7957"/>
  <c r="Q496" i="7957"/>
  <c r="P583" i="7957"/>
  <c r="O702" i="7957"/>
  <c r="N714" i="7957"/>
  <c r="N785" i="7957"/>
  <c r="N796" i="7957" s="1"/>
  <c r="N713" i="7957"/>
  <c r="Q614" i="7957"/>
  <c r="Q615" i="7957" s="1"/>
  <c r="V529" i="7957" l="1"/>
  <c r="W526" i="7957" s="1"/>
  <c r="W765" i="7957" s="1"/>
  <c r="V798" i="7957"/>
  <c r="W528" i="7957"/>
  <c r="W787" i="7957" s="1"/>
  <c r="T140" i="7957"/>
  <c r="U137" i="7957" s="1"/>
  <c r="T164" i="7957"/>
  <c r="T738" i="7957" s="1"/>
  <c r="W95" i="7957"/>
  <c r="U660" i="7957"/>
  <c r="V657" i="7957" s="1"/>
  <c r="U789" i="7957"/>
  <c r="U800" i="7957" s="1"/>
  <c r="U788" i="7957"/>
  <c r="U799" i="7957" s="1"/>
  <c r="R241" i="7957"/>
  <c r="S238" i="7957" s="1"/>
  <c r="R791" i="7957"/>
  <c r="R802" i="7957" s="1"/>
  <c r="R265" i="7957"/>
  <c r="R739" i="7957" s="1"/>
  <c r="T459" i="7957"/>
  <c r="U456" i="7957" s="1"/>
  <c r="T468" i="7957"/>
  <c r="R612" i="7957"/>
  <c r="W63" i="7957"/>
  <c r="W737" i="7957" s="1"/>
  <c r="O704" i="7957"/>
  <c r="O705" i="7957" s="1"/>
  <c r="O763" i="7957"/>
  <c r="O711" i="7957"/>
  <c r="W34" i="7957"/>
  <c r="Q580" i="7957"/>
  <c r="Q498" i="7957"/>
  <c r="V398" i="7957"/>
  <c r="W395" i="7957" s="1"/>
  <c r="W296" i="7957"/>
  <c r="W297" i="7957" s="1"/>
  <c r="W797" i="7957"/>
  <c r="W798" i="7957" l="1"/>
  <c r="E21" i="7958"/>
  <c r="F8" i="7958" s="1"/>
  <c r="U139" i="7957"/>
  <c r="U162" i="7957"/>
  <c r="T165" i="7957"/>
  <c r="W529" i="7957"/>
  <c r="V659" i="7957"/>
  <c r="V767" i="7957"/>
  <c r="S240" i="7957"/>
  <c r="S769" i="7957"/>
  <c r="S263" i="7957"/>
  <c r="R266" i="7957"/>
  <c r="U458" i="7957"/>
  <c r="U465" i="7957"/>
  <c r="W64" i="7957"/>
  <c r="P702" i="7957"/>
  <c r="O714" i="7957"/>
  <c r="Q582" i="7957"/>
  <c r="Q742" i="7957" s="1"/>
  <c r="Q745" i="7957" s="1"/>
  <c r="Q793" i="7957" s="1"/>
  <c r="Q499" i="7957"/>
  <c r="W397" i="7957"/>
  <c r="W398" i="7957" s="1"/>
  <c r="O771" i="7957"/>
  <c r="O804" i="7957" s="1"/>
  <c r="W366" i="7957"/>
  <c r="O713" i="7957"/>
  <c r="O785" i="7957"/>
  <c r="O796" i="7957" s="1"/>
  <c r="R614" i="7957"/>
  <c r="R615" i="7957" s="1"/>
  <c r="U140" i="7957" l="1"/>
  <c r="V137" i="7957" s="1"/>
  <c r="U164" i="7957"/>
  <c r="U738" i="7957" s="1"/>
  <c r="S791" i="7957"/>
  <c r="S802" i="7957" s="1"/>
  <c r="S265" i="7957"/>
  <c r="S739" i="7957" s="1"/>
  <c r="V660" i="7957"/>
  <c r="W657" i="7957" s="1"/>
  <c r="V789" i="7957"/>
  <c r="V800" i="7957" s="1"/>
  <c r="V788" i="7957"/>
  <c r="V799" i="7957" s="1"/>
  <c r="S241" i="7957"/>
  <c r="T238" i="7957" s="1"/>
  <c r="U459" i="7957"/>
  <c r="V456" i="7957" s="1"/>
  <c r="U467" i="7957"/>
  <c r="U741" i="7957" s="1"/>
  <c r="S612" i="7957"/>
  <c r="P704" i="7957"/>
  <c r="P711" i="7957"/>
  <c r="P763" i="7957"/>
  <c r="Q583" i="7957"/>
  <c r="R496" i="7957"/>
  <c r="W740" i="7957"/>
  <c r="W367" i="7957"/>
  <c r="U165" i="7957" l="1"/>
  <c r="V139" i="7957"/>
  <c r="V162" i="7957"/>
  <c r="U468" i="7957"/>
  <c r="T240" i="7957"/>
  <c r="T769" i="7957"/>
  <c r="T263" i="7957"/>
  <c r="W659" i="7957"/>
  <c r="W660" i="7957" s="1"/>
  <c r="W767" i="7957"/>
  <c r="S266" i="7957"/>
  <c r="V458" i="7957"/>
  <c r="V465" i="7957"/>
  <c r="P771" i="7957"/>
  <c r="P804" i="7957" s="1"/>
  <c r="S615" i="7957"/>
  <c r="R580" i="7957"/>
  <c r="R498" i="7957"/>
  <c r="P713" i="7957"/>
  <c r="P785" i="7957"/>
  <c r="P796" i="7957" s="1"/>
  <c r="P705" i="7957"/>
  <c r="V140" i="7957" l="1"/>
  <c r="W137" i="7957" s="1"/>
  <c r="V164" i="7957"/>
  <c r="V738" i="7957" s="1"/>
  <c r="T241" i="7957"/>
  <c r="U238" i="7957" s="1"/>
  <c r="T791" i="7957"/>
  <c r="T802" i="7957" s="1"/>
  <c r="T265" i="7957"/>
  <c r="T739" i="7957" s="1"/>
  <c r="W789" i="7957"/>
  <c r="W800" i="7957" s="1"/>
  <c r="E22" i="7958" s="1"/>
  <c r="F9" i="7958" s="1"/>
  <c r="W788" i="7957"/>
  <c r="W799" i="7957" s="1"/>
  <c r="V459" i="7957"/>
  <c r="W456" i="7957" s="1"/>
  <c r="V467" i="7957"/>
  <c r="V741" i="7957" s="1"/>
  <c r="Q702" i="7957"/>
  <c r="P714" i="7957"/>
  <c r="R582" i="7957"/>
  <c r="R742" i="7957" s="1"/>
  <c r="R745" i="7957" s="1"/>
  <c r="R793" i="7957" s="1"/>
  <c r="T612" i="7957"/>
  <c r="R499" i="7957"/>
  <c r="W139" i="7957" l="1"/>
  <c r="W162" i="7957"/>
  <c r="V165" i="7957"/>
  <c r="T266" i="7957"/>
  <c r="V468" i="7957"/>
  <c r="U240" i="7957"/>
  <c r="U769" i="7957"/>
  <c r="U263" i="7957"/>
  <c r="W458" i="7957"/>
  <c r="W465" i="7957"/>
  <c r="T615" i="7957"/>
  <c r="Q704" i="7957"/>
  <c r="Q705" i="7957" s="1"/>
  <c r="Q711" i="7957"/>
  <c r="Q763" i="7957"/>
  <c r="S496" i="7957"/>
  <c r="R583" i="7957"/>
  <c r="W140" i="7957" l="1"/>
  <c r="W164" i="7957"/>
  <c r="W738" i="7957" s="1"/>
  <c r="U241" i="7957"/>
  <c r="V238" i="7957" s="1"/>
  <c r="U791" i="7957"/>
  <c r="U802" i="7957" s="1"/>
  <c r="U265" i="7957"/>
  <c r="U739" i="7957" s="1"/>
  <c r="W459" i="7957"/>
  <c r="W467" i="7957"/>
  <c r="W741" i="7957" s="1"/>
  <c r="R702" i="7957"/>
  <c r="Q714" i="7957"/>
  <c r="Q771" i="7957"/>
  <c r="Q804" i="7957" s="1"/>
  <c r="U612" i="7957"/>
  <c r="S580" i="7957"/>
  <c r="S498" i="7957"/>
  <c r="S499" i="7957" s="1"/>
  <c r="Q713" i="7957"/>
  <c r="Q785" i="7957"/>
  <c r="Q796" i="7957" s="1"/>
  <c r="W468" i="7957" l="1"/>
  <c r="W165" i="7957"/>
  <c r="U266" i="7957"/>
  <c r="V240" i="7957"/>
  <c r="V769" i="7957"/>
  <c r="V263" i="7957"/>
  <c r="U615" i="7957"/>
  <c r="S582" i="7957"/>
  <c r="S742" i="7957" s="1"/>
  <c r="R704" i="7957"/>
  <c r="R705" i="7957" s="1"/>
  <c r="R711" i="7957"/>
  <c r="R763" i="7957"/>
  <c r="S583" i="7957"/>
  <c r="T496" i="7957"/>
  <c r="V241" i="7957" l="1"/>
  <c r="W238" i="7957" s="1"/>
  <c r="V791" i="7957"/>
  <c r="V802" i="7957" s="1"/>
  <c r="V265" i="7957"/>
  <c r="V739" i="7957" s="1"/>
  <c r="S702" i="7957"/>
  <c r="R714" i="7957"/>
  <c r="V612" i="7957"/>
  <c r="T580" i="7957"/>
  <c r="T498" i="7957"/>
  <c r="T499" i="7957" s="1"/>
  <c r="R713" i="7957"/>
  <c r="R785" i="7957"/>
  <c r="R796" i="7957" s="1"/>
  <c r="R771" i="7957"/>
  <c r="R804" i="7957" s="1"/>
  <c r="V266" i="7957" l="1"/>
  <c r="W240" i="7957"/>
  <c r="W769" i="7957"/>
  <c r="W263" i="7957"/>
  <c r="T583" i="7957"/>
  <c r="U496" i="7957"/>
  <c r="S704" i="7957"/>
  <c r="S711" i="7957"/>
  <c r="S763" i="7957"/>
  <c r="T582" i="7957"/>
  <c r="T742" i="7957" s="1"/>
  <c r="V615" i="7957"/>
  <c r="W241" i="7957" l="1"/>
  <c r="W791" i="7957"/>
  <c r="W802" i="7957" s="1"/>
  <c r="W265" i="7957"/>
  <c r="W739" i="7957" s="1"/>
  <c r="U580" i="7957"/>
  <c r="U498" i="7957"/>
  <c r="U499" i="7957" s="1"/>
  <c r="S771" i="7957"/>
  <c r="W612" i="7957"/>
  <c r="S713" i="7957"/>
  <c r="S743" i="7957" s="1"/>
  <c r="S745" i="7957" s="1"/>
  <c r="S793" i="7957" s="1"/>
  <c r="S785" i="7957"/>
  <c r="S796" i="7957" s="1"/>
  <c r="S705" i="7957"/>
  <c r="W266" i="7957" l="1"/>
  <c r="T702" i="7957"/>
  <c r="S714" i="7957"/>
  <c r="W615" i="7957"/>
  <c r="U582" i="7957"/>
  <c r="U742" i="7957" s="1"/>
  <c r="U583" i="7957"/>
  <c r="V496" i="7957"/>
  <c r="S804" i="7957"/>
  <c r="V580" i="7957" l="1"/>
  <c r="V498" i="7957"/>
  <c r="T704" i="7957"/>
  <c r="T705" i="7957" s="1"/>
  <c r="T711" i="7957"/>
  <c r="T763" i="7957"/>
  <c r="T713" i="7957" l="1"/>
  <c r="T743" i="7957" s="1"/>
  <c r="T745" i="7957" s="1"/>
  <c r="T793" i="7957" s="1"/>
  <c r="T785" i="7957"/>
  <c r="T796" i="7957" s="1"/>
  <c r="U702" i="7957"/>
  <c r="T714" i="7957"/>
  <c r="T771" i="7957"/>
  <c r="V582" i="7957"/>
  <c r="V742" i="7957" s="1"/>
  <c r="V499" i="7957"/>
  <c r="T804" i="7957" l="1"/>
  <c r="U704" i="7957"/>
  <c r="U705" i="7957" s="1"/>
  <c r="U711" i="7957"/>
  <c r="U763" i="7957"/>
  <c r="W496" i="7957"/>
  <c r="V583" i="7957"/>
  <c r="V702" i="7957" l="1"/>
  <c r="U714" i="7957"/>
  <c r="U771" i="7957"/>
  <c r="W580" i="7957"/>
  <c r="W498" i="7957"/>
  <c r="W499" i="7957" s="1"/>
  <c r="U713" i="7957"/>
  <c r="U743" i="7957" s="1"/>
  <c r="U745" i="7957" s="1"/>
  <c r="U793" i="7957" s="1"/>
  <c r="U785" i="7957"/>
  <c r="U796" i="7957" s="1"/>
  <c r="U804" i="7957" l="1"/>
  <c r="V704" i="7957"/>
  <c r="V705" i="7957" s="1"/>
  <c r="V711" i="7957"/>
  <c r="V763" i="7957"/>
  <c r="W582" i="7957"/>
  <c r="W742" i="7957" s="1"/>
  <c r="W583" i="7957"/>
  <c r="W702" i="7957" l="1"/>
  <c r="W763" i="7957" s="1"/>
  <c r="V714" i="7957"/>
  <c r="V771" i="7957"/>
  <c r="V713" i="7957"/>
  <c r="V743" i="7957" s="1"/>
  <c r="V745" i="7957" s="1"/>
  <c r="V793" i="7957" s="1"/>
  <c r="V785" i="7957"/>
  <c r="V796" i="7957" s="1"/>
  <c r="V804" i="7957" l="1"/>
  <c r="W704" i="7957"/>
  <c r="W705" i="7957" s="1"/>
  <c r="W711" i="7957"/>
  <c r="W713" i="7957" l="1"/>
  <c r="W743" i="7957" s="1"/>
  <c r="W745" i="7957" s="1"/>
  <c r="W793" i="7957" s="1"/>
  <c r="W785" i="7957"/>
  <c r="W796" i="7957" s="1"/>
  <c r="E20" i="7958" s="1"/>
  <c r="F7" i="7958" s="1"/>
  <c r="W714" i="7957"/>
  <c r="W771" i="7957"/>
  <c r="W804" i="7957" l="1"/>
  <c r="E26" i="7958" l="1"/>
  <c r="G14" i="7942" l="1"/>
  <c r="G78" i="7942" s="1"/>
  <c r="G368" i="7942"/>
  <c r="G472" i="18" s="1"/>
  <c r="G41" i="7941" s="1"/>
  <c r="G16" i="7942"/>
  <c r="G80" i="7942" s="1"/>
  <c r="G370" i="7942"/>
  <c r="G474" i="18" s="1"/>
  <c r="G43" i="7941" s="1"/>
  <c r="G17" i="7942"/>
  <c r="G81" i="7942" s="1"/>
  <c r="G371" i="7942"/>
  <c r="G475" i="18" s="1"/>
  <c r="G44" i="7941" s="1"/>
  <c r="G13" i="7942"/>
  <c r="G77" i="7942" s="1"/>
  <c r="G367" i="7942"/>
  <c r="G471" i="18" s="1"/>
  <c r="G40" i="7941" s="1"/>
  <c r="G15" i="7942"/>
  <c r="G79" i="7942" s="1"/>
  <c r="G369" i="7942"/>
  <c r="G473" i="18" s="1"/>
  <c r="G42" i="7941" s="1"/>
  <c r="H116" i="7942" l="1"/>
  <c r="I116" i="7942" s="1"/>
  <c r="H118" i="7942"/>
  <c r="H110" i="7942"/>
  <c r="I110" i="7942" s="1"/>
  <c r="H114" i="7942"/>
  <c r="I114" i="7942" s="1"/>
  <c r="J114" i="7942" s="1"/>
  <c r="H112" i="7942"/>
  <c r="I112" i="7942" s="1"/>
  <c r="M37" i="1"/>
  <c r="G12" i="7942"/>
  <c r="G366" i="7942"/>
  <c r="I118" i="7942" l="1"/>
  <c r="J118" i="7942" s="1"/>
  <c r="K118" i="7942" s="1"/>
  <c r="K114" i="7942"/>
  <c r="L114" i="7942" s="1"/>
  <c r="J110" i="7942"/>
  <c r="K110" i="7942" s="1"/>
  <c r="L110" i="7942" s="1"/>
  <c r="J112" i="7942"/>
  <c r="K112" i="7942" s="1"/>
  <c r="J116" i="7942"/>
  <c r="G470" i="18"/>
  <c r="G365" i="7942"/>
  <c r="G76" i="7942"/>
  <c r="G11" i="7942"/>
  <c r="L118" i="7942" l="1"/>
  <c r="L119" i="7942" s="1"/>
  <c r="L268" i="7941" s="1"/>
  <c r="L112" i="7942"/>
  <c r="L113" i="7942" s="1"/>
  <c r="L265" i="7941" s="1"/>
  <c r="K116" i="7942"/>
  <c r="L116" i="7942" s="1"/>
  <c r="H108" i="7942"/>
  <c r="G75" i="7942"/>
  <c r="L115" i="7942"/>
  <c r="L266" i="7941" s="1"/>
  <c r="G39" i="7941"/>
  <c r="G38" i="7941" s="1"/>
  <c r="G469" i="18"/>
  <c r="I108" i="7942" l="1"/>
  <c r="I107" i="7942" s="1"/>
  <c r="L117" i="7942"/>
  <c r="L267" i="7941" s="1"/>
  <c r="H107" i="7942"/>
  <c r="L111" i="7942"/>
  <c r="L264" i="7941" s="1"/>
  <c r="J108" i="7942" l="1"/>
  <c r="G440" i="18"/>
  <c r="G336" i="7942"/>
  <c r="K108" i="7942" l="1"/>
  <c r="L108" i="7942" s="1"/>
  <c r="J107" i="7942"/>
  <c r="G400" i="7942"/>
  <c r="G504" i="18" s="1"/>
  <c r="G73" i="7941" s="1"/>
  <c r="G9" i="7941"/>
  <c r="G668" i="18"/>
  <c r="G442" i="18"/>
  <c r="G338" i="7942"/>
  <c r="H440" i="18" l="1"/>
  <c r="H668" i="18" s="1"/>
  <c r="H504" i="18" s="1"/>
  <c r="H73" i="7941" s="1"/>
  <c r="G634" i="18"/>
  <c r="H9" i="7941"/>
  <c r="K107" i="7942"/>
  <c r="G11" i="7941"/>
  <c r="G670" i="18"/>
  <c r="G441" i="18"/>
  <c r="G337" i="7942"/>
  <c r="G439" i="18"/>
  <c r="G335" i="7942"/>
  <c r="G401" i="7942"/>
  <c r="G505" i="18" s="1"/>
  <c r="G74" i="7941" s="1"/>
  <c r="G443" i="18"/>
  <c r="G339" i="7942"/>
  <c r="H336" i="7942"/>
  <c r="G399" i="7942"/>
  <c r="G503" i="18" s="1"/>
  <c r="G72" i="7941" s="1"/>
  <c r="G403" i="7942"/>
  <c r="G507" i="18" s="1"/>
  <c r="G76" i="7941" s="1"/>
  <c r="G201" i="7941"/>
  <c r="I9" i="7941" l="1"/>
  <c r="H201" i="7941"/>
  <c r="L109" i="7942"/>
  <c r="L263" i="7941" s="1"/>
  <c r="L262" i="7941" s="1"/>
  <c r="L107" i="7942"/>
  <c r="L168" i="7942" s="1"/>
  <c r="H339" i="7942"/>
  <c r="E83" i="7955" s="1"/>
  <c r="H335" i="7942"/>
  <c r="E23" i="7955" s="1"/>
  <c r="H337" i="7942"/>
  <c r="E38" i="7955"/>
  <c r="G10" i="7941"/>
  <c r="G669" i="18"/>
  <c r="G635" i="18" s="1"/>
  <c r="H441" i="18"/>
  <c r="I440" i="18"/>
  <c r="G12" i="7941"/>
  <c r="G671" i="18"/>
  <c r="G637" i="18" s="1"/>
  <c r="H443" i="18"/>
  <c r="G667" i="18"/>
  <c r="G633" i="18" s="1"/>
  <c r="G8" i="7941"/>
  <c r="H439" i="18"/>
  <c r="F83" i="7955" l="1"/>
  <c r="P83" i="7955" s="1"/>
  <c r="P95" i="7955" s="1"/>
  <c r="E95" i="7955"/>
  <c r="H671" i="18"/>
  <c r="H507" i="18" s="1"/>
  <c r="H76" i="7941" s="1"/>
  <c r="F23" i="7955"/>
  <c r="P23" i="7955" s="1"/>
  <c r="P35" i="7955" s="1"/>
  <c r="E35" i="7955"/>
  <c r="G202" i="7941"/>
  <c r="H10" i="7941"/>
  <c r="E53" i="7955"/>
  <c r="F53" i="7955" s="1"/>
  <c r="H667" i="18"/>
  <c r="H503" i="18" s="1"/>
  <c r="H72" i="7941" s="1"/>
  <c r="G200" i="7941"/>
  <c r="H8" i="7941"/>
  <c r="G204" i="7941"/>
  <c r="H12" i="7941"/>
  <c r="I668" i="18"/>
  <c r="I504" i="18" s="1"/>
  <c r="I73" i="7941" s="1"/>
  <c r="H669" i="18"/>
  <c r="H505" i="18" s="1"/>
  <c r="H74" i="7941" s="1"/>
  <c r="F38" i="7955"/>
  <c r="E50" i="7955"/>
  <c r="H204" i="7941" l="1"/>
  <c r="I441" i="18"/>
  <c r="I669" i="18" s="1"/>
  <c r="I505" i="18" s="1"/>
  <c r="I74" i="7941" s="1"/>
  <c r="I439" i="18"/>
  <c r="I667" i="18" s="1"/>
  <c r="I503" i="18" s="1"/>
  <c r="J440" i="18"/>
  <c r="J668" i="18" s="1"/>
  <c r="J504" i="18" s="1"/>
  <c r="J73" i="7941" s="1"/>
  <c r="F50" i="7955"/>
  <c r="P53" i="7955"/>
  <c r="P65" i="7955" s="1"/>
  <c r="E65" i="7955"/>
  <c r="I443" i="18"/>
  <c r="I12" i="7941"/>
  <c r="H202" i="7941"/>
  <c r="I10" i="7941"/>
  <c r="I201" i="7941"/>
  <c r="J9" i="7941"/>
  <c r="F95" i="7955"/>
  <c r="E59" i="7958" s="1"/>
  <c r="G59" i="7958" s="1"/>
  <c r="G12" i="7958" s="1"/>
  <c r="I8" i="7941"/>
  <c r="H200" i="7941"/>
  <c r="F35" i="7955"/>
  <c r="E55" i="7958" s="1"/>
  <c r="G55" i="7958" s="1"/>
  <c r="G8" i="7958" s="1"/>
  <c r="I72" i="7941" l="1"/>
  <c r="J8" i="7941" s="1"/>
  <c r="J439" i="18"/>
  <c r="J10" i="7941"/>
  <c r="K440" i="18"/>
  <c r="K668" i="18" s="1"/>
  <c r="K504" i="18" s="1"/>
  <c r="K73" i="7941" s="1"/>
  <c r="J441" i="18"/>
  <c r="J669" i="18" s="1"/>
  <c r="J505" i="18" s="1"/>
  <c r="J74" i="7941" s="1"/>
  <c r="J667" i="18"/>
  <c r="J503" i="18" s="1"/>
  <c r="J72" i="7941" s="1"/>
  <c r="I202" i="7941"/>
  <c r="I671" i="18"/>
  <c r="I507" i="18" s="1"/>
  <c r="I76" i="7941" s="1"/>
  <c r="J12" i="7941" s="1"/>
  <c r="I200" i="7941"/>
  <c r="J201" i="7941"/>
  <c r="K9" i="7941"/>
  <c r="F65" i="7955"/>
  <c r="E57" i="7958" s="1"/>
  <c r="O35" i="7955"/>
  <c r="Q35" i="7955" s="1"/>
  <c r="V22" i="7955" s="1"/>
  <c r="W22" i="7955" s="1"/>
  <c r="X22" i="7955" s="1"/>
  <c r="O95" i="7955"/>
  <c r="Q95" i="7955" s="1"/>
  <c r="V26" i="7955" s="1"/>
  <c r="W26" i="7955" s="1"/>
  <c r="X26" i="7955" s="1"/>
  <c r="Y26" i="7955" s="1"/>
  <c r="Z26" i="7955" s="1"/>
  <c r="G57" i="7958" l="1"/>
  <c r="G10" i="7958" s="1"/>
  <c r="K10" i="7941"/>
  <c r="K439" i="18"/>
  <c r="K667" i="18" s="1"/>
  <c r="K503" i="18" s="1"/>
  <c r="K72" i="7941" s="1"/>
  <c r="J443" i="18"/>
  <c r="L440" i="18"/>
  <c r="L668" i="18" s="1"/>
  <c r="L504" i="18" s="1"/>
  <c r="L73" i="7941" s="1"/>
  <c r="L9" i="7941"/>
  <c r="K201" i="7941"/>
  <c r="K8" i="7941"/>
  <c r="J200" i="7941"/>
  <c r="K441" i="18"/>
  <c r="O65" i="7955"/>
  <c r="Q65" i="7955" s="1"/>
  <c r="J202" i="7941"/>
  <c r="I204" i="7941"/>
  <c r="L201" i="7941" l="1"/>
  <c r="J671" i="18"/>
  <c r="J507" i="18" s="1"/>
  <c r="J76" i="7941" s="1"/>
  <c r="K12" i="7941" s="1"/>
  <c r="L439" i="18"/>
  <c r="L667" i="18" s="1"/>
  <c r="L503" i="18" s="1"/>
  <c r="L72" i="7941" s="1"/>
  <c r="M440" i="18"/>
  <c r="M668" i="18" s="1"/>
  <c r="M504" i="18" s="1"/>
  <c r="M73" i="7941" s="1"/>
  <c r="K669" i="18"/>
  <c r="K505" i="18" s="1"/>
  <c r="K74" i="7941" s="1"/>
  <c r="L8" i="7941"/>
  <c r="K200" i="7941"/>
  <c r="K443" i="18" l="1"/>
  <c r="K671" i="18" s="1"/>
  <c r="K507" i="18" s="1"/>
  <c r="K76" i="7941" s="1"/>
  <c r="L12" i="7941" s="1"/>
  <c r="J204" i="7941"/>
  <c r="L200" i="7941"/>
  <c r="M439" i="18"/>
  <c r="M667" i="18" s="1"/>
  <c r="M503" i="18" s="1"/>
  <c r="M72" i="7941" s="1"/>
  <c r="L441" i="18"/>
  <c r="L669" i="18" s="1"/>
  <c r="L505" i="18" s="1"/>
  <c r="L74" i="7941" s="1"/>
  <c r="K202" i="7941"/>
  <c r="L10" i="7941"/>
  <c r="L443" i="18" l="1"/>
  <c r="L671" i="18" s="1"/>
  <c r="L507" i="18" s="1"/>
  <c r="L76" i="7941" s="1"/>
  <c r="L204" i="7941" s="1"/>
  <c r="K204" i="7941"/>
  <c r="L202" i="7941"/>
  <c r="M441" i="18"/>
  <c r="M669" i="18" s="1"/>
  <c r="M505" i="18" s="1"/>
  <c r="M74" i="7941" s="1"/>
  <c r="M443" i="18" l="1"/>
  <c r="M671" i="18" s="1"/>
  <c r="M507" i="18" s="1"/>
  <c r="M76" i="7941" s="1"/>
  <c r="G438" i="18" l="1"/>
  <c r="G334" i="7942"/>
  <c r="J37" i="1"/>
  <c r="G7" i="7941" l="1"/>
  <c r="G437" i="18"/>
  <c r="G666" i="18"/>
  <c r="G333" i="7942"/>
  <c r="G6" i="7941" l="1"/>
  <c r="G398" i="7942"/>
  <c r="G665" i="18"/>
  <c r="G502" i="18" l="1"/>
  <c r="H334" i="7942"/>
  <c r="G71" i="7941" l="1"/>
  <c r="H438" i="18"/>
  <c r="G632" i="18"/>
  <c r="E8" i="7955"/>
  <c r="H666" i="18" l="1"/>
  <c r="F8" i="7955"/>
  <c r="P8" i="7955" s="1"/>
  <c r="P20" i="7955" s="1"/>
  <c r="E20" i="7955"/>
  <c r="G199" i="7941"/>
  <c r="H7" i="7941"/>
  <c r="F20" i="7955" l="1"/>
  <c r="E54" i="7958" s="1"/>
  <c r="G54" i="7958" s="1"/>
  <c r="H502" i="18"/>
  <c r="G7" i="7958" l="1"/>
  <c r="O20" i="7955"/>
  <c r="Q20" i="7955" s="1"/>
  <c r="R21" i="7955" s="1"/>
  <c r="H71" i="7941"/>
  <c r="I438" i="18"/>
  <c r="V21" i="7955" l="1"/>
  <c r="W21" i="7955" s="1"/>
  <c r="X21" i="7955" s="1"/>
  <c r="Y21" i="7955" s="1"/>
  <c r="Z21" i="7955" s="1"/>
  <c r="Y20" i="7955"/>
  <c r="Z20" i="7955"/>
  <c r="H199" i="7941"/>
  <c r="I7" i="7941"/>
  <c r="I666" i="18"/>
  <c r="I502" i="18" l="1"/>
  <c r="I71" i="7941" l="1"/>
  <c r="J438" i="18"/>
  <c r="J666" i="18" l="1"/>
  <c r="J7" i="7941"/>
  <c r="I199" i="7941"/>
  <c r="J502" i="18" l="1"/>
  <c r="J71" i="7941" l="1"/>
  <c r="K438" i="18"/>
  <c r="K666" i="18" l="1"/>
  <c r="K7" i="7941"/>
  <c r="J199" i="7941"/>
  <c r="K502" i="18" l="1"/>
  <c r="K71" i="7941" l="1"/>
  <c r="L438" i="18"/>
  <c r="L666" i="18" l="1"/>
  <c r="L7" i="7941"/>
  <c r="K199" i="7941"/>
  <c r="L502" i="18" l="1"/>
  <c r="L71" i="7941" l="1"/>
  <c r="M438" i="18"/>
  <c r="M666" i="18" l="1"/>
  <c r="L199" i="7941"/>
  <c r="M502" i="18" l="1"/>
  <c r="M71" i="7941" l="1"/>
  <c r="N37" i="1" l="1"/>
  <c r="G402" i="7942"/>
  <c r="G397" i="7942" l="1"/>
  <c r="H338" i="7942"/>
  <c r="G506" i="18"/>
  <c r="G501" i="18" l="1"/>
  <c r="H442" i="18"/>
  <c r="G636" i="18"/>
  <c r="G631" i="18" s="1"/>
  <c r="G75" i="7941"/>
  <c r="H333" i="7942"/>
  <c r="E68" i="7955"/>
  <c r="F68" i="7955" s="1"/>
  <c r="G70" i="7941" l="1"/>
  <c r="H11" i="7941"/>
  <c r="G203" i="7941"/>
  <c r="G198" i="7941" s="1"/>
  <c r="M68" i="7955"/>
  <c r="P68" i="7955"/>
  <c r="P80" i="7955" s="1"/>
  <c r="E80" i="7955"/>
  <c r="H437" i="18"/>
  <c r="H670" i="18"/>
  <c r="M80" i="7955" l="1"/>
  <c r="H506" i="18"/>
  <c r="H665" i="18"/>
  <c r="F80" i="7955"/>
  <c r="E58" i="7958" s="1"/>
  <c r="I58" i="7958" s="1"/>
  <c r="H6" i="7941"/>
  <c r="G11" i="7958" l="1"/>
  <c r="O80" i="7955"/>
  <c r="H697" i="18"/>
  <c r="H501" i="18"/>
  <c r="H75" i="7941"/>
  <c r="I442" i="18"/>
  <c r="I437" i="18" l="1"/>
  <c r="I670" i="18"/>
  <c r="H70" i="7941"/>
  <c r="I11" i="7941"/>
  <c r="H203" i="7941"/>
  <c r="H198" i="7941" s="1"/>
  <c r="X25" i="7955"/>
  <c r="Z25" i="7955"/>
  <c r="Y25" i="7955"/>
  <c r="W25" i="7955"/>
  <c r="Q80" i="7955"/>
  <c r="I6" i="7941" l="1"/>
  <c r="I506" i="18"/>
  <c r="I665" i="18"/>
  <c r="V25" i="7955"/>
  <c r="R20" i="7955"/>
  <c r="I75" i="7941" l="1"/>
  <c r="I501" i="18"/>
  <c r="J442" i="18"/>
  <c r="X20" i="7955"/>
  <c r="V20" i="7955"/>
  <c r="W20" i="7955"/>
  <c r="I697" i="18"/>
  <c r="J437" i="18" l="1"/>
  <c r="J670" i="18"/>
  <c r="I70" i="7941"/>
  <c r="I203" i="7941"/>
  <c r="I198" i="7941" s="1"/>
  <c r="J11" i="7941"/>
  <c r="J6" i="7941" l="1"/>
  <c r="J506" i="18"/>
  <c r="J665" i="18"/>
  <c r="J697" i="18" l="1"/>
  <c r="J501" i="18"/>
  <c r="J75" i="7941"/>
  <c r="K442" i="18"/>
  <c r="K437" i="18" l="1"/>
  <c r="K670" i="18"/>
  <c r="J70" i="7941"/>
  <c r="K11" i="7941"/>
  <c r="J203" i="7941"/>
  <c r="J198" i="7941" s="1"/>
  <c r="K6" i="7941" l="1"/>
  <c r="K665" i="18"/>
  <c r="K506" i="18"/>
  <c r="K75" i="7941" l="1"/>
  <c r="K501" i="18"/>
  <c r="L442" i="18"/>
  <c r="K697" i="18"/>
  <c r="K70" i="7941" l="1"/>
  <c r="L11" i="7941"/>
  <c r="K203" i="7941"/>
  <c r="K198" i="7941" s="1"/>
  <c r="L437" i="18"/>
  <c r="L670" i="18"/>
  <c r="L665" i="18" l="1"/>
  <c r="L506" i="18"/>
  <c r="L6" i="7941"/>
  <c r="L501" i="18" l="1"/>
  <c r="L75" i="7941"/>
  <c r="M442" i="18"/>
  <c r="L697" i="18"/>
  <c r="T665" i="18"/>
  <c r="L699" i="18" l="1"/>
  <c r="T697" i="18"/>
  <c r="M670" i="18"/>
  <c r="M437" i="18"/>
  <c r="L70" i="7941"/>
  <c r="L203" i="7941"/>
  <c r="M665" i="18" l="1"/>
  <c r="M506" i="18"/>
  <c r="L198" i="7941"/>
  <c r="L300" i="7941" l="1"/>
  <c r="L309" i="7941"/>
  <c r="L307" i="7941"/>
  <c r="L310" i="7941"/>
  <c r="L308" i="7941"/>
  <c r="L304" i="7941"/>
  <c r="L302" i="7941"/>
  <c r="L242" i="7941"/>
  <c r="L257" i="7941"/>
  <c r="L237" i="7941"/>
  <c r="L249" i="7941"/>
  <c r="L252" i="7941"/>
  <c r="L233" i="7941"/>
  <c r="L256" i="7941"/>
  <c r="L239" i="7941"/>
  <c r="L253" i="7941"/>
  <c r="L246" i="7941"/>
  <c r="L254" i="7941"/>
  <c r="L244" i="7941"/>
  <c r="L319" i="7941"/>
  <c r="L305" i="7941"/>
  <c r="L316" i="7941"/>
  <c r="L322" i="7941"/>
  <c r="L311" i="7941"/>
  <c r="L321" i="7941"/>
  <c r="L320" i="7941"/>
  <c r="L251" i="7941"/>
  <c r="L248" i="7941"/>
  <c r="L258" i="7941"/>
  <c r="L236" i="7941"/>
  <c r="L299" i="7941"/>
  <c r="L297" i="7941"/>
  <c r="L303" i="7941"/>
  <c r="L312" i="7941"/>
  <c r="L298" i="7941"/>
  <c r="L301" i="7941"/>
  <c r="L318" i="7941"/>
  <c r="L324" i="7941"/>
  <c r="L260" i="7941"/>
  <c r="L247" i="7941"/>
  <c r="L375" i="7941" s="1"/>
  <c r="L245" i="7941"/>
  <c r="L259" i="7941"/>
  <c r="L232" i="7941"/>
  <c r="L243" i="7941"/>
  <c r="L240" i="7941"/>
  <c r="L231" i="7941"/>
  <c r="L295" i="7941"/>
  <c r="L238" i="7941"/>
  <c r="L241" i="7941"/>
  <c r="L369" i="7941" s="1"/>
  <c r="L235" i="7941"/>
  <c r="L296" i="7941"/>
  <c r="L313" i="7941"/>
  <c r="L317" i="7941"/>
  <c r="L306" i="7941"/>
  <c r="L323" i="7941"/>
  <c r="L314" i="7941"/>
  <c r="L315" i="7941"/>
  <c r="L255" i="7941"/>
  <c r="L250" i="7941"/>
  <c r="L234" i="7941"/>
  <c r="M75" i="7941"/>
  <c r="M70" i="7941" s="1"/>
  <c r="M501" i="18"/>
  <c r="L372" i="7941" l="1"/>
  <c r="L386" i="7941"/>
  <c r="L368" i="7941"/>
  <c r="L373" i="7941"/>
  <c r="L383" i="7941"/>
  <c r="L374" i="7941"/>
  <c r="L388" i="7941"/>
  <c r="L366" i="7941"/>
  <c r="L371" i="7941"/>
  <c r="L378" i="7941"/>
  <c r="L361" i="7941"/>
  <c r="L362" i="7941"/>
  <c r="L376" i="7941"/>
  <c r="L381" i="7941"/>
  <c r="L380" i="7941"/>
  <c r="L370" i="7941"/>
  <c r="L379" i="7941"/>
  <c r="L367" i="7941"/>
  <c r="L377" i="7941"/>
  <c r="L294" i="7941"/>
  <c r="L360" i="7941"/>
  <c r="L363" i="7941"/>
  <c r="L230" i="7941"/>
  <c r="L359" i="7941"/>
  <c r="L387" i="7941"/>
  <c r="L364" i="7941"/>
  <c r="L382" i="7941"/>
  <c r="L384" i="7941"/>
  <c r="L365" i="7941"/>
  <c r="L385" i="7941"/>
  <c r="D23" i="7958" l="1"/>
  <c r="E23" i="7958" s="1"/>
  <c r="D25" i="7958"/>
  <c r="D24" i="7958"/>
  <c r="E24" i="7958" s="1"/>
  <c r="F11" i="7958" s="1"/>
  <c r="L358" i="7941"/>
  <c r="E25" i="7958" l="1"/>
  <c r="F10" i="7958"/>
  <c r="E28" i="7958" l="1"/>
  <c r="F12" i="7958"/>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W6" authorId="0">
      <text>
        <r>
          <rPr>
            <sz val="8"/>
            <color indexed="81"/>
            <rFont val="Tahoma"/>
            <family val="2"/>
          </rPr>
          <t>Insert the number of years for the current regulatory control period.</t>
        </r>
      </text>
    </comment>
    <comment ref="K7" authorId="0">
      <text>
        <r>
          <rPr>
            <b/>
            <sz val="9"/>
            <color indexed="81"/>
            <rFont val="Tahoma"/>
            <family val="2"/>
          </rPr>
          <t>Author:</t>
        </r>
        <r>
          <rPr>
            <sz val="9"/>
            <color indexed="81"/>
            <rFont val="Tahoma"/>
            <family val="2"/>
          </rPr>
          <t xml:space="preserve">
Albury PTRM</t>
        </r>
      </text>
    </comment>
    <comment ref="Y7" author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W766" author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5.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List>
</comments>
</file>

<file path=xl/comments6.xml><?xml version="1.0" encoding="utf-8"?>
<comments xmlns="http://schemas.openxmlformats.org/spreadsheetml/2006/main">
  <authors>
    <author>Author</author>
  </authors>
  <commentList>
    <comment ref="K8" author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<sst xmlns="http://schemas.openxmlformats.org/spreadsheetml/2006/main" count="1206" uniqueCount="232">
  <si>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</si>
  <si>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</si>
  <si>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</si>
  <si>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</si>
  <si>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</si>
  <si>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</si>
  <si>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</si>
  <si>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</si>
  <si>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</si>
  <si>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</si>
  <si>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</si>
  <si>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</si>
  <si>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</si>
  <si>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</si>
  <si>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</si>
  <si>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</si>
  <si>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</si>
  <si>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</si>
  <si>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</si>
  <si>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</si>
  <si>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</si>
  <si>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</si>
  <si>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</si>
  <si>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</si>
  <si>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</si>
  <si>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</si>
  <si>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</si>
  <si>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</si>
  <si>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</si>
  <si>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</si>
  <si>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</si>
  <si>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</si>
  <si>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</si>
  <si>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</si>
  <si>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</si>
  <si>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</si>
  <si>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</si>
  <si>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</si>
  <si>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</si>
  <si>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</si>
  <si>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</si>
  <si>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</si>
  <si>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</si>
  <si>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</si>
  <si>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</si>
  <si>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</si>
  <si>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</si>
  <si>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</si>
  <si>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</si>
  <si>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</si>
  <si>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</si>
  <si>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</si>
  <si>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</si>
  <si>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</si>
  <si>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</si>
  <si>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</si>
  <si>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</si>
  <si>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</si>
  <si>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</si>
  <si>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</si>
  <si>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</si>
  <si>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</si>
  <si>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</si>
  <si>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</si>
  <si>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</si>
  <si>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</si>
  <si>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</si>
  <si>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</si>
  <si>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</si>
  <si>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</si>
  <si>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</si>
  <si>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</si>
  <si>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</si>
  <si>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</si>
  <si>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</si>
  <si>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</si>
  <si>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</si>
  <si>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</si>
  <si>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</si>
  <si>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</si>
  <si>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</si>
  <si>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</si>
  <si>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</si>
  <si>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</si>
  <si>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</si>
  <si>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</si>
  <si>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</si>
  <si>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</si>
  <si>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</si>
  <si>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</si>
  <si>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</si>
  <si>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</si>
  <si>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</si>
  <si>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</si>
  <si>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</si>
  <si>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</si>
  <si>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</si>
  <si>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</si>
  <si>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</si>
  <si>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</si>
  <si>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</si>
  <si>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</si>
  <si>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</si>
  <si>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</si>
  <si>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</si>
  <si>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</si>
  <si>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</si>
  <si>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</si>
  <si>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</si>
  <si>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</si>
  <si>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</si>
  <si>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</si>
  <si>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</si>
  <si>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</si>
  <si>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</si>
  <si>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</si>
  <si>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</si>
  <si>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</si>
  <si>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</si>
  <si>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</si>
  <si>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</si>
  <si>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</si>
  <si>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</si>
  <si>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</si>
  <si>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</si>
  <si>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</si>
  <si>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</si>
  <si>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</si>
  <si>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</si>
  <si>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AER WARL</t>
  </si>
  <si>
    <t>YEAR by YEAR Tracking</t>
  </si>
  <si>
    <t>per annum</t>
  </si>
  <si>
    <t>Additional Depn Profile $m pa</t>
  </si>
  <si>
    <t>for first three years as meters drops away</t>
  </si>
  <si>
    <t>n/a</t>
  </si>
  <si>
    <t>TAX DEPRECIATION - GROUP 1 ASSET CLASS</t>
  </si>
  <si>
    <t>Group 1
Asset Class</t>
  </si>
  <si>
    <t>OAV $m
(MOD)</t>
  </si>
  <si>
    <t>Depn
Life</t>
  </si>
  <si>
    <t>Depn
Method</t>
  </si>
  <si>
    <t>Declining Balance</t>
  </si>
  <si>
    <t>Fully Deductible</t>
  </si>
  <si>
    <t>Land &amp; Buildings</t>
  </si>
  <si>
    <t>Straight Line</t>
  </si>
  <si>
    <t>Tax Depreciation Schedule $m (MOD)</t>
  </si>
  <si>
    <t>OAV</t>
  </si>
  <si>
    <t>Depn Life</t>
  </si>
  <si>
    <t>Depn Method</t>
  </si>
  <si>
    <t>Depn Rate</t>
  </si>
  <si>
    <t>Tax Depreciation</t>
  </si>
  <si>
    <t>Total Group 1 Asset Class Tax Depreciation</t>
  </si>
  <si>
    <t>TAX DEPRECIATION - GROUP 2 ASSET CLASS</t>
  </si>
  <si>
    <t>Group 2
Asset Class</t>
  </si>
  <si>
    <t>Repairs</t>
  </si>
  <si>
    <t>Capital Expenditure</t>
  </si>
  <si>
    <t>Capex $m (MOD)</t>
  </si>
  <si>
    <t>Capex</t>
  </si>
  <si>
    <t>Tax Depn</t>
  </si>
  <si>
    <t>Total Group 2 Asset Class Tax Depreciation</t>
  </si>
  <si>
    <t>TAX DEPRECIATION - GROUP 3 ASSET CLASS</t>
  </si>
  <si>
    <t>Group 3
Asset Class</t>
  </si>
  <si>
    <t>1999</t>
  </si>
  <si>
    <t>2000</t>
  </si>
  <si>
    <t>2001</t>
  </si>
  <si>
    <t>2002</t>
  </si>
  <si>
    <t>Total Group 3 Asset Class Tax Depreciation</t>
  </si>
  <si>
    <t>TAX DEPRECIATION - GROUP 4 ASSET CLASS</t>
  </si>
  <si>
    <t>Group 4
Asset Class</t>
  </si>
  <si>
    <t>2003</t>
  </si>
  <si>
    <t>2004</t>
  </si>
  <si>
    <t>2005</t>
  </si>
  <si>
    <t>2006</t>
  </si>
  <si>
    <t>Total Group 4 Asset Class Tax Depreciation</t>
  </si>
  <si>
    <t>TAX DEPRECIATION - GROUP 5 ASSET CLASS</t>
  </si>
  <si>
    <t>Group 5
Asset Class</t>
  </si>
  <si>
    <t>Actual 2007 NGEP tax additions</t>
  </si>
  <si>
    <t>Total Group 5 Asset Class Tax Depreciation</t>
  </si>
  <si>
    <t>TAX DEPRECIATION - GROUP 6 ASSET CLASS</t>
  </si>
  <si>
    <t>Group 6
Asset Class</t>
  </si>
  <si>
    <t>Meters Domestic</t>
  </si>
  <si>
    <t>Meters Industrial &amp; Commercial</t>
  </si>
  <si>
    <t>Total Group 6 Asset Class Tax Depreciation</t>
  </si>
  <si>
    <t>TAX DEPRECIATION - GROUP 7 ASSET CLASS</t>
  </si>
  <si>
    <t>Group 7
Asset Class</t>
  </si>
  <si>
    <t>2011</t>
  </si>
  <si>
    <t>Total Group 7 Asset Class Tax Depreciation</t>
  </si>
  <si>
    <t>Group 8</t>
  </si>
  <si>
    <t>Grand Total</t>
  </si>
  <si>
    <t>Group 1</t>
  </si>
  <si>
    <t>Group 2</t>
  </si>
  <si>
    <t>Group 3</t>
  </si>
  <si>
    <t>Group 4</t>
  </si>
  <si>
    <t>Group 5</t>
  </si>
  <si>
    <t>Group 6</t>
  </si>
  <si>
    <t>Group 7</t>
  </si>
  <si>
    <t>Gross Capex</t>
  </si>
  <si>
    <t>Meters Commercial/Industrial</t>
  </si>
  <si>
    <t xml:space="preserve">Land </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</si>
  <si>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</si>
  <si>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</si>
  <si>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</si>
  <si>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</si>
  <si>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</si>
  <si>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</si>
  <si>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</si>
  <si>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</si>
  <si>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</si>
  <si>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</si>
  <si>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</si>
  <si>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</si>
  <si>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</si>
  <si>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</si>
  <si>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</si>
  <si>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</si>
  <si>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</si>
  <si>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</si>
  <si>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Estimating 2018 Opening Tax RAB</t>
  </si>
  <si>
    <t>PTRM Asset Category</t>
  </si>
  <si>
    <t>N/A</t>
  </si>
  <si>
    <t>Estimating Remaining Lives for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</si>
  <si>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</si>
  <si>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</si>
  <si>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</si>
  <si>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</si>
  <si>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</si>
  <si>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</si>
  <si>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</si>
  <si>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Actual RAB roll forward</t>
  </si>
  <si>
    <r>
      <t xml:space="preserve">Nominal </t>
    </r>
    <r>
      <rPr>
        <u/>
        <sz val="10"/>
        <rFont val="Arial"/>
        <family val="2"/>
      </rPr>
      <t>Forecast</t>
    </r>
    <r>
      <rPr>
        <sz val="10"/>
        <rFont val="Arial"/>
        <family val="2"/>
      </rPr>
      <t xml:space="preserve"> Regulatory Depreciation</t>
    </r>
  </si>
  <si>
    <t>Nominal Forecast Straight-line Depreciation</t>
  </si>
  <si>
    <t>Envestra Albury</t>
  </si>
  <si>
    <t>Lagged Actual CPI Inflation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</si>
</sst>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_-* #,##0.000000_-;\-* #,##0.000000_-;_-* &quot;-&quot;??_-;_-@_-"/>
    <numFmt numFmtId="178" formatCode="_-* #,##0.0_-;\-* #,##0.0_-;_-* &quot;-&quot;?_-;_-@_-"/>
    <numFmt numFmtId="179" formatCode="#,##0.00_ ;\-#,##0.00\ "/>
    <numFmt numFmtId="180" formatCode="#,##0.0"/>
    <numFmt numFmtId="181" formatCode="#,##0.000"/>
  </numFmts>
  <fonts count="57">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u/>
      <sz val="11"/>
      <name val="Times New Roman"/>
      <family val="1"/>
    </font>
    <font>
      <b/>
      <sz val="10"/>
      <color indexed="10"/>
      <name val="Arial"/>
      <family val="2"/>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sz val="11"/>
      <color theme="1"/>
      <name val="Calibri"/>
      <family val="2"/>
      <scheme val="minor"/>
    </font>
  </fonts>
  <fills count="2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theme="1"/>
        <bgColor indexed="64"/>
      </patternFill>
    </fill>
    <fill>
      <patternFill patternType="solid">
        <fgColor rgb="FF002060"/>
        <bgColor indexed="64"/>
      </patternFill>
    </fill>
    <fill>
      <patternFill patternType="solid">
        <fgColor theme="6"/>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s>
  <cellStyleXfs count="135">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56" fillId="0" borderId="0"/>
  </cellStyleXfs>
  <cellXfs count="640">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0" xfId="8" applyNumberFormat="1" applyFont="1" applyFill="1" applyBorder="1" applyAlignment="1">
      <alignment horizontal="center" vertical="center"/>
    </xf>
    <xf numFmtId="167" fontId="4" fillId="4" borderId="14" xfId="8" applyNumberFormat="1" applyFont="1" applyFill="1" applyBorder="1" applyAlignment="1">
      <alignment horizontal="right"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0" fontId="4" fillId="16" borderId="0" xfId="0" applyFont="1" applyFill="1"/>
    <xf numFmtId="0" fontId="0" fillId="16" borderId="0" xfId="0" applyFill="1"/>
    <xf numFmtId="0" fontId="21" fillId="17" borderId="0" xfId="0" applyFont="1" applyFill="1" applyAlignment="1">
      <alignment vertical="center"/>
    </xf>
    <xf numFmtId="0" fontId="2" fillId="14" borderId="0" xfId="77" applyFont="1" applyFill="1" applyBorder="1" applyAlignment="1">
      <alignment horizontal="right"/>
    </xf>
    <xf numFmtId="0" fontId="2" fillId="14" borderId="0" xfId="77" applyFont="1" applyFill="1" applyBorder="1" applyAlignment="1">
      <alignment horizontal="left"/>
    </xf>
    <xf numFmtId="0" fontId="2" fillId="14" borderId="0" xfId="77" applyFont="1" applyFill="1" applyBorder="1"/>
    <xf numFmtId="0" fontId="1" fillId="14" borderId="0" xfId="77" applyFont="1" applyFill="1"/>
    <xf numFmtId="0" fontId="39" fillId="14" borderId="0" xfId="77" applyFont="1" applyFill="1"/>
    <xf numFmtId="0" fontId="2" fillId="0" borderId="0" xfId="77" applyFont="1"/>
    <xf numFmtId="167" fontId="4" fillId="16" borderId="0" xfId="8" applyNumberFormat="1" applyFont="1" applyFill="1"/>
    <xf numFmtId="167" fontId="4" fillId="16" borderId="0" xfId="8" applyNumberFormat="1" applyFont="1" applyFill="1" applyBorder="1"/>
    <xf numFmtId="167" fontId="4" fillId="14" borderId="0" xfId="77" applyNumberFormat="1" applyFont="1" applyFill="1"/>
    <xf numFmtId="167" fontId="4" fillId="17" borderId="0" xfId="8" applyNumberFormat="1" applyFont="1" applyFill="1"/>
    <xf numFmtId="10" fontId="1" fillId="0" borderId="30" xfId="101" applyNumberFormat="1" applyFill="1" applyBorder="1"/>
    <xf numFmtId="10" fontId="1" fillId="14" borderId="6" xfId="100" applyNumberFormat="1" applyFill="1" applyBorder="1"/>
    <xf numFmtId="10" fontId="1" fillId="14" borderId="31" xfId="8" applyNumberFormat="1" applyFill="1" applyBorder="1"/>
    <xf numFmtId="43" fontId="4" fillId="16" borderId="0" xfId="77" applyNumberFormat="1" applyFill="1"/>
    <xf numFmtId="0" fontId="1" fillId="14" borderId="0" xfId="0" applyFont="1" applyFill="1"/>
    <xf numFmtId="0" fontId="1" fillId="16" borderId="0" xfId="127" applyFill="1"/>
    <xf numFmtId="0" fontId="39" fillId="16" borderId="0" xfId="127" applyFont="1" applyFill="1"/>
    <xf numFmtId="0" fontId="2" fillId="16" borderId="0" xfId="127" applyFont="1" applyFill="1" applyAlignment="1">
      <alignment wrapText="1"/>
    </xf>
    <xf numFmtId="0" fontId="2" fillId="16" borderId="0" xfId="127" applyFont="1" applyFill="1" applyAlignment="1">
      <alignment horizontal="center" wrapText="1"/>
    </xf>
    <xf numFmtId="0" fontId="1" fillId="16" borderId="24" xfId="127" applyFill="1" applyBorder="1"/>
    <xf numFmtId="167" fontId="0" fillId="16" borderId="24" xfId="128" applyNumberFormat="1" applyFont="1" applyFill="1" applyBorder="1"/>
    <xf numFmtId="167" fontId="1" fillId="16" borderId="27" xfId="128" applyNumberFormat="1" applyFont="1" applyFill="1" applyBorder="1"/>
    <xf numFmtId="167" fontId="0" fillId="16" borderId="27" xfId="128" applyNumberFormat="1" applyFont="1" applyFill="1" applyBorder="1"/>
    <xf numFmtId="0" fontId="1" fillId="16" borderId="26" xfId="127" applyFill="1" applyBorder="1"/>
    <xf numFmtId="0" fontId="1" fillId="16" borderId="7" xfId="127" applyFill="1" applyBorder="1"/>
    <xf numFmtId="167" fontId="0" fillId="16" borderId="7" xfId="128" applyNumberFormat="1" applyFont="1" applyFill="1" applyBorder="1"/>
    <xf numFmtId="167" fontId="0" fillId="16" borderId="28" xfId="128" applyNumberFormat="1" applyFont="1" applyFill="1" applyBorder="1"/>
    <xf numFmtId="0" fontId="1" fillId="16" borderId="2" xfId="127" applyFill="1" applyBorder="1"/>
    <xf numFmtId="0" fontId="1" fillId="16" borderId="8" xfId="127" applyFill="1" applyBorder="1"/>
    <xf numFmtId="167" fontId="0" fillId="16" borderId="8" xfId="128" applyNumberFormat="1" applyFont="1" applyFill="1" applyBorder="1"/>
    <xf numFmtId="167" fontId="0" fillId="16" borderId="29" xfId="128" applyNumberFormat="1" applyFont="1" applyFill="1" applyBorder="1"/>
    <xf numFmtId="0" fontId="1" fillId="16" borderId="32" xfId="127" applyFill="1" applyBorder="1"/>
    <xf numFmtId="167" fontId="1" fillId="16" borderId="33" xfId="127" applyNumberFormat="1" applyFill="1" applyBorder="1"/>
    <xf numFmtId="0" fontId="2" fillId="16" borderId="0" xfId="127" applyFont="1" applyFill="1"/>
    <xf numFmtId="167" fontId="0" fillId="16" borderId="31" xfId="128" applyNumberFormat="1" applyFont="1" applyFill="1" applyBorder="1"/>
    <xf numFmtId="9" fontId="0" fillId="16" borderId="0" xfId="101" applyFont="1" applyFill="1"/>
    <xf numFmtId="167" fontId="0" fillId="16" borderId="0" xfId="128" applyNumberFormat="1" applyFont="1" applyFill="1" applyBorder="1"/>
    <xf numFmtId="0" fontId="1" fillId="16" borderId="29" xfId="127" applyFill="1" applyBorder="1"/>
    <xf numFmtId="10" fontId="1" fillId="16" borderId="29" xfId="101" applyNumberFormat="1" applyFill="1" applyBorder="1"/>
    <xf numFmtId="0" fontId="1" fillId="16" borderId="0" xfId="127" applyFill="1" applyBorder="1"/>
    <xf numFmtId="0" fontId="2" fillId="16" borderId="22" xfId="127" applyFont="1" applyFill="1" applyBorder="1" applyAlignment="1">
      <alignment horizontal="center"/>
    </xf>
    <xf numFmtId="0" fontId="2" fillId="16" borderId="23" xfId="127" applyFont="1" applyFill="1" applyBorder="1" applyAlignment="1">
      <alignment horizontal="center"/>
    </xf>
    <xf numFmtId="0" fontId="2" fillId="16" borderId="3" xfId="127" applyFont="1" applyFill="1" applyBorder="1" applyAlignment="1">
      <alignment horizontal="center"/>
    </xf>
    <xf numFmtId="167" fontId="0" fillId="16" borderId="2" xfId="128" applyNumberFormat="1" applyFont="1" applyFill="1" applyBorder="1"/>
    <xf numFmtId="167" fontId="0" fillId="16" borderId="32" xfId="128" applyNumberFormat="1" applyFont="1" applyFill="1" applyBorder="1"/>
    <xf numFmtId="167" fontId="0" fillId="16" borderId="4" xfId="128" applyNumberFormat="1" applyFont="1" applyFill="1" applyBorder="1"/>
    <xf numFmtId="173" fontId="1" fillId="16" borderId="0" xfId="127" applyNumberFormat="1" applyFill="1"/>
    <xf numFmtId="170" fontId="1" fillId="16" borderId="0" xfId="127" applyNumberFormat="1" applyFill="1"/>
    <xf numFmtId="167" fontId="1" fillId="16" borderId="0" xfId="127" applyNumberFormat="1" applyFill="1"/>
    <xf numFmtId="167" fontId="1" fillId="16" borderId="24" xfId="128" applyNumberFormat="1" applyFill="1" applyBorder="1"/>
    <xf numFmtId="167" fontId="1" fillId="16" borderId="27" xfId="128" applyNumberFormat="1" applyFill="1" applyBorder="1"/>
    <xf numFmtId="167" fontId="1" fillId="16" borderId="7" xfId="128" applyNumberFormat="1" applyFill="1" applyBorder="1"/>
    <xf numFmtId="167" fontId="1" fillId="16" borderId="28" xfId="128" applyNumberFormat="1" applyFill="1" applyBorder="1"/>
    <xf numFmtId="167" fontId="1" fillId="16" borderId="8" xfId="128" applyNumberFormat="1" applyFill="1" applyBorder="1"/>
    <xf numFmtId="168" fontId="1" fillId="16" borderId="29" xfId="128" applyNumberFormat="1" applyFill="1" applyBorder="1"/>
    <xf numFmtId="167" fontId="1" fillId="16" borderId="29" xfId="128" applyNumberFormat="1" applyFill="1" applyBorder="1"/>
    <xf numFmtId="167" fontId="1" fillId="16" borderId="0" xfId="128" applyNumberFormat="1" applyFill="1" applyBorder="1"/>
    <xf numFmtId="168" fontId="1" fillId="16" borderId="0" xfId="128" applyNumberFormat="1" applyFill="1" applyBorder="1"/>
    <xf numFmtId="0" fontId="1" fillId="16" borderId="27" xfId="127" applyFill="1" applyBorder="1"/>
    <xf numFmtId="0" fontId="1" fillId="16" borderId="28" xfId="127" applyFill="1" applyBorder="1"/>
    <xf numFmtId="49" fontId="2" fillId="16" borderId="22" xfId="128" applyNumberFormat="1" applyFont="1" applyFill="1" applyBorder="1" applyAlignment="1">
      <alignment horizontal="center"/>
    </xf>
    <xf numFmtId="49" fontId="2" fillId="16" borderId="3" xfId="127" applyNumberFormat="1" applyFont="1" applyFill="1" applyBorder="1" applyAlignment="1">
      <alignment horizontal="center"/>
    </xf>
    <xf numFmtId="49" fontId="2" fillId="16" borderId="3" xfId="128" applyNumberFormat="1" applyFont="1" applyFill="1" applyBorder="1" applyAlignment="1">
      <alignment horizontal="center"/>
    </xf>
    <xf numFmtId="49" fontId="2" fillId="16" borderId="23" xfId="127" applyNumberFormat="1" applyFont="1" applyFill="1" applyBorder="1" applyAlignment="1">
      <alignment horizontal="center"/>
    </xf>
    <xf numFmtId="0" fontId="1" fillId="16" borderId="22" xfId="127" applyFill="1" applyBorder="1"/>
    <xf numFmtId="167" fontId="1" fillId="16" borderId="22" xfId="128" applyNumberFormat="1" applyFill="1" applyBorder="1"/>
    <xf numFmtId="167" fontId="1" fillId="16" borderId="3" xfId="128" applyNumberFormat="1" applyFill="1" applyBorder="1"/>
    <xf numFmtId="167" fontId="1" fillId="16" borderId="23" xfId="128" applyNumberFormat="1" applyFill="1" applyBorder="1"/>
    <xf numFmtId="167" fontId="1" fillId="16" borderId="2" xfId="128" applyNumberFormat="1" applyFill="1" applyBorder="1"/>
    <xf numFmtId="167" fontId="1" fillId="16" borderId="28" xfId="127" applyNumberFormat="1" applyFill="1" applyBorder="1"/>
    <xf numFmtId="167" fontId="1" fillId="16" borderId="2" xfId="127" applyNumberFormat="1" applyFill="1" applyBorder="1"/>
    <xf numFmtId="167" fontId="1" fillId="16" borderId="32" xfId="128" applyNumberFormat="1" applyFill="1" applyBorder="1"/>
    <xf numFmtId="167" fontId="1" fillId="16" borderId="4" xfId="128" applyNumberFormat="1" applyFill="1" applyBorder="1"/>
    <xf numFmtId="167" fontId="1" fillId="18" borderId="0" xfId="128" applyNumberFormat="1" applyFill="1" applyBorder="1"/>
    <xf numFmtId="177" fontId="1" fillId="16" borderId="0" xfId="127" applyNumberFormat="1" applyFill="1"/>
    <xf numFmtId="178" fontId="1" fillId="16" borderId="0" xfId="127" applyNumberFormat="1" applyFill="1"/>
    <xf numFmtId="49" fontId="2" fillId="16" borderId="27" xfId="128" applyNumberFormat="1" applyFont="1" applyFill="1" applyBorder="1" applyAlignment="1">
      <alignment horizontal="center"/>
    </xf>
    <xf numFmtId="49" fontId="2" fillId="16" borderId="31" xfId="127" applyNumberFormat="1" applyFont="1" applyFill="1" applyBorder="1" applyAlignment="1">
      <alignment horizontal="center"/>
    </xf>
    <xf numFmtId="49" fontId="2" fillId="16" borderId="31" xfId="128" applyNumberFormat="1" applyFont="1" applyFill="1" applyBorder="1" applyAlignment="1">
      <alignment horizontal="center"/>
    </xf>
    <xf numFmtId="49" fontId="2" fillId="16" borderId="26" xfId="128" applyNumberFormat="1" applyFont="1" applyFill="1" applyBorder="1" applyAlignment="1">
      <alignment horizontal="center"/>
    </xf>
    <xf numFmtId="49" fontId="2" fillId="16" borderId="0" xfId="128" applyNumberFormat="1" applyFont="1" applyFill="1" applyBorder="1" applyAlignment="1">
      <alignment horizontal="center"/>
    </xf>
    <xf numFmtId="0" fontId="2" fillId="16" borderId="0" xfId="127" applyFont="1" applyFill="1" applyBorder="1" applyAlignment="1">
      <alignment horizontal="center"/>
    </xf>
    <xf numFmtId="167" fontId="1" fillId="16" borderId="3" xfId="128" applyNumberFormat="1" applyFont="1" applyFill="1" applyBorder="1"/>
    <xf numFmtId="167" fontId="1" fillId="16" borderId="0" xfId="127" applyNumberFormat="1" applyFont="1" applyFill="1" applyBorder="1"/>
    <xf numFmtId="167" fontId="1" fillId="16" borderId="0" xfId="127" applyNumberFormat="1" applyFill="1" applyBorder="1"/>
    <xf numFmtId="168" fontId="1" fillId="16" borderId="0" xfId="127" applyNumberFormat="1" applyFill="1" applyBorder="1"/>
    <xf numFmtId="167" fontId="1" fillId="16" borderId="28" xfId="128" applyNumberFormat="1" applyFont="1" applyFill="1" applyBorder="1"/>
    <xf numFmtId="167" fontId="1" fillId="16" borderId="32" xfId="128" applyNumberFormat="1" applyFont="1" applyFill="1" applyBorder="1"/>
    <xf numFmtId="0" fontId="2" fillId="18" borderId="0" xfId="127" applyFont="1" applyFill="1"/>
    <xf numFmtId="0" fontId="1" fillId="18" borderId="0" xfId="127" applyFill="1"/>
    <xf numFmtId="0" fontId="1" fillId="18" borderId="27" xfId="127" applyFill="1" applyBorder="1"/>
    <xf numFmtId="0" fontId="1" fillId="18" borderId="26" xfId="127" applyFill="1" applyBorder="1"/>
    <xf numFmtId="0" fontId="1" fillId="18" borderId="24" xfId="127" applyFill="1" applyBorder="1"/>
    <xf numFmtId="0" fontId="1" fillId="18" borderId="28" xfId="127" applyFill="1" applyBorder="1"/>
    <xf numFmtId="0" fontId="1" fillId="18" borderId="2" xfId="127" applyFill="1" applyBorder="1"/>
    <xf numFmtId="0" fontId="1" fillId="18" borderId="7" xfId="127" applyFill="1" applyBorder="1"/>
    <xf numFmtId="0" fontId="1" fillId="18" borderId="29" xfId="127" applyFill="1" applyBorder="1"/>
    <xf numFmtId="0" fontId="1" fillId="18" borderId="32" xfId="127" applyFill="1" applyBorder="1"/>
    <xf numFmtId="0" fontId="1" fillId="18" borderId="8" xfId="127" applyFill="1" applyBorder="1"/>
    <xf numFmtId="1" fontId="2" fillId="16" borderId="31" xfId="127" applyNumberFormat="1" applyFont="1" applyFill="1" applyBorder="1" applyAlignment="1">
      <alignment horizontal="center"/>
    </xf>
    <xf numFmtId="1" fontId="2" fillId="16" borderId="26" xfId="127" applyNumberFormat="1" applyFont="1" applyFill="1" applyBorder="1" applyAlignment="1">
      <alignment horizontal="center"/>
    </xf>
    <xf numFmtId="1" fontId="2" fillId="16" borderId="0" xfId="127" applyNumberFormat="1" applyFont="1" applyFill="1" applyBorder="1" applyAlignment="1">
      <alignment horizontal="center"/>
    </xf>
    <xf numFmtId="167" fontId="1" fillId="18" borderId="3" xfId="128" applyNumberFormat="1" applyFont="1" applyFill="1" applyBorder="1"/>
    <xf numFmtId="168" fontId="20" fillId="16" borderId="3" xfId="128" applyNumberFormat="1" applyFont="1" applyFill="1" applyBorder="1"/>
    <xf numFmtId="167" fontId="20" fillId="16" borderId="3" xfId="128" applyNumberFormat="1" applyFont="1" applyFill="1" applyBorder="1"/>
    <xf numFmtId="166" fontId="1" fillId="16" borderId="0" xfId="127" applyNumberFormat="1" applyFill="1" applyBorder="1"/>
    <xf numFmtId="0" fontId="41" fillId="16" borderId="0" xfId="127" applyFont="1" applyFill="1" applyBorder="1"/>
    <xf numFmtId="178" fontId="1" fillId="16" borderId="0" xfId="127" applyNumberFormat="1" applyFill="1" applyBorder="1"/>
    <xf numFmtId="179" fontId="41" fillId="16" borderId="0" xfId="127" applyNumberFormat="1" applyFont="1" applyFill="1" applyBorder="1"/>
    <xf numFmtId="167" fontId="1" fillId="18" borderId="22" xfId="128" applyNumberFormat="1" applyFill="1" applyBorder="1"/>
    <xf numFmtId="167" fontId="1" fillId="18" borderId="3" xfId="128" applyNumberFormat="1" applyFill="1" applyBorder="1"/>
    <xf numFmtId="167" fontId="1" fillId="18" borderId="23" xfId="128" applyNumberFormat="1" applyFill="1" applyBorder="1"/>
    <xf numFmtId="167" fontId="1" fillId="18" borderId="28" xfId="128" applyNumberFormat="1" applyFill="1" applyBorder="1"/>
    <xf numFmtId="167" fontId="1" fillId="18" borderId="2" xfId="128" applyNumberFormat="1" applyFill="1" applyBorder="1"/>
    <xf numFmtId="167" fontId="1" fillId="18" borderId="0" xfId="127" applyNumberFormat="1" applyFill="1"/>
    <xf numFmtId="167" fontId="1" fillId="18" borderId="28" xfId="127" applyNumberFormat="1" applyFill="1" applyBorder="1"/>
    <xf numFmtId="167" fontId="1" fillId="18" borderId="2" xfId="127" applyNumberFormat="1" applyFill="1" applyBorder="1"/>
    <xf numFmtId="167" fontId="1" fillId="18" borderId="0" xfId="127" applyNumberFormat="1" applyFill="1" applyBorder="1"/>
    <xf numFmtId="167" fontId="1" fillId="18" borderId="7" xfId="128" applyNumberFormat="1" applyFill="1" applyBorder="1"/>
    <xf numFmtId="167" fontId="1" fillId="18" borderId="28" xfId="127" applyNumberFormat="1" applyFont="1" applyFill="1" applyBorder="1"/>
    <xf numFmtId="167" fontId="1" fillId="18" borderId="0" xfId="127" applyNumberFormat="1" applyFont="1" applyFill="1" applyBorder="1"/>
    <xf numFmtId="0" fontId="1" fillId="16" borderId="0" xfId="127" applyFont="1" applyFill="1"/>
    <xf numFmtId="167" fontId="1" fillId="18" borderId="27" xfId="128" applyNumberFormat="1" applyFill="1" applyBorder="1"/>
    <xf numFmtId="0" fontId="1" fillId="18" borderId="0" xfId="127" applyFill="1" applyBorder="1"/>
    <xf numFmtId="10" fontId="1" fillId="18" borderId="29" xfId="101" applyNumberFormat="1" applyFill="1" applyBorder="1"/>
    <xf numFmtId="49" fontId="2" fillId="18" borderId="27" xfId="128" applyNumberFormat="1" applyFont="1" applyFill="1" applyBorder="1" applyAlignment="1">
      <alignment horizontal="center"/>
    </xf>
    <xf numFmtId="1" fontId="2" fillId="18" borderId="31" xfId="127" applyNumberFormat="1" applyFont="1" applyFill="1" applyBorder="1" applyAlignment="1">
      <alignment horizontal="center"/>
    </xf>
    <xf numFmtId="1" fontId="2" fillId="18" borderId="26" xfId="127" applyNumberFormat="1" applyFont="1" applyFill="1" applyBorder="1" applyAlignment="1">
      <alignment horizontal="center"/>
    </xf>
    <xf numFmtId="0" fontId="2" fillId="18" borderId="0" xfId="127" applyFont="1" applyFill="1" applyBorder="1" applyAlignment="1">
      <alignment horizontal="center"/>
    </xf>
    <xf numFmtId="0" fontId="1" fillId="18" borderId="22" xfId="127" applyFill="1" applyBorder="1"/>
    <xf numFmtId="168" fontId="1" fillId="18" borderId="0" xfId="128" applyNumberFormat="1" applyFill="1" applyBorder="1"/>
    <xf numFmtId="168" fontId="1" fillId="18" borderId="0" xfId="127" applyNumberFormat="1" applyFill="1" applyBorder="1"/>
    <xf numFmtId="0" fontId="2" fillId="18" borderId="22" xfId="127" applyFont="1" applyFill="1" applyBorder="1" applyAlignment="1">
      <alignment horizontal="center"/>
    </xf>
    <xf numFmtId="0" fontId="2" fillId="18" borderId="23" xfId="127" applyFont="1" applyFill="1" applyBorder="1" applyAlignment="1">
      <alignment horizontal="center"/>
    </xf>
    <xf numFmtId="0" fontId="2" fillId="18" borderId="3" xfId="127" applyFont="1" applyFill="1" applyBorder="1" applyAlignment="1">
      <alignment horizontal="center"/>
    </xf>
    <xf numFmtId="167" fontId="1" fillId="18" borderId="28" xfId="128" applyNumberFormat="1" applyFont="1" applyFill="1" applyBorder="1"/>
    <xf numFmtId="167" fontId="1" fillId="18" borderId="29" xfId="128" applyNumberFormat="1" applyFill="1" applyBorder="1"/>
    <xf numFmtId="167" fontId="1" fillId="18" borderId="32" xfId="128" applyNumberFormat="1" applyFill="1" applyBorder="1"/>
    <xf numFmtId="167" fontId="1" fillId="18" borderId="4" xfId="128" applyNumberFormat="1" applyFill="1" applyBorder="1"/>
    <xf numFmtId="0" fontId="2" fillId="16" borderId="27" xfId="127" applyFont="1" applyFill="1" applyBorder="1" applyAlignment="1">
      <alignment horizontal="center"/>
    </xf>
    <xf numFmtId="0" fontId="2" fillId="16" borderId="31" xfId="127" applyFont="1" applyFill="1" applyBorder="1" applyAlignment="1">
      <alignment horizontal="center"/>
    </xf>
    <xf numFmtId="0" fontId="2" fillId="16" borderId="26" xfId="127" applyFont="1" applyFill="1" applyBorder="1" applyAlignment="1">
      <alignment horizontal="center"/>
    </xf>
    <xf numFmtId="167" fontId="1" fillId="18" borderId="27" xfId="128" applyNumberFormat="1" applyFont="1" applyFill="1" applyBorder="1"/>
    <xf numFmtId="167" fontId="1" fillId="18" borderId="31" xfId="128" applyNumberFormat="1" applyFont="1" applyFill="1" applyBorder="1"/>
    <xf numFmtId="167" fontId="1" fillId="18" borderId="26" xfId="128" applyNumberFormat="1" applyFont="1" applyFill="1" applyBorder="1"/>
    <xf numFmtId="167" fontId="0" fillId="18" borderId="28" xfId="128" applyNumberFormat="1" applyFont="1" applyFill="1" applyBorder="1"/>
    <xf numFmtId="167" fontId="0" fillId="18" borderId="0" xfId="128" applyNumberFormat="1" applyFont="1" applyFill="1" applyBorder="1"/>
    <xf numFmtId="167" fontId="0" fillId="18" borderId="2" xfId="128" applyNumberFormat="1" applyFont="1" applyFill="1" applyBorder="1"/>
    <xf numFmtId="167" fontId="0" fillId="18" borderId="29" xfId="128" applyNumberFormat="1" applyFont="1" applyFill="1" applyBorder="1"/>
    <xf numFmtId="167" fontId="0" fillId="18" borderId="4" xfId="128" applyNumberFormat="1" applyFont="1" applyFill="1" applyBorder="1"/>
    <xf numFmtId="167" fontId="0" fillId="18" borderId="32" xfId="128" applyNumberFormat="1" applyFont="1" applyFill="1" applyBorder="1"/>
    <xf numFmtId="167" fontId="2" fillId="16" borderId="27" xfId="127" applyNumberFormat="1" applyFont="1" applyFill="1" applyBorder="1"/>
    <xf numFmtId="167" fontId="2" fillId="16" borderId="26" xfId="127" applyNumberFormat="1" applyFont="1" applyFill="1" applyBorder="1"/>
    <xf numFmtId="167" fontId="2" fillId="16" borderId="0" xfId="127" applyNumberFormat="1" applyFont="1" applyFill="1"/>
    <xf numFmtId="167" fontId="2" fillId="16" borderId="2" xfId="127" applyNumberFormat="1" applyFont="1" applyFill="1" applyBorder="1"/>
    <xf numFmtId="167" fontId="2" fillId="16" borderId="28" xfId="127" applyNumberFormat="1" applyFont="1" applyFill="1" applyBorder="1"/>
    <xf numFmtId="167" fontId="2" fillId="16" borderId="22" xfId="127" applyNumberFormat="1" applyFont="1" applyFill="1" applyBorder="1"/>
    <xf numFmtId="167" fontId="2" fillId="16" borderId="23" xfId="127" applyNumberFormat="1" applyFont="1" applyFill="1" applyBorder="1"/>
    <xf numFmtId="167" fontId="2" fillId="16" borderId="3" xfId="127" applyNumberFormat="1" applyFont="1" applyFill="1" applyBorder="1"/>
    <xf numFmtId="167" fontId="1" fillId="16" borderId="27" xfId="127" applyNumberFormat="1" applyFill="1" applyBorder="1"/>
    <xf numFmtId="167" fontId="1" fillId="16" borderId="26" xfId="127" applyNumberFormat="1" applyFill="1" applyBorder="1"/>
    <xf numFmtId="167" fontId="1" fillId="16" borderId="22" xfId="127" applyNumberFormat="1" applyFill="1" applyBorder="1"/>
    <xf numFmtId="167" fontId="1" fillId="16" borderId="23" xfId="127" applyNumberFormat="1" applyFill="1" applyBorder="1"/>
    <xf numFmtId="167" fontId="1" fillId="16" borderId="3" xfId="127" applyNumberFormat="1" applyFill="1" applyBorder="1"/>
    <xf numFmtId="167" fontId="1" fillId="16" borderId="0" xfId="128" applyNumberFormat="1" applyFill="1"/>
    <xf numFmtId="167" fontId="1" fillId="18" borderId="0" xfId="128" applyNumberFormat="1" applyFill="1"/>
    <xf numFmtId="167" fontId="0" fillId="16" borderId="0" xfId="128" applyNumberFormat="1" applyFont="1" applyFill="1"/>
    <xf numFmtId="168" fontId="1" fillId="16" borderId="0" xfId="128" applyNumberFormat="1" applyFill="1"/>
    <xf numFmtId="0" fontId="43" fillId="19" borderId="0" xfId="132" applyFont="1" applyFill="1"/>
    <xf numFmtId="0" fontId="44" fillId="19" borderId="0" xfId="132" applyFont="1" applyFill="1"/>
    <xf numFmtId="0" fontId="45" fillId="0" borderId="0" xfId="132" applyFont="1"/>
    <xf numFmtId="0" fontId="46" fillId="19" borderId="0" xfId="132" applyFont="1" applyFill="1"/>
    <xf numFmtId="0" fontId="47" fillId="19" borderId="0" xfId="132" applyFont="1" applyFill="1"/>
    <xf numFmtId="0" fontId="48" fillId="0" borderId="0" xfId="132" applyFont="1"/>
    <xf numFmtId="0" fontId="49" fillId="14" borderId="22" xfId="132" applyFont="1" applyFill="1" applyBorder="1" applyAlignment="1">
      <alignment horizontal="left" wrapText="1"/>
    </xf>
    <xf numFmtId="0" fontId="45" fillId="0" borderId="3" xfId="132" applyFont="1" applyBorder="1"/>
    <xf numFmtId="0" fontId="49" fillId="14" borderId="3" xfId="132" applyFont="1" applyFill="1" applyBorder="1" applyAlignment="1">
      <alignment horizontal="center" wrapText="1"/>
    </xf>
    <xf numFmtId="0" fontId="49" fillId="14" borderId="23" xfId="132" applyFont="1" applyFill="1" applyBorder="1" applyAlignment="1">
      <alignment horizontal="center" wrapText="1"/>
    </xf>
    <xf numFmtId="0" fontId="52" fillId="0" borderId="0" xfId="132" applyFont="1" applyFill="1" applyBorder="1" applyAlignment="1">
      <alignment horizontal="left"/>
    </xf>
    <xf numFmtId="0" fontId="50" fillId="0" borderId="0" xfId="132" applyFont="1" applyFill="1" applyBorder="1" applyAlignment="1">
      <alignment horizontal="left"/>
    </xf>
    <xf numFmtId="168" fontId="52" fillId="0" borderId="0" xfId="133" applyNumberFormat="1" applyFont="1" applyFill="1" applyBorder="1" applyAlignment="1">
      <alignment horizontal="right" vertical="center"/>
    </xf>
    <xf numFmtId="168" fontId="52" fillId="0" borderId="0" xfId="132" applyNumberFormat="1" applyFont="1" applyFill="1" applyBorder="1" applyAlignment="1">
      <alignment horizontal="right" vertical="center" wrapText="1"/>
    </xf>
    <xf numFmtId="0" fontId="45" fillId="0" borderId="34" xfId="132" applyFont="1" applyBorder="1"/>
    <xf numFmtId="165" fontId="45" fillId="0" borderId="35" xfId="101" applyNumberFormat="1" applyFont="1" applyBorder="1"/>
    <xf numFmtId="180" fontId="45" fillId="0" borderId="36" xfId="132" applyNumberFormat="1" applyFont="1" applyBorder="1"/>
    <xf numFmtId="0" fontId="45" fillId="0" borderId="37" xfId="132" applyFont="1" applyBorder="1"/>
    <xf numFmtId="165" fontId="45" fillId="0" borderId="38" xfId="101" applyNumberFormat="1" applyFont="1" applyBorder="1"/>
    <xf numFmtId="0" fontId="54" fillId="0" borderId="22" xfId="132" applyFont="1" applyBorder="1"/>
    <xf numFmtId="0" fontId="55" fillId="0" borderId="0" xfId="132" applyFont="1"/>
    <xf numFmtId="164" fontId="55" fillId="0" borderId="0" xfId="132" applyNumberFormat="1" applyFont="1"/>
    <xf numFmtId="0" fontId="53" fillId="19" borderId="22" xfId="132" applyFont="1" applyFill="1" applyBorder="1"/>
    <xf numFmtId="0" fontId="53" fillId="19" borderId="3" xfId="132" applyFont="1" applyFill="1" applyBorder="1" applyAlignment="1">
      <alignment horizontal="center"/>
    </xf>
    <xf numFmtId="0" fontId="53" fillId="19" borderId="23" xfId="132" applyFont="1" applyFill="1" applyBorder="1" applyAlignment="1">
      <alignment horizontal="right"/>
    </xf>
    <xf numFmtId="0" fontId="45" fillId="0" borderId="0" xfId="132" applyFont="1" applyAlignment="1">
      <alignment vertical="center" wrapText="1"/>
    </xf>
    <xf numFmtId="0" fontId="53" fillId="19" borderId="27" xfId="132" applyFont="1" applyFill="1" applyBorder="1"/>
    <xf numFmtId="0" fontId="45" fillId="0" borderId="34" xfId="132" applyFont="1" applyBorder="1" applyAlignment="1">
      <alignment horizontal="left" vertical="center" wrapText="1"/>
    </xf>
    <xf numFmtId="0" fontId="45" fillId="0" borderId="44" xfId="132" applyFont="1" applyBorder="1" applyAlignment="1">
      <alignment horizontal="left" vertical="center" wrapText="1"/>
    </xf>
    <xf numFmtId="0" fontId="53" fillId="19" borderId="22" xfId="132" applyFont="1" applyFill="1" applyBorder="1" applyAlignment="1">
      <alignment horizontal="left" vertical="center" wrapText="1"/>
    </xf>
    <xf numFmtId="0" fontId="53" fillId="19" borderId="23" xfId="132" applyFont="1" applyFill="1" applyBorder="1" applyAlignment="1">
      <alignment horizontal="center" wrapText="1"/>
    </xf>
    <xf numFmtId="0" fontId="45" fillId="0" borderId="0" xfId="132" applyFont="1" applyAlignment="1">
      <alignment wrapText="1"/>
    </xf>
    <xf numFmtId="166" fontId="45" fillId="0" borderId="43" xfId="132" applyNumberFormat="1" applyFont="1" applyBorder="1" applyAlignment="1">
      <alignment horizontal="center"/>
    </xf>
    <xf numFmtId="0" fontId="45" fillId="0" borderId="42" xfId="132" applyFont="1" applyBorder="1" applyAlignment="1">
      <alignment horizontal="left" vertical="center" wrapText="1"/>
    </xf>
    <xf numFmtId="166" fontId="45" fillId="0" borderId="32" xfId="132" applyNumberFormat="1" applyFont="1" applyBorder="1" applyAlignment="1">
      <alignment horizontal="center"/>
    </xf>
    <xf numFmtId="0" fontId="45" fillId="0" borderId="0" xfId="132" applyFont="1" applyAlignment="1">
      <alignment vertical="top" wrapText="1"/>
    </xf>
    <xf numFmtId="0" fontId="53" fillId="20" borderId="27" xfId="132" applyFont="1" applyFill="1" applyBorder="1" applyAlignment="1">
      <alignment vertical="top" wrapText="1"/>
    </xf>
    <xf numFmtId="0" fontId="53" fillId="20" borderId="5" xfId="132" applyFont="1" applyFill="1" applyBorder="1" applyAlignment="1">
      <alignment horizontal="right" vertical="top" wrapText="1"/>
    </xf>
    <xf numFmtId="3" fontId="53" fillId="20" borderId="5" xfId="132" applyNumberFormat="1" applyFont="1" applyFill="1" applyBorder="1" applyAlignment="1">
      <alignment horizontal="right" vertical="top" wrapText="1"/>
    </xf>
    <xf numFmtId="3" fontId="53" fillId="20" borderId="26" xfId="132" applyNumberFormat="1" applyFont="1" applyFill="1" applyBorder="1" applyAlignment="1">
      <alignment horizontal="right" vertical="top" wrapText="1"/>
    </xf>
    <xf numFmtId="0" fontId="45" fillId="0" borderId="45" xfId="132" applyFont="1" applyBorder="1"/>
    <xf numFmtId="180" fontId="45" fillId="0" borderId="47" xfId="132" applyNumberFormat="1" applyFont="1" applyBorder="1" applyAlignment="1">
      <alignment horizontal="right"/>
    </xf>
    <xf numFmtId="0" fontId="45" fillId="0" borderId="48" xfId="132" applyFont="1" applyBorder="1"/>
    <xf numFmtId="180" fontId="45" fillId="0" borderId="41" xfId="132" applyNumberFormat="1" applyFont="1" applyBorder="1" applyAlignment="1">
      <alignment horizontal="right"/>
    </xf>
    <xf numFmtId="0" fontId="45" fillId="0" borderId="50" xfId="132" applyFont="1" applyBorder="1"/>
    <xf numFmtId="180" fontId="45" fillId="0" borderId="52" xfId="132" applyNumberFormat="1" applyFont="1" applyBorder="1" applyAlignment="1">
      <alignment horizontal="right"/>
    </xf>
    <xf numFmtId="180" fontId="54" fillId="0" borderId="23" xfId="132" applyNumberFormat="1" applyFont="1" applyBorder="1"/>
    <xf numFmtId="0" fontId="45" fillId="16" borderId="40" xfId="132" applyFont="1" applyFill="1" applyBorder="1" applyAlignment="1">
      <alignment vertical="center" wrapText="1"/>
    </xf>
    <xf numFmtId="0" fontId="45" fillId="16" borderId="37" xfId="132" applyFont="1" applyFill="1" applyBorder="1" applyAlignment="1">
      <alignment vertical="center" wrapText="1"/>
    </xf>
    <xf numFmtId="0" fontId="45" fillId="16" borderId="39" xfId="132" applyFont="1" applyFill="1" applyBorder="1" applyAlignment="1">
      <alignment vertical="center" wrapText="1"/>
    </xf>
    <xf numFmtId="0" fontId="45" fillId="16" borderId="53" xfId="132" applyFont="1" applyFill="1" applyBorder="1" applyAlignment="1">
      <alignment vertical="center" wrapText="1"/>
    </xf>
    <xf numFmtId="0" fontId="45" fillId="16" borderId="54" xfId="132" applyFont="1" applyFill="1" applyBorder="1" applyAlignment="1">
      <alignment horizontal="center" vertical="center" wrapText="1"/>
    </xf>
    <xf numFmtId="166" fontId="45" fillId="16" borderId="55" xfId="132" applyNumberFormat="1" applyFont="1" applyFill="1" applyBorder="1" applyAlignment="1">
      <alignment horizontal="center" vertical="center" wrapText="1"/>
    </xf>
    <xf numFmtId="0" fontId="45" fillId="16" borderId="49" xfId="132" applyFont="1" applyFill="1" applyBorder="1" applyAlignment="1">
      <alignment horizontal="center" vertical="center" wrapText="1"/>
    </xf>
    <xf numFmtId="166" fontId="45" fillId="16" borderId="36" xfId="132" applyNumberFormat="1" applyFont="1" applyFill="1" applyBorder="1" applyAlignment="1">
      <alignment horizontal="center" vertical="center" wrapText="1"/>
    </xf>
    <xf numFmtId="0" fontId="45" fillId="16" borderId="56" xfId="132" applyFont="1" applyFill="1" applyBorder="1" applyAlignment="1">
      <alignment horizontal="center" vertical="center" wrapText="1"/>
    </xf>
    <xf numFmtId="166" fontId="45" fillId="16" borderId="57" xfId="132" applyNumberFormat="1" applyFont="1" applyFill="1" applyBorder="1" applyAlignment="1">
      <alignment horizontal="center" vertical="center" wrapText="1"/>
    </xf>
    <xf numFmtId="0" fontId="45" fillId="16" borderId="51" xfId="132" applyFont="1" applyFill="1" applyBorder="1" applyAlignment="1">
      <alignment horizontal="center" vertical="center" wrapText="1"/>
    </xf>
    <xf numFmtId="166" fontId="45" fillId="16" borderId="58" xfId="132" applyNumberFormat="1" applyFont="1" applyFill="1" applyBorder="1" applyAlignment="1">
      <alignment horizontal="center" vertical="center" wrapText="1"/>
    </xf>
    <xf numFmtId="180" fontId="45" fillId="0" borderId="59" xfId="132" applyNumberFormat="1" applyFont="1" applyBorder="1"/>
    <xf numFmtId="0" fontId="45" fillId="16" borderId="42" xfId="132" applyFont="1" applyFill="1" applyBorder="1"/>
    <xf numFmtId="165" fontId="45" fillId="0" borderId="60" xfId="101" applyNumberFormat="1" applyFont="1" applyBorder="1"/>
    <xf numFmtId="180" fontId="45" fillId="0" borderId="58" xfId="132" applyNumberFormat="1" applyFont="1" applyBorder="1"/>
    <xf numFmtId="180" fontId="45" fillId="0" borderId="46" xfId="132" applyNumberFormat="1" applyFont="1" applyBorder="1" applyAlignment="1">
      <alignment horizontal="right"/>
    </xf>
    <xf numFmtId="180" fontId="45" fillId="0" borderId="49" xfId="132" applyNumberFormat="1" applyFont="1" applyBorder="1" applyAlignment="1">
      <alignment horizontal="right"/>
    </xf>
    <xf numFmtId="180" fontId="45" fillId="0" borderId="51" xfId="132" applyNumberFormat="1" applyFont="1" applyBorder="1" applyAlignment="1">
      <alignment horizontal="right"/>
    </xf>
    <xf numFmtId="0" fontId="53" fillId="19" borderId="5" xfId="132" applyFont="1" applyFill="1" applyBorder="1" applyAlignment="1">
      <alignment horizontal="right"/>
    </xf>
    <xf numFmtId="3" fontId="53" fillId="19" borderId="26" xfId="132" applyNumberFormat="1" applyFont="1" applyFill="1" applyBorder="1" applyAlignment="1">
      <alignment horizontal="right"/>
    </xf>
    <xf numFmtId="167" fontId="50" fillId="4" borderId="0" xfId="133" applyNumberFormat="1" applyFont="1" applyFill="1" applyBorder="1" applyAlignment="1">
      <alignment horizontal="right" vertical="center"/>
    </xf>
    <xf numFmtId="167" fontId="50" fillId="4" borderId="0" xfId="132" applyNumberFormat="1" applyFont="1" applyFill="1" applyBorder="1" applyAlignment="1">
      <alignment horizontal="right" vertical="center" wrapText="1"/>
    </xf>
    <xf numFmtId="167" fontId="50" fillId="4" borderId="4" xfId="133" applyNumberFormat="1" applyFont="1" applyFill="1" applyBorder="1" applyAlignment="1">
      <alignment horizontal="right" vertical="center"/>
    </xf>
    <xf numFmtId="167" fontId="50" fillId="4" borderId="4" xfId="132" applyNumberFormat="1" applyFont="1" applyFill="1" applyBorder="1" applyAlignment="1">
      <alignment horizontal="right" vertical="center" wrapText="1"/>
    </xf>
    <xf numFmtId="166" fontId="0" fillId="4" borderId="0" xfId="0" applyNumberFormat="1" applyFill="1" applyBorder="1" applyAlignment="1">
      <alignment horizontal="right" wrapText="1"/>
    </xf>
    <xf numFmtId="166" fontId="0" fillId="4" borderId="31" xfId="0" applyNumberFormat="1" applyFill="1" applyBorder="1" applyAlignment="1">
      <alignment horizontal="center" wrapText="1"/>
    </xf>
    <xf numFmtId="166" fontId="0" fillId="4" borderId="31" xfId="0" applyNumberFormat="1" applyFill="1" applyBorder="1" applyAlignment="1">
      <alignment horizontal="right" wrapText="1"/>
    </xf>
    <xf numFmtId="43" fontId="4" fillId="4" borderId="31" xfId="8" applyNumberFormat="1" applyFont="1" applyFill="1" applyBorder="1" applyAlignment="1">
      <alignment horizontal="right" vertical="center"/>
    </xf>
    <xf numFmtId="173" fontId="4" fillId="4" borderId="0" xfId="8" applyNumberFormat="1" applyFont="1" applyFill="1" applyBorder="1" applyAlignment="1">
      <alignment horizontal="right" vertical="center"/>
    </xf>
    <xf numFmtId="43" fontId="4" fillId="17" borderId="6" xfId="8" applyNumberFormat="1" applyFont="1" applyFill="1" applyBorder="1" applyAlignment="1">
      <alignment horizontal="center" vertical="center"/>
    </xf>
    <xf numFmtId="43" fontId="4" fillId="17" borderId="0" xfId="8" applyNumberFormat="1" applyFont="1" applyFill="1" applyBorder="1" applyAlignment="1">
      <alignment horizontal="center" vertical="center"/>
    </xf>
    <xf numFmtId="2" fontId="0" fillId="4" borderId="0" xfId="0" applyNumberFormat="1" applyFill="1" applyBorder="1" applyAlignment="1">
      <alignment horizontal="right" wrapText="1"/>
    </xf>
    <xf numFmtId="2" fontId="0" fillId="17" borderId="31" xfId="0" applyNumberFormat="1" applyFill="1" applyBorder="1" applyAlignment="1">
      <alignment horizontal="right" wrapText="1"/>
    </xf>
    <xf numFmtId="2" fontId="0" fillId="17" borderId="0" xfId="0" applyNumberFormat="1" applyFill="1" applyBorder="1" applyAlignment="1">
      <alignment horizontal="right" wrapText="1"/>
    </xf>
    <xf numFmtId="10" fontId="1" fillId="17" borderId="15" xfId="101" applyNumberFormat="1" applyFill="1" applyBorder="1"/>
    <xf numFmtId="43" fontId="15" fillId="17" borderId="15" xfId="0" applyNumberFormat="1" applyFont="1" applyFill="1" applyBorder="1"/>
    <xf numFmtId="43" fontId="15" fillId="17" borderId="0" xfId="0" applyNumberFormat="1" applyFont="1" applyFill="1"/>
    <xf numFmtId="10" fontId="37" fillId="17" borderId="9" xfId="101" applyNumberFormat="1" applyFont="1" applyFill="1" applyBorder="1"/>
    <xf numFmtId="10" fontId="1" fillId="17" borderId="13" xfId="101" applyNumberFormat="1" applyFill="1" applyBorder="1"/>
    <xf numFmtId="10" fontId="1" fillId="17" borderId="31" xfId="8" applyNumberFormat="1" applyFill="1" applyBorder="1"/>
    <xf numFmtId="0" fontId="7" fillId="17" borderId="0" xfId="0" applyFont="1" applyFill="1" applyBorder="1" applyAlignment="1">
      <alignment horizontal="left"/>
    </xf>
    <xf numFmtId="0" fontId="1" fillId="17" borderId="0" xfId="0" applyFont="1" applyFill="1" applyBorder="1"/>
    <xf numFmtId="167" fontId="1" fillId="17" borderId="6" xfId="8" applyNumberFormat="1" applyFont="1" applyFill="1" applyBorder="1" applyAlignment="1">
      <alignment horizontal="center" vertical="center"/>
    </xf>
    <xf numFmtId="167" fontId="1" fillId="17" borderId="0" xfId="8" applyNumberFormat="1" applyFont="1" applyFill="1" applyBorder="1" applyAlignment="1">
      <alignment horizontal="center" vertical="center"/>
    </xf>
    <xf numFmtId="167" fontId="1" fillId="4" borderId="0" xfId="8" applyNumberFormat="1" applyFont="1" applyFill="1" applyBorder="1" applyAlignment="1">
      <alignment horizontal="right" vertical="center"/>
    </xf>
    <xf numFmtId="43" fontId="15" fillId="15" borderId="0" xfId="0" applyNumberFormat="1" applyFont="1" applyFill="1"/>
    <xf numFmtId="43" fontId="10" fillId="15" borderId="0" xfId="9" applyNumberFormat="1" applyFont="1" applyFill="1" applyAlignment="1">
      <alignment horizontal="right"/>
    </xf>
    <xf numFmtId="43" fontId="10" fillId="6" borderId="12" xfId="9" applyNumberFormat="1" applyFont="1" applyFill="1" applyBorder="1" applyAlignment="1">
      <alignment horizontal="right"/>
    </xf>
    <xf numFmtId="43" fontId="10" fillId="6" borderId="0" xfId="9" applyNumberFormat="1" applyFont="1" applyFill="1" applyAlignment="1">
      <alignment horizontal="right"/>
    </xf>
    <xf numFmtId="167" fontId="4" fillId="15" borderId="13" xfId="8" applyNumberFormat="1" applyFont="1" applyFill="1" applyBorder="1" applyAlignment="1">
      <alignment horizontal="right" vertical="center"/>
    </xf>
    <xf numFmtId="167" fontId="4" fillId="15" borderId="14" xfId="8" applyNumberFormat="1" applyFont="1" applyFill="1" applyBorder="1" applyAlignment="1">
      <alignment horizontal="right" vertical="center"/>
    </xf>
    <xf numFmtId="10" fontId="1" fillId="15" borderId="6" xfId="101" applyNumberFormat="1" applyFill="1" applyBorder="1"/>
    <xf numFmtId="169" fontId="1" fillId="15" borderId="0" xfId="8" applyNumberFormat="1" applyFill="1" applyBorder="1"/>
    <xf numFmtId="0" fontId="40" fillId="15" borderId="0" xfId="127" applyFont="1" applyFill="1"/>
    <xf numFmtId="167" fontId="1" fillId="15" borderId="23" xfId="128" applyNumberFormat="1" applyFill="1" applyBorder="1"/>
    <xf numFmtId="167" fontId="1" fillId="15" borderId="22" xfId="128" applyNumberFormat="1" applyFill="1" applyBorder="1"/>
    <xf numFmtId="167" fontId="1" fillId="15" borderId="3" xfId="128" applyNumberFormat="1" applyFill="1" applyBorder="1"/>
    <xf numFmtId="180" fontId="45" fillId="21" borderId="46" xfId="132" applyNumberFormat="1" applyFont="1" applyFill="1" applyBorder="1" applyAlignment="1">
      <alignment horizontal="right"/>
    </xf>
    <xf numFmtId="167" fontId="50" fillId="21" borderId="2" xfId="132" applyNumberFormat="1" applyFont="1" applyFill="1" applyBorder="1" applyAlignment="1">
      <alignment horizontal="right" vertical="center" wrapText="1"/>
    </xf>
    <xf numFmtId="173" fontId="1" fillId="16" borderId="0" xfId="128" applyNumberFormat="1" applyFill="1"/>
    <xf numFmtId="180" fontId="45" fillId="17" borderId="41" xfId="132" applyNumberFormat="1" applyFont="1" applyFill="1" applyBorder="1" applyAlignment="1">
      <alignment horizontal="right"/>
    </xf>
    <xf numFmtId="166" fontId="52" fillId="17" borderId="43" xfId="132" applyNumberFormat="1" applyFont="1" applyFill="1" applyBorder="1" applyAlignment="1">
      <alignment horizontal="center"/>
    </xf>
    <xf numFmtId="166" fontId="50" fillId="0" borderId="43" xfId="132" applyNumberFormat="1" applyFont="1" applyFill="1" applyBorder="1" applyAlignment="1">
      <alignment horizontal="center"/>
    </xf>
    <xf numFmtId="2" fontId="45" fillId="0" borderId="0" xfId="132" applyNumberFormat="1" applyFont="1"/>
    <xf numFmtId="181" fontId="45" fillId="15" borderId="36" xfId="132" applyNumberFormat="1" applyFont="1" applyFill="1" applyBorder="1"/>
    <xf numFmtId="181" fontId="45" fillId="0" borderId="36" xfId="132" applyNumberFormat="1" applyFont="1" applyBorder="1"/>
    <xf numFmtId="0" fontId="1" fillId="15" borderId="0" xfId="100" applyFont="1" applyFill="1" applyBorder="1"/>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4" xfId="127" applyFont="1" applyFill="1" applyBorder="1" applyAlignment="1">
      <alignment horizontal="center" wrapText="1"/>
    </xf>
    <xf numFmtId="0" fontId="50" fillId="4" borderId="28" xfId="132" applyFont="1" applyFill="1" applyBorder="1" applyAlignment="1">
      <alignment horizontal="left"/>
    </xf>
    <xf numFmtId="0" fontId="50" fillId="4" borderId="0" xfId="132" applyFont="1" applyFill="1" applyBorder="1" applyAlignment="1">
      <alignment horizontal="left"/>
    </xf>
    <xf numFmtId="0" fontId="51" fillId="4" borderId="29" xfId="132" applyFont="1" applyFill="1" applyBorder="1" applyAlignment="1">
      <alignment horizontal="left"/>
    </xf>
    <xf numFmtId="0" fontId="51" fillId="4" borderId="4" xfId="132" applyFont="1" applyFill="1" applyBorder="1" applyAlignment="1">
      <alignment horizontal="left"/>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135">
    <cellStyle name="Assumption" xfId="1"/>
    <cellStyle name="Assumption 2" xfId="2"/>
    <cellStyle name="Assumption 3" xfId="3"/>
    <cellStyle name="Assumption 4" xfId="4"/>
    <cellStyle name="Assumptions Right Percentage" xfId="5"/>
    <cellStyle name="Blockout" xfId="6"/>
    <cellStyle name="Calculated cells" xfId="7"/>
    <cellStyle name="Comma" xfId="8" builtinId="3"/>
    <cellStyle name="Comma 2" xfId="9"/>
    <cellStyle name="Comma 2 2" xfId="10"/>
    <cellStyle name="Comma 2 2 2" xfId="130"/>
    <cellStyle name="Comma 2 2 2 2" xfId="133"/>
    <cellStyle name="Comma 2 3" xfId="11"/>
    <cellStyle name="Comma 2 4" xfId="12"/>
    <cellStyle name="Comma 2 5" xfId="13"/>
    <cellStyle name="Comma 2 6" xfId="14"/>
    <cellStyle name="Comma 2 7" xfId="15"/>
    <cellStyle name="Comma 2 8" xfId="16"/>
    <cellStyle name="Comma 3" xfId="17"/>
    <cellStyle name="Comma 4" xfId="18"/>
    <cellStyle name="Comma 5" xfId="19"/>
    <cellStyle name="Comma 6" xfId="20"/>
    <cellStyle name="Comma 7" xfId="21"/>
    <cellStyle name="Comma 8" xfId="128"/>
    <cellStyle name="Currency" xfId="22" builtinId="4"/>
    <cellStyle name="Currency 2" xfId="23"/>
    <cellStyle name="Currency 2 2" xfId="24"/>
    <cellStyle name="Currency 2 3" xfId="25"/>
    <cellStyle name="Currency 2 4" xfId="26"/>
    <cellStyle name="Currency 2 5" xfId="27"/>
    <cellStyle name="Currency 2 6" xfId="28"/>
    <cellStyle name="Currency 2 7" xfId="29"/>
    <cellStyle name="Currency 2 8" xfId="30"/>
    <cellStyle name="Currency 3" xfId="31"/>
    <cellStyle name="Currency 4" xfId="32"/>
    <cellStyle name="Data input" xfId="33"/>
    <cellStyle name="import" xfId="34"/>
    <cellStyle name="import 2" xfId="35"/>
    <cellStyle name="import 3" xfId="36"/>
    <cellStyle name="import%" xfId="37"/>
    <cellStyle name="import% 2" xfId="38"/>
    <cellStyle name="import% 3" xfId="39"/>
    <cellStyle name="import_ICRC Electricity model 1-1  (1 Feb 2003) " xfId="40"/>
    <cellStyle name="Input1" xfId="41"/>
    <cellStyle name="Input1 10" xfId="42"/>
    <cellStyle name="Input1 2" xfId="43"/>
    <cellStyle name="Input1 3" xfId="44"/>
    <cellStyle name="Input1 4" xfId="45"/>
    <cellStyle name="Input1 5" xfId="46"/>
    <cellStyle name="Input1 6" xfId="47"/>
    <cellStyle name="Input1 7" xfId="48"/>
    <cellStyle name="Input1 8" xfId="49"/>
    <cellStyle name="Input1 9" xfId="50"/>
    <cellStyle name="Input1%" xfId="51"/>
    <cellStyle name="Input1% 2" xfId="52"/>
    <cellStyle name="Input1% 3" xfId="53"/>
    <cellStyle name="Input1_ICRC Electricity model 1-1  (1 Feb 2003) " xfId="54"/>
    <cellStyle name="Input1default" xfId="55"/>
    <cellStyle name="Input1default 2" xfId="56"/>
    <cellStyle name="Input1default 3" xfId="57"/>
    <cellStyle name="Input1default%" xfId="58"/>
    <cellStyle name="Input2" xfId="59"/>
    <cellStyle name="Input2 2" xfId="60"/>
    <cellStyle name="Input2 3" xfId="61"/>
    <cellStyle name="Input3" xfId="62"/>
    <cellStyle name="Input3 10" xfId="63"/>
    <cellStyle name="Input3 2" xfId="64"/>
    <cellStyle name="Input3 3" xfId="65"/>
    <cellStyle name="Input3 4" xfId="66"/>
    <cellStyle name="Input3 5" xfId="67"/>
    <cellStyle name="Input3 6" xfId="68"/>
    <cellStyle name="Input3 7" xfId="69"/>
    <cellStyle name="Input3 8" xfId="70"/>
    <cellStyle name="Input3 9" xfId="71"/>
    <cellStyle name="key result" xfId="72"/>
    <cellStyle name="Local import" xfId="73"/>
    <cellStyle name="Local import %" xfId="74"/>
    <cellStyle name="MRR calculation" xfId="75"/>
    <cellStyle name="MRR-Prices" xfId="76"/>
    <cellStyle name="Normal" xfId="0" builtinId="0"/>
    <cellStyle name="Normal 11 4" xfId="134"/>
    <cellStyle name="Normal 2" xfId="77"/>
    <cellStyle name="Normal 2 10" xfId="78"/>
    <cellStyle name="Normal 2 10 2" xfId="132"/>
    <cellStyle name="Normal 2 11" xfId="79"/>
    <cellStyle name="Normal 2 12" xfId="80"/>
    <cellStyle name="Normal 2 13" xfId="81"/>
    <cellStyle name="Normal 2 14" xfId="82"/>
    <cellStyle name="Normal 2 15" xfId="83"/>
    <cellStyle name="Normal 2 16" xfId="127"/>
    <cellStyle name="Normal 2 2" xfId="84"/>
    <cellStyle name="Normal 2 2 2" xfId="131"/>
    <cellStyle name="Normal 2 3" xfId="85"/>
    <cellStyle name="Normal 2 3 2" xfId="129"/>
    <cellStyle name="Normal 2 4" xfId="86"/>
    <cellStyle name="Normal 2 5" xfId="87"/>
    <cellStyle name="Normal 2 6" xfId="88"/>
    <cellStyle name="Normal 2 7" xfId="89"/>
    <cellStyle name="Normal 2 8" xfId="90"/>
    <cellStyle name="Normal 2 9" xfId="91"/>
    <cellStyle name="Normal 2_Input" xfId="92"/>
    <cellStyle name="Normal 3" xfId="93"/>
    <cellStyle name="Normal 3 2" xfId="94"/>
    <cellStyle name="Normal 3 3" xfId="95"/>
    <cellStyle name="Normal 4" xfId="96"/>
    <cellStyle name="Normal 4 2" xfId="97"/>
    <cellStyle name="Normal 5 2" xfId="98"/>
    <cellStyle name="Normal 6" xfId="99"/>
    <cellStyle name="Normal_2005 03 27 RAB model" xfId="100"/>
    <cellStyle name="Percent" xfId="101" builtinId="5"/>
    <cellStyle name="Percent 2" xfId="102"/>
    <cellStyle name="Percent 2 10" xfId="103"/>
    <cellStyle name="Percent 2 11" xfId="104"/>
    <cellStyle name="Percent 2 12" xfId="105"/>
    <cellStyle name="Percent 2 13" xfId="106"/>
    <cellStyle name="Percent 2 14" xfId="107"/>
    <cellStyle name="Percent 2 15" xfId="108"/>
    <cellStyle name="Percent 2 2" xfId="109"/>
    <cellStyle name="Percent 2 3" xfId="110"/>
    <cellStyle name="Percent 2 4" xfId="111"/>
    <cellStyle name="Percent 2 5" xfId="112"/>
    <cellStyle name="Percent 2 6" xfId="113"/>
    <cellStyle name="Percent 2 7" xfId="114"/>
    <cellStyle name="Percent 2 8" xfId="115"/>
    <cellStyle name="Percent 2 9" xfId="116"/>
    <cellStyle name="Percent 3" xfId="117"/>
    <cellStyle name="Percent 4" xfId="118"/>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row r="268">
          <cell r="G268">
            <v>2.75E-2</v>
          </cell>
        </row>
        <row r="269">
          <cell r="G269">
            <v>0.01</v>
          </cell>
        </row>
        <row r="270">
          <cell r="G270">
            <v>0.3</v>
          </cell>
        </row>
        <row r="271">
          <cell r="G271">
            <v>8.0999999999999996E-4</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70" workbookViewId="0"/>
  </sheetViews>
  <sheetFormatPr defaultRowHeight="12.75"/>
  <cols>
    <col min="1" max="1" width="2.28515625" customWidth="1"/>
    <col min="2" max="2" width="15.7109375" customWidth="1"/>
  </cols>
  <sheetData>
    <row r="1" spans="1:23" ht="44.25" customHeight="1">
      <c r="A1" s="9"/>
      <c r="B1" s="9"/>
      <c r="D1" s="46"/>
      <c r="E1" s="131"/>
      <c r="F1" s="247" t="s">
        <v>91</v>
      </c>
      <c r="R1" s="9"/>
      <c r="S1" s="9"/>
      <c r="T1" s="9"/>
      <c r="U1" s="9"/>
      <c r="V1" s="9"/>
      <c r="W1" s="9"/>
    </row>
    <row r="2" spans="1:23" ht="44.25" customHeight="1">
      <c r="A2" s="9"/>
      <c r="B2" s="9"/>
      <c r="D2" s="46"/>
      <c r="F2" s="247"/>
      <c r="K2" s="247" t="s">
        <v>93</v>
      </c>
      <c r="R2" s="9"/>
      <c r="S2" s="9"/>
      <c r="T2" s="9"/>
      <c r="U2" s="9"/>
      <c r="V2" s="9"/>
      <c r="W2" s="9"/>
    </row>
    <row r="3" spans="1:23" ht="54.95" customHeight="1">
      <c r="A3" s="9"/>
      <c r="B3" s="9"/>
      <c r="D3" s="46"/>
      <c r="G3" s="247"/>
      <c r="K3" s="185" t="s">
        <v>86</v>
      </c>
      <c r="R3" s="9"/>
      <c r="S3" s="9"/>
      <c r="T3" s="9"/>
      <c r="U3" s="9"/>
      <c r="V3" s="9"/>
      <c r="W3" s="9"/>
    </row>
    <row r="4" spans="1:23" ht="36" customHeight="1">
      <c r="A4" s="9"/>
      <c r="B4" s="9"/>
      <c r="D4" s="46"/>
      <c r="G4" s="247"/>
      <c r="J4" s="187"/>
      <c r="K4" s="326"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8"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9" t="s">
        <v>106</v>
      </c>
      <c r="E21" s="250" t="s">
        <v>107</v>
      </c>
      <c r="F21" s="250"/>
      <c r="G21" s="250" t="s">
        <v>108</v>
      </c>
      <c r="H21" s="250"/>
      <c r="I21" s="43"/>
      <c r="J21" s="43"/>
      <c r="K21" s="43"/>
      <c r="L21" s="43"/>
      <c r="M21" s="9"/>
      <c r="N21" s="9"/>
      <c r="O21" s="9"/>
      <c r="P21" s="9"/>
      <c r="Q21" s="9"/>
      <c r="R21" s="9"/>
      <c r="S21" s="9"/>
      <c r="T21" s="9"/>
      <c r="U21" s="9"/>
      <c r="V21" s="9"/>
      <c r="W21" s="9"/>
    </row>
    <row r="22" spans="1:23" ht="15">
      <c r="A22" s="9"/>
      <c r="B22" s="9"/>
      <c r="C22" s="43"/>
      <c r="D22" s="251" t="s">
        <v>109</v>
      </c>
      <c r="E22" s="252">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5"/>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6"/>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Normal="100" workbookViewId="0">
      <selection activeCell="F177" sqref="F17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10" t="s">
        <v>75</v>
      </c>
      <c r="H2" s="611"/>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2"/>
      <c r="AF3" s="212"/>
      <c r="AG3" s="212"/>
      <c r="AH3" s="212"/>
      <c r="AI3" s="212"/>
      <c r="AJ3" s="212"/>
      <c r="AK3" s="212"/>
      <c r="AL3" s="212"/>
      <c r="AM3" s="212"/>
      <c r="AN3" s="212"/>
      <c r="AO3" s="212"/>
      <c r="AP3" s="212"/>
      <c r="AQ3" s="212"/>
      <c r="AR3" s="212"/>
      <c r="AS3" s="212"/>
      <c r="AT3" s="212"/>
      <c r="AU3" s="212"/>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5"/>
      <c r="AF4" s="235"/>
      <c r="AG4" s="235"/>
      <c r="AH4" s="235"/>
      <c r="AI4" s="235"/>
      <c r="AJ4" s="235"/>
      <c r="AK4" s="235"/>
      <c r="AL4" s="235"/>
      <c r="AM4" s="235"/>
      <c r="AN4" s="235"/>
      <c r="AO4" s="235"/>
      <c r="AP4" s="235"/>
      <c r="AQ4" s="235"/>
      <c r="AR4" s="235"/>
      <c r="AS4" s="235"/>
      <c r="AT4" s="235"/>
      <c r="AU4" s="235"/>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12" t="s">
        <v>85</v>
      </c>
      <c r="H6" s="612"/>
      <c r="I6" s="612"/>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17" t="s">
        <v>121</v>
      </c>
      <c r="H7" s="618"/>
      <c r="I7" s="618"/>
      <c r="J7" s="572">
        <v>29.489119193165411</v>
      </c>
      <c r="K7" s="585">
        <v>37.402503561994926</v>
      </c>
      <c r="L7" s="568">
        <v>60</v>
      </c>
      <c r="M7" s="575">
        <v>0.54630600280508135</v>
      </c>
      <c r="N7" s="575">
        <v>-0.10171540313863559</v>
      </c>
      <c r="O7" s="569"/>
      <c r="P7" s="570"/>
      <c r="Q7" s="570"/>
      <c r="R7" s="570"/>
      <c r="S7" s="569"/>
      <c r="T7" s="569"/>
      <c r="U7" s="254"/>
      <c r="V7" s="130">
        <v>2013</v>
      </c>
      <c r="W7" s="254">
        <v>5</v>
      </c>
      <c r="X7" s="8"/>
      <c r="Y7" s="299"/>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15" t="s">
        <v>122</v>
      </c>
      <c r="H8" s="614"/>
      <c r="I8" s="614"/>
      <c r="J8" s="573">
        <v>4.8090830037058794</v>
      </c>
      <c r="K8" s="586">
        <v>7.9536408966334147</v>
      </c>
      <c r="L8" s="256">
        <v>15</v>
      </c>
      <c r="M8" s="576">
        <v>0.27813816558080157</v>
      </c>
      <c r="N8" s="576">
        <v>0.37225618484226675</v>
      </c>
      <c r="O8" s="567"/>
      <c r="P8" s="62"/>
      <c r="Q8" s="62"/>
      <c r="R8" s="62"/>
      <c r="S8" s="567"/>
      <c r="T8" s="567"/>
      <c r="U8" s="256"/>
      <c r="V8" s="8"/>
      <c r="W8" s="8"/>
      <c r="X8" s="8"/>
      <c r="Y8" s="29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15" t="s">
        <v>123</v>
      </c>
      <c r="H9" s="616"/>
      <c r="I9" s="616"/>
      <c r="J9" s="573">
        <v>1.1097264938681386E-5</v>
      </c>
      <c r="K9" s="587">
        <v>0</v>
      </c>
      <c r="L9" s="256">
        <v>50</v>
      </c>
      <c r="M9" s="576">
        <v>0</v>
      </c>
      <c r="N9" s="576">
        <v>-3.9061348024210224E-7</v>
      </c>
      <c r="O9" s="567"/>
      <c r="P9" s="62"/>
      <c r="Q9" s="62"/>
      <c r="R9" s="62"/>
      <c r="S9" s="567"/>
      <c r="T9" s="567"/>
      <c r="U9" s="256"/>
      <c r="V9" s="8"/>
      <c r="W9" s="8"/>
      <c r="X9" s="8"/>
      <c r="Y9" s="29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15" t="s">
        <v>124</v>
      </c>
      <c r="H10" s="616"/>
      <c r="I10" s="616"/>
      <c r="J10" s="573">
        <v>0</v>
      </c>
      <c r="K10" s="587">
        <v>0</v>
      </c>
      <c r="L10" s="256">
        <v>15</v>
      </c>
      <c r="M10" s="576">
        <v>0</v>
      </c>
      <c r="N10" s="576">
        <v>0</v>
      </c>
      <c r="O10" s="567"/>
      <c r="P10" s="62"/>
      <c r="Q10" s="62"/>
      <c r="R10" s="62"/>
      <c r="S10" s="567"/>
      <c r="T10" s="567"/>
      <c r="U10" s="256"/>
      <c r="V10" s="8"/>
      <c r="W10" s="8"/>
      <c r="X10" s="8"/>
      <c r="Y10" s="29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15" t="s">
        <v>125</v>
      </c>
      <c r="H11" s="616"/>
      <c r="I11" s="616"/>
      <c r="J11" s="573">
        <v>0</v>
      </c>
      <c r="K11" s="587">
        <v>0</v>
      </c>
      <c r="L11" s="256">
        <v>5</v>
      </c>
      <c r="M11" s="576">
        <v>0</v>
      </c>
      <c r="N11" s="576">
        <v>0</v>
      </c>
      <c r="O11" s="567"/>
      <c r="P11" s="62"/>
      <c r="Q11" s="62"/>
      <c r="R11" s="62"/>
      <c r="S11" s="567"/>
      <c r="T11" s="567"/>
      <c r="U11" s="256"/>
      <c r="V11" s="8"/>
      <c r="W11" s="8"/>
      <c r="X11" s="8"/>
      <c r="Y11" s="29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15" t="s">
        <v>126</v>
      </c>
      <c r="H12" s="616"/>
      <c r="I12" s="616"/>
      <c r="J12" s="573">
        <v>-4.3684474442873156E-2</v>
      </c>
      <c r="K12" s="587">
        <v>0</v>
      </c>
      <c r="L12" s="256">
        <v>15</v>
      </c>
      <c r="M12" s="576">
        <v>2.3262027083367776E-2</v>
      </c>
      <c r="N12" s="576">
        <v>-7.9658925987000453E-4</v>
      </c>
      <c r="O12" s="567"/>
      <c r="P12" s="62"/>
      <c r="Q12" s="62"/>
      <c r="R12" s="62"/>
      <c r="S12" s="567"/>
      <c r="T12" s="567"/>
      <c r="U12" s="256"/>
      <c r="V12" s="8"/>
      <c r="W12" s="8"/>
      <c r="X12" s="8"/>
      <c r="Y12" s="29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15" t="s">
        <v>127</v>
      </c>
      <c r="H13" s="616"/>
      <c r="I13" s="616"/>
      <c r="J13" s="314">
        <v>0</v>
      </c>
      <c r="K13" s="587">
        <v>0</v>
      </c>
      <c r="L13" s="255" t="s">
        <v>134</v>
      </c>
      <c r="M13" s="574">
        <v>0</v>
      </c>
      <c r="N13" s="574">
        <v>0</v>
      </c>
      <c r="O13" s="567"/>
      <c r="P13" s="62"/>
      <c r="Q13" s="62"/>
      <c r="R13" s="62"/>
      <c r="S13" s="567"/>
      <c r="T13" s="567"/>
      <c r="U13" s="256"/>
      <c r="V13" s="8"/>
      <c r="W13" s="8"/>
      <c r="X13" s="8"/>
      <c r="Y13" s="29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13" t="s">
        <v>128</v>
      </c>
      <c r="H14" s="614"/>
      <c r="I14" s="614"/>
      <c r="J14" s="63">
        <v>0</v>
      </c>
      <c r="K14" s="587">
        <v>0</v>
      </c>
      <c r="L14" s="255" t="s">
        <v>134</v>
      </c>
      <c r="M14" s="574"/>
      <c r="N14" s="574"/>
      <c r="O14" s="567"/>
      <c r="P14" s="62"/>
      <c r="Q14" s="62"/>
      <c r="R14" s="62"/>
      <c r="S14" s="63"/>
      <c r="T14" s="255"/>
      <c r="U14" s="255"/>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13"/>
      <c r="H15" s="614"/>
      <c r="I15" s="614"/>
      <c r="J15" s="63"/>
      <c r="K15" s="255"/>
      <c r="L15" s="256"/>
      <c r="M15" s="567"/>
      <c r="N15" s="567"/>
      <c r="O15" s="567"/>
      <c r="P15" s="62"/>
      <c r="Q15" s="62"/>
      <c r="R15" s="62"/>
      <c r="S15" s="62"/>
      <c r="T15" s="257"/>
      <c r="U15" s="257"/>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13"/>
      <c r="H16" s="614"/>
      <c r="I16" s="614"/>
      <c r="J16" s="63"/>
      <c r="K16" s="255"/>
      <c r="L16" s="256"/>
      <c r="M16" s="567"/>
      <c r="N16" s="567"/>
      <c r="O16" s="567"/>
      <c r="P16" s="62"/>
      <c r="Q16" s="62"/>
      <c r="R16" s="62"/>
      <c r="S16" s="62"/>
      <c r="T16" s="257"/>
      <c r="U16" s="257"/>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13"/>
      <c r="H17" s="614"/>
      <c r="I17" s="614"/>
      <c r="J17" s="63"/>
      <c r="K17" s="255"/>
      <c r="L17" s="256"/>
      <c r="M17" s="256"/>
      <c r="N17" s="62"/>
      <c r="O17" s="62"/>
      <c r="P17" s="62"/>
      <c r="Q17" s="62"/>
      <c r="R17" s="62"/>
      <c r="S17" s="62"/>
      <c r="T17" s="257"/>
      <c r="U17" s="257"/>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13"/>
      <c r="H18" s="614"/>
      <c r="I18" s="614"/>
      <c r="J18" s="63"/>
      <c r="K18" s="255"/>
      <c r="L18" s="256"/>
      <c r="M18" s="256"/>
      <c r="N18" s="62"/>
      <c r="O18" s="62"/>
      <c r="P18" s="62"/>
      <c r="Q18" s="62"/>
      <c r="R18" s="62"/>
      <c r="S18" s="62"/>
      <c r="T18" s="257"/>
      <c r="U18" s="257"/>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13"/>
      <c r="H19" s="614"/>
      <c r="I19" s="614"/>
      <c r="J19" s="63"/>
      <c r="K19" s="255"/>
      <c r="L19" s="256"/>
      <c r="M19" s="256"/>
      <c r="N19" s="62"/>
      <c r="O19" s="62"/>
      <c r="P19" s="62"/>
      <c r="Q19" s="62"/>
      <c r="R19" s="62"/>
      <c r="S19" s="62"/>
      <c r="T19" s="257"/>
      <c r="U19" s="257"/>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13"/>
      <c r="H20" s="614"/>
      <c r="I20" s="614"/>
      <c r="J20" s="63"/>
      <c r="K20" s="255"/>
      <c r="L20" s="256"/>
      <c r="M20" s="256"/>
      <c r="N20" s="62"/>
      <c r="O20" s="62"/>
      <c r="P20" s="62"/>
      <c r="Q20" s="62"/>
      <c r="R20" s="62"/>
      <c r="S20" s="62"/>
      <c r="T20" s="257"/>
      <c r="U20" s="257"/>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13"/>
      <c r="H21" s="614"/>
      <c r="I21" s="614"/>
      <c r="J21" s="63"/>
      <c r="K21" s="255"/>
      <c r="L21" s="256"/>
      <c r="M21" s="256"/>
      <c r="N21" s="62"/>
      <c r="O21" s="62"/>
      <c r="P21" s="62"/>
      <c r="Q21" s="62"/>
      <c r="R21" s="62"/>
      <c r="S21" s="62"/>
      <c r="T21" s="257"/>
      <c r="U21" s="257"/>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13"/>
      <c r="H22" s="614"/>
      <c r="I22" s="614"/>
      <c r="J22" s="63"/>
      <c r="K22" s="255"/>
      <c r="L22" s="256"/>
      <c r="M22" s="256"/>
      <c r="N22" s="62"/>
      <c r="O22" s="62"/>
      <c r="P22" s="62"/>
      <c r="Q22" s="62"/>
      <c r="R22" s="62"/>
      <c r="S22" s="62"/>
      <c r="T22" s="257"/>
      <c r="U22" s="257"/>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13"/>
      <c r="H23" s="614"/>
      <c r="I23" s="614"/>
      <c r="J23" s="63"/>
      <c r="K23" s="255"/>
      <c r="L23" s="256"/>
      <c r="M23" s="256"/>
      <c r="N23" s="62"/>
      <c r="O23" s="62"/>
      <c r="P23" s="62"/>
      <c r="Q23" s="62"/>
      <c r="R23" s="62"/>
      <c r="S23" s="62"/>
      <c r="T23" s="257"/>
      <c r="U23" s="257"/>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13"/>
      <c r="H24" s="614"/>
      <c r="I24" s="614"/>
      <c r="J24" s="63"/>
      <c r="K24" s="255"/>
      <c r="L24" s="256"/>
      <c r="M24" s="256"/>
      <c r="N24" s="62"/>
      <c r="O24" s="62"/>
      <c r="P24" s="62"/>
      <c r="Q24" s="62"/>
      <c r="R24" s="62"/>
      <c r="S24" s="62"/>
      <c r="T24" s="257"/>
      <c r="U24" s="257"/>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13"/>
      <c r="H25" s="614"/>
      <c r="I25" s="614"/>
      <c r="J25" s="63"/>
      <c r="K25" s="255"/>
      <c r="L25" s="256"/>
      <c r="M25" s="256"/>
      <c r="N25" s="62"/>
      <c r="O25" s="62"/>
      <c r="P25" s="62"/>
      <c r="Q25" s="62"/>
      <c r="R25" s="62"/>
      <c r="S25" s="62"/>
      <c r="T25" s="257"/>
      <c r="U25" s="257"/>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13"/>
      <c r="H26" s="614"/>
      <c r="I26" s="614"/>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13"/>
      <c r="H27" s="614"/>
      <c r="I27" s="614"/>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13"/>
      <c r="H28" s="614"/>
      <c r="I28" s="614"/>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13"/>
      <c r="H29" s="614"/>
      <c r="I29" s="614"/>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13"/>
      <c r="H30" s="614"/>
      <c r="I30" s="614"/>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13"/>
      <c r="H31" s="614"/>
      <c r="I31" s="614"/>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13"/>
      <c r="H32" s="614"/>
      <c r="I32" s="614"/>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13"/>
      <c r="H33" s="614"/>
      <c r="I33" s="614"/>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13"/>
      <c r="H34" s="614"/>
      <c r="I34" s="614"/>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13"/>
      <c r="H35" s="614"/>
      <c r="I35" s="614"/>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13"/>
      <c r="H36" s="614"/>
      <c r="I36" s="614"/>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3">
        <f>SUM(J7:J36)</f>
        <v>34.254528819693356</v>
      </c>
      <c r="K37" s="60"/>
      <c r="L37" s="38"/>
      <c r="M37" s="243">
        <f>SUM(M7:M36)</f>
        <v>0.84770619546925075</v>
      </c>
      <c r="N37" s="243">
        <f>SUM(N7:N36)</f>
        <v>0.2697438018302809</v>
      </c>
      <c r="O37" s="243">
        <f t="shared" ref="O37:R37" si="0">SUM(O7:O36)</f>
        <v>0</v>
      </c>
      <c r="P37" s="243">
        <f t="shared" si="0"/>
        <v>0</v>
      </c>
      <c r="Q37" s="243">
        <f t="shared" si="0"/>
        <v>0</v>
      </c>
      <c r="R37" s="243">
        <f t="shared" si="0"/>
        <v>0</v>
      </c>
      <c r="S37" s="243">
        <f>SUM(S7:S36)</f>
        <v>0</v>
      </c>
      <c r="T37" s="243"/>
      <c r="U37" s="60"/>
      <c r="V37" s="60"/>
      <c r="X37" s="38"/>
      <c r="Y37" s="243"/>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1">
        <f>H40-1</f>
        <v>2012</v>
      </c>
      <c r="H40" s="241">
        <f>V7</f>
        <v>2013</v>
      </c>
      <c r="I40" s="241" t="str">
        <f>CONCATENATE(LEFT(H40, 2) &amp;RIGHT(H40,2)+1)</f>
        <v>2014</v>
      </c>
      <c r="J40" s="241" t="str">
        <f t="shared" ref="J40:Q40" si="1">CONCATENATE(LEFT(I40, 2) &amp;RIGHT(I40,2)+1)</f>
        <v>2015</v>
      </c>
      <c r="K40" s="241" t="str">
        <f t="shared" si="1"/>
        <v>2016</v>
      </c>
      <c r="L40" s="241" t="str">
        <f t="shared" si="1"/>
        <v>2017</v>
      </c>
      <c r="M40" s="241" t="str">
        <f t="shared" si="1"/>
        <v>2018</v>
      </c>
      <c r="N40" s="241" t="str">
        <f t="shared" si="1"/>
        <v>2019</v>
      </c>
      <c r="O40" s="241" t="str">
        <f t="shared" si="1"/>
        <v>2020</v>
      </c>
      <c r="P40" s="241" t="str">
        <f t="shared" si="1"/>
        <v>2021</v>
      </c>
      <c r="Q40" s="241" t="str">
        <f t="shared" si="1"/>
        <v>2022</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592">
        <v>0.96700000000000008</v>
      </c>
      <c r="H41" s="313">
        <v>0.89560293710519634</v>
      </c>
      <c r="I41" s="313">
        <v>0.83243921386986719</v>
      </c>
      <c r="J41" s="313">
        <v>0.97938226486233637</v>
      </c>
      <c r="K41" s="313">
        <v>1.2008945690647885</v>
      </c>
      <c r="L41" s="313">
        <v>1.2071615015395565</v>
      </c>
      <c r="M41" s="313"/>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593">
        <v>0.39300000000000002</v>
      </c>
      <c r="H42" s="257">
        <v>0.24701641516006828</v>
      </c>
      <c r="I42" s="257">
        <v>0.19916365015101242</v>
      </c>
      <c r="J42" s="257">
        <v>0.20914106731125451</v>
      </c>
      <c r="K42" s="257">
        <v>0.52331890257361169</v>
      </c>
      <c r="L42" s="257">
        <v>0.52401940580676887</v>
      </c>
      <c r="M42" s="257"/>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593">
        <v>0</v>
      </c>
      <c r="H43" s="257">
        <v>0</v>
      </c>
      <c r="I43" s="257">
        <v>0</v>
      </c>
      <c r="J43" s="257">
        <v>0</v>
      </c>
      <c r="K43" s="257">
        <v>0</v>
      </c>
      <c r="L43" s="257">
        <v>0</v>
      </c>
      <c r="M43" s="257"/>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593">
        <v>0.02</v>
      </c>
      <c r="H44" s="257">
        <v>0</v>
      </c>
      <c r="I44" s="257">
        <v>0</v>
      </c>
      <c r="J44" s="257">
        <v>0</v>
      </c>
      <c r="K44" s="257">
        <v>0</v>
      </c>
      <c r="L44" s="257">
        <v>0</v>
      </c>
      <c r="M44" s="257"/>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593">
        <v>0</v>
      </c>
      <c r="H45" s="257">
        <v>0</v>
      </c>
      <c r="I45" s="257">
        <v>0</v>
      </c>
      <c r="J45" s="257">
        <v>0</v>
      </c>
      <c r="K45" s="257">
        <v>4.313776014295536E-2</v>
      </c>
      <c r="L45" s="257">
        <v>0.29469686686608215</v>
      </c>
      <c r="M45" s="257"/>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593">
        <v>0</v>
      </c>
      <c r="H46" s="257">
        <v>5.8556168704458074E-2</v>
      </c>
      <c r="I46" s="257">
        <v>6.180750268154854E-2</v>
      </c>
      <c r="J46" s="257">
        <v>5.1916741978836285E-2</v>
      </c>
      <c r="K46" s="257">
        <v>8.705813879556859E-2</v>
      </c>
      <c r="L46" s="257">
        <v>0.1189174209854845</v>
      </c>
      <c r="M46" s="257"/>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315">
        <f>0</f>
        <v>0</v>
      </c>
      <c r="H47" s="257">
        <v>0</v>
      </c>
      <c r="I47" s="257">
        <v>0</v>
      </c>
      <c r="J47" s="257">
        <v>0</v>
      </c>
      <c r="K47" s="257">
        <v>0</v>
      </c>
      <c r="L47" s="257">
        <v>0</v>
      </c>
      <c r="M47" s="257"/>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169">
        <f>0</f>
        <v>0</v>
      </c>
      <c r="H48" s="62">
        <v>0</v>
      </c>
      <c r="I48" s="62">
        <v>0</v>
      </c>
      <c r="J48" s="62">
        <v>0</v>
      </c>
      <c r="K48" s="257">
        <v>0</v>
      </c>
      <c r="L48" s="257">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62"/>
      <c r="L49" s="571"/>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44"/>
      <c r="S51" s="9"/>
      <c r="T51" s="9"/>
      <c r="U51" s="9"/>
      <c r="V51" s="9"/>
      <c r="W51" s="9"/>
      <c r="X51" s="9"/>
      <c r="Y51" s="9"/>
      <c r="Z51" s="187"/>
      <c r="AA51" s="187"/>
      <c r="AB51" s="187"/>
      <c r="AC51" s="187"/>
      <c r="AD51" s="187"/>
      <c r="AE51" s="187"/>
      <c r="AF51" s="187"/>
      <c r="AG51" s="187"/>
      <c r="AH51" s="187"/>
      <c r="AI51" s="187"/>
      <c r="AJ51" s="187"/>
      <c r="AK51" s="187"/>
      <c r="AL51" s="187"/>
      <c r="AM51" s="187"/>
      <c r="AN51" s="187"/>
      <c r="AO51" s="187"/>
      <c r="AP51" s="187"/>
    </row>
    <row r="52" spans="1:47" outlineLevel="1">
      <c r="A52" s="12"/>
      <c r="B52" s="12"/>
      <c r="C52" s="12"/>
      <c r="D52" s="12"/>
      <c r="E52" s="12"/>
      <c r="F52" s="40">
        <f>Asset12</f>
        <v>0</v>
      </c>
      <c r="G52" s="169"/>
      <c r="H52" s="62"/>
      <c r="I52" s="62"/>
      <c r="J52" s="62"/>
      <c r="K52" s="62"/>
      <c r="L52" s="62"/>
      <c r="M52" s="62"/>
      <c r="N52" s="62"/>
      <c r="O52" s="62"/>
      <c r="P52" s="62"/>
      <c r="Q52" s="62"/>
      <c r="R52" s="44"/>
      <c r="S52" s="9"/>
      <c r="T52" s="9"/>
      <c r="U52" s="9"/>
      <c r="V52" s="9"/>
      <c r="W52" s="9"/>
      <c r="X52" s="9"/>
      <c r="Y52" s="9"/>
      <c r="Z52" s="187"/>
      <c r="AA52" s="187"/>
      <c r="AB52" s="187"/>
      <c r="AC52" s="187"/>
      <c r="AD52" s="187"/>
      <c r="AE52" s="187"/>
      <c r="AF52" s="187"/>
      <c r="AG52" s="187"/>
      <c r="AH52" s="187"/>
      <c r="AI52" s="187"/>
      <c r="AJ52" s="187"/>
      <c r="AK52" s="187"/>
      <c r="AL52" s="187"/>
      <c r="AM52" s="187"/>
      <c r="AN52" s="187"/>
      <c r="AO52" s="187"/>
      <c r="AP52" s="187"/>
    </row>
    <row r="53" spans="1:47" outlineLevel="1">
      <c r="A53" s="12"/>
      <c r="B53" s="12"/>
      <c r="C53" s="12"/>
      <c r="D53" s="12"/>
      <c r="E53" s="12"/>
      <c r="F53" s="40">
        <f>Asset13</f>
        <v>0</v>
      </c>
      <c r="G53" s="169"/>
      <c r="H53" s="62"/>
      <c r="I53" s="62"/>
      <c r="J53" s="62"/>
      <c r="K53" s="62"/>
      <c r="L53" s="62"/>
      <c r="M53" s="62"/>
      <c r="N53" s="62"/>
      <c r="O53" s="62"/>
      <c r="P53" s="62"/>
      <c r="Q53" s="62"/>
      <c r="R53" s="44"/>
      <c r="S53" s="9"/>
      <c r="T53" s="9"/>
      <c r="U53" s="9"/>
      <c r="V53" s="9"/>
      <c r="W53" s="9"/>
      <c r="X53" s="9"/>
      <c r="Y53" s="9"/>
      <c r="Z53" s="187"/>
      <c r="AA53" s="187"/>
      <c r="AB53" s="187"/>
      <c r="AC53" s="187"/>
      <c r="AD53" s="187"/>
      <c r="AE53" s="187"/>
      <c r="AF53" s="187"/>
      <c r="AG53" s="187"/>
      <c r="AH53" s="187"/>
      <c r="AI53" s="187"/>
      <c r="AJ53" s="187"/>
      <c r="AK53" s="187"/>
      <c r="AL53" s="187"/>
      <c r="AM53" s="187"/>
      <c r="AN53" s="187"/>
      <c r="AO53" s="187"/>
      <c r="AP53" s="187"/>
    </row>
    <row r="54" spans="1:47" outlineLevel="1">
      <c r="A54" s="12"/>
      <c r="B54" s="12"/>
      <c r="C54" s="12"/>
      <c r="D54" s="12"/>
      <c r="E54" s="12"/>
      <c r="F54" s="40">
        <f>Asset14</f>
        <v>0</v>
      </c>
      <c r="G54" s="169"/>
      <c r="H54" s="62"/>
      <c r="I54" s="62"/>
      <c r="J54" s="62"/>
      <c r="K54" s="62"/>
      <c r="L54" s="62"/>
      <c r="M54" s="62"/>
      <c r="N54" s="62"/>
      <c r="O54" s="62"/>
      <c r="P54" s="62"/>
      <c r="Q54" s="62"/>
      <c r="R54" s="44"/>
      <c r="S54" s="9"/>
      <c r="T54" s="9"/>
      <c r="U54" s="9"/>
      <c r="V54" s="9"/>
      <c r="W54" s="9"/>
      <c r="X54" s="9"/>
      <c r="Y54" s="9"/>
      <c r="Z54" s="187"/>
      <c r="AA54" s="187"/>
      <c r="AB54" s="187"/>
      <c r="AC54" s="187"/>
      <c r="AD54" s="187"/>
      <c r="AE54" s="187"/>
      <c r="AF54" s="187"/>
      <c r="AG54" s="187"/>
      <c r="AH54" s="187"/>
      <c r="AI54" s="187"/>
      <c r="AJ54" s="187"/>
      <c r="AK54" s="187"/>
      <c r="AL54" s="187"/>
      <c r="AM54" s="187"/>
      <c r="AN54" s="187"/>
      <c r="AO54" s="187"/>
      <c r="AP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6">
        <f>SUM(G41:G70)</f>
        <v>1.3800000000000001</v>
      </c>
      <c r="H71" s="316">
        <f>SUM(H41:H70)</f>
        <v>1.2011755209697226</v>
      </c>
      <c r="I71" s="316">
        <f t="shared" ref="I71:Q71" si="2">SUM(I41:I70)</f>
        <v>1.0934103667024282</v>
      </c>
      <c r="J71" s="316">
        <f>SUM(J41:J70)</f>
        <v>1.2404400741524271</v>
      </c>
      <c r="K71" s="316">
        <f t="shared" si="2"/>
        <v>1.8544093705769242</v>
      </c>
      <c r="L71" s="316">
        <f>SUM(L41:L70)</f>
        <v>2.1447951951978919</v>
      </c>
      <c r="M71" s="243">
        <f t="shared" si="2"/>
        <v>0</v>
      </c>
      <c r="N71" s="243">
        <f t="shared" si="2"/>
        <v>0</v>
      </c>
      <c r="O71" s="243">
        <f t="shared" si="2"/>
        <v>0</v>
      </c>
      <c r="P71" s="243">
        <f t="shared" si="2"/>
        <v>0</v>
      </c>
      <c r="Q71" s="243">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7">
        <f>SUM(G71:Q71)</f>
        <v>8.9142305275993934</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1">
        <f>G40</f>
        <v>2012</v>
      </c>
      <c r="H74" s="241">
        <f t="shared" ref="H74:Q74" si="3">H40</f>
        <v>2013</v>
      </c>
      <c r="I74" s="241" t="str">
        <f t="shared" si="3"/>
        <v>2014</v>
      </c>
      <c r="J74" s="241" t="str">
        <f t="shared" si="3"/>
        <v>2015</v>
      </c>
      <c r="K74" s="241" t="str">
        <f t="shared" si="3"/>
        <v>2016</v>
      </c>
      <c r="L74" s="241" t="str">
        <f t="shared" si="3"/>
        <v>2017</v>
      </c>
      <c r="M74" s="241" t="str">
        <f t="shared" si="3"/>
        <v>2018</v>
      </c>
      <c r="N74" s="241" t="str">
        <f t="shared" si="3"/>
        <v>2019</v>
      </c>
      <c r="O74" s="241" t="str">
        <f t="shared" si="3"/>
        <v>2020</v>
      </c>
      <c r="P74" s="241" t="str">
        <f t="shared" si="3"/>
        <v>2021</v>
      </c>
      <c r="Q74" s="241"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3">
        <f t="shared" ref="G105:Q105" si="4">SUM(G75:G104)</f>
        <v>0</v>
      </c>
      <c r="H105" s="243">
        <v>0</v>
      </c>
      <c r="I105" s="243">
        <f t="shared" si="4"/>
        <v>0</v>
      </c>
      <c r="J105" s="243">
        <f t="shared" si="4"/>
        <v>0</v>
      </c>
      <c r="K105" s="243">
        <f t="shared" si="4"/>
        <v>0</v>
      </c>
      <c r="L105" s="243">
        <f t="shared" si="4"/>
        <v>0</v>
      </c>
      <c r="M105" s="243">
        <f t="shared" si="4"/>
        <v>0</v>
      </c>
      <c r="N105" s="243">
        <f t="shared" si="4"/>
        <v>0</v>
      </c>
      <c r="O105" s="243">
        <f t="shared" si="4"/>
        <v>0</v>
      </c>
      <c r="P105" s="243">
        <f t="shared" si="4"/>
        <v>0</v>
      </c>
      <c r="Q105" s="243">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2">
        <f>SUM(G105:Q105)</f>
        <v>0</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1">
        <f>G74</f>
        <v>2012</v>
      </c>
      <c r="H108" s="241">
        <f t="shared" ref="H108:Q108" si="5">H74</f>
        <v>2013</v>
      </c>
      <c r="I108" s="241" t="str">
        <f t="shared" si="5"/>
        <v>2014</v>
      </c>
      <c r="J108" s="241" t="str">
        <f t="shared" si="5"/>
        <v>2015</v>
      </c>
      <c r="K108" s="241" t="str">
        <f t="shared" si="5"/>
        <v>2016</v>
      </c>
      <c r="L108" s="241" t="str">
        <f t="shared" si="5"/>
        <v>2017</v>
      </c>
      <c r="M108" s="241" t="str">
        <f t="shared" si="5"/>
        <v>2018</v>
      </c>
      <c r="N108" s="241" t="str">
        <f t="shared" si="5"/>
        <v>2019</v>
      </c>
      <c r="O108" s="241" t="str">
        <f t="shared" si="5"/>
        <v>2020</v>
      </c>
      <c r="P108" s="241" t="str">
        <f t="shared" si="5"/>
        <v>2021</v>
      </c>
      <c r="Q108" s="241"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v>
      </c>
      <c r="H109" s="313">
        <v>7.9814799999999991E-3</v>
      </c>
      <c r="I109" s="313">
        <v>6.0879999999999997E-3</v>
      </c>
      <c r="J109" s="313">
        <v>1.4356292307692309E-2</v>
      </c>
      <c r="K109" s="62">
        <f>0.136+0.018</f>
        <v>0.154</v>
      </c>
      <c r="L109" s="62">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6">
        <f t="shared" ref="G139:Q139" si="6">SUM(G109:G138)</f>
        <v>0</v>
      </c>
      <c r="H139" s="316">
        <f t="shared" si="6"/>
        <v>7.9814799999999991E-3</v>
      </c>
      <c r="I139" s="316">
        <f t="shared" si="6"/>
        <v>6.0879999999999997E-3</v>
      </c>
      <c r="J139" s="316">
        <f t="shared" si="6"/>
        <v>1.4356292307692309E-2</v>
      </c>
      <c r="K139" s="316">
        <f t="shared" si="6"/>
        <v>0.154</v>
      </c>
      <c r="L139" s="316">
        <f t="shared" si="6"/>
        <v>0</v>
      </c>
      <c r="M139" s="243">
        <f t="shared" si="6"/>
        <v>0</v>
      </c>
      <c r="N139" s="243">
        <f t="shared" si="6"/>
        <v>0</v>
      </c>
      <c r="O139" s="243">
        <f t="shared" si="6"/>
        <v>0</v>
      </c>
      <c r="P139" s="243">
        <f t="shared" si="6"/>
        <v>0</v>
      </c>
      <c r="Q139" s="243">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7">
        <f>SUM(G139:Q139)</f>
        <v>0.1824257723076923</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1">
        <f>G40</f>
        <v>2012</v>
      </c>
      <c r="H142" s="241">
        <f t="shared" ref="H142:Q142" si="7">H40</f>
        <v>2013</v>
      </c>
      <c r="I142" s="241" t="str">
        <f t="shared" si="7"/>
        <v>2014</v>
      </c>
      <c r="J142" s="241" t="str">
        <f t="shared" si="7"/>
        <v>2015</v>
      </c>
      <c r="K142" s="241" t="str">
        <f t="shared" si="7"/>
        <v>2016</v>
      </c>
      <c r="L142" s="241" t="str">
        <f t="shared" si="7"/>
        <v>2017</v>
      </c>
      <c r="M142" s="241" t="str">
        <f t="shared" si="7"/>
        <v>2018</v>
      </c>
      <c r="N142" s="241" t="str">
        <f t="shared" si="7"/>
        <v>2019</v>
      </c>
      <c r="O142" s="241" t="str">
        <f t="shared" si="7"/>
        <v>2020</v>
      </c>
      <c r="P142" s="241" t="str">
        <f t="shared" si="7"/>
        <v>2021</v>
      </c>
      <c r="Q142" s="241"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8">
        <f t="shared" ref="G143:Q143" si="8">(G41-G75-G109)/G$178</f>
        <v>0.96700000000000008</v>
      </c>
      <c r="H143" s="319">
        <f t="shared" si="8"/>
        <v>0.87018292160214727</v>
      </c>
      <c r="I143" s="319">
        <f t="shared" si="8"/>
        <v>0.79297933792512265</v>
      </c>
      <c r="J143" s="319">
        <f t="shared" si="8"/>
        <v>0.90516533891873552</v>
      </c>
      <c r="K143" s="319">
        <f t="shared" si="8"/>
        <v>0.9674081295617214</v>
      </c>
      <c r="L143" s="319">
        <f>(L41-L75-L109)/L$178</f>
        <v>1.1012314246220085</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20">
        <f t="shared" ref="G144:Q144" si="9">(G42-G76-G110)/G$178</f>
        <v>0.39300000000000002</v>
      </c>
      <c r="H144" s="321">
        <f t="shared" si="9"/>
        <v>0.24216344040250309</v>
      </c>
      <c r="I144" s="321">
        <f t="shared" si="9"/>
        <v>0.1911205027410677</v>
      </c>
      <c r="J144" s="321">
        <f t="shared" si="9"/>
        <v>0.19616803118104509</v>
      </c>
      <c r="K144" s="321">
        <f>(K42-K76-K110)/K$178</f>
        <v>0.4835854303411708</v>
      </c>
      <c r="L144" s="321">
        <f t="shared" si="9"/>
        <v>0.47803598445626627</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20">
        <f t="shared" ref="G145:Q145" si="10">(G43-G77-G111)/G$178</f>
        <v>0</v>
      </c>
      <c r="H145" s="321">
        <f t="shared" si="10"/>
        <v>0</v>
      </c>
      <c r="I145" s="321">
        <f t="shared" si="10"/>
        <v>0</v>
      </c>
      <c r="J145" s="321">
        <f t="shared" si="10"/>
        <v>0</v>
      </c>
      <c r="K145" s="321">
        <f t="shared" si="10"/>
        <v>0</v>
      </c>
      <c r="L145" s="321">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20">
        <f t="shared" ref="G146:Q146" si="11">(G44-G78-G112)/G$178</f>
        <v>0.02</v>
      </c>
      <c r="H146" s="321">
        <f t="shared" si="11"/>
        <v>0</v>
      </c>
      <c r="I146" s="321">
        <f t="shared" si="11"/>
        <v>0</v>
      </c>
      <c r="J146" s="321">
        <f t="shared" si="11"/>
        <v>0</v>
      </c>
      <c r="K146" s="321">
        <f t="shared" si="11"/>
        <v>0</v>
      </c>
      <c r="L146" s="321">
        <f t="shared" si="11"/>
        <v>0</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20">
        <f t="shared" ref="G147:Q147" si="12">(G45-G79-G113)/G$178</f>
        <v>0</v>
      </c>
      <c r="H147" s="321">
        <f t="shared" si="12"/>
        <v>0</v>
      </c>
      <c r="I147" s="321">
        <f t="shared" si="12"/>
        <v>0</v>
      </c>
      <c r="J147" s="321">
        <f t="shared" si="12"/>
        <v>0</v>
      </c>
      <c r="K147" s="321">
        <f t="shared" si="12"/>
        <v>3.9862485761730973E-2</v>
      </c>
      <c r="L147" s="321">
        <f t="shared" si="12"/>
        <v>0.26883681273523763</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20">
        <f t="shared" ref="G148:Q148" si="13">(G46-G80-G114)/G$178</f>
        <v>0</v>
      </c>
      <c r="H148" s="321">
        <f t="shared" si="13"/>
        <v>5.7405752816354773E-2</v>
      </c>
      <c r="I148" s="321">
        <f t="shared" si="13"/>
        <v>5.9311430457870622E-2</v>
      </c>
      <c r="J148" s="321">
        <f t="shared" si="13"/>
        <v>4.8696342570374626E-2</v>
      </c>
      <c r="K148" s="321">
        <f t="shared" si="13"/>
        <v>8.0448168998127276E-2</v>
      </c>
      <c r="L148" s="321">
        <f t="shared" si="13"/>
        <v>0.1084822542445279</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20">
        <f t="shared" ref="G149:Q149" si="14">(G47-G81-G115)/G$178</f>
        <v>0</v>
      </c>
      <c r="H149" s="321">
        <f t="shared" si="14"/>
        <v>0</v>
      </c>
      <c r="I149" s="321">
        <f t="shared" si="14"/>
        <v>0</v>
      </c>
      <c r="J149" s="321">
        <f t="shared" si="14"/>
        <v>0</v>
      </c>
      <c r="K149" s="321">
        <f t="shared" si="14"/>
        <v>0</v>
      </c>
      <c r="L149" s="321">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3">
        <f>SUM(G143:G172)</f>
        <v>1.3800000000000001</v>
      </c>
      <c r="H173" s="243">
        <f t="shared" ref="H173:Q173" si="38">SUM(H143:H172)</f>
        <v>1.1697521148210051</v>
      </c>
      <c r="I173" s="243">
        <f t="shared" si="38"/>
        <v>1.0434112711240611</v>
      </c>
      <c r="J173" s="243">
        <f t="shared" si="38"/>
        <v>1.1500297126701551</v>
      </c>
      <c r="K173" s="243">
        <f t="shared" si="38"/>
        <v>1.5713042146627505</v>
      </c>
      <c r="L173" s="243">
        <f>SUM(L143:L172)</f>
        <v>1.9565864760580403</v>
      </c>
      <c r="M173" s="243">
        <f t="shared" si="38"/>
        <v>0</v>
      </c>
      <c r="N173" s="243">
        <f t="shared" si="38"/>
        <v>0</v>
      </c>
      <c r="O173" s="243">
        <f t="shared" si="38"/>
        <v>0</v>
      </c>
      <c r="P173" s="243">
        <f t="shared" si="38"/>
        <v>0</v>
      </c>
      <c r="Q173" s="243">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2">
        <f>SUM(G173:Q173)</f>
        <v>8.2710837893360107</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09" t="s">
        <v>231</v>
      </c>
      <c r="G177" s="594">
        <v>3.5199076745527913E-2</v>
      </c>
      <c r="H177" s="594">
        <v>2.0040080160320661E-2</v>
      </c>
      <c r="I177" s="594">
        <v>2.16110019646365E-2</v>
      </c>
      <c r="J177" s="594">
        <v>2.3076923076923217E-2</v>
      </c>
      <c r="K177" s="594">
        <v>1.5037593984962294E-2</v>
      </c>
      <c r="L177" s="594">
        <v>1.2962962962963065E-2</v>
      </c>
      <c r="M177" s="107">
        <v>2.3900000000000001E-2</v>
      </c>
      <c r="N177" s="107">
        <v>2.3900000000000001E-2</v>
      </c>
      <c r="O177" s="107">
        <v>2.3900000000000001E-2</v>
      </c>
      <c r="P177" s="107">
        <v>2.3900000000000001E-2</v>
      </c>
      <c r="Q177" s="107">
        <v>2.3900000000000001E-2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40">
        <v>1</v>
      </c>
      <c r="H178" s="595">
        <f>G178*(1+H177)</f>
        <v>1.0200400801603207</v>
      </c>
      <c r="I178" s="595">
        <f t="shared" ref="I178:Q178" si="40">H178*(1+I177)</f>
        <v>1.0420841683366733</v>
      </c>
      <c r="J178" s="595">
        <f t="shared" si="40"/>
        <v>1.0661322645290583</v>
      </c>
      <c r="K178" s="595">
        <f t="shared" si="40"/>
        <v>1.0821643286573146</v>
      </c>
      <c r="L178" s="595">
        <f t="shared" si="40"/>
        <v>1.0961923847695392</v>
      </c>
      <c r="M178" s="595">
        <f t="shared" si="40"/>
        <v>1.1223913827655312</v>
      </c>
      <c r="N178" s="595">
        <f t="shared" si="40"/>
        <v>1.1492165368136273</v>
      </c>
      <c r="O178" s="595">
        <f t="shared" si="40"/>
        <v>1.1766828120434731</v>
      </c>
      <c r="P178" s="595">
        <f t="shared" si="40"/>
        <v>1.2048055312513122</v>
      </c>
      <c r="Q178" s="595">
        <f t="shared" si="40"/>
        <v>1.2336003834482185</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582">
        <v>2.5999999999999999E-2</v>
      </c>
      <c r="H179" s="582">
        <v>2.5000000000000001E-2</v>
      </c>
      <c r="I179" s="339">
        <f>H179</f>
        <v>2.5000000000000001E-2</v>
      </c>
      <c r="J179" s="339">
        <f>I179</f>
        <v>2.5000000000000001E-2</v>
      </c>
      <c r="K179" s="339">
        <f t="shared" ref="K179:Q179" si="41">J179</f>
        <v>2.5000000000000001E-2</v>
      </c>
      <c r="L179" s="339">
        <f t="shared" si="41"/>
        <v>2.5000000000000001E-2</v>
      </c>
      <c r="M179" s="339">
        <f t="shared" si="41"/>
        <v>2.5000000000000001E-2</v>
      </c>
      <c r="N179" s="339">
        <f t="shared" si="41"/>
        <v>2.5000000000000001E-2</v>
      </c>
      <c r="O179" s="339">
        <f t="shared" si="41"/>
        <v>2.5000000000000001E-2</v>
      </c>
      <c r="P179" s="339">
        <f t="shared" si="41"/>
        <v>2.5000000000000001E-2</v>
      </c>
      <c r="Q179" s="339">
        <f t="shared" si="41"/>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40">
        <v>1</v>
      </c>
      <c r="H180" s="92">
        <f>G180*(1+H179)</f>
        <v>1.0249999999999999</v>
      </c>
      <c r="I180" s="92">
        <f t="shared" ref="I180:Q180" si="42">H180*(1+I179)</f>
        <v>1.0506249999999999</v>
      </c>
      <c r="J180" s="92">
        <f t="shared" si="42"/>
        <v>1.0768906249999999</v>
      </c>
      <c r="K180" s="92">
        <f t="shared" si="42"/>
        <v>1.1038128906249998</v>
      </c>
      <c r="L180" s="92">
        <f t="shared" si="42"/>
        <v>1.1314082128906247</v>
      </c>
      <c r="M180" s="92">
        <f t="shared" si="42"/>
        <v>1.1596934182128902</v>
      </c>
      <c r="N180" s="92">
        <f t="shared" si="42"/>
        <v>1.1886857536682123</v>
      </c>
      <c r="O180" s="92">
        <f t="shared" si="42"/>
        <v>1.2184028975099175</v>
      </c>
      <c r="P180" s="92">
        <f t="shared" si="42"/>
        <v>1.2488629699476652</v>
      </c>
      <c r="Q180" s="92">
        <f t="shared" si="42"/>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1">
        <f>(1+G179)*(1+G183)-1</f>
        <v>9.0637999999999996E-2</v>
      </c>
      <c r="H182" s="337">
        <v>7.3894199999999993E-2</v>
      </c>
      <c r="I182" s="338">
        <f>H182</f>
        <v>7.3894199999999993E-2</v>
      </c>
      <c r="J182" s="338">
        <f t="shared" ref="J182:Q182" si="43">I182</f>
        <v>7.3894199999999993E-2</v>
      </c>
      <c r="K182" s="338">
        <f t="shared" si="43"/>
        <v>7.3894199999999993E-2</v>
      </c>
      <c r="L182" s="338">
        <f t="shared" si="43"/>
        <v>7.3894199999999993E-2</v>
      </c>
      <c r="M182" s="338">
        <f t="shared" si="43"/>
        <v>7.3894199999999993E-2</v>
      </c>
      <c r="N182" s="338">
        <f t="shared" si="43"/>
        <v>7.3894199999999993E-2</v>
      </c>
      <c r="O182" s="338">
        <f t="shared" si="43"/>
        <v>7.3894199999999993E-2</v>
      </c>
      <c r="P182" s="338">
        <f t="shared" si="43"/>
        <v>7.3894199999999993E-2</v>
      </c>
      <c r="Q182" s="338">
        <f t="shared" si="43"/>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77">
        <v>6.3E-2</v>
      </c>
      <c r="H183" s="41">
        <f>(1+H182)/(1+H179)-1</f>
        <v>4.7701658536585478E-2</v>
      </c>
      <c r="I183" s="41">
        <f>H183</f>
        <v>4.7701658536585478E-2</v>
      </c>
      <c r="J183" s="41">
        <f t="shared" ref="J183:Q183" si="44">I183</f>
        <v>4.7701658536585478E-2</v>
      </c>
      <c r="K183" s="41">
        <f t="shared" si="44"/>
        <v>4.7701658536585478E-2</v>
      </c>
      <c r="L183" s="41">
        <f t="shared" si="44"/>
        <v>4.7701658536585478E-2</v>
      </c>
      <c r="M183" s="41">
        <f>L183</f>
        <v>4.7701658536585478E-2</v>
      </c>
      <c r="N183" s="41">
        <f t="shared" si="44"/>
        <v>4.7701658536585478E-2</v>
      </c>
      <c r="O183" s="41">
        <f t="shared" si="44"/>
        <v>4.7701658536585478E-2</v>
      </c>
      <c r="P183" s="41">
        <f t="shared" si="44"/>
        <v>4.7701658536585478E-2</v>
      </c>
      <c r="Q183" s="41">
        <f t="shared" si="44"/>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77">
        <v>0</v>
      </c>
      <c r="H184" s="41">
        <f t="shared" ref="H184:L184" si="45">(1+H183)*(1+H177)-1</f>
        <v>6.8697683757759531E-2</v>
      </c>
      <c r="I184" s="41">
        <f t="shared" si="45"/>
        <v>7.0343541137572574E-2</v>
      </c>
      <c r="J184" s="41">
        <f t="shared" si="45"/>
        <v>7.1879389118199244E-2</v>
      </c>
      <c r="K184" s="41">
        <f t="shared" si="45"/>
        <v>6.3456570695030301E-2</v>
      </c>
      <c r="L184" s="41">
        <f t="shared" si="45"/>
        <v>6.1282976332430295E-2</v>
      </c>
      <c r="M184" s="41">
        <f>IF(M177=0, 0, (1+M183)*(1+M177)-1)</f>
        <v>7.2741728175609977E-2</v>
      </c>
      <c r="N184" s="41">
        <f>IF(N177=0, 0, (1+N183)*(1+N177)-1)</f>
        <v>7.2741728175609977E-2</v>
      </c>
      <c r="O184" s="41">
        <f>IF(O177=0, 0, (1+O183)*(1+O177)-1)</f>
        <v>7.2741728175609977E-2</v>
      </c>
      <c r="P184" s="41">
        <f>IF(P177=0, 0, (1+P183)*(1+P177)-1)</f>
        <v>7.2741728175609977E-2</v>
      </c>
      <c r="Q184" s="41">
        <f>IF(Q177=0, 0, (1+Q183)*(1+Q177)-1)</f>
        <v>7.2741728175609977E-2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341"/>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0"/>
      <c r="G6" s="191">
        <f>Input!G177</f>
        <v>3.5199076745527913E-2</v>
      </c>
      <c r="H6" s="20"/>
      <c r="I6" s="20"/>
      <c r="J6" s="20"/>
      <c r="K6" s="20"/>
      <c r="L6" s="20"/>
      <c r="M6" s="20"/>
      <c r="N6" s="20"/>
      <c r="O6" s="20"/>
      <c r="P6" s="20"/>
      <c r="Q6" s="20"/>
      <c r="R6" s="41"/>
      <c r="S6" s="51"/>
      <c r="T6" s="41"/>
      <c r="U6" s="41"/>
      <c r="V6" s="41"/>
      <c r="W6" s="41"/>
      <c r="X6" s="41"/>
      <c r="Y6" s="41"/>
      <c r="Z6" s="41"/>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5" t="s">
        <v>83</v>
      </c>
      <c r="C7" s="9"/>
      <c r="D7" s="9"/>
      <c r="E7" s="9"/>
      <c r="F7" s="9"/>
      <c r="G7" s="191"/>
      <c r="H7" s="236">
        <f>vanilla1</f>
        <v>6.8697683757759531E-2</v>
      </c>
      <c r="I7" s="94">
        <f>vanilla2</f>
        <v>7.0343541137572574E-2</v>
      </c>
      <c r="J7" s="94">
        <f>vanilla3</f>
        <v>7.1879389118199244E-2</v>
      </c>
      <c r="K7" s="94">
        <f>vanilla4</f>
        <v>6.3456570695030301E-2</v>
      </c>
      <c r="L7" s="94">
        <f>vanilla5</f>
        <v>6.1282976332430295E-2</v>
      </c>
      <c r="M7" s="94">
        <f>vanilla6</f>
        <v>7.2741728175609977E-2</v>
      </c>
      <c r="N7" s="94">
        <f>vanilla7</f>
        <v>7.2741728175609977E-2</v>
      </c>
      <c r="O7" s="94">
        <f>vanilla8</f>
        <v>7.2741728175609977E-2</v>
      </c>
      <c r="P7" s="94">
        <f>vanilla9</f>
        <v>7.2741728175609977E-2</v>
      </c>
      <c r="Q7" s="94">
        <f>vanilla10</f>
        <v>7.2741728175609977E-2</v>
      </c>
      <c r="R7" s="94"/>
      <c r="S7" s="51"/>
      <c r="T7" s="139"/>
      <c r="U7" s="139"/>
      <c r="V7" s="139"/>
      <c r="W7" s="139"/>
      <c r="X7" s="139"/>
      <c r="Y7" s="139"/>
      <c r="Z7" s="139"/>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6" t="s">
        <v>79</v>
      </c>
      <c r="C11" s="9"/>
      <c r="D11" s="9"/>
      <c r="E11" s="9"/>
      <c r="F11" s="9"/>
      <c r="G11" s="192">
        <f>SUM(G12:G41)</f>
        <v>0.84770619546925075</v>
      </c>
      <c r="H11" s="144"/>
      <c r="I11" s="144"/>
      <c r="J11" s="144"/>
      <c r="K11" s="144"/>
      <c r="L11" s="144"/>
      <c r="M11" s="138"/>
      <c r="N11" s="138"/>
      <c r="O11" s="138"/>
      <c r="P11" s="138"/>
      <c r="Q11" s="138"/>
      <c r="R11" s="139"/>
      <c r="S11" s="12"/>
      <c r="T11" s="139"/>
      <c r="U11" s="139"/>
      <c r="V11" s="139"/>
      <c r="W11" s="139"/>
      <c r="X11" s="139"/>
      <c r="Y11" s="139"/>
      <c r="Z11" s="139"/>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customHeight="1" outlineLevel="1">
      <c r="A12" s="9"/>
      <c r="B12" s="9"/>
      <c r="C12" s="129" t="str">
        <f>Asset1</f>
        <v>Mains &amp; Services</v>
      </c>
      <c r="D12" s="9"/>
      <c r="E12" s="9"/>
      <c r="F12" s="9"/>
      <c r="G12" s="193">
        <f>Input!M7</f>
        <v>0.54630600280508135</v>
      </c>
      <c r="H12" s="144"/>
      <c r="I12" s="144"/>
      <c r="J12" s="144"/>
      <c r="K12" s="144"/>
      <c r="L12" s="144"/>
      <c r="M12" s="138"/>
      <c r="N12" s="138"/>
      <c r="O12" s="138"/>
      <c r="P12" s="138"/>
      <c r="Q12" s="138"/>
      <c r="R12" s="139"/>
      <c r="S12" s="51"/>
      <c r="T12" s="139"/>
      <c r="U12" s="139"/>
      <c r="V12" s="139"/>
      <c r="W12" s="139"/>
      <c r="X12" s="139"/>
      <c r="Y12" s="139"/>
      <c r="Z12" s="139"/>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customHeight="1" outlineLevel="1">
      <c r="A13" s="9"/>
      <c r="B13" s="46"/>
      <c r="C13" s="129" t="str">
        <f>Asset2</f>
        <v>Meters</v>
      </c>
      <c r="D13" s="9"/>
      <c r="E13" s="9"/>
      <c r="F13" s="141"/>
      <c r="G13" s="193">
        <f>Input!M8</f>
        <v>0.27813816558080157</v>
      </c>
      <c r="H13" s="144"/>
      <c r="I13" s="144"/>
      <c r="J13" s="144"/>
      <c r="K13" s="144"/>
      <c r="L13" s="144"/>
      <c r="M13" s="138"/>
      <c r="N13" s="138"/>
      <c r="O13" s="138"/>
      <c r="P13" s="138"/>
      <c r="Q13" s="138"/>
      <c r="R13" s="139"/>
      <c r="S13" s="51"/>
      <c r="T13" s="139"/>
      <c r="U13" s="139"/>
      <c r="V13" s="139"/>
      <c r="W13" s="139"/>
      <c r="X13" s="139"/>
      <c r="Y13" s="139"/>
      <c r="Z13" s="139"/>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customHeight="1" outlineLevel="1">
      <c r="A15" s="9"/>
      <c r="B15" s="46"/>
      <c r="C15" s="129" t="str">
        <f>Asset4</f>
        <v>SCADA</v>
      </c>
      <c r="D15" s="9"/>
      <c r="E15" s="9"/>
      <c r="F15" s="141"/>
      <c r="G15" s="193">
        <f>Input!M10</f>
        <v>0</v>
      </c>
      <c r="H15" s="144"/>
      <c r="I15" s="144"/>
      <c r="J15" s="144"/>
      <c r="K15" s="144"/>
      <c r="L15" s="144"/>
      <c r="M15" s="138"/>
      <c r="N15" s="138"/>
      <c r="O15" s="138"/>
      <c r="P15" s="138"/>
      <c r="Q15" s="138"/>
      <c r="R15" s="139"/>
      <c r="S15" s="51"/>
      <c r="T15" s="139"/>
      <c r="U15" s="139"/>
      <c r="V15" s="139"/>
      <c r="W15" s="139"/>
      <c r="X15" s="139"/>
      <c r="Y15" s="139"/>
      <c r="Z15" s="139"/>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customHeight="1" outlineLevel="1">
      <c r="A16" s="9"/>
      <c r="B16" s="46"/>
      <c r="C16" s="129" t="str">
        <f>Asset5</f>
        <v>Computer Equipment</v>
      </c>
      <c r="D16" s="9"/>
      <c r="E16" s="9"/>
      <c r="F16" s="171"/>
      <c r="G16" s="193">
        <f>Input!M11</f>
        <v>0</v>
      </c>
      <c r="H16" s="144"/>
      <c r="I16" s="144"/>
      <c r="J16" s="144"/>
      <c r="K16" s="144"/>
      <c r="L16" s="144"/>
      <c r="M16" s="138"/>
      <c r="N16" s="138"/>
      <c r="O16" s="138"/>
      <c r="P16" s="138"/>
      <c r="Q16" s="138"/>
      <c r="R16" s="139"/>
      <c r="S16" s="51"/>
      <c r="T16" s="139"/>
      <c r="U16" s="139"/>
      <c r="V16" s="139"/>
      <c r="W16" s="139"/>
      <c r="X16" s="139"/>
      <c r="Y16" s="139"/>
      <c r="Z16" s="139"/>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customHeight="1" outlineLevel="1">
      <c r="A17" s="9"/>
      <c r="B17" s="46"/>
      <c r="C17" s="129" t="str">
        <f>Asset6</f>
        <v>Other Assets</v>
      </c>
      <c r="D17" s="9"/>
      <c r="E17" s="9"/>
      <c r="F17" s="141"/>
      <c r="G17" s="193">
        <f>Input!M12</f>
        <v>2.3262027083367776E-2</v>
      </c>
      <c r="H17" s="144"/>
      <c r="I17" s="144"/>
      <c r="J17" s="144"/>
      <c r="K17" s="144"/>
      <c r="L17" s="144"/>
      <c r="M17" s="138"/>
      <c r="N17" s="138"/>
      <c r="O17" s="138"/>
      <c r="P17" s="138"/>
      <c r="Q17" s="138"/>
      <c r="R17" s="139"/>
      <c r="S17" s="12"/>
      <c r="T17" s="139"/>
      <c r="U17" s="139"/>
      <c r="V17" s="139"/>
      <c r="W17" s="139"/>
      <c r="X17" s="139"/>
      <c r="Y17" s="139"/>
      <c r="Z17" s="139"/>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6" t="s">
        <v>34</v>
      </c>
      <c r="C43" s="9"/>
      <c r="D43" s="9"/>
      <c r="E43" s="9"/>
      <c r="F43" s="9"/>
      <c r="G43" s="192">
        <f>SUM(G44:G73)</f>
        <v>1.3800000000000001</v>
      </c>
      <c r="H43" s="140"/>
      <c r="I43" s="140"/>
      <c r="J43" s="140"/>
      <c r="K43" s="140"/>
      <c r="L43" s="140"/>
      <c r="M43" s="140"/>
      <c r="N43" s="138"/>
      <c r="O43" s="138"/>
      <c r="P43" s="138"/>
      <c r="Q43" s="138"/>
      <c r="R43" s="139"/>
      <c r="S43" s="139"/>
      <c r="T43" s="139"/>
      <c r="U43" s="139"/>
      <c r="V43" s="139"/>
      <c r="W43" s="139"/>
      <c r="X43" s="139"/>
      <c r="Y43" s="139"/>
      <c r="Z43" s="139"/>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outlineLevel="1">
      <c r="A44" s="9"/>
      <c r="B44" s="9"/>
      <c r="C44" s="129" t="str">
        <f>Asset1</f>
        <v>Mains &amp; Services</v>
      </c>
      <c r="D44" s="9"/>
      <c r="E44" s="9"/>
      <c r="F44" s="9"/>
      <c r="G44" s="193">
        <f>Input!G143*(1+previous_vanilla)^0.5</f>
        <v>0.96700000000000008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tr">
        <f>Asset2</f>
        <v>Meters</v>
      </c>
      <c r="D45" s="9"/>
      <c r="E45" s="9"/>
      <c r="F45" s="141"/>
      <c r="G45" s="193">
        <f>Input!G144*(1+previous_vanilla)^0.5</f>
        <v>0.39300000000000002</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outlineLevel="1">
      <c r="A47" s="9"/>
      <c r="B47" s="46"/>
      <c r="C47" s="129" t="str">
        <f>Asset4</f>
        <v>SCADA</v>
      </c>
      <c r="D47" s="9"/>
      <c r="E47" s="9"/>
      <c r="F47" s="141"/>
      <c r="G47" s="193">
        <f>Input!G146*(1+previous_vanilla)^0.5</f>
        <v>0.02</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outlineLevel="1">
      <c r="A48" s="9"/>
      <c r="B48" s="46"/>
      <c r="C48" s="129" t="str">
        <f>Asset5</f>
        <v>Computer Equipment</v>
      </c>
      <c r="D48" s="9"/>
      <c r="E48" s="9"/>
      <c r="F48" s="141"/>
      <c r="G48" s="193">
        <f>Input!G147*(1+previous_vanilla)^0.5</f>
        <v>0</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outlineLevel="1">
      <c r="A49" s="9"/>
      <c r="B49" s="46"/>
      <c r="C49" s="129" t="str">
        <f>Asset6</f>
        <v>Other Assets</v>
      </c>
      <c r="D49" s="9"/>
      <c r="E49" s="9"/>
      <c r="F49" s="141"/>
      <c r="G49" s="193">
        <f>Input!G148*(1+previous_vanilla)^0.5</f>
        <v>0</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6" t="s">
        <v>41</v>
      </c>
      <c r="C75" s="9"/>
      <c r="D75" s="9"/>
      <c r="E75" s="9"/>
      <c r="F75" s="141"/>
      <c r="G75" s="194">
        <f>SUM(G76:G105)</f>
        <v>0.53229380453074937</v>
      </c>
      <c r="H75" s="37"/>
      <c r="I75" s="37"/>
      <c r="J75" s="37"/>
      <c r="K75" s="37"/>
      <c r="L75" s="37"/>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outlineLevel="1">
      <c r="A76" s="9"/>
      <c r="B76" s="46"/>
      <c r="C76" s="129" t="str">
        <f>Asset1</f>
        <v>Mains &amp; Services</v>
      </c>
      <c r="D76" s="9"/>
      <c r="E76" s="9"/>
      <c r="F76" s="141"/>
      <c r="G76" s="578">
        <f>G44-G12</f>
        <v>0.42069399719491873</v>
      </c>
      <c r="H76" s="117"/>
      <c r="I76" s="117"/>
      <c r="J76" s="117"/>
      <c r="K76" s="117"/>
      <c r="L76" s="117"/>
      <c r="M76" s="151"/>
      <c r="N76" s="152"/>
      <c r="O76" s="152"/>
      <c r="P76" s="152"/>
      <c r="Q76" s="152"/>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outlineLevel="1">
      <c r="A77" s="9"/>
      <c r="B77" s="46"/>
      <c r="C77" s="129" t="str">
        <f>Asset2</f>
        <v>Meters</v>
      </c>
      <c r="D77" s="9"/>
      <c r="E77" s="9"/>
      <c r="F77" s="141"/>
      <c r="G77" s="578">
        <f t="shared" ref="G77:G105" si="0">G45-G13</f>
        <v>0.11486183441919845</v>
      </c>
      <c r="H77" s="117"/>
      <c r="I77" s="117"/>
      <c r="J77" s="117"/>
      <c r="K77" s="117"/>
      <c r="L77" s="117"/>
      <c r="M77" s="151"/>
      <c r="N77" s="152"/>
      <c r="O77" s="152"/>
      <c r="P77" s="152"/>
      <c r="Q77" s="152"/>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outlineLevel="1">
      <c r="A78" s="9"/>
      <c r="B78" s="46"/>
      <c r="C78" s="129" t="str">
        <f>Asset3</f>
        <v>Buildings</v>
      </c>
      <c r="D78" s="9"/>
      <c r="E78" s="9"/>
      <c r="F78" s="141"/>
      <c r="G78" s="578">
        <f t="shared" si="0"/>
        <v>0</v>
      </c>
      <c r="H78" s="117"/>
      <c r="I78" s="117"/>
      <c r="J78" s="117"/>
      <c r="K78" s="117"/>
      <c r="L78" s="117"/>
      <c r="M78" s="151"/>
      <c r="N78" s="152"/>
      <c r="O78" s="152"/>
      <c r="P78" s="152"/>
      <c r="Q78" s="152"/>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outlineLevel="1">
      <c r="A79" s="9"/>
      <c r="B79" s="46"/>
      <c r="C79" s="129" t="str">
        <f>Asset4</f>
        <v>SCADA</v>
      </c>
      <c r="D79" s="9"/>
      <c r="E79" s="9"/>
      <c r="F79" s="141"/>
      <c r="G79" s="578">
        <f t="shared" si="0"/>
        <v>0.02</v>
      </c>
      <c r="H79" s="117"/>
      <c r="I79" s="117"/>
      <c r="J79" s="117"/>
      <c r="K79" s="117"/>
      <c r="L79" s="117"/>
      <c r="M79" s="151"/>
      <c r="N79" s="152"/>
      <c r="O79" s="152"/>
      <c r="P79" s="152"/>
      <c r="Q79" s="152"/>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outlineLevel="1">
      <c r="A80" s="9"/>
      <c r="B80" s="46"/>
      <c r="C80" s="129" t="str">
        <f>Asset5</f>
        <v>Computer Equipment</v>
      </c>
      <c r="D80" s="9"/>
      <c r="E80" s="9"/>
      <c r="F80" s="141"/>
      <c r="G80" s="578">
        <f t="shared" si="0"/>
        <v>0</v>
      </c>
      <c r="H80" s="117"/>
      <c r="I80" s="117"/>
      <c r="J80" s="117"/>
      <c r="K80" s="117"/>
      <c r="L80" s="117"/>
      <c r="M80" s="151"/>
      <c r="N80" s="152"/>
      <c r="O80" s="152"/>
      <c r="P80" s="152"/>
      <c r="Q80" s="152"/>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outlineLevel="1">
      <c r="A81" s="9"/>
      <c r="B81" s="46"/>
      <c r="C81" s="129" t="str">
        <f>Asset6</f>
        <v>Other Assets</v>
      </c>
      <c r="D81" s="9"/>
      <c r="E81" s="9"/>
      <c r="F81" s="141"/>
      <c r="G81" s="578">
        <f t="shared" si="0"/>
        <v>-2.3262027083367776E-2</v>
      </c>
      <c r="H81" s="117"/>
      <c r="I81" s="117"/>
      <c r="J81" s="117"/>
      <c r="K81" s="117"/>
      <c r="L81" s="117"/>
      <c r="M81" s="151"/>
      <c r="N81" s="152"/>
      <c r="O81" s="152"/>
      <c r="P81" s="152"/>
      <c r="Q81" s="152"/>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outlineLevel="1">
      <c r="A82" s="9"/>
      <c r="B82" s="46"/>
      <c r="C82" s="129" t="str">
        <f>Asset7</f>
        <v>Equity Raising Costs</v>
      </c>
      <c r="D82" s="9"/>
      <c r="E82" s="9"/>
      <c r="F82" s="141"/>
      <c r="G82" s="578">
        <f t="shared" si="0"/>
        <v>0</v>
      </c>
      <c r="H82" s="117"/>
      <c r="I82" s="117"/>
      <c r="J82" s="117"/>
      <c r="K82" s="117"/>
      <c r="L82" s="117"/>
      <c r="M82" s="151"/>
      <c r="N82" s="152"/>
      <c r="O82" s="152"/>
      <c r="P82" s="152"/>
      <c r="Q82" s="152"/>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outlineLevel="1">
      <c r="A83" s="9"/>
      <c r="B83" s="46"/>
      <c r="C83" s="129" t="str">
        <f>Asset8</f>
        <v>Land</v>
      </c>
      <c r="D83" s="9"/>
      <c r="E83" s="9"/>
      <c r="F83" s="141"/>
      <c r="G83" s="578">
        <f t="shared" si="0"/>
        <v>0</v>
      </c>
      <c r="H83" s="117"/>
      <c r="I83" s="117"/>
      <c r="J83" s="117"/>
      <c r="K83" s="117"/>
      <c r="L83" s="117"/>
      <c r="M83" s="151"/>
      <c r="N83" s="152"/>
      <c r="O83" s="152"/>
      <c r="P83" s="152"/>
      <c r="Q83" s="152"/>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outlineLevel="1">
      <c r="A84" s="9"/>
      <c r="B84" s="46"/>
      <c r="C84" s="129">
        <f>Asset9</f>
        <v>0</v>
      </c>
      <c r="D84" s="9"/>
      <c r="E84" s="9"/>
      <c r="F84" s="141"/>
      <c r="G84" s="578">
        <f t="shared" si="0"/>
        <v>0</v>
      </c>
      <c r="H84" s="117"/>
      <c r="I84" s="117"/>
      <c r="J84" s="117"/>
      <c r="K84" s="117"/>
      <c r="L84" s="117"/>
      <c r="M84" s="151"/>
      <c r="N84" s="152"/>
      <c r="O84" s="152"/>
      <c r="P84" s="152"/>
      <c r="Q84" s="152"/>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outlineLevel="1">
      <c r="A85" s="9"/>
      <c r="B85" s="46"/>
      <c r="C85" s="129">
        <f>Asset10</f>
        <v>0</v>
      </c>
      <c r="D85" s="9"/>
      <c r="E85" s="9"/>
      <c r="F85" s="141"/>
      <c r="G85" s="578">
        <f t="shared" si="0"/>
        <v>0</v>
      </c>
      <c r="H85" s="117"/>
      <c r="I85" s="117"/>
      <c r="J85" s="117"/>
      <c r="K85" s="117"/>
      <c r="L85" s="117"/>
      <c r="M85" s="151"/>
      <c r="N85" s="152"/>
      <c r="O85" s="152"/>
      <c r="P85" s="152"/>
      <c r="Q85" s="152"/>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outlineLevel="1">
      <c r="A86" s="9"/>
      <c r="B86" s="46"/>
      <c r="C86" s="129">
        <f>Asset11</f>
        <v>0</v>
      </c>
      <c r="D86" s="9"/>
      <c r="E86" s="9"/>
      <c r="F86" s="141"/>
      <c r="G86" s="578">
        <f t="shared" si="0"/>
        <v>0</v>
      </c>
      <c r="H86" s="117"/>
      <c r="I86" s="117"/>
      <c r="J86" s="117"/>
      <c r="K86" s="117"/>
      <c r="L86" s="117"/>
      <c r="M86" s="151"/>
      <c r="N86" s="152"/>
      <c r="O86" s="152"/>
      <c r="P86" s="152"/>
      <c r="Q86" s="152"/>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outlineLevel="1">
      <c r="A87" s="9"/>
      <c r="B87" s="46"/>
      <c r="C87" s="129">
        <f>Asset12</f>
        <v>0</v>
      </c>
      <c r="D87" s="9"/>
      <c r="E87" s="9"/>
      <c r="F87" s="141"/>
      <c r="G87" s="578">
        <f t="shared" si="0"/>
        <v>0</v>
      </c>
      <c r="H87" s="117"/>
      <c r="I87" s="117"/>
      <c r="J87" s="117"/>
      <c r="K87" s="117"/>
      <c r="L87" s="117"/>
      <c r="M87" s="151"/>
      <c r="N87" s="152"/>
      <c r="O87" s="152"/>
      <c r="P87" s="152"/>
      <c r="Q87" s="152"/>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outlineLevel="1">
      <c r="A88" s="9"/>
      <c r="B88" s="46"/>
      <c r="C88" s="129">
        <f>Asset13</f>
        <v>0</v>
      </c>
      <c r="D88" s="9"/>
      <c r="E88" s="9"/>
      <c r="F88" s="141"/>
      <c r="G88" s="578">
        <f t="shared" si="0"/>
        <v>0</v>
      </c>
      <c r="H88" s="117"/>
      <c r="I88" s="117"/>
      <c r="J88" s="117"/>
      <c r="K88" s="117"/>
      <c r="L88" s="117"/>
      <c r="M88" s="151"/>
      <c r="N88" s="152"/>
      <c r="O88" s="152"/>
      <c r="P88" s="152"/>
      <c r="Q88" s="152"/>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outlineLevel="1">
      <c r="A89" s="9"/>
      <c r="B89" s="46"/>
      <c r="C89" s="129">
        <f>Asset14</f>
        <v>0</v>
      </c>
      <c r="D89" s="9"/>
      <c r="E89" s="9"/>
      <c r="F89" s="141"/>
      <c r="G89" s="578">
        <f t="shared" si="0"/>
        <v>0</v>
      </c>
      <c r="H89" s="117"/>
      <c r="I89" s="117"/>
      <c r="J89" s="117"/>
      <c r="K89" s="117"/>
      <c r="L89" s="117"/>
      <c r="M89" s="151"/>
      <c r="N89" s="152"/>
      <c r="O89" s="152"/>
      <c r="P89" s="152"/>
      <c r="Q89" s="152"/>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outlineLevel="1">
      <c r="A90" s="9"/>
      <c r="B90" s="46"/>
      <c r="C90" s="129">
        <f>Asset15</f>
        <v>0</v>
      </c>
      <c r="D90" s="9"/>
      <c r="E90" s="9"/>
      <c r="F90" s="141"/>
      <c r="G90" s="578">
        <f t="shared" si="0"/>
        <v>0</v>
      </c>
      <c r="H90" s="117"/>
      <c r="I90" s="117"/>
      <c r="J90" s="117"/>
      <c r="K90" s="117"/>
      <c r="L90" s="117"/>
      <c r="M90" s="151"/>
      <c r="N90" s="152"/>
      <c r="O90" s="152"/>
      <c r="P90" s="152"/>
      <c r="Q90" s="152"/>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outlineLevel="1">
      <c r="A91" s="9"/>
      <c r="B91" s="46"/>
      <c r="C91" s="129">
        <f>Asset16</f>
        <v>0</v>
      </c>
      <c r="D91" s="9"/>
      <c r="E91" s="9"/>
      <c r="F91" s="141"/>
      <c r="G91" s="578">
        <f t="shared" si="0"/>
        <v>0</v>
      </c>
      <c r="H91" s="117"/>
      <c r="I91" s="117"/>
      <c r="J91" s="117"/>
      <c r="K91" s="117"/>
      <c r="L91" s="117"/>
      <c r="M91" s="151"/>
      <c r="N91" s="152"/>
      <c r="O91" s="152"/>
      <c r="P91" s="152"/>
      <c r="Q91" s="152"/>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outlineLevel="1">
      <c r="A92" s="9"/>
      <c r="B92" s="46"/>
      <c r="C92" s="129">
        <f>Asset17</f>
        <v>0</v>
      </c>
      <c r="D92" s="9"/>
      <c r="E92" s="9"/>
      <c r="F92" s="141"/>
      <c r="G92" s="578">
        <f t="shared" si="0"/>
        <v>0</v>
      </c>
      <c r="H92" s="117"/>
      <c r="I92" s="117"/>
      <c r="J92" s="117"/>
      <c r="K92" s="117"/>
      <c r="L92" s="117"/>
      <c r="M92" s="151"/>
      <c r="N92" s="152"/>
      <c r="O92" s="152"/>
      <c r="P92" s="152"/>
      <c r="Q92" s="152"/>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outlineLevel="1">
      <c r="A93" s="9"/>
      <c r="B93" s="46"/>
      <c r="C93" s="129">
        <f>Asset18</f>
        <v>0</v>
      </c>
      <c r="D93" s="9"/>
      <c r="E93" s="9"/>
      <c r="F93" s="141"/>
      <c r="G93" s="578">
        <f t="shared" si="0"/>
        <v>0</v>
      </c>
      <c r="H93" s="117"/>
      <c r="I93" s="117"/>
      <c r="J93" s="117"/>
      <c r="K93" s="117"/>
      <c r="L93" s="117"/>
      <c r="M93" s="151"/>
      <c r="N93" s="152"/>
      <c r="O93" s="152"/>
      <c r="P93" s="152"/>
      <c r="Q93" s="152"/>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outlineLevel="1">
      <c r="A94" s="9"/>
      <c r="B94" s="46"/>
      <c r="C94" s="129">
        <f>Asset19</f>
        <v>0</v>
      </c>
      <c r="D94" s="9"/>
      <c r="E94" s="9"/>
      <c r="F94" s="141"/>
      <c r="G94" s="578">
        <f t="shared" si="0"/>
        <v>0</v>
      </c>
      <c r="H94" s="117"/>
      <c r="I94" s="117"/>
      <c r="J94" s="117"/>
      <c r="K94" s="117"/>
      <c r="L94" s="117"/>
      <c r="M94" s="151"/>
      <c r="N94" s="152"/>
      <c r="O94" s="152"/>
      <c r="P94" s="152"/>
      <c r="Q94" s="152"/>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outlineLevel="1">
      <c r="A95" s="9"/>
      <c r="B95" s="46"/>
      <c r="C95" s="129">
        <f>Asset20</f>
        <v>0</v>
      </c>
      <c r="D95" s="9"/>
      <c r="E95" s="9"/>
      <c r="F95" s="141"/>
      <c r="G95" s="578">
        <f t="shared" si="0"/>
        <v>0</v>
      </c>
      <c r="H95" s="117"/>
      <c r="I95" s="117"/>
      <c r="J95" s="117"/>
      <c r="K95" s="117"/>
      <c r="L95" s="117"/>
      <c r="M95" s="151"/>
      <c r="N95" s="152"/>
      <c r="O95" s="152"/>
      <c r="P95" s="152"/>
      <c r="Q95" s="152"/>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outlineLevel="1">
      <c r="A96" s="9"/>
      <c r="B96" s="46"/>
      <c r="C96" s="129">
        <f>Asset21</f>
        <v>0</v>
      </c>
      <c r="D96" s="9"/>
      <c r="E96" s="9"/>
      <c r="F96" s="141"/>
      <c r="G96" s="578">
        <f t="shared" si="0"/>
        <v>0</v>
      </c>
      <c r="H96" s="117"/>
      <c r="I96" s="117"/>
      <c r="J96" s="117"/>
      <c r="K96" s="117"/>
      <c r="L96" s="117"/>
      <c r="M96" s="151"/>
      <c r="N96" s="152"/>
      <c r="O96" s="152"/>
      <c r="P96" s="152"/>
      <c r="Q96" s="152"/>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outlineLevel="1">
      <c r="A97" s="9"/>
      <c r="B97" s="46"/>
      <c r="C97" s="129">
        <f>Asset22</f>
        <v>0</v>
      </c>
      <c r="D97" s="9"/>
      <c r="E97" s="9"/>
      <c r="F97" s="141"/>
      <c r="G97" s="578">
        <f t="shared" si="0"/>
        <v>0</v>
      </c>
      <c r="H97" s="117"/>
      <c r="I97" s="117"/>
      <c r="J97" s="117"/>
      <c r="K97" s="117"/>
      <c r="L97" s="117"/>
      <c r="M97" s="151"/>
      <c r="N97" s="152"/>
      <c r="O97" s="152"/>
      <c r="P97" s="152"/>
      <c r="Q97" s="152"/>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outlineLevel="1">
      <c r="A98" s="9"/>
      <c r="B98" s="46"/>
      <c r="C98" s="129">
        <f>Asset23</f>
        <v>0</v>
      </c>
      <c r="D98" s="9"/>
      <c r="E98" s="9"/>
      <c r="F98" s="141"/>
      <c r="G98" s="578">
        <f t="shared" si="0"/>
        <v>0</v>
      </c>
      <c r="H98" s="117"/>
      <c r="I98" s="117"/>
      <c r="J98" s="117"/>
      <c r="K98" s="117"/>
      <c r="L98" s="117"/>
      <c r="M98" s="151"/>
      <c r="N98" s="152"/>
      <c r="O98" s="152"/>
      <c r="P98" s="152"/>
      <c r="Q98" s="152"/>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outlineLevel="1">
      <c r="A99" s="9"/>
      <c r="B99" s="46"/>
      <c r="C99" s="129">
        <f>Asset24</f>
        <v>0</v>
      </c>
      <c r="D99" s="9"/>
      <c r="E99" s="9"/>
      <c r="F99" s="141"/>
      <c r="G99" s="578">
        <f t="shared" si="0"/>
        <v>0</v>
      </c>
      <c r="H99" s="117"/>
      <c r="I99" s="117"/>
      <c r="J99" s="117"/>
      <c r="K99" s="117"/>
      <c r="L99" s="117"/>
      <c r="M99" s="151"/>
      <c r="N99" s="152"/>
      <c r="O99" s="152"/>
      <c r="P99" s="152"/>
      <c r="Q99" s="152"/>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outlineLevel="1">
      <c r="A100" s="9"/>
      <c r="B100" s="46"/>
      <c r="C100" s="129">
        <f>Asset25</f>
        <v>0</v>
      </c>
      <c r="D100" s="9"/>
      <c r="E100" s="9"/>
      <c r="F100" s="141"/>
      <c r="G100" s="578">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outlineLevel="1">
      <c r="A101" s="9"/>
      <c r="B101" s="46"/>
      <c r="C101" s="129">
        <f>Asset26</f>
        <v>0</v>
      </c>
      <c r="D101" s="9"/>
      <c r="E101" s="9"/>
      <c r="F101" s="141"/>
      <c r="G101" s="578">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outlineLevel="1">
      <c r="A102" s="9"/>
      <c r="B102" s="46"/>
      <c r="C102" s="129">
        <f>Asset27</f>
        <v>0</v>
      </c>
      <c r="D102" s="9"/>
      <c r="E102" s="9"/>
      <c r="F102" s="141"/>
      <c r="G102" s="578">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outlineLevel="1">
      <c r="A103" s="9"/>
      <c r="B103" s="46"/>
      <c r="C103" s="129">
        <f>Asset28</f>
        <v>0</v>
      </c>
      <c r="D103" s="9"/>
      <c r="E103" s="9"/>
      <c r="F103" s="141"/>
      <c r="G103" s="578">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outlineLevel="1">
      <c r="A104" s="9"/>
      <c r="B104" s="46"/>
      <c r="C104" s="129">
        <f>Asset29</f>
        <v>0</v>
      </c>
      <c r="D104" s="9"/>
      <c r="E104" s="9"/>
      <c r="F104" s="141"/>
      <c r="G104" s="578">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outlineLevel="1">
      <c r="A105" s="9"/>
      <c r="B105" s="46"/>
      <c r="C105" s="129">
        <f>Asset30</f>
        <v>0</v>
      </c>
      <c r="D105" s="9"/>
      <c r="E105" s="9"/>
      <c r="F105" s="141"/>
      <c r="G105" s="578">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341" t="s">
        <v>59</v>
      </c>
      <c r="C107" s="9"/>
      <c r="D107" s="9"/>
      <c r="E107" s="9"/>
      <c r="F107" s="141"/>
      <c r="G107" s="194"/>
      <c r="H107" s="37">
        <f>SUM(H108,H110,H112,H114,H116,H118,H120,H122,H124,H126,H128,H130,H132,H134,H136,H138,H140,H142,H144,H146,H148,H150,H152,H154,H156,H158,H160,H162,H164,H166)</f>
        <v>3.6567351449868099E-2</v>
      </c>
      <c r="I107" s="37">
        <f>SUM(I108,I110,I112,I114,I116,I118,I120,I122,I124,I126,I128,I130,I132,I134,I136,I138,I140,I142,I144,I146,I148,I150,I152,I154,I156,I158,I160,I162,I164,I166)</f>
        <v>4.0015708127289655E-2</v>
      </c>
      <c r="J107" s="37">
        <f>SUM(J108,J110,J112,J114,J116,J118,J120,J122,J124,J126,J128,J130,J132,J134,J136,J138,J140,J142,J144,J146,J148,J150,J152,J154,J156,J158,J160,J162,J164,J166)</f>
        <v>4.376569704028118E-2</v>
      </c>
      <c r="K107" s="37">
        <f>SUM(K108,K110,K112,K114,K116,K118,K120,K122,K124,K126,K128,K130,K132,K134,K136,K138,K140,K142,K144,K146,K148,K150,K152,K154,K156,K158,K160,K162,K164,K166)</f>
        <v>4.1414458820085646E-2</v>
      </c>
      <c r="L107" s="37">
        <f>SUM(L108,L110,L112,L114,L116,L118,L120,L122,L124,L126,L128,L130,L132,L134,L136,L138,L140,L142,L144,L146,L148,L150,L152,L154,L156,L158,L160,L162,L164,L166)</f>
        <v>4.2533879928072837E-2</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outlineLevel="1">
      <c r="A108" s="9"/>
      <c r="B108" s="46"/>
      <c r="C108" s="129" t="str">
        <f>Asset1</f>
        <v>Mains &amp; Services</v>
      </c>
      <c r="D108" s="9"/>
      <c r="E108" s="9"/>
      <c r="F108" s="141"/>
      <c r="G108" s="193"/>
      <c r="H108" s="579">
        <f>($G76+(SUM($G108:G108)))*H$7</f>
        <v>2.8900703178084304E-2</v>
      </c>
      <c r="I108" s="579">
        <f>($G76+(SUM($G108:H108)))*I$7</f>
        <v>3.1626083300922953E-2</v>
      </c>
      <c r="J108" s="579">
        <f>($G76+(SUM($G108:I108)))*J$7</f>
        <v>3.4589855961462912E-2</v>
      </c>
      <c r="K108" s="579">
        <f>($G76+(SUM($G108:J108)))*K$7</f>
        <v>3.2731574319271851E-2</v>
      </c>
      <c r="L108" s="579">
        <f>($G76+(SUM($G108:K108)))*L$7</f>
        <v>3.3616299515122391E-2</v>
      </c>
      <c r="M108" s="111"/>
      <c r="N108" s="111"/>
      <c r="O108" s="111"/>
      <c r="P108" s="111"/>
      <c r="Q108" s="111"/>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outlineLevel="1">
      <c r="A109" s="9"/>
      <c r="B109" s="46"/>
      <c r="C109" s="154" t="s">
        <v>29</v>
      </c>
      <c r="D109" s="9"/>
      <c r="E109" s="9"/>
      <c r="F109" s="141"/>
      <c r="G109" s="193"/>
      <c r="H109" s="111"/>
      <c r="I109" s="111"/>
      <c r="J109" s="111"/>
      <c r="K109" s="111"/>
      <c r="L109" s="111">
        <f>IF(M108=0, SUM($G108:L108), 0)</f>
        <v>0.16146451627486441</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outlineLevel="1">
      <c r="A110" s="9"/>
      <c r="B110" s="46"/>
      <c r="C110" s="129" t="str">
        <f>Asset2</f>
        <v>Meters</v>
      </c>
      <c r="D110" s="9"/>
      <c r="E110" s="9"/>
      <c r="F110" s="141"/>
      <c r="G110" s="193"/>
      <c r="H110" s="579">
        <f>($G77+(SUM($G110:G110)))*H$7</f>
        <v>7.8907419767662336E-3</v>
      </c>
      <c r="I110" s="579">
        <f>($G77+(SUM($G110:H110)))*I$7</f>
        <v>8.6348509074525622E-3</v>
      </c>
      <c r="J110" s="579">
        <f>($G77+(SUM($G110:I110)))*J$7</f>
        <v>9.4440480123814431E-3</v>
      </c>
      <c r="K110" s="579">
        <f>($G77+(SUM($G110:J110)))*K$7</f>
        <v>8.9366824694623939E-3</v>
      </c>
      <c r="L110" s="579">
        <f>($G77+(SUM($G110:K110)))*L$7</f>
        <v>9.1782384689058413E-3</v>
      </c>
      <c r="M110" s="111"/>
      <c r="N110" s="111"/>
      <c r="O110" s="111"/>
      <c r="P110" s="111"/>
      <c r="Q110" s="111"/>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outlineLevel="1">
      <c r="A111" s="9"/>
      <c r="B111" s="46"/>
      <c r="C111" s="154" t="s">
        <v>29</v>
      </c>
      <c r="D111" s="9"/>
      <c r="E111" s="9"/>
      <c r="F111" s="141"/>
      <c r="G111" s="193"/>
      <c r="H111" s="111"/>
      <c r="I111" s="111"/>
      <c r="J111" s="111"/>
      <c r="K111" s="111"/>
      <c r="L111" s="111">
        <f>IF(M110=0, SUM($G110:L110), 0)</f>
        <v>4.4084561834968471E-2</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outlineLevel="1">
      <c r="A112" s="9"/>
      <c r="B112" s="46"/>
      <c r="C112" s="129" t="str">
        <f>Asset3</f>
        <v>Buildings</v>
      </c>
      <c r="D112" s="9"/>
      <c r="E112" s="9"/>
      <c r="F112" s="141"/>
      <c r="G112" s="193"/>
      <c r="H112" s="579">
        <f>($G78+(SUM($G112:G112)))*H$7</f>
        <v>0</v>
      </c>
      <c r="I112" s="579">
        <f>($G78+(SUM($G112:H112)))*I$7</f>
        <v>0</v>
      </c>
      <c r="J112" s="579">
        <f>($G78+(SUM($G112:I112)))*J$7</f>
        <v>0</v>
      </c>
      <c r="K112" s="579">
        <f>($G78+(SUM($G112:J112)))*K$7</f>
        <v>0</v>
      </c>
      <c r="L112" s="579">
        <f>($G78+(SUM($G112:K112)))*L$7</f>
        <v>0</v>
      </c>
      <c r="M112" s="579"/>
      <c r="N112" s="579"/>
      <c r="O112" s="579"/>
      <c r="P112" s="579"/>
      <c r="Q112" s="579"/>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outlineLevel="1">
      <c r="A114" s="9"/>
      <c r="B114" s="46"/>
      <c r="C114" s="129" t="str">
        <f>Asset4</f>
        <v>SCADA</v>
      </c>
      <c r="D114" s="9"/>
      <c r="E114" s="9"/>
      <c r="F114" s="141"/>
      <c r="G114" s="193"/>
      <c r="H114" s="579">
        <f>($G79+(SUM($G114:G114)))*H$7</f>
        <v>1.3739536751551907E-3</v>
      </c>
      <c r="I114" s="579">
        <f>($G79+(SUM($G114:H114)))*I$7</f>
        <v>1.5035195896208496E-3</v>
      </c>
      <c r="J114" s="579">
        <f>($G79+(SUM($G114:I114)))*J$7</f>
        <v>1.644418802840037E-3</v>
      </c>
      <c r="K114" s="579">
        <f>($G79+(SUM($G114:J114)))*K$7</f>
        <v>1.5560751775645823E-3</v>
      </c>
      <c r="L114" s="579">
        <f>($G79+(SUM($G114:K114)))*L$7</f>
        <v>1.5981354494842988E-3</v>
      </c>
      <c r="M114" s="111"/>
      <c r="N114" s="111"/>
      <c r="O114" s="111"/>
      <c r="P114" s="111"/>
      <c r="Q114" s="111"/>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outlineLevel="1">
      <c r="A115" s="9"/>
      <c r="B115" s="46"/>
      <c r="C115" s="154" t="s">
        <v>29</v>
      </c>
      <c r="D115" s="9"/>
      <c r="E115" s="9"/>
      <c r="F115" s="141"/>
      <c r="G115" s="193"/>
      <c r="H115" s="111"/>
      <c r="I115" s="111"/>
      <c r="J115" s="111"/>
      <c r="K115" s="111"/>
      <c r="L115" s="111">
        <f>IF(M114=0, SUM($G114:L114), 0)</f>
        <v>7.6761026946649581E-3</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outlineLevel="1">
      <c r="A116" s="9"/>
      <c r="B116" s="46"/>
      <c r="C116" s="129" t="str">
        <f>Asset5</f>
        <v>Computer Equipment</v>
      </c>
      <c r="D116" s="9"/>
      <c r="E116" s="9"/>
      <c r="F116" s="141"/>
      <c r="G116" s="193"/>
      <c r="H116" s="579">
        <f>($G80+(SUM($G116:G116)))*H$7</f>
        <v>0</v>
      </c>
      <c r="I116" s="579">
        <f>($G80+(SUM($G116:H116)))*I$7</f>
        <v>0</v>
      </c>
      <c r="J116" s="579">
        <f>($G80+(SUM($G116:I116)))*J$7</f>
        <v>0</v>
      </c>
      <c r="K116" s="579">
        <f>($G80+(SUM($G116:J116)))*K$7</f>
        <v>0</v>
      </c>
      <c r="L116" s="579">
        <f>($G80+(SUM($G116:K116)))*L$7</f>
        <v>0</v>
      </c>
      <c r="M116" s="111"/>
      <c r="N116" s="111"/>
      <c r="O116" s="111"/>
      <c r="P116" s="111"/>
      <c r="Q116" s="111"/>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outlineLevel="1">
      <c r="A117" s="9"/>
      <c r="B117" s="46"/>
      <c r="C117" s="154" t="s">
        <v>29</v>
      </c>
      <c r="D117" s="9"/>
      <c r="E117" s="9"/>
      <c r="F117" s="141"/>
      <c r="G117" s="193"/>
      <c r="H117" s="111"/>
      <c r="I117" s="111"/>
      <c r="J117" s="111"/>
      <c r="K117" s="111"/>
      <c r="L117" s="111">
        <f>IF(M116=0, SUM($G116:L116), 0)</f>
        <v>0</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outlineLevel="1">
      <c r="A118" s="9"/>
      <c r="B118" s="46"/>
      <c r="C118" s="129" t="str">
        <f>Asset6</f>
        <v>Other Assets</v>
      </c>
      <c r="D118" s="9"/>
      <c r="E118" s="9"/>
      <c r="F118" s="141"/>
      <c r="G118" s="193"/>
      <c r="H118" s="579">
        <f>($G81+(SUM($G118:G118)))*H$7</f>
        <v>-1.5980473801376367E-3</v>
      </c>
      <c r="I118" s="588">
        <f>($G81+(SUM($G118:H118)))*I$7</f>
        <v>-1.7487456707067103E-3</v>
      </c>
      <c r="J118" s="588">
        <f>($G81+(SUM($G118:I118)))*J$7</f>
        <v>-1.9126257364032078E-3</v>
      </c>
      <c r="K118" s="588">
        <f>($G81+(SUM($G118:J118)))*K$7</f>
        <v>-1.8098731462131818E-3</v>
      </c>
      <c r="L118" s="588">
        <f>($G81+(SUM($G118:K118)))*L$7</f>
        <v>-1.8587935054396947E-3</v>
      </c>
      <c r="M118" s="111"/>
      <c r="N118" s="111"/>
      <c r="O118" s="111"/>
      <c r="P118" s="111"/>
      <c r="Q118" s="111"/>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outlineLevel="1">
      <c r="A119" s="9"/>
      <c r="B119" s="46"/>
      <c r="C119" s="154" t="s">
        <v>29</v>
      </c>
      <c r="D119" s="9"/>
      <c r="E119" s="9"/>
      <c r="F119" s="141"/>
      <c r="G119" s="193"/>
      <c r="H119" s="111"/>
      <c r="I119" s="111"/>
      <c r="J119" s="111"/>
      <c r="K119" s="111"/>
      <c r="L119" s="111">
        <f>IF(M118=0, SUM($G118:L118), 0)</f>
        <v>-8.9280854389004304E-3</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 r="A168" s="9"/>
      <c r="B168" s="184" t="s">
        <v>42</v>
      </c>
      <c r="D168" s="9"/>
      <c r="E168" s="9"/>
      <c r="F168" s="141"/>
      <c r="G168" s="195"/>
      <c r="H168" s="117"/>
      <c r="I168" s="117"/>
      <c r="J168" s="117"/>
      <c r="K168" s="117"/>
      <c r="L168" s="117">
        <f>IF(M107=0, SUM($G107:L107), 0)</f>
        <v>0.20429709536559743</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6" t="s">
        <v>44</v>
      </c>
      <c r="C333" s="9"/>
      <c r="D333" s="9"/>
      <c r="E333" s="9"/>
      <c r="F333" s="9"/>
      <c r="G333" s="192">
        <f>SUM(G334:G363)</f>
        <v>34.254528819693356</v>
      </c>
      <c r="H333" s="140">
        <f>SUM(H334:H363)</f>
        <v>34.832491213332318</v>
      </c>
      <c r="I333" s="111"/>
      <c r="J333" s="111"/>
      <c r="K333" s="111"/>
      <c r="L333" s="111"/>
      <c r="M333" s="111"/>
      <c r="N333" s="111"/>
      <c r="O333" s="106"/>
      <c r="P333" s="106"/>
      <c r="Q333" s="106"/>
      <c r="R333" s="106"/>
      <c r="S333" s="100"/>
      <c r="T333" s="106"/>
      <c r="U333" s="106"/>
      <c r="V333" s="106"/>
      <c r="W333" s="106"/>
      <c r="X333" s="106"/>
      <c r="Y333" s="106"/>
      <c r="Z333" s="106"/>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customHeight="1" outlineLevel="1">
      <c r="A334" s="9"/>
      <c r="B334" s="9"/>
      <c r="C334" s="129" t="str">
        <f>Asset1</f>
        <v>Mains &amp; Services</v>
      </c>
      <c r="D334" s="9"/>
      <c r="E334" s="9"/>
      <c r="F334" s="9"/>
      <c r="G334" s="193">
        <f>Input!J7</f>
        <v>29.489119193165411</v>
      </c>
      <c r="H334" s="111">
        <f t="shared" ref="H334:H363" si="5">G334+G366+G398+G430+G462+G494</f>
        <v>30.137140599109127</v>
      </c>
      <c r="I334" s="111"/>
      <c r="J334" s="111"/>
      <c r="K334" s="111"/>
      <c r="L334" s="111"/>
      <c r="M334" s="111"/>
      <c r="N334" s="111"/>
      <c r="O334" s="106"/>
      <c r="P334" s="106"/>
      <c r="Q334" s="106"/>
      <c r="R334" s="106"/>
      <c r="S334" s="100"/>
      <c r="T334" s="106"/>
      <c r="U334" s="106"/>
      <c r="V334" s="106"/>
      <c r="W334" s="106"/>
      <c r="X334" s="106"/>
      <c r="Y334" s="106"/>
      <c r="Z334" s="106"/>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customHeight="1" outlineLevel="1">
      <c r="A335" s="9"/>
      <c r="B335" s="46"/>
      <c r="C335" s="129" t="str">
        <f>Asset2</f>
        <v>Meters</v>
      </c>
      <c r="D335" s="9"/>
      <c r="E335" s="9"/>
      <c r="F335" s="141"/>
      <c r="G335" s="193">
        <f>Input!J8</f>
        <v>4.8090830037058794</v>
      </c>
      <c r="H335" s="111">
        <f t="shared" si="5"/>
        <v>4.7149649844444141</v>
      </c>
      <c r="I335" s="111"/>
      <c r="J335" s="111"/>
      <c r="K335" s="111"/>
      <c r="L335" s="111"/>
      <c r="M335" s="111"/>
      <c r="N335" s="111"/>
      <c r="O335" s="106"/>
      <c r="P335" s="106"/>
      <c r="Q335" s="106"/>
      <c r="R335" s="106"/>
      <c r="S335" s="100"/>
      <c r="T335" s="106"/>
      <c r="U335" s="106"/>
      <c r="V335" s="106"/>
      <c r="W335" s="106"/>
      <c r="X335" s="106"/>
      <c r="Y335" s="106"/>
      <c r="Z335" s="106"/>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customHeight="1" outlineLevel="1">
      <c r="A336" s="9"/>
      <c r="B336" s="46"/>
      <c r="C336" s="129" t="str">
        <f>Asset3</f>
        <v>Buildings</v>
      </c>
      <c r="D336" s="9"/>
      <c r="E336" s="9"/>
      <c r="F336" s="141"/>
      <c r="G336" s="193">
        <f>Input!J9</f>
        <v>1.1097264938681386E-5</v>
      </c>
      <c r="H336" s="111">
        <f t="shared" si="5"/>
        <v>1.1487878418923489E-5</v>
      </c>
      <c r="I336" s="111"/>
      <c r="J336" s="111"/>
      <c r="K336" s="111"/>
      <c r="L336" s="111"/>
      <c r="M336" s="111"/>
      <c r="N336" s="111"/>
      <c r="O336" s="106"/>
      <c r="P336" s="106"/>
      <c r="Q336" s="106"/>
      <c r="R336" s="106"/>
      <c r="S336" s="100"/>
      <c r="T336" s="106"/>
      <c r="U336" s="106"/>
      <c r="V336" s="106"/>
      <c r="W336" s="106"/>
      <c r="X336" s="106"/>
      <c r="Y336" s="106"/>
      <c r="Z336" s="106"/>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customHeight="1" outlineLevel="1">
      <c r="A337" s="9"/>
      <c r="B337" s="46"/>
      <c r="C337" s="129" t="str">
        <f>Asset4</f>
        <v>SCADA</v>
      </c>
      <c r="D337" s="9"/>
      <c r="E337" s="9"/>
      <c r="F337" s="141"/>
      <c r="G337" s="193">
        <f>Input!J10</f>
        <v>0</v>
      </c>
      <c r="H337" s="111">
        <f t="shared" si="5"/>
        <v>0</v>
      </c>
      <c r="I337" s="111"/>
      <c r="J337" s="111"/>
      <c r="K337" s="111"/>
      <c r="L337" s="111"/>
      <c r="M337" s="111"/>
      <c r="N337" s="111"/>
      <c r="O337" s="106"/>
      <c r="P337" s="106"/>
      <c r="Q337" s="106"/>
      <c r="R337" s="106"/>
      <c r="S337" s="100"/>
      <c r="T337" s="106"/>
      <c r="U337" s="106"/>
      <c r="V337" s="106"/>
      <c r="W337" s="106"/>
      <c r="X337" s="106"/>
      <c r="Y337" s="106"/>
      <c r="Z337" s="106"/>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customHeight="1" outlineLevel="1">
      <c r="A338" s="9"/>
      <c r="B338" s="46"/>
      <c r="C338" s="129" t="str">
        <f>Asset5</f>
        <v>Computer Equipment</v>
      </c>
      <c r="D338" s="9"/>
      <c r="E338" s="9"/>
      <c r="F338" s="141"/>
      <c r="G338" s="193">
        <f>Input!J11</f>
        <v>0</v>
      </c>
      <c r="H338" s="111">
        <f t="shared" si="5"/>
        <v>0</v>
      </c>
      <c r="I338" s="111"/>
      <c r="J338" s="111"/>
      <c r="K338" s="111"/>
      <c r="L338" s="111"/>
      <c r="M338" s="111"/>
      <c r="N338" s="111"/>
      <c r="O338" s="106"/>
      <c r="P338" s="106"/>
      <c r="Q338" s="106"/>
      <c r="R338" s="106"/>
      <c r="S338" s="100"/>
      <c r="T338" s="106"/>
      <c r="U338" s="106"/>
      <c r="V338" s="106"/>
      <c r="W338" s="106"/>
      <c r="X338" s="106"/>
      <c r="Y338" s="106"/>
      <c r="Z338" s="106"/>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customHeight="1" outlineLevel="1">
      <c r="A339" s="9"/>
      <c r="B339" s="46"/>
      <c r="C339" s="129" t="str">
        <f>Asset6</f>
        <v>Other Assets</v>
      </c>
      <c r="D339" s="9"/>
      <c r="E339" s="9"/>
      <c r="F339" s="141"/>
      <c r="G339" s="193">
        <f>Input!J12</f>
        <v>-4.3684474442873156E-2</v>
      </c>
      <c r="H339" s="111">
        <f t="shared" si="5"/>
        <v>-1.9625858099635376E-2</v>
      </c>
      <c r="I339" s="111"/>
      <c r="J339" s="111"/>
      <c r="K339" s="111"/>
      <c r="L339" s="111"/>
      <c r="M339" s="111"/>
      <c r="N339" s="111"/>
      <c r="O339" s="106"/>
      <c r="P339" s="106"/>
      <c r="Q339" s="106"/>
      <c r="R339" s="106"/>
      <c r="S339" s="100"/>
      <c r="T339" s="106"/>
      <c r="U339" s="106"/>
      <c r="V339" s="106"/>
      <c r="W339" s="106"/>
      <c r="X339" s="106"/>
      <c r="Y339" s="106"/>
      <c r="Z339" s="106"/>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6" t="s">
        <v>43</v>
      </c>
      <c r="C365" s="9"/>
      <c r="D365" s="9"/>
      <c r="E365" s="9"/>
      <c r="F365" s="9"/>
      <c r="G365" s="194">
        <f>SUM(G366:G395)</f>
        <v>0.84770619546925075</v>
      </c>
      <c r="H365" s="120"/>
      <c r="I365" s="120"/>
      <c r="J365" s="120"/>
      <c r="K365" s="120"/>
      <c r="L365" s="120"/>
      <c r="M365" s="106"/>
      <c r="N365" s="106"/>
      <c r="O365" s="106"/>
      <c r="P365" s="106"/>
      <c r="Q365" s="106"/>
      <c r="R365" s="106"/>
      <c r="S365" s="100"/>
      <c r="T365" s="106"/>
      <c r="U365" s="106"/>
      <c r="V365" s="106"/>
      <c r="W365" s="106"/>
      <c r="X365" s="106"/>
      <c r="Y365" s="106"/>
      <c r="Z365" s="106"/>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outlineLevel="1">
      <c r="A366" s="9"/>
      <c r="B366" s="46"/>
      <c r="C366" s="129" t="str">
        <f>Asset1</f>
        <v>Mains &amp; Services</v>
      </c>
      <c r="D366" s="9"/>
      <c r="E366" s="9"/>
      <c r="F366" s="9"/>
      <c r="G366" s="196">
        <f>Input!M7</f>
        <v>0.54630600280508135</v>
      </c>
      <c r="H366" s="120"/>
      <c r="I366" s="120"/>
      <c r="J366" s="120"/>
      <c r="K366" s="120"/>
      <c r="L366" s="120"/>
      <c r="M366" s="106"/>
      <c r="N366" s="106"/>
      <c r="O366" s="106"/>
      <c r="P366" s="106"/>
      <c r="Q366" s="106"/>
      <c r="R366" s="106"/>
      <c r="S366" s="100"/>
      <c r="T366" s="106"/>
      <c r="U366" s="106"/>
      <c r="V366" s="106"/>
      <c r="W366" s="106"/>
      <c r="X366" s="106"/>
      <c r="Y366" s="106"/>
      <c r="Z366" s="106"/>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outlineLevel="1">
      <c r="A367" s="9"/>
      <c r="B367" s="46"/>
      <c r="C367" s="129" t="str">
        <f>Asset2</f>
        <v>Meters</v>
      </c>
      <c r="D367" s="9"/>
      <c r="E367" s="9"/>
      <c r="F367" s="9"/>
      <c r="G367" s="196">
        <f>Input!M8</f>
        <v>0.27813816558080157</v>
      </c>
      <c r="H367" s="120"/>
      <c r="I367" s="120"/>
      <c r="J367" s="120"/>
      <c r="K367" s="120"/>
      <c r="L367" s="120"/>
      <c r="M367" s="106"/>
      <c r="N367" s="106"/>
      <c r="O367" s="106"/>
      <c r="P367" s="106"/>
      <c r="Q367" s="106"/>
      <c r="R367" s="106"/>
      <c r="S367" s="100"/>
      <c r="T367" s="106"/>
      <c r="U367" s="106"/>
      <c r="V367" s="106"/>
      <c r="W367" s="106"/>
      <c r="X367" s="106"/>
      <c r="Y367" s="106"/>
      <c r="Z367" s="106"/>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outlineLevel="1">
      <c r="A369" s="9"/>
      <c r="B369" s="46"/>
      <c r="C369" s="129" t="str">
        <f>Asset4</f>
        <v>SCADA</v>
      </c>
      <c r="D369" s="9"/>
      <c r="E369" s="9"/>
      <c r="F369" s="9"/>
      <c r="G369" s="196">
        <f>Input!M10</f>
        <v>0</v>
      </c>
      <c r="H369" s="120"/>
      <c r="I369" s="120"/>
      <c r="J369" s="120"/>
      <c r="K369" s="120"/>
      <c r="L369" s="120"/>
      <c r="M369" s="106"/>
      <c r="N369" s="106"/>
      <c r="O369" s="106"/>
      <c r="P369" s="106"/>
      <c r="Q369" s="106"/>
      <c r="R369" s="106"/>
      <c r="S369" s="100"/>
      <c r="T369" s="106"/>
      <c r="U369" s="106"/>
      <c r="V369" s="106"/>
      <c r="W369" s="106"/>
      <c r="X369" s="106"/>
      <c r="Y369" s="106"/>
      <c r="Z369" s="106"/>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outlineLevel="1">
      <c r="A370" s="9"/>
      <c r="B370" s="46"/>
      <c r="C370" s="129" t="str">
        <f>Asset5</f>
        <v>Computer Equipment</v>
      </c>
      <c r="D370" s="9"/>
      <c r="E370" s="9"/>
      <c r="F370" s="9"/>
      <c r="G370" s="196">
        <f>Input!M11</f>
        <v>0</v>
      </c>
      <c r="H370" s="120"/>
      <c r="I370" s="120"/>
      <c r="J370" s="120"/>
      <c r="K370" s="120"/>
      <c r="L370" s="120"/>
      <c r="M370" s="106"/>
      <c r="N370" s="106"/>
      <c r="O370" s="106"/>
      <c r="P370" s="106"/>
      <c r="Q370" s="106"/>
      <c r="R370" s="106"/>
      <c r="S370" s="100"/>
      <c r="T370" s="106"/>
      <c r="U370" s="106"/>
      <c r="V370" s="106"/>
      <c r="W370" s="106"/>
      <c r="X370" s="106"/>
      <c r="Y370" s="106"/>
      <c r="Z370" s="106"/>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outlineLevel="1">
      <c r="A371" s="9"/>
      <c r="B371" s="46"/>
      <c r="C371" s="129" t="str">
        <f>Asset6</f>
        <v>Other Assets</v>
      </c>
      <c r="D371" s="9"/>
      <c r="E371" s="9"/>
      <c r="F371" s="9"/>
      <c r="G371" s="196">
        <f>Input!M12</f>
        <v>2.3262027083367776E-2</v>
      </c>
      <c r="H371" s="120"/>
      <c r="I371" s="120"/>
      <c r="J371" s="120"/>
      <c r="K371" s="120"/>
      <c r="L371" s="120"/>
      <c r="M371" s="106"/>
      <c r="N371" s="106"/>
      <c r="O371" s="106"/>
      <c r="P371" s="106"/>
      <c r="Q371" s="106"/>
      <c r="R371" s="106"/>
      <c r="S371" s="100"/>
      <c r="T371" s="106"/>
      <c r="U371" s="106"/>
      <c r="V371" s="106"/>
      <c r="W371" s="106"/>
      <c r="X371" s="106"/>
      <c r="Y371" s="106"/>
      <c r="Z371" s="106"/>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9" t="s">
        <v>72</v>
      </c>
      <c r="C397" s="12"/>
      <c r="D397" s="9"/>
      <c r="E397" s="9"/>
      <c r="F397" s="9"/>
      <c r="G397" s="194">
        <f>SUM(G398:G427)</f>
        <v>-0.2697438018302809</v>
      </c>
      <c r="H397" s="120"/>
      <c r="I397" s="120"/>
      <c r="J397" s="120"/>
      <c r="K397" s="120"/>
      <c r="L397" s="120"/>
      <c r="M397" s="106"/>
      <c r="N397" s="106"/>
      <c r="O397" s="106"/>
      <c r="P397" s="106"/>
      <c r="Q397" s="106"/>
      <c r="R397" s="106"/>
      <c r="S397" s="106"/>
      <c r="T397" s="106"/>
      <c r="U397" s="106"/>
      <c r="V397" s="106"/>
      <c r="W397" s="106"/>
      <c r="X397" s="106"/>
      <c r="Y397" s="106"/>
      <c r="Z397" s="106"/>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customHeight="1" outlineLevel="1">
      <c r="A398" s="9"/>
      <c r="B398" s="46"/>
      <c r="C398" s="129" t="str">
        <f>Asset1</f>
        <v>Mains &amp; Services</v>
      </c>
      <c r="D398" s="9"/>
      <c r="E398" s="9"/>
      <c r="F398" s="28"/>
      <c r="G398" s="196">
        <f>-Input!N7</f>
        <v>0.10171540313863559</v>
      </c>
      <c r="H398" s="120"/>
      <c r="I398" s="120"/>
      <c r="J398" s="120"/>
      <c r="K398" s="120"/>
      <c r="L398" s="120"/>
      <c r="M398" s="106"/>
      <c r="N398" s="106"/>
      <c r="O398" s="106"/>
      <c r="P398" s="106"/>
      <c r="Q398" s="106"/>
      <c r="R398" s="106"/>
      <c r="S398" s="106"/>
      <c r="T398" s="106"/>
      <c r="U398" s="106"/>
      <c r="V398" s="106"/>
      <c r="W398" s="106"/>
      <c r="X398" s="106"/>
      <c r="Y398" s="106"/>
      <c r="Z398" s="106"/>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customHeight="1" outlineLevel="1">
      <c r="A399" s="9"/>
      <c r="B399" s="46"/>
      <c r="C399" s="129" t="str">
        <f>Asset2</f>
        <v>Meters</v>
      </c>
      <c r="D399" s="9"/>
      <c r="E399" s="9"/>
      <c r="F399" s="28"/>
      <c r="G399" s="196">
        <f>-Input!N8</f>
        <v>-0.37225618484226675</v>
      </c>
      <c r="H399" s="120"/>
      <c r="I399" s="120"/>
      <c r="J399" s="120"/>
      <c r="K399" s="120"/>
      <c r="L399" s="120"/>
      <c r="M399" s="106"/>
      <c r="N399" s="106"/>
      <c r="O399" s="106"/>
      <c r="P399" s="106"/>
      <c r="Q399" s="106"/>
      <c r="R399" s="106"/>
      <c r="S399" s="106"/>
      <c r="T399" s="106"/>
      <c r="U399" s="106"/>
      <c r="V399" s="106"/>
      <c r="W399" s="106"/>
      <c r="X399" s="106"/>
      <c r="Y399" s="106"/>
      <c r="Z399" s="106"/>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customHeight="1" outlineLevel="1">
      <c r="A400" s="9"/>
      <c r="B400" s="46"/>
      <c r="C400" s="129" t="str">
        <f>Asset3</f>
        <v>Buildings</v>
      </c>
      <c r="D400" s="9"/>
      <c r="E400" s="9"/>
      <c r="F400" s="28"/>
      <c r="G400" s="196">
        <f>-Input!N9</f>
        <v>3.9061348024210224E-7</v>
      </c>
      <c r="H400" s="120"/>
      <c r="I400" s="120"/>
      <c r="J400" s="120"/>
      <c r="K400" s="120"/>
      <c r="L400" s="120"/>
      <c r="M400" s="106"/>
      <c r="N400" s="106"/>
      <c r="O400" s="106"/>
      <c r="P400" s="106"/>
      <c r="Q400" s="106"/>
      <c r="R400" s="106"/>
      <c r="S400" s="106"/>
      <c r="T400" s="106"/>
      <c r="U400" s="106"/>
      <c r="V400" s="106"/>
      <c r="W400" s="106"/>
      <c r="X400" s="106"/>
      <c r="Y400" s="106"/>
      <c r="Z400" s="106"/>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customHeight="1" outlineLevel="1">
      <c r="A401" s="9"/>
      <c r="B401" s="46"/>
      <c r="C401" s="129" t="str">
        <f>Asset4</f>
        <v>SCADA</v>
      </c>
      <c r="D401" s="9"/>
      <c r="E401" s="9"/>
      <c r="F401" s="28"/>
      <c r="G401" s="196">
        <f>-Input!N10</f>
        <v>0</v>
      </c>
      <c r="H401" s="120"/>
      <c r="I401" s="120"/>
      <c r="J401" s="120"/>
      <c r="K401" s="120"/>
      <c r="L401" s="120"/>
      <c r="M401" s="106"/>
      <c r="N401" s="106"/>
      <c r="O401" s="106"/>
      <c r="P401" s="106"/>
      <c r="Q401" s="106"/>
      <c r="R401" s="106"/>
      <c r="S401" s="106"/>
      <c r="T401" s="106"/>
      <c r="U401" s="106"/>
      <c r="V401" s="106"/>
      <c r="W401" s="106"/>
      <c r="X401" s="106"/>
      <c r="Y401" s="106"/>
      <c r="Z401" s="106"/>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customHeight="1" outlineLevel="1">
      <c r="A402" s="9"/>
      <c r="B402" s="46"/>
      <c r="C402" s="129" t="str">
        <f>Asset5</f>
        <v>Computer Equipment</v>
      </c>
      <c r="D402" s="9"/>
      <c r="E402" s="9"/>
      <c r="F402" s="28"/>
      <c r="G402" s="196">
        <f>-Input!N11</f>
        <v>0</v>
      </c>
      <c r="H402" s="120"/>
      <c r="I402" s="120"/>
      <c r="J402" s="120"/>
      <c r="K402" s="120"/>
      <c r="L402" s="120"/>
      <c r="M402" s="106"/>
      <c r="N402" s="106"/>
      <c r="O402" s="106"/>
      <c r="P402" s="106"/>
      <c r="Q402" s="106"/>
      <c r="R402" s="106"/>
      <c r="S402" s="106"/>
      <c r="T402" s="106"/>
      <c r="U402" s="106"/>
      <c r="V402" s="106"/>
      <c r="W402" s="106"/>
      <c r="X402" s="106"/>
      <c r="Y402" s="106"/>
      <c r="Z402" s="106"/>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customHeight="1" outlineLevel="1">
      <c r="A403" s="9"/>
      <c r="B403" s="46"/>
      <c r="C403" s="129" t="str">
        <f>Asset6</f>
        <v>Other Assets</v>
      </c>
      <c r="D403" s="9"/>
      <c r="E403" s="9"/>
      <c r="F403" s="28"/>
      <c r="G403" s="196">
        <f>-Input!N12</f>
        <v>7.9658925987000453E-4</v>
      </c>
      <c r="H403" s="120"/>
      <c r="I403" s="120"/>
      <c r="J403" s="120"/>
      <c r="K403" s="120"/>
      <c r="L403" s="120"/>
      <c r="M403" s="106"/>
      <c r="N403" s="106"/>
      <c r="O403" s="106"/>
      <c r="P403" s="106"/>
      <c r="Q403" s="106"/>
      <c r="R403" s="106"/>
      <c r="S403" s="106"/>
      <c r="T403" s="106"/>
      <c r="U403" s="106"/>
      <c r="V403" s="106"/>
      <c r="W403" s="106"/>
      <c r="X403" s="106"/>
      <c r="Y403" s="106"/>
      <c r="Z403" s="106"/>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1"/>
      <c r="BE1" s="51"/>
      <c r="BF1" s="51"/>
      <c r="BG1" s="51"/>
      <c r="BH1" s="51"/>
      <c r="BI1" s="51"/>
      <c r="BJ1" s="51"/>
      <c r="BK1" s="12"/>
      <c r="BL1" s="12"/>
    </row>
    <row r="2" spans="1:256" ht="15.75">
      <c r="A2" s="9"/>
      <c r="B2" s="9"/>
      <c r="C2" s="583" t="s">
        <v>227</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7"/>
      <c r="B3" s="57"/>
      <c r="C3" s="58"/>
      <c r="D3" s="57"/>
      <c r="E3" s="57"/>
      <c r="F3" s="57"/>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8"/>
      <c r="G6" s="198">
        <f>Input!G177</f>
        <v>3.5199076745527913E-2</v>
      </c>
      <c r="H6" s="21">
        <f>Input!H177</f>
        <v>2.0040080160320661E-2</v>
      </c>
      <c r="I6" s="21">
        <f>Input!I177</f>
        <v>2.16110019646365E-2</v>
      </c>
      <c r="J6" s="21">
        <f>Input!J177</f>
        <v>2.3076923076923217E-2</v>
      </c>
      <c r="K6" s="21">
        <f>Input!K177</f>
        <v>1.5037593984962294E-2</v>
      </c>
      <c r="L6" s="21">
        <f>Input!L177</f>
        <v>1.2962962962963065E-2</v>
      </c>
      <c r="M6" s="21">
        <f>Input!M177</f>
        <v>2.3900000000000001E-2</v>
      </c>
      <c r="N6" s="21">
        <f>Input!N177</f>
        <v>2.3900000000000001E-2</v>
      </c>
      <c r="O6" s="21">
        <f>Input!O177</f>
        <v>2.3900000000000001E-2</v>
      </c>
      <c r="P6" s="21">
        <f>Input!P177</f>
        <v>2.3900000000000001E-2</v>
      </c>
      <c r="Q6" s="21">
        <f>Input!Q177</f>
        <v>2.3900000000000001E-2</v>
      </c>
      <c r="R6" s="21"/>
      <c r="S6" s="85"/>
      <c r="T6" s="85"/>
      <c r="U6" s="85"/>
      <c r="V6" s="85"/>
      <c r="W6" s="85"/>
      <c r="X6" s="85"/>
      <c r="Y6" s="85"/>
      <c r="Z6" s="85"/>
      <c r="AA6" s="85"/>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5"/>
      <c r="BE6" s="85"/>
      <c r="BF6" s="85"/>
      <c r="BG6" s="85"/>
      <c r="BH6" s="85"/>
      <c r="BI6" s="85"/>
      <c r="BJ6" s="85"/>
      <c r="BK6" s="12"/>
      <c r="BL6" s="12"/>
    </row>
    <row r="7" spans="1:256">
      <c r="A7" s="9"/>
      <c r="B7" s="9"/>
      <c r="C7" s="9" t="s">
        <v>74</v>
      </c>
      <c r="D7" s="9"/>
      <c r="E7" s="9"/>
      <c r="F7" s="9"/>
      <c r="G7" s="199">
        <f>Input!G178</f>
        <v>1</v>
      </c>
      <c r="H7" s="238">
        <f>Input!H178</f>
        <v>1.0200400801603207</v>
      </c>
      <c r="I7" s="239">
        <f>Input!I178</f>
        <v>1.0420841683366733</v>
      </c>
      <c r="J7" s="239">
        <f>Input!J178</f>
        <v>1.0661322645290583</v>
      </c>
      <c r="K7" s="239">
        <f>Input!K178</f>
        <v>1.0821643286573146</v>
      </c>
      <c r="L7" s="239">
        <f>Input!L178</f>
        <v>1.0961923847695392</v>
      </c>
      <c r="M7" s="239">
        <f>Input!M178</f>
        <v>1.1223913827655312</v>
      </c>
      <c r="N7" s="239">
        <f>Input!N178</f>
        <v>1.1492165368136273</v>
      </c>
      <c r="O7" s="239">
        <f>Input!O178</f>
        <v>1.1766828120434731</v>
      </c>
      <c r="P7" s="239">
        <f>Input!P178</f>
        <v>1.2048055312513122</v>
      </c>
      <c r="Q7" s="239">
        <f>Input!Q178</f>
        <v>1.2336003834482185</v>
      </c>
      <c r="R7" s="22"/>
      <c r="S7" s="99"/>
      <c r="T7" s="99"/>
      <c r="U7" s="99"/>
      <c r="V7" s="99"/>
      <c r="W7" s="99"/>
      <c r="X7" s="99"/>
      <c r="Y7" s="99"/>
      <c r="Z7" s="99"/>
      <c r="AA7" s="99"/>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6" t="s">
        <v>33</v>
      </c>
      <c r="D11" s="9"/>
      <c r="E11" s="9"/>
      <c r="F11" s="9"/>
      <c r="G11" s="37"/>
      <c r="H11" s="37">
        <f>SUM(H12:H41)</f>
        <v>1.2092644150323024</v>
      </c>
      <c r="I11" s="37">
        <f t="shared" ref="I11:P11" si="2">SUM(I12:I41)</f>
        <v>1.0794862630100159</v>
      </c>
      <c r="J11" s="37">
        <f t="shared" si="2"/>
        <v>1.1906442560110935</v>
      </c>
      <c r="K11" s="37">
        <f t="shared" si="2"/>
        <v>1.6203922406533664</v>
      </c>
      <c r="L11" s="37">
        <f>SUM(L12:L41)</f>
        <v>2.01564778815517</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6"/>
      <c r="D12" s="129" t="str">
        <f>Asset1</f>
        <v>Mains &amp; Services</v>
      </c>
      <c r="E12" s="9"/>
      <c r="F12" s="9"/>
      <c r="G12" s="123"/>
      <c r="H12" s="111">
        <f>Input!H143*(1+vanilla1)^0.5</f>
        <v>0.89957626776621813</v>
      </c>
      <c r="I12" s="111">
        <f>Input!I143*(1+vanilla2)^0.5</f>
        <v>0.82039587440796224</v>
      </c>
      <c r="J12" s="111">
        <f>Input!J143*(1+vanilla3)^0.5</f>
        <v>0.93713223202002194</v>
      </c>
      <c r="K12" s="111">
        <f>Input!K143*(1+vanilla4)^0.5</f>
        <v>0.99763025648298809</v>
      </c>
      <c r="L12" s="111">
        <f>Input!L143*(1+vanilla5)^0.5</f>
        <v>1.1344730797477274</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6"/>
      <c r="D13" s="129" t="str">
        <f>Asset2</f>
        <v>Meters</v>
      </c>
      <c r="E13" s="9"/>
      <c r="F13" s="9"/>
      <c r="G13" s="123"/>
      <c r="H13" s="111">
        <f>Input!H144*(1+vanilla1)^0.5</f>
        <v>0.25034332264947678</v>
      </c>
      <c r="I13" s="111">
        <f>Input!I144*(1+vanilla2)^0.5</f>
        <v>0.19772831959759454</v>
      </c>
      <c r="J13" s="111">
        <f>Input!J144*(1+vanilla3)^0.5</f>
        <v>0.2030959174058371</v>
      </c>
      <c r="K13" s="111">
        <f>Input!K144*(1+vanilla4)^0.5</f>
        <v>0.49869278762549246</v>
      </c>
      <c r="L13" s="111">
        <f>Input!L144*(1+vanilla5)^0.5</f>
        <v>0.49246592804276818</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6"/>
      <c r="D14" s="129" t="str">
        <f>Asset3</f>
        <v>Buildings</v>
      </c>
      <c r="E14" s="9"/>
      <c r="F14" s="9"/>
      <c r="G14" s="123"/>
      <c r="H14" s="111">
        <f>Input!H145*(1+vanilla1)^0.5</f>
        <v>0</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6"/>
      <c r="D15" s="129" t="str">
        <f>Asset4</f>
        <v>SCADA</v>
      </c>
      <c r="E15" s="9"/>
      <c r="F15" s="9"/>
      <c r="G15" s="123"/>
      <c r="H15" s="111">
        <f>Input!H146*(1+vanilla1)^0.5</f>
        <v>0</v>
      </c>
      <c r="I15" s="111">
        <f>Input!I146*(1+vanilla2)^0.5</f>
        <v>0</v>
      </c>
      <c r="J15" s="111">
        <f>Input!J146*(1+vanilla3)^0.5</f>
        <v>0</v>
      </c>
      <c r="K15" s="111">
        <f>Input!K146*(1+vanilla4)^0.5</f>
        <v>0</v>
      </c>
      <c r="L15" s="111">
        <f>Input!L146*(1+vanilla5)^0.5</f>
        <v>0</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6"/>
      <c r="D16" s="129" t="str">
        <f>Asset5</f>
        <v>Computer Equipment</v>
      </c>
      <c r="E16" s="9"/>
      <c r="F16" s="9"/>
      <c r="G16" s="123"/>
      <c r="H16" s="111">
        <f>Input!H147*(1+vanilla1)^0.5</f>
        <v>0</v>
      </c>
      <c r="I16" s="111">
        <f>Input!I147*(1+vanilla2)^0.5</f>
        <v>0</v>
      </c>
      <c r="J16" s="111">
        <f>Input!J147*(1+vanilla3)^0.5</f>
        <v>0</v>
      </c>
      <c r="K16" s="111">
        <f>Input!K147*(1+vanilla4)^0.5</f>
        <v>4.1107802053040224E-2</v>
      </c>
      <c r="L16" s="111">
        <f>Input!L147*(1+vanilla5)^0.5</f>
        <v>0.27695189228548717</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6"/>
      <c r="D17" s="129" t="str">
        <f>Asset6</f>
        <v>Other Assets</v>
      </c>
      <c r="E17" s="9"/>
      <c r="F17" s="9"/>
      <c r="G17" s="123"/>
      <c r="H17" s="111">
        <f>Input!H148*(1+vanilla1)^0.5</f>
        <v>5.9344824616607436E-2</v>
      </c>
      <c r="I17" s="111">
        <f>Input!I148*(1+vanilla2)^0.5</f>
        <v>6.1362069004459278E-2</v>
      </c>
      <c r="J17" s="111">
        <f>Input!J148*(1+vanilla3)^0.5</f>
        <v>5.0416106585234398E-2</v>
      </c>
      <c r="K17" s="111">
        <f>Input!K148*(1+vanilla4)^0.5</f>
        <v>8.2961394491845641E-2</v>
      </c>
      <c r="L17" s="111">
        <f>Input!L148*(1+vanilla5)^0.5</f>
        <v>0.11175688807918707</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256" hidden="1"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256" hidden="1"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256" hidden="1"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256" hidden="1"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256" hidden="1"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256" hidden="1"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256" hidden="1"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256" hidden="1"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256" hidden="1"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256">
      <c r="A43" s="9"/>
      <c r="B43" s="9"/>
      <c r="C43" s="324" t="s">
        <v>118</v>
      </c>
      <c r="D43" s="325"/>
      <c r="E43" s="9"/>
      <c r="F43" s="9"/>
      <c r="G43" s="117"/>
      <c r="H43" s="117">
        <f>H56+H69+H82+H95+H108+H121+H134+H147+H160+H173+H186+H199+H212+H225+H238+H251+H264+H277+H290+H303+H316+H329+H342+H355+H368+H381+H394+H407+H420+H433</f>
        <v>-1.3789434575966182</v>
      </c>
      <c r="I43" s="117">
        <f t="shared" ref="I43:Q43" si="3">I56+I69+I82+I95+I108+I121+I134+I147+I160+I173+I186+I199+I212+I225+I238+I251+I264+I277+I290+I303+I316+I329+I342+I355+I368+I381+I394+I407+I420+I433</f>
        <v>-1.4643763949700559</v>
      </c>
      <c r="J43" s="117">
        <f t="shared" si="3"/>
        <v>-1.5659911791061609</v>
      </c>
      <c r="K43" s="117">
        <f t="shared" si="3"/>
        <v>-1.6292107700238065</v>
      </c>
      <c r="L43" s="117">
        <f>L56+L69+L82+L95+L108+L121+L134+L147+L160+L173+L186+L199+L212+L225+L238+L251+L264+L277+L290+L303+L316+L329+L342+L355+L368+L381+L394+L407+L420+L433</f>
        <v>-1.6623550119068238</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tr">
        <f>Asset1</f>
        <v>Mains &amp; Services</v>
      </c>
      <c r="D44" s="33"/>
      <c r="E44" s="34" t="s">
        <v>28</v>
      </c>
      <c r="F44" s="33"/>
      <c r="G44" s="35"/>
      <c r="H44" s="305">
        <v>0.8057519612064632</v>
      </c>
      <c r="I44" s="307">
        <v>0.8057519612064632</v>
      </c>
      <c r="J44" s="307">
        <v>0.8057519612064632</v>
      </c>
      <c r="K44" s="307">
        <v>0.8057519612064632</v>
      </c>
      <c r="L44" s="307">
        <v>0.8057519612064632</v>
      </c>
      <c r="M44" s="307">
        <v>0.8057519612064632</v>
      </c>
      <c r="N44" s="307">
        <v>0.8057519612064632</v>
      </c>
      <c r="O44" s="307">
        <v>0.8057519612064632</v>
      </c>
      <c r="P44" s="307">
        <v>0.8057519612064632</v>
      </c>
      <c r="Q44" s="307">
        <v>0.8057519612064632</v>
      </c>
      <c r="R44" s="36"/>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19" t="s">
        <v>84</v>
      </c>
      <c r="F45" s="86">
        <v>0</v>
      </c>
      <c r="G45" s="27"/>
      <c r="H45" s="300"/>
      <c r="I45" s="300"/>
      <c r="J45" s="300"/>
      <c r="K45" s="300"/>
      <c r="L45" s="300"/>
      <c r="M45" s="300"/>
      <c r="N45" s="300"/>
      <c r="O45" s="300"/>
      <c r="P45" s="300"/>
      <c r="Q45" s="300"/>
      <c r="R45" s="47"/>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20"/>
      <c r="F46" s="86">
        <v>1</v>
      </c>
      <c r="G46" s="27"/>
      <c r="H46" s="301"/>
      <c r="I46" s="306">
        <v>1.1138678004976801E-2</v>
      </c>
      <c r="J46" s="306">
        <v>1.1138678004976801E-2</v>
      </c>
      <c r="K46" s="306">
        <v>1.1138678004976801E-2</v>
      </c>
      <c r="L46" s="306">
        <v>1.1138678004976801E-2</v>
      </c>
      <c r="M46" s="306">
        <v>1.1138678004976801E-2</v>
      </c>
      <c r="N46" s="306">
        <v>1.1138678004976801E-2</v>
      </c>
      <c r="O46" s="306">
        <v>1.1138678004976801E-2</v>
      </c>
      <c r="P46" s="306">
        <v>1.1138678004976801E-2</v>
      </c>
      <c r="Q46" s="306">
        <v>1.1138678004976801E-2</v>
      </c>
      <c r="R46" s="30"/>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20"/>
      <c r="F47" s="86">
        <v>2</v>
      </c>
      <c r="G47" s="27"/>
      <c r="H47" s="302"/>
      <c r="I47" s="303"/>
      <c r="J47" s="306">
        <v>1.2361944807847832E-2</v>
      </c>
      <c r="K47" s="306">
        <v>1.2361944807847832E-2</v>
      </c>
      <c r="L47" s="306">
        <v>1.2361944807847832E-2</v>
      </c>
      <c r="M47" s="306">
        <v>1.2361944807847832E-2</v>
      </c>
      <c r="N47" s="306">
        <v>1.2361944807847832E-2</v>
      </c>
      <c r="O47" s="306">
        <v>1.2361944807847832E-2</v>
      </c>
      <c r="P47" s="306">
        <v>1.2361944807847832E-2</v>
      </c>
      <c r="Q47" s="306">
        <v>1.2361944807847832E-2</v>
      </c>
      <c r="R47" s="30"/>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20"/>
      <c r="F48" s="86">
        <v>3</v>
      </c>
      <c r="G48" s="27"/>
      <c r="H48" s="302"/>
      <c r="I48" s="304"/>
      <c r="J48" s="303"/>
      <c r="K48" s="306">
        <v>1.2735075708204481E-2</v>
      </c>
      <c r="L48" s="306">
        <v>1.2735075708204481E-2</v>
      </c>
      <c r="M48" s="306">
        <v>1.2735075708204481E-2</v>
      </c>
      <c r="N48" s="306">
        <v>1.2735075708204481E-2</v>
      </c>
      <c r="O48" s="306">
        <v>1.2735075708204481E-2</v>
      </c>
      <c r="P48" s="306">
        <v>1.2735075708204481E-2</v>
      </c>
      <c r="Q48" s="306">
        <v>1.2735075708204481E-2</v>
      </c>
      <c r="R48" s="30"/>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20"/>
      <c r="F49" s="86">
        <v>4</v>
      </c>
      <c r="G49" s="27"/>
      <c r="H49" s="302"/>
      <c r="I49" s="304"/>
      <c r="J49" s="304"/>
      <c r="K49" s="303"/>
      <c r="L49" s="306">
        <v>1.3467180790712633E-2</v>
      </c>
      <c r="M49" s="306">
        <v>1.3467180790712633E-2</v>
      </c>
      <c r="N49" s="306">
        <v>1.3467180790712633E-2</v>
      </c>
      <c r="O49" s="306">
        <v>1.3467180790712633E-2</v>
      </c>
      <c r="P49" s="306">
        <v>1.3467180790712633E-2</v>
      </c>
      <c r="Q49" s="306">
        <v>1.3467180790712633E-2</v>
      </c>
      <c r="R49" s="30"/>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20"/>
      <c r="F50" s="86">
        <v>5</v>
      </c>
      <c r="G50" s="27"/>
      <c r="H50" s="302"/>
      <c r="I50" s="304"/>
      <c r="J50" s="304"/>
      <c r="K50" s="304"/>
      <c r="L50" s="303"/>
      <c r="M50" s="306">
        <v>2.2051500271660352E-2</v>
      </c>
      <c r="N50" s="306">
        <v>2.2051500271660352E-2</v>
      </c>
      <c r="O50" s="306">
        <v>2.2051500271660352E-2</v>
      </c>
      <c r="P50" s="306">
        <v>2.2051500271660352E-2</v>
      </c>
      <c r="Q50" s="306">
        <v>2.2051500271660352E-2</v>
      </c>
      <c r="R50" s="30"/>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20"/>
      <c r="F51" s="86">
        <v>6</v>
      </c>
      <c r="G51" s="27"/>
      <c r="H51" s="222"/>
      <c r="I51" s="223"/>
      <c r="J51" s="223"/>
      <c r="K51" s="223"/>
      <c r="L51" s="223"/>
      <c r="M51" s="224"/>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20"/>
      <c r="F52" s="86">
        <v>7</v>
      </c>
      <c r="G52" s="27"/>
      <c r="H52" s="222"/>
      <c r="I52" s="223"/>
      <c r="J52" s="223"/>
      <c r="K52" s="223"/>
      <c r="L52" s="223"/>
      <c r="M52" s="223"/>
      <c r="N52" s="224"/>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20"/>
      <c r="F53" s="86">
        <v>8</v>
      </c>
      <c r="G53" s="27"/>
      <c r="H53" s="222"/>
      <c r="I53" s="223"/>
      <c r="J53" s="223"/>
      <c r="K53" s="223"/>
      <c r="L53" s="223"/>
      <c r="M53" s="223"/>
      <c r="N53" s="223"/>
      <c r="O53" s="224"/>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20"/>
      <c r="F54" s="86">
        <v>9</v>
      </c>
      <c r="G54" s="27"/>
      <c r="H54" s="222"/>
      <c r="I54" s="223"/>
      <c r="J54" s="223"/>
      <c r="K54" s="223"/>
      <c r="L54" s="223"/>
      <c r="M54" s="223"/>
      <c r="N54" s="223"/>
      <c r="O54" s="223"/>
      <c r="P54" s="224"/>
      <c r="Q54" s="30">
        <f>IF(A1stdlife="n/a","n/a",IF(Q$3&gt;(A1stdlife+$F54),(Input!$P$143*(1+vanilla9)^0.5)-SUM($P54:P54),(Input!$P$143*(1+vanilla9)^0.5)/A1stdlife))</f>
        <v>0</v>
      </c>
      <c r="R54" s="30"/>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20"/>
      <c r="F55" s="87">
        <v>10</v>
      </c>
      <c r="G55" s="27"/>
      <c r="H55" s="222"/>
      <c r="I55" s="223"/>
      <c r="J55" s="223"/>
      <c r="K55" s="223"/>
      <c r="L55" s="223"/>
      <c r="M55" s="223"/>
      <c r="N55" s="223"/>
      <c r="O55" s="223"/>
      <c r="P55" s="223"/>
      <c r="Q55" s="224"/>
      <c r="R55" s="30"/>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outlineLevel="1" collapsed="1">
      <c r="A56" s="9"/>
      <c r="B56" s="9"/>
      <c r="C56" s="9"/>
      <c r="D56" s="26" t="str">
        <f>Asset1</f>
        <v>Mains &amp; Services</v>
      </c>
      <c r="E56" s="9"/>
      <c r="F56" s="9"/>
      <c r="G56" s="123"/>
      <c r="H56" s="166">
        <f>-SUM(H44:H55)</f>
        <v>-0.8057519612064632</v>
      </c>
      <c r="I56" s="166">
        <f>-SUM(I44:I55)</f>
        <v>-0.81689063921144001</v>
      </c>
      <c r="J56" s="166">
        <f>-SUM(J44:J55)</f>
        <v>-0.82925258401928781</v>
      </c>
      <c r="K56" s="166">
        <f>-SUM(K44:K55)</f>
        <v>-0.84198765972749234</v>
      </c>
      <c r="L56" s="166">
        <f>-SUM(L44:L55)</f>
        <v>-0.85545484051820497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Meters</v>
      </c>
      <c r="D57" s="163"/>
      <c r="E57" s="34" t="s">
        <v>28</v>
      </c>
      <c r="F57" s="33"/>
      <c r="G57" s="176"/>
      <c r="H57" s="307">
        <v>0.59280586661137125</v>
      </c>
      <c r="I57" s="307">
        <v>0.59280586661137125</v>
      </c>
      <c r="J57" s="307">
        <v>0.59280586661137125</v>
      </c>
      <c r="K57" s="307">
        <v>0.59280586661137125</v>
      </c>
      <c r="L57" s="307">
        <v>0.59280586661137125</v>
      </c>
      <c r="M57" s="307">
        <v>0.59280586661137125</v>
      </c>
      <c r="N57" s="307">
        <v>0.59280586661137125</v>
      </c>
      <c r="O57" s="307">
        <v>0.56532391816481642</v>
      </c>
      <c r="P57" s="307">
        <v>0</v>
      </c>
      <c r="Q57" s="307">
        <v>0</v>
      </c>
      <c r="R57" s="67"/>
      <c r="S57" s="103"/>
      <c r="T57" s="103"/>
      <c r="U57" s="103"/>
      <c r="V57" s="103"/>
      <c r="W57" s="103"/>
      <c r="X57" s="103"/>
      <c r="Y57" s="103"/>
      <c r="Z57" s="103"/>
      <c r="AA57" s="103"/>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19" t="s">
        <v>84</v>
      </c>
      <c r="F58" s="86">
        <v>0</v>
      </c>
      <c r="G58" s="123"/>
      <c r="H58" s="300"/>
      <c r="I58" s="300"/>
      <c r="J58" s="300"/>
      <c r="K58" s="300"/>
      <c r="L58" s="300"/>
      <c r="M58" s="300"/>
      <c r="N58" s="300"/>
      <c r="O58" s="300"/>
      <c r="P58" s="300"/>
      <c r="Q58" s="300"/>
      <c r="R58" s="68"/>
      <c r="S58" s="103"/>
      <c r="T58" s="103"/>
      <c r="U58" s="103"/>
      <c r="V58" s="103"/>
      <c r="W58" s="103"/>
      <c r="X58" s="103"/>
      <c r="Y58" s="103"/>
      <c r="Z58" s="103"/>
      <c r="AA58" s="103"/>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20"/>
      <c r="F59" s="86">
        <v>1</v>
      </c>
      <c r="G59" s="123"/>
      <c r="H59" s="301"/>
      <c r="I59" s="308">
        <v>1.6765091287262928E-2</v>
      </c>
      <c r="J59" s="308">
        <v>1.6765091287262928E-2</v>
      </c>
      <c r="K59" s="308">
        <v>1.6765091287262928E-2</v>
      </c>
      <c r="L59" s="308">
        <v>1.6765091287262928E-2</v>
      </c>
      <c r="M59" s="308">
        <v>1.6765091287262928E-2</v>
      </c>
      <c r="N59" s="308">
        <v>1.6765091287262928E-2</v>
      </c>
      <c r="O59" s="308">
        <v>1.6765091287262928E-2</v>
      </c>
      <c r="P59" s="308">
        <v>1.6765091287262928E-2</v>
      </c>
      <c r="Q59" s="308">
        <v>1.6765091287262928E-2</v>
      </c>
      <c r="R59" s="68"/>
      <c r="S59" s="103"/>
      <c r="T59" s="103"/>
      <c r="U59" s="103"/>
      <c r="V59" s="103"/>
      <c r="W59" s="103"/>
      <c r="X59" s="103"/>
      <c r="Y59" s="103"/>
      <c r="Z59" s="103"/>
      <c r="AA59" s="103"/>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20"/>
      <c r="F60" s="86">
        <v>2</v>
      </c>
      <c r="G60" s="123"/>
      <c r="H60" s="302"/>
      <c r="I60" s="303"/>
      <c r="J60" s="308">
        <v>1.641257237028353E-2</v>
      </c>
      <c r="K60" s="308">
        <v>1.641257237028353E-2</v>
      </c>
      <c r="L60" s="308">
        <v>1.641257237028353E-2</v>
      </c>
      <c r="M60" s="308">
        <v>1.641257237028353E-2</v>
      </c>
      <c r="N60" s="308">
        <v>1.641257237028353E-2</v>
      </c>
      <c r="O60" s="308">
        <v>1.641257237028353E-2</v>
      </c>
      <c r="P60" s="308">
        <v>1.641257237028353E-2</v>
      </c>
      <c r="Q60" s="308">
        <v>1.641257237028353E-2</v>
      </c>
      <c r="R60" s="68"/>
      <c r="S60" s="103"/>
      <c r="T60" s="103"/>
      <c r="U60" s="103"/>
      <c r="V60" s="103"/>
      <c r="W60" s="103"/>
      <c r="X60" s="103"/>
      <c r="Y60" s="103"/>
      <c r="Z60" s="103"/>
      <c r="AA60" s="103"/>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20"/>
      <c r="F61" s="86">
        <v>3</v>
      </c>
      <c r="G61" s="123"/>
      <c r="H61" s="302"/>
      <c r="I61" s="304"/>
      <c r="J61" s="303"/>
      <c r="K61" s="308">
        <v>2.0239217448186266E-2</v>
      </c>
      <c r="L61" s="308">
        <v>2.0239217448186266E-2</v>
      </c>
      <c r="M61" s="308">
        <v>2.0239217448186266E-2</v>
      </c>
      <c r="N61" s="308">
        <v>2.0239217448186266E-2</v>
      </c>
      <c r="O61" s="308">
        <v>2.0239217448186266E-2</v>
      </c>
      <c r="P61" s="308">
        <v>2.0239217448186266E-2</v>
      </c>
      <c r="Q61" s="308">
        <v>2.0239217448186266E-2</v>
      </c>
      <c r="R61" s="68"/>
      <c r="S61" s="103"/>
      <c r="T61" s="103"/>
      <c r="U61" s="103"/>
      <c r="V61" s="103"/>
      <c r="W61" s="103"/>
      <c r="X61" s="103"/>
      <c r="Y61" s="103"/>
      <c r="Z61" s="103"/>
      <c r="AA61" s="103"/>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20"/>
      <c r="F62" s="86">
        <v>4</v>
      </c>
      <c r="G62" s="123"/>
      <c r="H62" s="302"/>
      <c r="I62" s="304"/>
      <c r="J62" s="304"/>
      <c r="K62" s="303"/>
      <c r="L62" s="308">
        <v>1.6478470871960717E-2</v>
      </c>
      <c r="M62" s="308">
        <v>1.6478470871960717E-2</v>
      </c>
      <c r="N62" s="308">
        <v>1.6478470871960717E-2</v>
      </c>
      <c r="O62" s="308">
        <v>1.6478470871960717E-2</v>
      </c>
      <c r="P62" s="308">
        <v>1.6478470871960717E-2</v>
      </c>
      <c r="Q62" s="308">
        <v>1.6478470871960717E-2</v>
      </c>
      <c r="R62" s="68"/>
      <c r="S62" s="103"/>
      <c r="T62" s="103"/>
      <c r="U62" s="103"/>
      <c r="V62" s="103"/>
      <c r="W62" s="103"/>
      <c r="X62" s="103"/>
      <c r="Y62" s="103"/>
      <c r="Z62" s="103"/>
      <c r="AA62" s="103"/>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20"/>
      <c r="F63" s="86">
        <v>5</v>
      </c>
      <c r="G63" s="123"/>
      <c r="H63" s="302"/>
      <c r="I63" s="304"/>
      <c r="J63" s="304"/>
      <c r="K63" s="304"/>
      <c r="L63" s="303"/>
      <c r="M63" s="308">
        <v>1.5161691038378926E-2</v>
      </c>
      <c r="N63" s="308">
        <v>1.5161691038378926E-2</v>
      </c>
      <c r="O63" s="308">
        <v>1.5161691038378926E-2</v>
      </c>
      <c r="P63" s="308">
        <v>1.5161691038378926E-2</v>
      </c>
      <c r="Q63" s="308">
        <v>1.5161691038378926E-2</v>
      </c>
      <c r="R63" s="68"/>
      <c r="S63" s="103"/>
      <c r="T63" s="103"/>
      <c r="U63" s="103"/>
      <c r="V63" s="103"/>
      <c r="W63" s="103"/>
      <c r="X63" s="103"/>
      <c r="Y63" s="103"/>
      <c r="Z63" s="103"/>
      <c r="AA63" s="103"/>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20"/>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20"/>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20"/>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20"/>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20"/>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outlineLevel="1" collapsed="1">
      <c r="A69" s="9"/>
      <c r="B69" s="9"/>
      <c r="C69" s="9"/>
      <c r="D69" s="26" t="str">
        <f>Asset2</f>
        <v>Meters</v>
      </c>
      <c r="E69" s="9"/>
      <c r="F69" s="9"/>
      <c r="G69" s="123"/>
      <c r="H69" s="68">
        <f>-SUM(H57:H68)</f>
        <v>-0.59280586661137125</v>
      </c>
      <c r="I69" s="68">
        <f>-SUM(I57:I68)</f>
        <v>-0.60957095789863414</v>
      </c>
      <c r="J69" s="68">
        <f>-SUM(J57:J68)</f>
        <v>-0.62598353026891762</v>
      </c>
      <c r="K69" s="68">
        <f>-SUM(K57:K68)</f>
        <v>-0.64622274771710386</v>
      </c>
      <c r="L69" s="68">
        <f>-SUM(L57:L68)</f>
        <v>-0.66270121858906461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Buildings</v>
      </c>
      <c r="D70" s="163"/>
      <c r="E70" s="34" t="s">
        <v>28</v>
      </c>
      <c r="F70" s="33"/>
      <c r="G70" s="176"/>
      <c r="H70" s="307">
        <v>1.148787841892315E-5</v>
      </c>
      <c r="I70" s="307">
        <v>0</v>
      </c>
      <c r="J70" s="307">
        <v>0</v>
      </c>
      <c r="K70" s="307">
        <v>0</v>
      </c>
      <c r="L70" s="307">
        <v>0</v>
      </c>
      <c r="M70" s="307">
        <v>0</v>
      </c>
      <c r="N70" s="307">
        <v>0</v>
      </c>
      <c r="O70" s="307">
        <v>0</v>
      </c>
      <c r="P70" s="307">
        <v>0</v>
      </c>
      <c r="Q70" s="307">
        <v>0</v>
      </c>
      <c r="R70" s="67"/>
      <c r="S70" s="103"/>
      <c r="T70" s="103"/>
      <c r="U70" s="103"/>
      <c r="V70" s="103"/>
      <c r="W70" s="103"/>
      <c r="X70" s="103"/>
      <c r="Y70" s="103"/>
      <c r="Z70" s="103"/>
      <c r="AA70" s="103"/>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19" t="s">
        <v>84</v>
      </c>
      <c r="F71" s="86">
        <v>0</v>
      </c>
      <c r="G71" s="123"/>
      <c r="H71" s="300"/>
      <c r="I71" s="300"/>
      <c r="J71" s="300"/>
      <c r="K71" s="300"/>
      <c r="L71" s="300"/>
      <c r="M71" s="300"/>
      <c r="N71" s="300"/>
      <c r="O71" s="300"/>
      <c r="P71" s="300"/>
      <c r="Q71" s="300"/>
      <c r="R71" s="68"/>
      <c r="S71" s="103"/>
      <c r="T71" s="103"/>
      <c r="U71" s="103"/>
      <c r="V71" s="103"/>
      <c r="W71" s="103"/>
      <c r="X71" s="103"/>
      <c r="Y71" s="103"/>
      <c r="Z71" s="103"/>
      <c r="AA71" s="103"/>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20"/>
      <c r="F72" s="86">
        <v>1</v>
      </c>
      <c r="G72" s="123"/>
      <c r="H72" s="301"/>
      <c r="I72" s="308">
        <v>0</v>
      </c>
      <c r="J72" s="308">
        <v>0</v>
      </c>
      <c r="K72" s="308">
        <v>0</v>
      </c>
      <c r="L72" s="308">
        <v>0</v>
      </c>
      <c r="M72" s="308">
        <v>0</v>
      </c>
      <c r="N72" s="308">
        <v>0</v>
      </c>
      <c r="O72" s="308">
        <v>0</v>
      </c>
      <c r="P72" s="308">
        <v>0</v>
      </c>
      <c r="Q72" s="308">
        <v>0</v>
      </c>
      <c r="R72" s="68"/>
      <c r="S72" s="103"/>
      <c r="T72" s="103"/>
      <c r="U72" s="103"/>
      <c r="V72" s="103"/>
      <c r="W72" s="103"/>
      <c r="X72" s="103"/>
      <c r="Y72" s="103"/>
      <c r="Z72" s="103"/>
      <c r="AA72" s="103"/>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20"/>
      <c r="F73" s="86">
        <v>2</v>
      </c>
      <c r="G73" s="123"/>
      <c r="H73" s="302"/>
      <c r="I73" s="303"/>
      <c r="J73" s="308">
        <v>0</v>
      </c>
      <c r="K73" s="308">
        <v>0</v>
      </c>
      <c r="L73" s="308">
        <v>0</v>
      </c>
      <c r="M73" s="308">
        <v>0</v>
      </c>
      <c r="N73" s="308">
        <v>0</v>
      </c>
      <c r="O73" s="308">
        <v>0</v>
      </c>
      <c r="P73" s="308">
        <v>0</v>
      </c>
      <c r="Q73" s="308">
        <v>0</v>
      </c>
      <c r="R73" s="68"/>
      <c r="S73" s="103"/>
      <c r="T73" s="103"/>
      <c r="U73" s="103"/>
      <c r="V73" s="103"/>
      <c r="W73" s="103"/>
      <c r="X73" s="103"/>
      <c r="Y73" s="103"/>
      <c r="Z73" s="103"/>
      <c r="AA73" s="103"/>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20"/>
      <c r="F74" s="86">
        <v>3</v>
      </c>
      <c r="G74" s="123"/>
      <c r="H74" s="302"/>
      <c r="I74" s="304"/>
      <c r="J74" s="303"/>
      <c r="K74" s="308">
        <v>0</v>
      </c>
      <c r="L74" s="308">
        <v>0</v>
      </c>
      <c r="M74" s="308">
        <v>0</v>
      </c>
      <c r="N74" s="308">
        <v>0</v>
      </c>
      <c r="O74" s="308">
        <v>0</v>
      </c>
      <c r="P74" s="308">
        <v>0</v>
      </c>
      <c r="Q74" s="308">
        <v>0</v>
      </c>
      <c r="R74" s="68"/>
      <c r="S74" s="103"/>
      <c r="T74" s="103"/>
      <c r="U74" s="103"/>
      <c r="V74" s="103"/>
      <c r="W74" s="103"/>
      <c r="X74" s="103"/>
      <c r="Y74" s="103"/>
      <c r="Z74" s="103"/>
      <c r="AA74" s="103"/>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20"/>
      <c r="F75" s="86">
        <v>4</v>
      </c>
      <c r="G75" s="123"/>
      <c r="H75" s="302"/>
      <c r="I75" s="304"/>
      <c r="J75" s="304"/>
      <c r="K75" s="303"/>
      <c r="L75" s="308">
        <v>0</v>
      </c>
      <c r="M75" s="308">
        <v>0</v>
      </c>
      <c r="N75" s="308">
        <v>0</v>
      </c>
      <c r="O75" s="308">
        <v>0</v>
      </c>
      <c r="P75" s="308">
        <v>0</v>
      </c>
      <c r="Q75" s="308">
        <v>0</v>
      </c>
      <c r="R75" s="68"/>
      <c r="S75" s="103"/>
      <c r="T75" s="103"/>
      <c r="U75" s="103"/>
      <c r="V75" s="103"/>
      <c r="W75" s="103"/>
      <c r="X75" s="103"/>
      <c r="Y75" s="103"/>
      <c r="Z75" s="103"/>
      <c r="AA75" s="103"/>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20"/>
      <c r="F76" s="86">
        <v>5</v>
      </c>
      <c r="G76" s="123"/>
      <c r="H76" s="302"/>
      <c r="I76" s="304"/>
      <c r="J76" s="304"/>
      <c r="K76" s="304"/>
      <c r="L76" s="303"/>
      <c r="M76" s="308">
        <v>0</v>
      </c>
      <c r="N76" s="308">
        <v>0</v>
      </c>
      <c r="O76" s="308">
        <v>0</v>
      </c>
      <c r="P76" s="308">
        <v>0</v>
      </c>
      <c r="Q76" s="308">
        <v>0</v>
      </c>
      <c r="R76" s="68"/>
      <c r="S76" s="103"/>
      <c r="T76" s="103"/>
      <c r="U76" s="103"/>
      <c r="V76" s="103"/>
      <c r="W76" s="103"/>
      <c r="X76" s="103"/>
      <c r="Y76" s="103"/>
      <c r="Z76" s="103"/>
      <c r="AA76" s="103"/>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20"/>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20"/>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20"/>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20"/>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20"/>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outlineLevel="1" collapsed="1">
      <c r="A82" s="9"/>
      <c r="B82" s="9"/>
      <c r="C82" s="9"/>
      <c r="D82" s="26" t="str">
        <f>Asset3</f>
        <v>Buildings</v>
      </c>
      <c r="E82" s="9"/>
      <c r="F82" s="9"/>
      <c r="G82" s="123"/>
      <c r="H82" s="167">
        <f>-SUM(H70:H81)</f>
        <v>-1.148787841892315E-5</v>
      </c>
      <c r="I82" s="167">
        <f>-SUM(I70:I81)</f>
        <v>0</v>
      </c>
      <c r="J82" s="167">
        <f>-SUM(J70:J81)</f>
        <v>0</v>
      </c>
      <c r="K82" s="167">
        <f>-SUM(K70:K81)</f>
        <v>0</v>
      </c>
      <c r="L82" s="167">
        <f>-SUM(L70:L81)</f>
        <v>0</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SCADA</v>
      </c>
      <c r="D83" s="163"/>
      <c r="E83" s="34" t="s">
        <v>28</v>
      </c>
      <c r="F83" s="33"/>
      <c r="G83" s="176"/>
      <c r="H83" s="307" t="s">
        <v>134</v>
      </c>
      <c r="I83" s="307" t="s">
        <v>134</v>
      </c>
      <c r="J83" s="307" t="s">
        <v>134</v>
      </c>
      <c r="K83" s="307" t="s">
        <v>134</v>
      </c>
      <c r="L83" s="307" t="s">
        <v>134</v>
      </c>
      <c r="M83" s="307" t="s">
        <v>134</v>
      </c>
      <c r="N83" s="307" t="s">
        <v>134</v>
      </c>
      <c r="O83" s="307" t="s">
        <v>134</v>
      </c>
      <c r="P83" s="307" t="s">
        <v>134</v>
      </c>
      <c r="Q83" s="307" t="s">
        <v>134</v>
      </c>
      <c r="R83" s="67"/>
      <c r="S83" s="103"/>
      <c r="T83" s="103"/>
      <c r="U83" s="103"/>
      <c r="V83" s="103"/>
      <c r="W83" s="103"/>
      <c r="X83" s="103"/>
      <c r="Y83" s="103"/>
      <c r="Z83" s="103"/>
      <c r="AA83" s="103"/>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19" t="s">
        <v>84</v>
      </c>
      <c r="F84" s="86">
        <v>0</v>
      </c>
      <c r="G84" s="123"/>
      <c r="H84" s="300"/>
      <c r="I84" s="300"/>
      <c r="J84" s="300"/>
      <c r="K84" s="300"/>
      <c r="L84" s="300"/>
      <c r="M84" s="300"/>
      <c r="N84" s="300"/>
      <c r="O84" s="300"/>
      <c r="P84" s="300"/>
      <c r="Q84" s="300"/>
      <c r="R84" s="68"/>
      <c r="S84" s="103"/>
      <c r="T84" s="103"/>
      <c r="U84" s="103"/>
      <c r="V84" s="103"/>
      <c r="W84" s="103"/>
      <c r="X84" s="103"/>
      <c r="Y84" s="103"/>
      <c r="Z84" s="103"/>
      <c r="AA84" s="103"/>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20"/>
      <c r="F85" s="86">
        <v>1</v>
      </c>
      <c r="G85" s="123"/>
      <c r="H85" s="301"/>
      <c r="I85" s="589">
        <v>1.5799078550031572E-3</v>
      </c>
      <c r="J85" s="589">
        <v>1.5799078550031572E-3</v>
      </c>
      <c r="K85" s="589">
        <v>1.5799078550031572E-3</v>
      </c>
      <c r="L85" s="589">
        <v>1.5799078550031572E-3</v>
      </c>
      <c r="M85" s="308">
        <v>1.5799078550031572E-3</v>
      </c>
      <c r="N85" s="308">
        <v>1.5799078550031572E-3</v>
      </c>
      <c r="O85" s="308">
        <v>1.5799078550031572E-3</v>
      </c>
      <c r="P85" s="308">
        <v>1.5799078550031572E-3</v>
      </c>
      <c r="Q85" s="308">
        <v>1.5799078550031572E-3</v>
      </c>
      <c r="R85" s="68"/>
      <c r="S85" s="103"/>
      <c r="T85" s="103"/>
      <c r="U85" s="103"/>
      <c r="V85" s="103"/>
      <c r="W85" s="103"/>
      <c r="X85" s="103"/>
      <c r="Y85" s="103"/>
      <c r="Z85" s="103"/>
      <c r="AA85" s="103"/>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20"/>
      <c r="F86" s="86">
        <v>2</v>
      </c>
      <c r="G86" s="123"/>
      <c r="H86" s="302"/>
      <c r="I86" s="590"/>
      <c r="J86" s="589">
        <v>1.7299381830161095E-3</v>
      </c>
      <c r="K86" s="589">
        <v>1.7299381830161095E-3</v>
      </c>
      <c r="L86" s="589">
        <v>1.7299381830161095E-3</v>
      </c>
      <c r="M86" s="308">
        <v>1.7299381830161095E-3</v>
      </c>
      <c r="N86" s="308">
        <v>1.7299381830161095E-3</v>
      </c>
      <c r="O86" s="308">
        <v>1.7299381830161095E-3</v>
      </c>
      <c r="P86" s="308">
        <v>1.7299381830161095E-3</v>
      </c>
      <c r="Q86" s="308">
        <v>1.7299381830161095E-3</v>
      </c>
      <c r="R86" s="68"/>
      <c r="S86" s="103"/>
      <c r="T86" s="103"/>
      <c r="U86" s="103"/>
      <c r="V86" s="103"/>
      <c r="W86" s="103"/>
      <c r="X86" s="103"/>
      <c r="Y86" s="103"/>
      <c r="Z86" s="103"/>
      <c r="AA86" s="103"/>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20"/>
      <c r="F87" s="86">
        <v>3</v>
      </c>
      <c r="G87" s="123"/>
      <c r="H87" s="302"/>
      <c r="I87" s="591"/>
      <c r="J87" s="590"/>
      <c r="K87" s="589">
        <v>1.7497407172665383E-3</v>
      </c>
      <c r="L87" s="589">
        <v>1.7497407172665383E-3</v>
      </c>
      <c r="M87" s="308">
        <v>1.7497407172665383E-3</v>
      </c>
      <c r="N87" s="308">
        <v>1.7497407172665383E-3</v>
      </c>
      <c r="O87" s="308">
        <v>1.7497407172665383E-3</v>
      </c>
      <c r="P87" s="308">
        <v>1.7497407172665383E-3</v>
      </c>
      <c r="Q87" s="308">
        <v>1.7497407172665383E-3</v>
      </c>
      <c r="R87" s="68"/>
      <c r="S87" s="103"/>
      <c r="T87" s="103"/>
      <c r="U87" s="103"/>
      <c r="V87" s="103"/>
      <c r="W87" s="103"/>
      <c r="X87" s="103"/>
      <c r="Y87" s="103"/>
      <c r="Z87" s="103"/>
      <c r="AA87" s="103"/>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20"/>
      <c r="F88" s="86">
        <v>4</v>
      </c>
      <c r="G88" s="123"/>
      <c r="H88" s="302"/>
      <c r="I88" s="591"/>
      <c r="J88" s="591"/>
      <c r="K88" s="590"/>
      <c r="L88" s="589">
        <v>1.8229713447671227E-3</v>
      </c>
      <c r="M88" s="308">
        <v>1.8229713447671227E-3</v>
      </c>
      <c r="N88" s="308">
        <v>1.8229713447671227E-3</v>
      </c>
      <c r="O88" s="308">
        <v>1.8229713447671227E-3</v>
      </c>
      <c r="P88" s="308">
        <v>1.8229713447671227E-3</v>
      </c>
      <c r="Q88" s="308">
        <v>1.8229713447671227E-3</v>
      </c>
      <c r="R88" s="68"/>
      <c r="S88" s="103"/>
      <c r="T88" s="103"/>
      <c r="U88" s="103"/>
      <c r="V88" s="103"/>
      <c r="W88" s="103"/>
      <c r="X88" s="103"/>
      <c r="Y88" s="103"/>
      <c r="Z88" s="103"/>
      <c r="AA88" s="103"/>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20"/>
      <c r="F89" s="86">
        <v>5</v>
      </c>
      <c r="G89" s="123"/>
      <c r="H89" s="302"/>
      <c r="I89" s="304"/>
      <c r="J89" s="304"/>
      <c r="K89" s="304"/>
      <c r="L89" s="303"/>
      <c r="M89" s="308">
        <v>1.7467681514718521E-3</v>
      </c>
      <c r="N89" s="308">
        <v>1.7467681514718521E-3</v>
      </c>
      <c r="O89" s="308">
        <v>1.7467681514718521E-3</v>
      </c>
      <c r="P89" s="308">
        <v>1.7467681514718521E-3</v>
      </c>
      <c r="Q89" s="308">
        <v>1.7467681514718521E-3</v>
      </c>
      <c r="R89" s="68"/>
      <c r="S89" s="103"/>
      <c r="T89" s="103"/>
      <c r="U89" s="103"/>
      <c r="V89" s="103"/>
      <c r="W89" s="103"/>
      <c r="X89" s="103"/>
      <c r="Y89" s="103"/>
      <c r="Z89" s="103"/>
      <c r="AA89" s="103"/>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20"/>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20"/>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20"/>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20"/>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20"/>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1" collapsed="1">
      <c r="A95" s="9"/>
      <c r="B95" s="9"/>
      <c r="C95" s="9"/>
      <c r="D95" s="26" t="str">
        <f>Asset4</f>
        <v>SCADA</v>
      </c>
      <c r="E95" s="9"/>
      <c r="F95" s="9"/>
      <c r="G95" s="123"/>
      <c r="H95" s="167">
        <f>-SUM(H83:H94)</f>
        <v>0</v>
      </c>
      <c r="I95" s="167">
        <f>-SUM(I83:I94)</f>
        <v>-1.5799078550031572E-3</v>
      </c>
      <c r="J95" s="167">
        <f>-SUM(J83:J94)</f>
        <v>-3.3098460380192665E-3</v>
      </c>
      <c r="K95" s="167">
        <f>-SUM(K83:K94)</f>
        <v>-5.0595867552858049E-3</v>
      </c>
      <c r="L95" s="167">
        <f>-SUM(L83:L94)</f>
        <v>-6.8825581000529273E-3</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Computer Equipment</v>
      </c>
      <c r="D96" s="163"/>
      <c r="E96" s="34" t="s">
        <v>28</v>
      </c>
      <c r="F96" s="33"/>
      <c r="G96" s="176"/>
      <c r="H96" s="307" t="s">
        <v>134</v>
      </c>
      <c r="I96" s="307" t="s">
        <v>134</v>
      </c>
      <c r="J96" s="307" t="s">
        <v>134</v>
      </c>
      <c r="K96" s="307" t="s">
        <v>134</v>
      </c>
      <c r="L96" s="307" t="s">
        <v>134</v>
      </c>
      <c r="M96" s="307" t="s">
        <v>134</v>
      </c>
      <c r="N96" s="307" t="s">
        <v>134</v>
      </c>
      <c r="O96" s="307" t="s">
        <v>134</v>
      </c>
      <c r="P96" s="307" t="s">
        <v>134</v>
      </c>
      <c r="Q96" s="307" t="s">
        <v>134</v>
      </c>
      <c r="R96" s="67"/>
      <c r="S96" s="103"/>
      <c r="T96" s="103"/>
      <c r="U96" s="103"/>
      <c r="V96" s="103"/>
      <c r="W96" s="103"/>
      <c r="X96" s="103"/>
      <c r="Y96" s="103"/>
      <c r="Z96" s="103"/>
      <c r="AA96" s="103"/>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19" t="s">
        <v>84</v>
      </c>
      <c r="F97" s="86">
        <v>0</v>
      </c>
      <c r="G97" s="123"/>
      <c r="H97" s="300"/>
      <c r="I97" s="300"/>
      <c r="J97" s="300"/>
      <c r="K97" s="300"/>
      <c r="L97" s="300"/>
      <c r="M97" s="300"/>
      <c r="N97" s="300"/>
      <c r="O97" s="300"/>
      <c r="P97" s="300"/>
      <c r="Q97" s="300"/>
      <c r="R97" s="68"/>
      <c r="S97" s="103"/>
      <c r="T97" s="103"/>
      <c r="U97" s="103"/>
      <c r="V97" s="103"/>
      <c r="W97" s="103"/>
      <c r="X97" s="103"/>
      <c r="Y97" s="103"/>
      <c r="Z97" s="103"/>
      <c r="AA97" s="103"/>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20"/>
      <c r="F98" s="86">
        <v>1</v>
      </c>
      <c r="G98" s="123"/>
      <c r="H98" s="301"/>
      <c r="I98" s="308">
        <v>3.6149018492625487E-2</v>
      </c>
      <c r="J98" s="308">
        <v>3.6149018492625487E-2</v>
      </c>
      <c r="K98" s="308">
        <v>3.6149018492625487E-2</v>
      </c>
      <c r="L98" s="308">
        <v>3.6149018492625487E-2</v>
      </c>
      <c r="M98" s="308">
        <v>3.6149018492625487E-2</v>
      </c>
      <c r="N98" s="308">
        <v>0</v>
      </c>
      <c r="O98" s="308">
        <v>0</v>
      </c>
      <c r="P98" s="308">
        <v>0</v>
      </c>
      <c r="Q98" s="308">
        <v>0</v>
      </c>
      <c r="R98" s="68"/>
      <c r="S98" s="103"/>
      <c r="T98" s="103"/>
      <c r="U98" s="103"/>
      <c r="V98" s="103"/>
      <c r="W98" s="103"/>
      <c r="X98" s="103"/>
      <c r="Y98" s="103"/>
      <c r="Z98" s="103"/>
      <c r="AA98" s="103"/>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20"/>
      <c r="F99" s="86">
        <v>2</v>
      </c>
      <c r="G99" s="123"/>
      <c r="H99" s="302"/>
      <c r="I99" s="303"/>
      <c r="J99" s="308">
        <v>7.0928230018850749E-2</v>
      </c>
      <c r="K99" s="308">
        <v>7.0928230018850749E-2</v>
      </c>
      <c r="L99" s="308">
        <v>7.0928230018850749E-2</v>
      </c>
      <c r="M99" s="308">
        <v>7.0928230018850749E-2</v>
      </c>
      <c r="N99" s="308">
        <v>7.0928230018850749E-2</v>
      </c>
      <c r="O99" s="308">
        <v>0</v>
      </c>
      <c r="P99" s="308">
        <v>0</v>
      </c>
      <c r="Q99" s="308">
        <v>0</v>
      </c>
      <c r="R99" s="68"/>
      <c r="S99" s="103"/>
      <c r="T99" s="103"/>
      <c r="U99" s="103"/>
      <c r="V99" s="103"/>
      <c r="W99" s="103"/>
      <c r="X99" s="103"/>
      <c r="Y99" s="103"/>
      <c r="Z99" s="103"/>
      <c r="AA99" s="103"/>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20"/>
      <c r="F100" s="86">
        <v>3</v>
      </c>
      <c r="G100" s="123"/>
      <c r="H100" s="302"/>
      <c r="I100" s="304"/>
      <c r="J100" s="303"/>
      <c r="K100" s="308">
        <v>2.8311373810591539E-2</v>
      </c>
      <c r="L100" s="308">
        <v>2.8311373810591539E-2</v>
      </c>
      <c r="M100" s="308">
        <v>2.8311373810591539E-2</v>
      </c>
      <c r="N100" s="308">
        <v>2.8311373810591539E-2</v>
      </c>
      <c r="O100" s="308">
        <v>2.8311373810591539E-2</v>
      </c>
      <c r="P100" s="308">
        <v>0</v>
      </c>
      <c r="Q100" s="308">
        <v>0</v>
      </c>
      <c r="R100" s="68"/>
      <c r="S100" s="103"/>
      <c r="T100" s="103"/>
      <c r="U100" s="103"/>
      <c r="V100" s="103"/>
      <c r="W100" s="103"/>
      <c r="X100" s="103"/>
      <c r="Y100" s="103"/>
      <c r="Z100" s="103"/>
      <c r="AA100" s="103"/>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20"/>
      <c r="F101" s="86">
        <v>4</v>
      </c>
      <c r="G101" s="123"/>
      <c r="H101" s="302"/>
      <c r="I101" s="304"/>
      <c r="J101" s="304"/>
      <c r="K101" s="303"/>
      <c r="L101" s="308">
        <v>1.1837271550749564E-3</v>
      </c>
      <c r="M101" s="308">
        <v>1.1837271550749564E-3</v>
      </c>
      <c r="N101" s="308">
        <v>1.1837271550749564E-3</v>
      </c>
      <c r="O101" s="308">
        <v>1.1837271550749564E-3</v>
      </c>
      <c r="P101" s="308">
        <v>1.1837271550749564E-3</v>
      </c>
      <c r="Q101" s="308">
        <v>0</v>
      </c>
      <c r="R101" s="68"/>
      <c r="S101" s="103"/>
      <c r="T101" s="103"/>
      <c r="U101" s="103"/>
      <c r="V101" s="103"/>
      <c r="W101" s="103"/>
      <c r="X101" s="103"/>
      <c r="Y101" s="103"/>
      <c r="Z101" s="103"/>
      <c r="AA101" s="103"/>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20"/>
      <c r="F102" s="86">
        <v>5</v>
      </c>
      <c r="G102" s="123"/>
      <c r="H102" s="302"/>
      <c r="I102" s="304"/>
      <c r="J102" s="304"/>
      <c r="K102" s="304"/>
      <c r="L102" s="303"/>
      <c r="M102" s="308">
        <v>6.5593529061528611E-3</v>
      </c>
      <c r="N102" s="308">
        <v>6.5593529061528611E-3</v>
      </c>
      <c r="O102" s="308">
        <v>6.5593529061528611E-3</v>
      </c>
      <c r="P102" s="308">
        <v>6.5593529061528611E-3</v>
      </c>
      <c r="Q102" s="308">
        <v>6.5593529061528611E-3</v>
      </c>
      <c r="R102" s="68"/>
      <c r="S102" s="103"/>
      <c r="T102" s="103"/>
      <c r="U102" s="103"/>
      <c r="V102" s="103"/>
      <c r="W102" s="103"/>
      <c r="X102" s="103"/>
      <c r="Y102" s="103"/>
      <c r="Z102" s="103"/>
      <c r="AA102" s="103"/>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20"/>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20"/>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20"/>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20"/>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20"/>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1" collapsed="1">
      <c r="A108" s="9"/>
      <c r="B108" s="9"/>
      <c r="C108" s="9"/>
      <c r="D108" s="26" t="str">
        <f>Asset5</f>
        <v>Computer Equipment</v>
      </c>
      <c r="E108" s="9"/>
      <c r="F108" s="9"/>
      <c r="G108" s="123"/>
      <c r="H108" s="167">
        <f>-SUM(H96:H107)</f>
        <v>0</v>
      </c>
      <c r="I108" s="167">
        <f>-SUM(I96:I107)</f>
        <v>-3.6149018492625487E-2</v>
      </c>
      <c r="J108" s="167">
        <f>-SUM(J96:J107)</f>
        <v>-0.10707724851147624</v>
      </c>
      <c r="K108" s="167">
        <f>-SUM(K96:K107)</f>
        <v>-0.13538862232206778</v>
      </c>
      <c r="L108" s="167">
        <f>-SUM(L96:L107)</f>
        <v>-0.13657234947714272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Assets</v>
      </c>
      <c r="D109" s="163"/>
      <c r="E109" s="34" t="s">
        <v>28</v>
      </c>
      <c r="F109" s="33"/>
      <c r="G109" s="176"/>
      <c r="H109" s="307">
        <v>-1.9625858099635379E-2</v>
      </c>
      <c r="I109" s="307">
        <v>0</v>
      </c>
      <c r="J109" s="307">
        <v>0</v>
      </c>
      <c r="K109" s="307">
        <v>0</v>
      </c>
      <c r="L109" s="307">
        <v>0</v>
      </c>
      <c r="M109" s="307">
        <v>0</v>
      </c>
      <c r="N109" s="307">
        <v>0</v>
      </c>
      <c r="O109" s="307">
        <v>0</v>
      </c>
      <c r="P109" s="307">
        <v>0</v>
      </c>
      <c r="Q109" s="307">
        <v>0</v>
      </c>
      <c r="R109" s="67"/>
      <c r="S109" s="103"/>
      <c r="T109" s="103"/>
      <c r="U109" s="103"/>
      <c r="V109" s="103"/>
      <c r="W109" s="103"/>
      <c r="X109" s="103"/>
      <c r="Y109" s="103"/>
      <c r="Z109" s="103"/>
      <c r="AA109" s="103"/>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19" t="s">
        <v>84</v>
      </c>
      <c r="F110" s="86">
        <v>0</v>
      </c>
      <c r="G110" s="123"/>
      <c r="H110" s="300"/>
      <c r="I110" s="300"/>
      <c r="J110" s="300"/>
      <c r="K110" s="300"/>
      <c r="L110" s="300"/>
      <c r="M110" s="300"/>
      <c r="N110" s="300"/>
      <c r="O110" s="300"/>
      <c r="P110" s="300"/>
      <c r="Q110" s="300"/>
      <c r="R110" s="68"/>
      <c r="S110" s="103"/>
      <c r="T110" s="103"/>
      <c r="U110" s="103"/>
      <c r="V110" s="103"/>
      <c r="W110" s="103"/>
      <c r="X110" s="103"/>
      <c r="Y110" s="103"/>
      <c r="Z110" s="103"/>
      <c r="AA110" s="103"/>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20"/>
      <c r="F111" s="86">
        <v>1</v>
      </c>
      <c r="G111" s="123"/>
      <c r="H111" s="301"/>
      <c r="I111" s="308">
        <v>1.858715123533126E-4</v>
      </c>
      <c r="J111" s="308">
        <v>1.858715123533126E-4</v>
      </c>
      <c r="K111" s="308">
        <v>1.858715123533126E-4</v>
      </c>
      <c r="L111" s="308">
        <v>1.858715123533126E-4</v>
      </c>
      <c r="M111" s="308">
        <v>1.858715123533126E-4</v>
      </c>
      <c r="N111" s="308">
        <v>1.858715123533126E-4</v>
      </c>
      <c r="O111" s="308">
        <v>1.858715123533126E-4</v>
      </c>
      <c r="P111" s="308">
        <v>1.858715123533126E-4</v>
      </c>
      <c r="Q111" s="308">
        <v>1.858715123533126E-4</v>
      </c>
      <c r="R111" s="68"/>
      <c r="S111" s="103"/>
      <c r="T111" s="103"/>
      <c r="U111" s="103"/>
      <c r="V111" s="103"/>
      <c r="W111" s="103"/>
      <c r="X111" s="103"/>
      <c r="Y111" s="103"/>
      <c r="Z111" s="103"/>
      <c r="AA111" s="103"/>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20"/>
      <c r="F112" s="86">
        <v>2</v>
      </c>
      <c r="G112" s="123"/>
      <c r="H112" s="302"/>
      <c r="I112" s="303"/>
      <c r="J112" s="308">
        <v>1.8209875610695887E-4</v>
      </c>
      <c r="K112" s="308">
        <v>1.8209875610695887E-4</v>
      </c>
      <c r="L112" s="308">
        <v>1.8209875610695887E-4</v>
      </c>
      <c r="M112" s="308">
        <v>1.8209875610695887E-4</v>
      </c>
      <c r="N112" s="308">
        <v>1.8209875610695887E-4</v>
      </c>
      <c r="O112" s="308">
        <v>1.8209875610695887E-4</v>
      </c>
      <c r="P112" s="308">
        <v>1.8209875610695887E-4</v>
      </c>
      <c r="Q112" s="308">
        <v>1.8209875610695887E-4</v>
      </c>
      <c r="R112" s="68"/>
      <c r="S112" s="103"/>
      <c r="T112" s="103"/>
      <c r="U112" s="103"/>
      <c r="V112" s="103"/>
      <c r="W112" s="103"/>
      <c r="X112" s="103"/>
      <c r="Y112" s="103"/>
      <c r="Z112" s="103"/>
      <c r="AA112" s="10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20"/>
      <c r="F113" s="86">
        <v>3</v>
      </c>
      <c r="G113" s="123"/>
      <c r="H113" s="302"/>
      <c r="I113" s="304"/>
      <c r="J113" s="303"/>
      <c r="K113" s="308">
        <v>1.8418323339647772E-4</v>
      </c>
      <c r="L113" s="308">
        <v>1.8418323339647772E-4</v>
      </c>
      <c r="M113" s="308">
        <v>1.8418323339647772E-4</v>
      </c>
      <c r="N113" s="308">
        <v>1.8418323339647772E-4</v>
      </c>
      <c r="O113" s="308">
        <v>1.8418323339647772E-4</v>
      </c>
      <c r="P113" s="308">
        <v>1.8418323339647772E-4</v>
      </c>
      <c r="Q113" s="308">
        <v>1.8418323339647772E-4</v>
      </c>
      <c r="R113" s="68"/>
      <c r="S113" s="103"/>
      <c r="T113" s="103"/>
      <c r="U113" s="103"/>
      <c r="V113" s="103"/>
      <c r="W113" s="103"/>
      <c r="X113" s="103"/>
      <c r="Y113" s="103"/>
      <c r="Z113" s="103"/>
      <c r="AA113" s="10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20"/>
      <c r="F114" s="86">
        <v>4</v>
      </c>
      <c r="G114" s="123"/>
      <c r="H114" s="302"/>
      <c r="I114" s="304"/>
      <c r="J114" s="304"/>
      <c r="K114" s="303"/>
      <c r="L114" s="308">
        <v>1.9189172050180237E-4</v>
      </c>
      <c r="M114" s="308">
        <v>1.9189172050180237E-4</v>
      </c>
      <c r="N114" s="308">
        <v>1.9189172050180237E-4</v>
      </c>
      <c r="O114" s="308">
        <v>1.9189172050180237E-4</v>
      </c>
      <c r="P114" s="308">
        <v>1.9189172050180237E-4</v>
      </c>
      <c r="Q114" s="308">
        <v>1.9189172050180237E-4</v>
      </c>
      <c r="R114" s="68"/>
      <c r="S114" s="103"/>
      <c r="T114" s="103"/>
      <c r="U114" s="103"/>
      <c r="V114" s="103"/>
      <c r="W114" s="103"/>
      <c r="X114" s="103"/>
      <c r="Y114" s="103"/>
      <c r="Z114" s="103"/>
      <c r="AA114" s="103"/>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20"/>
      <c r="F115" s="86">
        <v>5</v>
      </c>
      <c r="G115" s="123"/>
      <c r="H115" s="302"/>
      <c r="I115" s="304"/>
      <c r="J115" s="304"/>
      <c r="K115" s="304"/>
      <c r="L115" s="303"/>
      <c r="M115" s="308">
        <v>1.8387033173387918E-4</v>
      </c>
      <c r="N115" s="308">
        <v>1.8387033173387918E-4</v>
      </c>
      <c r="O115" s="308">
        <v>1.8387033173387918E-4</v>
      </c>
      <c r="P115" s="308">
        <v>1.8387033173387918E-4</v>
      </c>
      <c r="Q115" s="308">
        <v>1.8387033173387918E-4</v>
      </c>
      <c r="R115" s="68"/>
      <c r="S115" s="103"/>
      <c r="T115" s="103"/>
      <c r="U115" s="103"/>
      <c r="V115" s="103"/>
      <c r="W115" s="103"/>
      <c r="X115" s="103"/>
      <c r="Y115" s="103"/>
      <c r="Z115" s="103"/>
      <c r="AA115" s="103"/>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20"/>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20"/>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20"/>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20"/>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20"/>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1" collapsed="1">
      <c r="A121" s="9"/>
      <c r="B121" s="9"/>
      <c r="C121" s="9"/>
      <c r="D121" s="26" t="str">
        <f>Asset6</f>
        <v>Other Assets</v>
      </c>
      <c r="E121" s="9"/>
      <c r="F121" s="9"/>
      <c r="G121" s="123"/>
      <c r="H121" s="167">
        <f>-SUM(H109:H120)</f>
        <v>1.9625858099635379E-2</v>
      </c>
      <c r="I121" s="167">
        <f>-SUM(I109:I120)</f>
        <v>-1.858715123533126E-4</v>
      </c>
      <c r="J121" s="167">
        <f>-SUM(J109:J120)</f>
        <v>-3.679702684602715E-4</v>
      </c>
      <c r="K121" s="167">
        <f>-SUM(K109:K120)</f>
        <v>-5.5215350185674919E-4</v>
      </c>
      <c r="L121" s="167">
        <f>-SUM(L109:L120)</f>
        <v>-7.4404522235855153E-4</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Equity Raising Costs</v>
      </c>
      <c r="D122" s="163"/>
      <c r="E122" s="34" t="s">
        <v>28</v>
      </c>
      <c r="F122" s="33"/>
      <c r="G122" s="176"/>
      <c r="H122" s="67">
        <f>IF(H$3&gt;A8remlife,A8value-SUM($G122:G122),IF(A8remlife="N/A","n/a",A8value/A8remlife))</f>
        <v>0</v>
      </c>
      <c r="I122" s="67">
        <f>IF(I$3&gt;A8remlife,A8value-SUM($G122:H122),IF(A8remlife="N/A","n/a",A8value/A8remlife))</f>
        <v>0</v>
      </c>
      <c r="J122" s="67">
        <f>IF(J$3&gt;A8remlife,A8value-SUM($G122:I122),IF(A8remlife="N/A","n/a",A8value/A8remlife))</f>
        <v>0</v>
      </c>
      <c r="K122" s="67">
        <f>IF(K$3&gt;A8remlife,A8value-SUM($G122:J122),IF(A8remlife="N/A","n/a",A8value/A8remlife))</f>
        <v>0</v>
      </c>
      <c r="L122" s="67">
        <f>IF(L$3&gt;A8remlife,A8value-SUM($G122:K122),IF(A8remlife="N/A","n/a",A8value/A8remlife))</f>
        <v>0</v>
      </c>
      <c r="M122" s="67">
        <f>IF(M$3&gt;A8remlife,A8value-SUM($G122:L122),IF(A8remlife="N/A","n/a",A8value/A8remlife))</f>
        <v>0</v>
      </c>
      <c r="N122" s="67">
        <f>IF(N$3&gt;A8remlife,A8value-SUM($G122:M122),IF(A8remlife="N/A","n/a",A8value/A8remlife))</f>
        <v>0</v>
      </c>
      <c r="O122" s="67">
        <f>IF(O$3&gt;A8remlife,A8value-SUM($G122:N122),IF(A8remlife="N/A","n/a",A8value/A8remlife))</f>
        <v>0</v>
      </c>
      <c r="P122" s="67">
        <f>IF(P$3&gt;A8remlife,A8value-SUM($G122:O122),IF(A8remlife="N/A","n/a",A8value/A8remlife))</f>
        <v>0</v>
      </c>
      <c r="Q122" s="67">
        <f>IF(Q$3&gt;A8remlife,A8value-SUM($G122:P122),IF(A8remlife="N/A","n/a",A8value/A8remlife))</f>
        <v>0</v>
      </c>
      <c r="R122" s="67"/>
      <c r="S122" s="103"/>
      <c r="T122" s="103"/>
      <c r="U122" s="103"/>
      <c r="V122" s="103"/>
      <c r="W122" s="103"/>
      <c r="X122" s="103"/>
      <c r="Y122" s="103"/>
      <c r="Z122" s="103"/>
      <c r="AA122" s="103"/>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19"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20"/>
      <c r="F124" s="86">
        <v>1</v>
      </c>
      <c r="G124" s="123"/>
      <c r="H124" s="147"/>
      <c r="I124" s="68" t="str">
        <f>IF(A7stdlife="n/a","n/a",IF(I$3&gt;(A7stdlife+$F124),(Input!$H$150*(1+vanilla1)^0.5)-SUM($H124:H124),(Input!$H$150*(1+vanilla1)^0.5)/A7stdlife))</f>
        <v>n/a</v>
      </c>
      <c r="J124" s="68" t="str">
        <f>IF(A7stdlife="n/a","n/a",IF(J$3&gt;(A7stdlife+$F124),(Input!$H$150*(1+vanilla1)^0.5)-SUM($H124:I124),(Input!$H$150*(1+vanilla1)^0.5)/A7stdlife))</f>
        <v>n/a</v>
      </c>
      <c r="K124" s="68" t="str">
        <f>IF(A7stdlife="n/a","n/a",IF(K$3&gt;(A7stdlife+$F124),(Input!$H$150*(1+vanilla1)^0.5)-SUM($H124:J124),(Input!$H$150*(1+vanilla1)^0.5)/A7stdlife))</f>
        <v>n/a</v>
      </c>
      <c r="L124" s="68" t="str">
        <f>IF(A7stdlife="n/a","n/a",IF(L$3&gt;(A7stdlife+$F124),(Input!$H$150*(1+vanilla1)^0.5)-SUM($H124:K124),(Input!$H$150*(1+vanilla1)^0.5)/A7stdlife))</f>
        <v>n/a</v>
      </c>
      <c r="M124" s="68" t="str">
        <f>IF(A7stdlife="n/a","n/a",IF(M$3&gt;(A7stdlife+$F124),(Input!$H$150*(1+vanilla1)^0.5)-SUM($H124:L124),(Input!$H$150*(1+vanilla1)^0.5)/A7stdlife))</f>
        <v>n/a</v>
      </c>
      <c r="N124" s="68" t="str">
        <f>IF(A7stdlife="n/a","n/a",IF(N$3&gt;(A7stdlife+$F124),(Input!$H$150*(1+vanilla1)^0.5)-SUM($H124:M124),(Input!$H$150*(1+vanilla1)^0.5)/A7stdlife))</f>
        <v>n/a</v>
      </c>
      <c r="O124" s="68" t="str">
        <f>IF(A7stdlife="n/a","n/a",IF(O$3&gt;(A7stdlife+$F124),(Input!$H$150*(1+vanilla1)^0.5)-SUM($H124:N124),(Input!$H$150*(1+vanilla1)^0.5)/A7stdlife))</f>
        <v>n/a</v>
      </c>
      <c r="P124" s="68" t="str">
        <f>IF(A7stdlife="n/a","n/a",IF(P$3&gt;(A7stdlife+$F124),(Input!$H$150*(1+vanilla1)^0.5)-SUM($H124:O124),(Input!$H$150*(1+vanilla1)^0.5)/A7stdlife))</f>
        <v>n/a</v>
      </c>
      <c r="Q124" s="68" t="str">
        <f>IF(A7stdlife="n/a","n/a",IF(Q$3&gt;(A7stdlife+$F124),(Input!$H$150*(1+vanilla1)^0.5)-SUM($H124:P124),(Input!$H$150*(1+vanilla1)^0.5)/A7stdlife))</f>
        <v>n/a</v>
      </c>
      <c r="R124" s="68"/>
      <c r="S124" s="103"/>
      <c r="T124" s="103"/>
      <c r="U124" s="103"/>
      <c r="V124" s="103"/>
      <c r="W124" s="103"/>
      <c r="X124" s="103"/>
      <c r="Y124" s="103"/>
      <c r="Z124" s="103"/>
      <c r="AA124" s="103"/>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20"/>
      <c r="F125" s="86">
        <v>2</v>
      </c>
      <c r="G125" s="123"/>
      <c r="H125" s="148"/>
      <c r="I125" s="149"/>
      <c r="J125" s="68" t="str">
        <f>IF(A7stdlife="n/a","n/a",IF(J$3&gt;(A7stdlife+$F125),(Input!$I$150*(1+vanilla2)^0.5)-SUM($I125:I125),(Input!$I$150*(1+vanilla2)^0.5)/A7stdlife))</f>
        <v>n/a</v>
      </c>
      <c r="K125" s="68" t="str">
        <f>IF(A7stdlife="n/a","n/a",IF(K$3&gt;(A7stdlife+$F125),(Input!$I$150*(1+vanilla2)^0.5)-SUM($I125:J125),(Input!$I$150*(1+vanilla2)^0.5)/A7stdlife))</f>
        <v>n/a</v>
      </c>
      <c r="L125" s="68" t="str">
        <f>IF(A7stdlife="n/a","n/a",IF(L$3&gt;(A7stdlife+$F125),(Input!$I$150*(1+vanilla2)^0.5)-SUM($I125:K125),(Input!$I$150*(1+vanilla2)^0.5)/A7stdlife))</f>
        <v>n/a</v>
      </c>
      <c r="M125" s="68" t="str">
        <f>IF(A7stdlife="n/a","n/a",IF(M$3&gt;(A7stdlife+$F125),(Input!$I$150*(1+vanilla2)^0.5)-SUM($I125:L125),(Input!$I$150*(1+vanilla2)^0.5)/A7stdlife))</f>
        <v>n/a</v>
      </c>
      <c r="N125" s="68" t="str">
        <f>IF(A7stdlife="n/a","n/a",IF(N$3&gt;(A7stdlife+$F125),(Input!$I$150*(1+vanilla2)^0.5)-SUM($I125:M125),(Input!$I$150*(1+vanilla2)^0.5)/A7stdlife))</f>
        <v>n/a</v>
      </c>
      <c r="O125" s="68" t="str">
        <f>IF(A7stdlife="n/a","n/a",IF(O$3&gt;(A7stdlife+$F125),(Input!$I$150*(1+vanilla2)^0.5)-SUM($I125:N125),(Input!$I$150*(1+vanilla2)^0.5)/A7stdlife))</f>
        <v>n/a</v>
      </c>
      <c r="P125" s="68" t="str">
        <f>IF(A7stdlife="n/a","n/a",IF(P$3&gt;(A7stdlife+$F125),(Input!$I$150*(1+vanilla2)^0.5)-SUM($I125:O125),(Input!$I$150*(1+vanilla2)^0.5)/A7stdlife))</f>
        <v>n/a</v>
      </c>
      <c r="Q125" s="68" t="str">
        <f>IF(A7stdlife="n/a","n/a",IF(Q$3&gt;(A7stdlife+$F125),(Input!$I$150*(1+vanilla2)^0.5)-SUM($I125:P125),(Input!$I$150*(1+vanilla2)^0.5)/A7stdlife))</f>
        <v>n/a</v>
      </c>
      <c r="R125" s="68"/>
      <c r="S125" s="103"/>
      <c r="T125" s="103"/>
      <c r="U125" s="103"/>
      <c r="V125" s="103"/>
      <c r="W125" s="103"/>
      <c r="X125" s="103"/>
      <c r="Y125" s="103"/>
      <c r="Z125" s="103"/>
      <c r="AA125" s="103"/>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20"/>
      <c r="F126" s="86">
        <v>3</v>
      </c>
      <c r="G126" s="123"/>
      <c r="H126" s="148"/>
      <c r="I126" s="150"/>
      <c r="J126" s="149"/>
      <c r="K126" s="68" t="str">
        <f>IF(A7stdlife="n/a","n/a",IF(K$3&gt;(A7stdlife+$F126),(Input!$J$150*(1+vanilla3)^0.5)-SUM($J126:J126),(Input!$J$150*(1+vanilla3)^0.5)/A7stdlife))</f>
        <v>n/a</v>
      </c>
      <c r="L126" s="68" t="str">
        <f>IF(A7stdlife="n/a","n/a",IF(L$3&gt;(A7stdlife+$F126),(Input!$J$150*(1+vanilla3)^0.5)-SUM($J126:K126),(Input!$J$150*(1+vanilla3)^0.5)/A7stdlife))</f>
        <v>n/a</v>
      </c>
      <c r="M126" s="68" t="str">
        <f>IF(A7stdlife="n/a","n/a",IF(M$3&gt;(A7stdlife+$F126),(Input!$J$150*(1+vanilla3)^0.5)-SUM($J126:L126),(Input!$J$150*(1+vanilla3)^0.5)/A7stdlife))</f>
        <v>n/a</v>
      </c>
      <c r="N126" s="68" t="str">
        <f>IF(A7stdlife="n/a","n/a",IF(N$3&gt;(A7stdlife+$F126),(Input!$J$150*(1+vanilla3)^0.5)-SUM($J126:M126),(Input!$J$150*(1+vanilla3)^0.5)/A7stdlife))</f>
        <v>n/a</v>
      </c>
      <c r="O126" s="68" t="str">
        <f>IF(A7stdlife="n/a","n/a",IF(O$3&gt;(A7stdlife+$F126),(Input!$J$150*(1+vanilla3)^0.5)-SUM($J126:N126),(Input!$J$150*(1+vanilla3)^0.5)/A7stdlife))</f>
        <v>n/a</v>
      </c>
      <c r="P126" s="68" t="str">
        <f>IF(A7stdlife="n/a","n/a",IF(P$3&gt;(A7stdlife+$F126),(Input!$J$150*(1+vanilla3)^0.5)-SUM($J126:O126),(Input!$J$150*(1+vanilla3)^0.5)/A7stdlife))</f>
        <v>n/a</v>
      </c>
      <c r="Q126" s="68" t="str">
        <f>IF(A7stdlife="n/a","n/a",IF(Q$3&gt;(A7stdlife+$F126),(Input!$J$150*(1+vanilla3)^0.5)-SUM($J126:P126),(Input!$J$150*(1+vanilla3)^0.5)/A7stdlife))</f>
        <v>n/a</v>
      </c>
      <c r="R126" s="68"/>
      <c r="S126" s="103"/>
      <c r="T126" s="103"/>
      <c r="U126" s="103"/>
      <c r="V126" s="103"/>
      <c r="W126" s="103"/>
      <c r="X126" s="103"/>
      <c r="Y126" s="103"/>
      <c r="Z126" s="103"/>
      <c r="AA126" s="103"/>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20"/>
      <c r="F127" s="86">
        <v>4</v>
      </c>
      <c r="G127" s="123"/>
      <c r="H127" s="148"/>
      <c r="I127" s="150"/>
      <c r="J127" s="150"/>
      <c r="K127" s="149"/>
      <c r="L127" s="68" t="str">
        <f>IF(A7stdlife="n/a","n/a",IF(L$3&gt;(A7stdlife+$F127),(Input!$K$150*(1+vanilla4)^0.5)-SUM($K127:K127),(Input!$K$150*(1+vanilla4)^0.5)/A7stdlife))</f>
        <v>n/a</v>
      </c>
      <c r="M127" s="68" t="str">
        <f>IF(A7stdlife="n/a","n/a",IF(M$3&gt;(A7stdlife+$F127),(Input!$K$150*(1+vanilla4)^0.5)-SUM($K127:L127),(Input!$K$150*(1+vanilla4)^0.5)/A7stdlife))</f>
        <v>n/a</v>
      </c>
      <c r="N127" s="68" t="str">
        <f>IF(A7stdlife="n/a","n/a",IF(N$3&gt;(A7stdlife+$F127),(Input!$K$150*(1+vanilla4)^0.5)-SUM($K127:M127),(Input!$K$150*(1+vanilla4)^0.5)/A7stdlife))</f>
        <v>n/a</v>
      </c>
      <c r="O127" s="68" t="str">
        <f>IF(A7stdlife="n/a","n/a",IF(O$3&gt;(A7stdlife+$F127),(Input!$K$150*(1+vanilla4)^0.5)-SUM($K127:N127),(Input!$K$150*(1+vanilla4)^0.5)/A7stdlife))</f>
        <v>n/a</v>
      </c>
      <c r="P127" s="68" t="str">
        <f>IF(A7stdlife="n/a","n/a",IF(P$3&gt;(A7stdlife+$F127),(Input!$K$150*(1+vanilla4)^0.5)-SUM($K127:O127),(Input!$K$150*(1+vanilla4)^0.5)/A7stdlife))</f>
        <v>n/a</v>
      </c>
      <c r="Q127" s="68" t="str">
        <f>IF(A7stdlife="n/a","n/a",IF(Q$3&gt;(A7stdlife+$F127),(Input!$K$150*(1+vanilla4)^0.5)-SUM($K127:P127),(Input!$K$150*(1+vanilla4)^0.5)/A7stdlife))</f>
        <v>n/a</v>
      </c>
      <c r="R127" s="68"/>
      <c r="S127" s="103"/>
      <c r="T127" s="103"/>
      <c r="U127" s="103"/>
      <c r="V127" s="103"/>
      <c r="W127" s="103"/>
      <c r="X127" s="103"/>
      <c r="Y127" s="103"/>
      <c r="Z127" s="103"/>
      <c r="AA127" s="103"/>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20"/>
      <c r="F128" s="86">
        <v>5</v>
      </c>
      <c r="G128" s="123"/>
      <c r="H128" s="148"/>
      <c r="I128" s="150"/>
      <c r="J128" s="150"/>
      <c r="K128" s="150"/>
      <c r="L128" s="149"/>
      <c r="M128" s="68" t="str">
        <f>IF(A7stdlife="n/a","n/a",IF(M$3&gt;(A7stdlife+$F128),(Input!$L$150*(1+vanilla5)^0.5)-SUM($L128:L128),(Input!$L$150*(1+vanilla5)^0.5)/A7stdlife))</f>
        <v>n/a</v>
      </c>
      <c r="N128" s="68" t="str">
        <f>IF(A7stdlife="n/a","n/a",IF(N$3&gt;(A7stdlife+$F128),(Input!$L$150*(1+vanilla5)^0.5)-SUM($L128:M128),(Input!$L$150*(1+vanilla5)^0.5)/A7stdlife))</f>
        <v>n/a</v>
      </c>
      <c r="O128" s="68" t="str">
        <f>IF(A7stdlife="n/a","n/a",IF(O$3&gt;(A7stdlife+$F128),(Input!$L$150*(1+vanilla5)^0.5)-SUM($L128:N128),(Input!$L$150*(1+vanilla5)^0.5)/A7stdlife))</f>
        <v>n/a</v>
      </c>
      <c r="P128" s="68" t="str">
        <f>IF(A7stdlife="n/a","n/a",IF(P$3&gt;(A7stdlife+$F128),(Input!$L$150*(1+vanilla5)^0.5)-SUM($L128:O128),(Input!$L$150*(1+vanilla5)^0.5)/A7stdlife))</f>
        <v>n/a</v>
      </c>
      <c r="Q128" s="68" t="str">
        <f>IF(A7stdlife="n/a","n/a",IF(Q$3&gt;(A7stdlife+$F128),(Input!$L$150*(1+vanilla5)^0.5)-SUM($L128:P128),(Input!$L$150*(1+vanilla5)^0.5)/A7stdlife))</f>
        <v>n/a</v>
      </c>
      <c r="R128" s="68"/>
      <c r="S128" s="103"/>
      <c r="T128" s="103"/>
      <c r="U128" s="103"/>
      <c r="V128" s="103"/>
      <c r="W128" s="103"/>
      <c r="X128" s="103"/>
      <c r="Y128" s="103"/>
      <c r="Z128" s="103"/>
      <c r="AA128" s="103"/>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20"/>
      <c r="F129" s="86">
        <v>6</v>
      </c>
      <c r="G129" s="123"/>
      <c r="H129" s="148"/>
      <c r="I129" s="150"/>
      <c r="J129" s="150"/>
      <c r="K129" s="150"/>
      <c r="L129" s="150"/>
      <c r="M129" s="149"/>
      <c r="N129" s="68" t="str">
        <f>IF(A7stdlife="n/a","n/a",IF(N$3&gt;(A7stdlife+$F129),(Input!$M$150*(1+vanilla6)^0.5)-SUM($M129:M129),(Input!$M$150*(1+vanilla6)^0.5)/A7stdlife))</f>
        <v>n/a</v>
      </c>
      <c r="O129" s="68" t="str">
        <f>IF(A7stdlife="n/a","n/a",IF(O$3&gt;(A7stdlife+$F129),(Input!$M$150*(1+vanilla6)^0.5)-SUM($M129:N129),(Input!$M$150*(1+vanilla6)^0.5)/A7stdlife))</f>
        <v>n/a</v>
      </c>
      <c r="P129" s="68" t="str">
        <f>IF(A7stdlife="n/a","n/a",IF(P$3&gt;(A7stdlife+$F129),(Input!$M$150*(1+vanilla6)^0.5)-SUM($M129:O129),(Input!$M$150*(1+vanilla6)^0.5)/A7stdlife))</f>
        <v>n/a</v>
      </c>
      <c r="Q129" s="68" t="str">
        <f>IF(A7stdlife="n/a","n/a",IF(Q$3&gt;(A7stdlife+$F129),(Input!$M$150*(1+vanilla6)^0.5)-SUM($M129:P129),(Input!$M$150*(1+vanilla6)^0.5)/A7stdlife))</f>
        <v>n/a</v>
      </c>
      <c r="R129" s="68"/>
      <c r="S129" s="103"/>
      <c r="T129" s="103"/>
      <c r="U129" s="103"/>
      <c r="V129" s="103"/>
      <c r="W129" s="103"/>
      <c r="X129" s="103"/>
      <c r="Y129" s="103"/>
      <c r="Z129" s="103"/>
      <c r="AA129" s="103"/>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20"/>
      <c r="F130" s="86">
        <v>7</v>
      </c>
      <c r="G130" s="123"/>
      <c r="H130" s="148"/>
      <c r="I130" s="150"/>
      <c r="J130" s="150"/>
      <c r="K130" s="150"/>
      <c r="L130" s="150"/>
      <c r="M130" s="150"/>
      <c r="N130" s="149"/>
      <c r="O130" s="68" t="str">
        <f>IF(A7stdlife="n/a","n/a",IF(O$3&gt;(A7stdlife+$F130),(Input!$N$150*(1+vanilla7)^0.5)-SUM($N130:N130),(Input!$N$150*(1+vanilla7)^0.5)/A7stdlife))</f>
        <v>n/a</v>
      </c>
      <c r="P130" s="68" t="str">
        <f>IF(A7stdlife="n/a","n/a",IF(P$3&gt;(A7stdlife+$F130),(Input!$N$150*(1+vanilla7)^0.5)-SUM($N130:O130),(Input!$N$150*(1+vanilla7)^0.5)/A7stdlife))</f>
        <v>n/a</v>
      </c>
      <c r="Q130" s="68" t="str">
        <f>IF(A7stdlife="n/a","n/a",IF(Q$3&gt;(A7stdlife+$F130),(Input!$N$150*(1+vanilla7)^0.5)-SUM($N130:P130),(Input!$N$150*(1+vanilla7)^0.5)/A7stdlife))</f>
        <v>n/a</v>
      </c>
      <c r="R130" s="68"/>
      <c r="S130" s="103"/>
      <c r="T130" s="103"/>
      <c r="U130" s="103"/>
      <c r="V130" s="103"/>
      <c r="W130" s="103"/>
      <c r="X130" s="103"/>
      <c r="Y130" s="103"/>
      <c r="Z130" s="103"/>
      <c r="AA130" s="103"/>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20"/>
      <c r="F131" s="86">
        <v>8</v>
      </c>
      <c r="G131" s="123"/>
      <c r="H131" s="148"/>
      <c r="I131" s="150"/>
      <c r="J131" s="150"/>
      <c r="K131" s="150"/>
      <c r="L131" s="150"/>
      <c r="M131" s="150"/>
      <c r="N131" s="150"/>
      <c r="O131" s="149"/>
      <c r="P131" s="68" t="str">
        <f>IF(A7stdlife="n/a","n/a",IF(P$3&gt;(A7stdlife+$F131),(Input!$O$150*(1+vanilla8)^0.5)-SUM($O131:O131),(Input!$O$150*(1+vanilla8)^0.5)/A7stdlife))</f>
        <v>n/a</v>
      </c>
      <c r="Q131" s="68" t="str">
        <f>IF(A7stdlife="n/a","n/a",IF(Q$3&gt;(A7stdlife+$F131),(Input!$O$150*(1+vanilla8)^0.5)-SUM($O131:P131),(Input!$O$150*(1+vanilla8)^0.5)/A7stdlife))</f>
        <v>n/a</v>
      </c>
      <c r="R131" s="68"/>
      <c r="S131" s="103"/>
      <c r="T131" s="103"/>
      <c r="U131" s="103"/>
      <c r="V131" s="103"/>
      <c r="W131" s="103"/>
      <c r="X131" s="103"/>
      <c r="Y131" s="103"/>
      <c r="Z131" s="103"/>
      <c r="AA131" s="103"/>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20"/>
      <c r="F132" s="86">
        <v>9</v>
      </c>
      <c r="G132" s="123"/>
      <c r="H132" s="148"/>
      <c r="I132" s="150"/>
      <c r="J132" s="150"/>
      <c r="K132" s="150"/>
      <c r="L132" s="150"/>
      <c r="M132" s="150"/>
      <c r="N132" s="150"/>
      <c r="O132" s="150"/>
      <c r="P132" s="149"/>
      <c r="Q132" s="68" t="str">
        <f>IF(A7stdlife="n/a","n/a",IF(Q$3&gt;(A7stdlife+$F132),(Input!$P$150*(1+vanilla9)^0.5)-SUM($P132:P132),(Input!$P$150*(1+vanilla9)^0.5)/A7stdlife))</f>
        <v>n/a</v>
      </c>
      <c r="R132" s="68"/>
      <c r="S132" s="103"/>
      <c r="T132" s="103"/>
      <c r="U132" s="103"/>
      <c r="V132" s="103"/>
      <c r="W132" s="103"/>
      <c r="X132" s="103"/>
      <c r="Y132" s="103"/>
      <c r="Z132" s="103"/>
      <c r="AA132" s="103"/>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20"/>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outlineLevel="1" collapsed="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6"/>
      <c r="H135" s="67">
        <f>IF(H$3&gt;A8remlife,A8value-SUM($G135:G135),IF(A8remlife="N/A","n/a",A8value/A8remlife))</f>
        <v>0</v>
      </c>
      <c r="I135" s="67">
        <f>IF(I$3&gt;A8remlife,A8value-SUM($G135:H135),IF(A8remlife="N/A","n/a",A8value/A8remlife))</f>
        <v>0</v>
      </c>
      <c r="J135" s="67">
        <f>IF(J$3&gt;A8remlife,A8value-SUM($G135:I135),IF(A8remlife="N/A","n/a",A8value/A8remlife))</f>
        <v>0</v>
      </c>
      <c r="K135" s="67">
        <f>IF(K$3&gt;A8remlife,A8value-SUM($G135:J135),IF(A8remlife="N/A","n/a",A8value/A8remlife))</f>
        <v>0</v>
      </c>
      <c r="L135" s="67">
        <f>IF(L$3&gt;A8remlife,A8value-SUM($G135:K135),IF(A8remlife="N/A","n/a",A8value/A8remlife))</f>
        <v>0</v>
      </c>
      <c r="M135" s="67">
        <f>IF(M$3&gt;A8remlife,A8value-SUM($G135:L135),IF(A8remlife="N/A","n/a",A8value/A8remlife))</f>
        <v>0</v>
      </c>
      <c r="N135" s="67">
        <f>IF(N$3&gt;A8remlife,A8value-SUM($G135:M135),IF(A8remlife="N/A","n/a",A8value/A8remlife))</f>
        <v>0</v>
      </c>
      <c r="O135" s="67">
        <f>IF(O$3&gt;A8remlife,A8value-SUM($G135:N135),IF(A8remlife="N/A","n/a",A8value/A8remlife))</f>
        <v>0</v>
      </c>
      <c r="P135" s="67">
        <f>IF(P$3&gt;A8remlife,A8value-SUM($G135:O135),IF(A8remlife="N/A","n/a",A8value/A8remlife))</f>
        <v>0</v>
      </c>
      <c r="Q135" s="67">
        <f>IF(Q$3&gt;A8remlife,A8value-SUM($G135:P135),IF(A8remlife="N/A","n/a",A8value/A8remlife))</f>
        <v>0</v>
      </c>
      <c r="R135" s="67"/>
      <c r="S135" s="103"/>
      <c r="T135" s="103"/>
      <c r="U135" s="103"/>
      <c r="V135" s="103"/>
      <c r="W135" s="103"/>
      <c r="X135" s="103"/>
      <c r="Y135" s="103"/>
      <c r="Z135" s="103"/>
      <c r="AA135" s="103"/>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19"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20"/>
      <c r="F137" s="86">
        <v>1</v>
      </c>
      <c r="G137" s="123"/>
      <c r="H137" s="147"/>
      <c r="I137" s="68" t="str">
        <f>IF(A8stdlife="n/a","n/a",IF(I$3&gt;(A8stdlife+$F137),(Input!$H$150*(1+vanilla1)^0.5)-SUM($H137:H137),(Input!$H$150*(1+vanilla1)^0.5)/A8stdlife))</f>
        <v>n/a</v>
      </c>
      <c r="J137" s="68" t="str">
        <f>IF(A8stdlife="n/a","n/a",IF(J$3&gt;(A8stdlife+$F137),(Input!$H$150*(1+vanilla1)^0.5)-SUM($H137:I137),(Input!$H$150*(1+vanilla1)^0.5)/A8stdlife))</f>
        <v>n/a</v>
      </c>
      <c r="K137" s="68" t="str">
        <f>IF(A8stdlife="n/a","n/a",IF(K$3&gt;(A8stdlife+$F137),(Input!$H$150*(1+vanilla1)^0.5)-SUM($H137:J137),(Input!$H$150*(1+vanilla1)^0.5)/A8stdlife))</f>
        <v>n/a</v>
      </c>
      <c r="L137" s="68" t="str">
        <f>IF(A8stdlife="n/a","n/a",IF(L$3&gt;(A8stdlife+$F137),(Input!$H$150*(1+vanilla1)^0.5)-SUM($H137:K137),(Input!$H$150*(1+vanilla1)^0.5)/A8stdlife))</f>
        <v>n/a</v>
      </c>
      <c r="M137" s="68" t="str">
        <f>IF(A8stdlife="n/a","n/a",IF(M$3&gt;(A8stdlife+$F137),(Input!$H$150*(1+vanilla1)^0.5)-SUM($H137:L137),(Input!$H$150*(1+vanilla1)^0.5)/A8stdlife))</f>
        <v>n/a</v>
      </c>
      <c r="N137" s="68" t="str">
        <f>IF(A8stdlife="n/a","n/a",IF(N$3&gt;(A8stdlife+$F137),(Input!$H$150*(1+vanilla1)^0.5)-SUM($H137:M137),(Input!$H$150*(1+vanilla1)^0.5)/A8stdlife))</f>
        <v>n/a</v>
      </c>
      <c r="O137" s="68" t="str">
        <f>IF(A8stdlife="n/a","n/a",IF(O$3&gt;(A8stdlife+$F137),(Input!$H$150*(1+vanilla1)^0.5)-SUM($H137:N137),(Input!$H$150*(1+vanilla1)^0.5)/A8stdlife))</f>
        <v>n/a</v>
      </c>
      <c r="P137" s="68" t="str">
        <f>IF(A8stdlife="n/a","n/a",IF(P$3&gt;(A8stdlife+$F137),(Input!$H$150*(1+vanilla1)^0.5)-SUM($H137:O137),(Input!$H$150*(1+vanilla1)^0.5)/A8stdlife))</f>
        <v>n/a</v>
      </c>
      <c r="Q137" s="68" t="str">
        <f>IF(A8stdlife="n/a","n/a",IF(Q$3&gt;(A8stdlife+$F137),(Input!$H$150*(1+vanilla1)^0.5)-SUM($H137:P137),(Input!$H$150*(1+vanilla1)^0.5)/A8stdlife))</f>
        <v>n/a</v>
      </c>
      <c r="R137" s="68"/>
      <c r="S137" s="103"/>
      <c r="T137" s="103"/>
      <c r="U137" s="103"/>
      <c r="V137" s="103"/>
      <c r="W137" s="103"/>
      <c r="X137" s="103"/>
      <c r="Y137" s="103"/>
      <c r="Z137" s="103"/>
      <c r="AA137" s="103"/>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20"/>
      <c r="F138" s="86">
        <v>2</v>
      </c>
      <c r="G138" s="123"/>
      <c r="H138" s="148"/>
      <c r="I138" s="149"/>
      <c r="J138" s="68" t="str">
        <f>IF(A8stdlife="n/a","n/a",IF(J$3&gt;(A8stdlife+$F138),(Input!$I$150*(1+vanilla2)^0.5)-SUM($I138:I138),(Input!$I$150*(1+vanilla2)^0.5)/A8stdlife))</f>
        <v>n/a</v>
      </c>
      <c r="K138" s="68" t="str">
        <f>IF(A8stdlife="n/a","n/a",IF(K$3&gt;(A8stdlife+$F138),(Input!$I$150*(1+vanilla2)^0.5)-SUM($I138:J138),(Input!$I$150*(1+vanilla2)^0.5)/A8stdlife))</f>
        <v>n/a</v>
      </c>
      <c r="L138" s="68" t="str">
        <f>IF(A8stdlife="n/a","n/a",IF(L$3&gt;(A8stdlife+$F138),(Input!$I$150*(1+vanilla2)^0.5)-SUM($I138:K138),(Input!$I$150*(1+vanilla2)^0.5)/A8stdlife))</f>
        <v>n/a</v>
      </c>
      <c r="M138" s="68" t="str">
        <f>IF(A8stdlife="n/a","n/a",IF(M$3&gt;(A8stdlife+$F138),(Input!$I$150*(1+vanilla2)^0.5)-SUM($I138:L138),(Input!$I$150*(1+vanilla2)^0.5)/A8stdlife))</f>
        <v>n/a</v>
      </c>
      <c r="N138" s="68" t="str">
        <f>IF(A8stdlife="n/a","n/a",IF(N$3&gt;(A8stdlife+$F138),(Input!$I$150*(1+vanilla2)^0.5)-SUM($I138:M138),(Input!$I$150*(1+vanilla2)^0.5)/A8stdlife))</f>
        <v>n/a</v>
      </c>
      <c r="O138" s="68" t="str">
        <f>IF(A8stdlife="n/a","n/a",IF(O$3&gt;(A8stdlife+$F138),(Input!$I$150*(1+vanilla2)^0.5)-SUM($I138:N138),(Input!$I$150*(1+vanilla2)^0.5)/A8stdlife))</f>
        <v>n/a</v>
      </c>
      <c r="P138" s="68" t="str">
        <f>IF(A8stdlife="n/a","n/a",IF(P$3&gt;(A8stdlife+$F138),(Input!$I$150*(1+vanilla2)^0.5)-SUM($I138:O138),(Input!$I$150*(1+vanilla2)^0.5)/A8stdlife))</f>
        <v>n/a</v>
      </c>
      <c r="Q138" s="68" t="str">
        <f>IF(A8stdlife="n/a","n/a",IF(Q$3&gt;(A8stdlife+$F138),(Input!$I$150*(1+vanilla2)^0.5)-SUM($I138:P138),(Input!$I$150*(1+vanilla2)^0.5)/A8stdlife))</f>
        <v>n/a</v>
      </c>
      <c r="R138" s="68"/>
      <c r="S138" s="103"/>
      <c r="T138" s="103"/>
      <c r="U138" s="103"/>
      <c r="V138" s="103"/>
      <c r="W138" s="103"/>
      <c r="X138" s="103"/>
      <c r="Y138" s="103"/>
      <c r="Z138" s="103"/>
      <c r="AA138" s="103"/>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20"/>
      <c r="F139" s="86">
        <v>3</v>
      </c>
      <c r="G139" s="123"/>
      <c r="H139" s="148"/>
      <c r="I139" s="150"/>
      <c r="J139" s="149"/>
      <c r="K139" s="68" t="str">
        <f>IF(A8stdlife="n/a","n/a",IF(K$3&gt;(A8stdlife+$F139),(Input!$J$150*(1+vanilla3)^0.5)-SUM($J139:J139),(Input!$J$150*(1+vanilla3)^0.5)/A8stdlife))</f>
        <v>n/a</v>
      </c>
      <c r="L139" s="68" t="str">
        <f>IF(A8stdlife="n/a","n/a",IF(L$3&gt;(A8stdlife+$F139),(Input!$J$150*(1+vanilla3)^0.5)-SUM($J139:K139),(Input!$J$150*(1+vanilla3)^0.5)/A8stdlife))</f>
        <v>n/a</v>
      </c>
      <c r="M139" s="68" t="str">
        <f>IF(A8stdlife="n/a","n/a",IF(M$3&gt;(A8stdlife+$F139),(Input!$J$150*(1+vanilla3)^0.5)-SUM($J139:L139),(Input!$J$150*(1+vanilla3)^0.5)/A8stdlife))</f>
        <v>n/a</v>
      </c>
      <c r="N139" s="68" t="str">
        <f>IF(A8stdlife="n/a","n/a",IF(N$3&gt;(A8stdlife+$F139),(Input!$J$150*(1+vanilla3)^0.5)-SUM($J139:M139),(Input!$J$150*(1+vanilla3)^0.5)/A8stdlife))</f>
        <v>n/a</v>
      </c>
      <c r="O139" s="68" t="str">
        <f>IF(A8stdlife="n/a","n/a",IF(O$3&gt;(A8stdlife+$F139),(Input!$J$150*(1+vanilla3)^0.5)-SUM($J139:N139),(Input!$J$150*(1+vanilla3)^0.5)/A8stdlife))</f>
        <v>n/a</v>
      </c>
      <c r="P139" s="68" t="str">
        <f>IF(A8stdlife="n/a","n/a",IF(P$3&gt;(A8stdlife+$F139),(Input!$J$150*(1+vanilla3)^0.5)-SUM($J139:O139),(Input!$J$150*(1+vanilla3)^0.5)/A8stdlife))</f>
        <v>n/a</v>
      </c>
      <c r="Q139" s="68" t="str">
        <f>IF(A8stdlife="n/a","n/a",IF(Q$3&gt;(A8stdlife+$F139),(Input!$J$150*(1+vanilla3)^0.5)-SUM($J139:P139),(Input!$J$150*(1+vanilla3)^0.5)/A8stdlife))</f>
        <v>n/a</v>
      </c>
      <c r="R139" s="68"/>
      <c r="S139" s="103"/>
      <c r="T139" s="103"/>
      <c r="U139" s="103"/>
      <c r="V139" s="103"/>
      <c r="W139" s="103"/>
      <c r="X139" s="103"/>
      <c r="Y139" s="103"/>
      <c r="Z139" s="103"/>
      <c r="AA139" s="103"/>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20"/>
      <c r="F140" s="86">
        <v>4</v>
      </c>
      <c r="G140" s="123"/>
      <c r="H140" s="148"/>
      <c r="I140" s="150"/>
      <c r="J140" s="150"/>
      <c r="K140" s="149"/>
      <c r="L140" s="68" t="str">
        <f>IF(A8stdlife="n/a","n/a",IF(L$3&gt;(A8stdlife+$F140),(Input!$K$150*(1+vanilla4)^0.5)-SUM($K140:K140),(Input!$K$150*(1+vanilla4)^0.5)/A8stdlife))</f>
        <v>n/a</v>
      </c>
      <c r="M140" s="68" t="str">
        <f>IF(A8stdlife="n/a","n/a",IF(M$3&gt;(A8stdlife+$F140),(Input!$K$150*(1+vanilla4)^0.5)-SUM($K140:L140),(Input!$K$150*(1+vanilla4)^0.5)/A8stdlife))</f>
        <v>n/a</v>
      </c>
      <c r="N140" s="68" t="str">
        <f>IF(A8stdlife="n/a","n/a",IF(N$3&gt;(A8stdlife+$F140),(Input!$K$150*(1+vanilla4)^0.5)-SUM($K140:M140),(Input!$K$150*(1+vanilla4)^0.5)/A8stdlife))</f>
        <v>n/a</v>
      </c>
      <c r="O140" s="68" t="str">
        <f>IF(A8stdlife="n/a","n/a",IF(O$3&gt;(A8stdlife+$F140),(Input!$K$150*(1+vanilla4)^0.5)-SUM($K140:N140),(Input!$K$150*(1+vanilla4)^0.5)/A8stdlife))</f>
        <v>n/a</v>
      </c>
      <c r="P140" s="68" t="str">
        <f>IF(A8stdlife="n/a","n/a",IF(P$3&gt;(A8stdlife+$F140),(Input!$K$150*(1+vanilla4)^0.5)-SUM($K140:O140),(Input!$K$150*(1+vanilla4)^0.5)/A8stdlife))</f>
        <v>n/a</v>
      </c>
      <c r="Q140" s="68" t="str">
        <f>IF(A8stdlife="n/a","n/a",IF(Q$3&gt;(A8stdlife+$F140),(Input!$K$150*(1+vanilla4)^0.5)-SUM($K140:P140),(Input!$K$150*(1+vanilla4)^0.5)/A8stdlife))</f>
        <v>n/a</v>
      </c>
      <c r="R140" s="68"/>
      <c r="S140" s="103"/>
      <c r="T140" s="103"/>
      <c r="U140" s="103"/>
      <c r="V140" s="103"/>
      <c r="W140" s="103"/>
      <c r="X140" s="103"/>
      <c r="Y140" s="103"/>
      <c r="Z140" s="103"/>
      <c r="AA140" s="103"/>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20"/>
      <c r="F141" s="86">
        <v>5</v>
      </c>
      <c r="G141" s="123"/>
      <c r="H141" s="148"/>
      <c r="I141" s="150"/>
      <c r="J141" s="150"/>
      <c r="K141" s="150"/>
      <c r="L141" s="149"/>
      <c r="M141" s="68" t="str">
        <f>IF(A8stdlife="n/a","n/a",IF(M$3&gt;(A8stdlife+$F141),(Input!$L$150*(1+vanilla5)^0.5)-SUM($L141:L141),(Input!$L$150*(1+vanilla5)^0.5)/A8stdlife))</f>
        <v>n/a</v>
      </c>
      <c r="N141" s="68" t="str">
        <f>IF(A8stdlife="n/a","n/a",IF(N$3&gt;(A8stdlife+$F141),(Input!$L$150*(1+vanilla5)^0.5)-SUM($L141:M141),(Input!$L$150*(1+vanilla5)^0.5)/A8stdlife))</f>
        <v>n/a</v>
      </c>
      <c r="O141" s="68" t="str">
        <f>IF(A8stdlife="n/a","n/a",IF(O$3&gt;(A8stdlife+$F141),(Input!$L$150*(1+vanilla5)^0.5)-SUM($L141:N141),(Input!$L$150*(1+vanilla5)^0.5)/A8stdlife))</f>
        <v>n/a</v>
      </c>
      <c r="P141" s="68" t="str">
        <f>IF(A8stdlife="n/a","n/a",IF(P$3&gt;(A8stdlife+$F141),(Input!$L$150*(1+vanilla5)^0.5)-SUM($L141:O141),(Input!$L$150*(1+vanilla5)^0.5)/A8stdlife))</f>
        <v>n/a</v>
      </c>
      <c r="Q141" s="68" t="str">
        <f>IF(A8stdlife="n/a","n/a",IF(Q$3&gt;(A8stdlife+$F141),(Input!$L$150*(1+vanilla5)^0.5)-SUM($L141:P141),(Input!$L$150*(1+vanilla5)^0.5)/A8stdlife))</f>
        <v>n/a</v>
      </c>
      <c r="R141" s="68"/>
      <c r="S141" s="103"/>
      <c r="T141" s="103"/>
      <c r="U141" s="103"/>
      <c r="V141" s="103"/>
      <c r="W141" s="103"/>
      <c r="X141" s="103"/>
      <c r="Y141" s="103"/>
      <c r="Z141" s="103"/>
      <c r="AA141" s="103"/>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20"/>
      <c r="F142" s="86">
        <v>6</v>
      </c>
      <c r="G142" s="123"/>
      <c r="H142" s="148"/>
      <c r="I142" s="150"/>
      <c r="J142" s="150"/>
      <c r="K142" s="150"/>
      <c r="L142" s="150"/>
      <c r="M142" s="149"/>
      <c r="N142" s="68" t="str">
        <f>IF(A8stdlife="n/a","n/a",IF(N$3&gt;(A8stdlife+$F142),(Input!$M$150*(1+vanilla6)^0.5)-SUM($M142:M142),(Input!$M$150*(1+vanilla6)^0.5)/A8stdlife))</f>
        <v>n/a</v>
      </c>
      <c r="O142" s="68" t="str">
        <f>IF(A8stdlife="n/a","n/a",IF(O$3&gt;(A8stdlife+$F142),(Input!$M$150*(1+vanilla6)^0.5)-SUM($M142:N142),(Input!$M$150*(1+vanilla6)^0.5)/A8stdlife))</f>
        <v>n/a</v>
      </c>
      <c r="P142" s="68" t="str">
        <f>IF(A8stdlife="n/a","n/a",IF(P$3&gt;(A8stdlife+$F142),(Input!$M$150*(1+vanilla6)^0.5)-SUM($M142:O142),(Input!$M$150*(1+vanilla6)^0.5)/A8stdlife))</f>
        <v>n/a</v>
      </c>
      <c r="Q142" s="68" t="str">
        <f>IF(A8stdlife="n/a","n/a",IF(Q$3&gt;(A8stdlife+$F142),(Input!$M$150*(1+vanilla6)^0.5)-SUM($M142:P142),(Input!$M$150*(1+vanilla6)^0.5)/A8stdlife))</f>
        <v>n/a</v>
      </c>
      <c r="R142" s="68"/>
      <c r="S142" s="103"/>
      <c r="T142" s="103"/>
      <c r="U142" s="103"/>
      <c r="V142" s="103"/>
      <c r="W142" s="103"/>
      <c r="X142" s="103"/>
      <c r="Y142" s="103"/>
      <c r="Z142" s="103"/>
      <c r="AA142" s="103"/>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20"/>
      <c r="F143" s="86">
        <v>7</v>
      </c>
      <c r="G143" s="123"/>
      <c r="H143" s="148"/>
      <c r="I143" s="150"/>
      <c r="J143" s="150"/>
      <c r="K143" s="150"/>
      <c r="L143" s="150"/>
      <c r="M143" s="150"/>
      <c r="N143" s="149"/>
      <c r="O143" s="68" t="str">
        <f>IF(A8stdlife="n/a","n/a",IF(O$3&gt;(A8stdlife+$F143),(Input!$N$150*(1+vanilla7)^0.5)-SUM($N143:N143),(Input!$N$150*(1+vanilla7)^0.5)/A8stdlife))</f>
        <v>n/a</v>
      </c>
      <c r="P143" s="68" t="str">
        <f>IF(A8stdlife="n/a","n/a",IF(P$3&gt;(A8stdlife+$F143),(Input!$N$150*(1+vanilla7)^0.5)-SUM($N143:O143),(Input!$N$150*(1+vanilla7)^0.5)/A8stdlife))</f>
        <v>n/a</v>
      </c>
      <c r="Q143" s="68" t="str">
        <f>IF(A8stdlife="n/a","n/a",IF(Q$3&gt;(A8stdlife+$F143),(Input!$N$150*(1+vanilla7)^0.5)-SUM($N143:P143),(Input!$N$150*(1+vanilla7)^0.5)/A8stdlife))</f>
        <v>n/a</v>
      </c>
      <c r="R143" s="68"/>
      <c r="S143" s="103"/>
      <c r="T143" s="103"/>
      <c r="U143" s="103"/>
      <c r="V143" s="103"/>
      <c r="W143" s="103"/>
      <c r="X143" s="103"/>
      <c r="Y143" s="103"/>
      <c r="Z143" s="103"/>
      <c r="AA143" s="103"/>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20"/>
      <c r="F144" s="86">
        <v>8</v>
      </c>
      <c r="G144" s="123"/>
      <c r="H144" s="148"/>
      <c r="I144" s="150"/>
      <c r="J144" s="150"/>
      <c r="K144" s="150"/>
      <c r="L144" s="150"/>
      <c r="M144" s="150"/>
      <c r="N144" s="150"/>
      <c r="O144" s="149"/>
      <c r="P144" s="68" t="str">
        <f>IF(A8stdlife="n/a","n/a",IF(P$3&gt;(A8stdlife+$F144),(Input!$O$150*(1+vanilla8)^0.5)-SUM($O144:O144),(Input!$O$150*(1+vanilla8)^0.5)/A8stdlife))</f>
        <v>n/a</v>
      </c>
      <c r="Q144" s="68" t="str">
        <f>IF(A8stdlife="n/a","n/a",IF(Q$3&gt;(A8stdlife+$F144),(Input!$O$150*(1+vanilla8)^0.5)-SUM($O144:P144),(Input!$O$150*(1+vanilla8)^0.5)/A8stdlife))</f>
        <v>n/a</v>
      </c>
      <c r="R144" s="68"/>
      <c r="S144" s="103"/>
      <c r="T144" s="103"/>
      <c r="U144" s="103"/>
      <c r="V144" s="103"/>
      <c r="W144" s="103"/>
      <c r="X144" s="103"/>
      <c r="Y144" s="103"/>
      <c r="Z144" s="103"/>
      <c r="AA144" s="103"/>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20"/>
      <c r="F145" s="86">
        <v>9</v>
      </c>
      <c r="G145" s="123"/>
      <c r="H145" s="148"/>
      <c r="I145" s="150"/>
      <c r="J145" s="150"/>
      <c r="K145" s="150"/>
      <c r="L145" s="150"/>
      <c r="M145" s="150"/>
      <c r="N145" s="150"/>
      <c r="O145" s="150"/>
      <c r="P145" s="149"/>
      <c r="Q145" s="68" t="str">
        <f>IF(A8stdlife="n/a","n/a",IF(Q$3&gt;(A8stdlife+$F145),(Input!$P$150*(1+vanilla9)^0.5)-SUM($P145:P145),(Input!$P$150*(1+vanilla9)^0.5)/A8stdlife))</f>
        <v>n/a</v>
      </c>
      <c r="R145" s="68"/>
      <c r="S145" s="103"/>
      <c r="T145" s="103"/>
      <c r="U145" s="103"/>
      <c r="V145" s="103"/>
      <c r="W145" s="103"/>
      <c r="X145" s="103"/>
      <c r="Y145" s="103"/>
      <c r="Z145" s="103"/>
      <c r="AA145" s="103"/>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20"/>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1" collapsed="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19"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20"/>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20"/>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20"/>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20"/>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20"/>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20"/>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20"/>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20"/>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20"/>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20"/>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19"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20"/>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20"/>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20"/>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20"/>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20"/>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20"/>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20"/>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20"/>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20"/>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20"/>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19"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20"/>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20"/>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20"/>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20"/>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20"/>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20"/>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20"/>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20"/>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20"/>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20"/>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19"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20"/>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20"/>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20"/>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20"/>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20"/>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20"/>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20"/>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20"/>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20"/>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20"/>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19"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20"/>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20"/>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20"/>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20"/>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20"/>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20"/>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20"/>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20"/>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20"/>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20"/>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19"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20"/>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20"/>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20"/>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20"/>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20"/>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20"/>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20"/>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20"/>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20"/>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20"/>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19"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20"/>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20"/>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20"/>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20"/>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20"/>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20"/>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20"/>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20"/>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20"/>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20"/>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19"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20"/>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20"/>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20"/>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20"/>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20"/>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20"/>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20"/>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20"/>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20"/>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20"/>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19"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20"/>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20"/>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20"/>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20"/>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20"/>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20"/>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20"/>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20"/>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20"/>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20"/>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19"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20"/>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20"/>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20"/>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20"/>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20"/>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20"/>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20"/>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20"/>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20"/>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20"/>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19"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20"/>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20"/>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20"/>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20"/>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20"/>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20"/>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20"/>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20"/>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20"/>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20"/>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19"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20"/>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20"/>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20"/>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20"/>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20"/>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20"/>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20"/>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20"/>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20"/>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20"/>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19"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20"/>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20"/>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20"/>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20"/>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20"/>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20"/>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20"/>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20"/>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20"/>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20"/>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19"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20"/>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20"/>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20"/>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20"/>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20"/>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20"/>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20"/>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20"/>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20"/>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20"/>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19"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20"/>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20"/>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20"/>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20"/>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20"/>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20"/>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20"/>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20"/>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20"/>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20"/>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19"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20"/>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20"/>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20"/>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20"/>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20"/>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20"/>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20"/>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20"/>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20"/>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20"/>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19"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20"/>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20"/>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20"/>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20"/>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20"/>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20"/>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20"/>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20"/>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20"/>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20"/>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19"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20"/>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20"/>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20"/>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20"/>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20"/>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20"/>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20"/>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20"/>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20"/>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20"/>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19"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20"/>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20"/>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20"/>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20"/>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20"/>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20"/>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20"/>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20"/>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20"/>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20"/>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19"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20"/>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20"/>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20"/>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20"/>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20"/>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20"/>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20"/>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20"/>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20"/>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20"/>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19"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20"/>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20"/>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20"/>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20"/>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20"/>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20"/>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20"/>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20"/>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20"/>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20"/>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19"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20"/>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20"/>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20"/>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20"/>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20"/>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20"/>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20"/>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20"/>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20"/>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20"/>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6"/>
      <c r="BE436" s="106"/>
      <c r="BF436" s="106"/>
      <c r="BG436" s="106"/>
      <c r="BH436" s="106"/>
      <c r="BI436" s="106"/>
      <c r="BJ436" s="106"/>
      <c r="BK436" s="12"/>
      <c r="BL436" s="12"/>
    </row>
    <row r="437" spans="1:256">
      <c r="A437" s="9"/>
      <c r="B437" s="9"/>
      <c r="C437" s="46" t="s">
        <v>44</v>
      </c>
      <c r="D437" s="9"/>
      <c r="E437" s="9"/>
      <c r="F437" s="9"/>
      <c r="G437" s="200">
        <f>SUM(G438:G467)</f>
        <v>34.254528819693356</v>
      </c>
      <c r="H437" s="116">
        <f>SUM(H438:H467)</f>
        <v>34.832491213332318</v>
      </c>
      <c r="I437" s="116">
        <f t="shared" ref="I437:R437" si="4">SUM(I438:I467)</f>
        <v>35.357457705252337</v>
      </c>
      <c r="J437" s="116">
        <f t="shared" si="4"/>
        <v>35.720479880120521</v>
      </c>
      <c r="K437" s="116">
        <f t="shared" si="4"/>
        <v>36.144629181481491</v>
      </c>
      <c r="L437" s="116">
        <f t="shared" si="4"/>
        <v>36.678614341933724</v>
      </c>
      <c r="M437" s="116">
        <f>SUM(M438:M467)</f>
        <v>37.541354712098546</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9"/>
      <c r="BE437" s="99"/>
      <c r="BF437" s="99"/>
      <c r="BG437" s="99"/>
      <c r="BH437" s="99"/>
      <c r="BI437" s="99"/>
      <c r="BJ437" s="99"/>
      <c r="BK437" s="12"/>
      <c r="BL437" s="12"/>
    </row>
    <row r="438" spans="1:256" hidden="1" outlineLevel="1">
      <c r="A438" s="9"/>
      <c r="B438" s="9"/>
      <c r="C438" s="9"/>
      <c r="D438" s="129" t="str">
        <f>Asset1</f>
        <v>Mains &amp; Services</v>
      </c>
      <c r="E438" s="9"/>
      <c r="F438" s="9"/>
      <c r="G438" s="193">
        <f>Input!J7</f>
        <v>29.489119193165411</v>
      </c>
      <c r="H438" s="111">
        <f t="shared" ref="H438:H457" si="5">G438+G470+G502+G534+G566+G598</f>
        <v>30.137140599109127</v>
      </c>
      <c r="I438" s="111">
        <f t="shared" ref="I438:M447" si="6">H438+H470+H502</f>
        <v>30.836795865702328</v>
      </c>
      <c r="J438" s="111">
        <f t="shared" si="6"/>
        <v>31.506862671843706</v>
      </c>
      <c r="K438" s="111">
        <f t="shared" si="6"/>
        <v>32.348958091536645</v>
      </c>
      <c r="L438" s="111">
        <f t="shared" si="6"/>
        <v>33.003839455382128</v>
      </c>
      <c r="M438" s="111">
        <f t="shared" si="6"/>
        <v>33.737524672933034</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tr">
        <f>Asset2</f>
        <v>Meters</v>
      </c>
      <c r="E439" s="9"/>
      <c r="F439" s="9"/>
      <c r="G439" s="193">
        <f>Input!J8</f>
        <v>4.8090830037058794</v>
      </c>
      <c r="H439" s="111">
        <f t="shared" si="5"/>
        <v>4.7149649844444141</v>
      </c>
      <c r="I439" s="111">
        <f t="shared" si="6"/>
        <v>4.4601277398909867</v>
      </c>
      <c r="J439" s="111">
        <f t="shared" si="6"/>
        <v>4.1273408760207806</v>
      </c>
      <c r="K439" s="111">
        <f t="shared" si="6"/>
        <v>3.7717330755859493</v>
      </c>
      <c r="L439" s="111">
        <f t="shared" si="6"/>
        <v>3.6687992059768848</v>
      </c>
      <c r="M439" s="111">
        <f t="shared" si="6"/>
        <v>3.5297470850866319</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100"/>
      <c r="BE439" s="100"/>
      <c r="BF439" s="100"/>
      <c r="BG439" s="100"/>
      <c r="BH439" s="100"/>
      <c r="BI439" s="100"/>
      <c r="BJ439" s="100"/>
      <c r="BK439" s="12"/>
      <c r="BL439" s="12"/>
    </row>
    <row r="440" spans="1:256" hidden="1" outlineLevel="1">
      <c r="A440" s="9"/>
      <c r="B440" s="9"/>
      <c r="C440" s="46"/>
      <c r="D440" s="129" t="str">
        <f>Asset3</f>
        <v>Buildings</v>
      </c>
      <c r="E440" s="9"/>
      <c r="F440" s="9"/>
      <c r="G440" s="193">
        <f>Input!J9</f>
        <v>1.1097264938681386E-5</v>
      </c>
      <c r="H440" s="111">
        <f t="shared" si="5"/>
        <v>1.1487878418923489E-5</v>
      </c>
      <c r="I440" s="111">
        <f t="shared" si="6"/>
        <v>3.4558944247975454E-19</v>
      </c>
      <c r="J440" s="111">
        <f t="shared" si="6"/>
        <v>3.5305797660014215E-19</v>
      </c>
      <c r="K440" s="111">
        <f t="shared" si="6"/>
        <v>3.612054683678378E-19</v>
      </c>
      <c r="L440" s="111">
        <f t="shared" si="6"/>
        <v>3.6663712954630147E-19</v>
      </c>
      <c r="M440" s="111">
        <f t="shared" si="6"/>
        <v>3.7138983307745729E-19</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100"/>
      <c r="BE440" s="100"/>
      <c r="BF440" s="100"/>
      <c r="BG440" s="100"/>
      <c r="BH440" s="100"/>
      <c r="BI440" s="100"/>
      <c r="BJ440" s="100"/>
      <c r="BK440" s="12"/>
      <c r="BL440" s="12"/>
    </row>
    <row r="441" spans="1:256" hidden="1" outlineLevel="1">
      <c r="A441" s="9"/>
      <c r="B441" s="9"/>
      <c r="C441" s="46"/>
      <c r="D441" s="129" t="str">
        <f>Asset4</f>
        <v>SCADA</v>
      </c>
      <c r="E441" s="9"/>
      <c r="F441" s="9"/>
      <c r="G441" s="193">
        <f>Input!J10</f>
        <v>0</v>
      </c>
      <c r="H441" s="111">
        <f t="shared" si="5"/>
        <v>0</v>
      </c>
      <c r="I441" s="111">
        <f t="shared" si="6"/>
        <v>0</v>
      </c>
      <c r="J441" s="111">
        <f t="shared" si="6"/>
        <v>-1.6463969631295425E-3</v>
      </c>
      <c r="K441" s="111">
        <f t="shared" si="6"/>
        <v>-5.2131243909577752E-3</v>
      </c>
      <c r="L441" s="111">
        <f t="shared" si="6"/>
        <v>-1.0766821543259406E-2</v>
      </c>
      <c r="M441" s="111">
        <f t="shared" si="6"/>
        <v>-1.8450999229165439E-2</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100"/>
      <c r="BE441" s="100"/>
      <c r="BF441" s="100"/>
      <c r="BG441" s="100"/>
      <c r="BH441" s="100"/>
      <c r="BI441" s="100"/>
      <c r="BJ441" s="100"/>
      <c r="BK441" s="12"/>
      <c r="BL441" s="12"/>
    </row>
    <row r="442" spans="1:256" hidden="1" outlineLevel="1">
      <c r="A442" s="9"/>
      <c r="B442" s="9"/>
      <c r="C442" s="46"/>
      <c r="D442" s="129" t="str">
        <f>Asset5</f>
        <v>Computer Equipment</v>
      </c>
      <c r="E442" s="9"/>
      <c r="F442" s="9"/>
      <c r="G442" s="193">
        <f>Input!J11</f>
        <v>0</v>
      </c>
      <c r="H442" s="111">
        <f t="shared" si="5"/>
        <v>0</v>
      </c>
      <c r="I442" s="111">
        <f t="shared" si="6"/>
        <v>0</v>
      </c>
      <c r="J442" s="111">
        <f t="shared" si="6"/>
        <v>-3.7670319872074656E-2</v>
      </c>
      <c r="K442" s="111">
        <f t="shared" si="6"/>
        <v>-0.1526981443811265</v>
      </c>
      <c r="L442" s="111">
        <f t="shared" si="6"/>
        <v>-0.25702169765028016</v>
      </c>
      <c r="M442" s="111">
        <f t="shared" si="6"/>
        <v>-0.10647047459366193</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100"/>
      <c r="BE442" s="100"/>
      <c r="BF442" s="100"/>
      <c r="BG442" s="100"/>
      <c r="BH442" s="100"/>
      <c r="BI442" s="100"/>
      <c r="BJ442" s="100"/>
      <c r="BK442" s="12"/>
      <c r="BL442" s="12"/>
    </row>
    <row r="443" spans="1:256" hidden="1" outlineLevel="1">
      <c r="A443" s="9"/>
      <c r="B443" s="9"/>
      <c r="C443" s="46"/>
      <c r="D443" s="129" t="str">
        <f>Asset6</f>
        <v>Other Assets</v>
      </c>
      <c r="E443" s="9"/>
      <c r="F443" s="9"/>
      <c r="G443" s="193">
        <f>Input!J12</f>
        <v>-4.3684474442873156E-2</v>
      </c>
      <c r="H443" s="111">
        <f t="shared" si="5"/>
        <v>-1.9625858099635376E-2</v>
      </c>
      <c r="I443" s="111">
        <f t="shared" si="6"/>
        <v>6.0534099659024426E-2</v>
      </c>
      <c r="J443" s="111">
        <f t="shared" si="6"/>
        <v>0.12559304909124444</v>
      </c>
      <c r="K443" s="111">
        <f t="shared" si="6"/>
        <v>0.18184928313098073</v>
      </c>
      <c r="L443" s="111">
        <f t="shared" si="6"/>
        <v>0.273764199768251</v>
      </c>
      <c r="M443" s="111">
        <f t="shared" si="6"/>
        <v>0.39900442790170504</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100"/>
      <c r="BE443" s="100"/>
      <c r="BF443" s="100"/>
      <c r="BG443" s="100"/>
      <c r="BH443" s="100"/>
      <c r="BI443" s="100"/>
      <c r="BJ443" s="100"/>
      <c r="BK443" s="12"/>
      <c r="BL443" s="12"/>
    </row>
    <row r="444" spans="1:256" hidden="1"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100"/>
      <c r="BE444" s="100"/>
      <c r="BF444" s="100"/>
      <c r="BG444" s="100"/>
      <c r="BH444" s="100"/>
      <c r="BI444" s="100"/>
      <c r="BJ444" s="100"/>
      <c r="BK444" s="12"/>
      <c r="BL444" s="12"/>
    </row>
    <row r="445" spans="1:256" hidden="1"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100"/>
      <c r="BE445" s="100"/>
      <c r="BF445" s="100"/>
      <c r="BG445" s="100"/>
      <c r="BH445" s="100"/>
      <c r="BI445" s="100"/>
      <c r="BJ445" s="100"/>
      <c r="BK445" s="12"/>
      <c r="BL445" s="12"/>
    </row>
    <row r="446" spans="1:256" hidden="1"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100"/>
      <c r="BE446" s="100"/>
      <c r="BF446" s="100"/>
      <c r="BG446" s="100"/>
      <c r="BH446" s="100"/>
      <c r="BI446" s="100"/>
      <c r="BJ446" s="100"/>
      <c r="BK446" s="12"/>
      <c r="BL446" s="12"/>
    </row>
    <row r="447" spans="1:256" hidden="1"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100"/>
      <c r="BE447" s="100"/>
      <c r="BF447" s="100"/>
      <c r="BG447" s="100"/>
      <c r="BH447" s="100"/>
      <c r="BI447" s="100"/>
      <c r="BJ447" s="100"/>
      <c r="BK447" s="12"/>
      <c r="BL447" s="12"/>
    </row>
    <row r="448" spans="1:256" hidden="1"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100"/>
      <c r="BE448" s="100"/>
      <c r="BF448" s="100"/>
      <c r="BG448" s="100"/>
      <c r="BH448" s="100"/>
      <c r="BI448" s="100"/>
      <c r="BJ448" s="100"/>
      <c r="BK448" s="12"/>
      <c r="BL448" s="12"/>
    </row>
    <row r="449" spans="1:64" hidden="1"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100"/>
      <c r="BE449" s="100"/>
      <c r="BF449" s="100"/>
      <c r="BG449" s="100"/>
      <c r="BH449" s="100"/>
      <c r="BI449" s="100"/>
      <c r="BJ449" s="100"/>
      <c r="BK449" s="12"/>
      <c r="BL449" s="12"/>
    </row>
    <row r="450" spans="1:64" hidden="1"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100"/>
      <c r="BE450" s="100"/>
      <c r="BF450" s="100"/>
      <c r="BG450" s="100"/>
      <c r="BH450" s="100"/>
      <c r="BI450" s="100"/>
      <c r="BJ450" s="100"/>
      <c r="BK450" s="12"/>
      <c r="BL450" s="12"/>
    </row>
    <row r="451" spans="1:64" hidden="1"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100"/>
      <c r="BE451" s="100"/>
      <c r="BF451" s="100"/>
      <c r="BG451" s="100"/>
      <c r="BH451" s="100"/>
      <c r="BI451" s="100"/>
      <c r="BJ451" s="100"/>
      <c r="BK451" s="12"/>
      <c r="BL451" s="12"/>
    </row>
    <row r="452" spans="1:64" hidden="1"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100"/>
      <c r="BE452" s="100"/>
      <c r="BF452" s="100"/>
      <c r="BG452" s="100"/>
      <c r="BH452" s="100"/>
      <c r="BI452" s="100"/>
      <c r="BJ452" s="100"/>
      <c r="BK452" s="12"/>
      <c r="BL452" s="12"/>
    </row>
    <row r="453" spans="1:64" hidden="1"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100"/>
      <c r="BE453" s="100"/>
      <c r="BF453" s="100"/>
      <c r="BG453" s="100"/>
      <c r="BH453" s="100"/>
      <c r="BI453" s="100"/>
      <c r="BJ453" s="100"/>
      <c r="BK453" s="12"/>
      <c r="BL453" s="12"/>
    </row>
    <row r="454" spans="1:64" hidden="1"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100"/>
      <c r="BE454" s="100"/>
      <c r="BF454" s="100"/>
      <c r="BG454" s="100"/>
      <c r="BH454" s="100"/>
      <c r="BI454" s="100"/>
      <c r="BJ454" s="100"/>
      <c r="BK454" s="12"/>
      <c r="BL454" s="12"/>
    </row>
    <row r="455" spans="1:64" hidden="1"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100"/>
      <c r="BE455" s="100"/>
      <c r="BF455" s="100"/>
      <c r="BG455" s="100"/>
      <c r="BH455" s="100"/>
      <c r="BI455" s="100"/>
      <c r="BJ455" s="100"/>
      <c r="BK455" s="12"/>
      <c r="BL455" s="12"/>
    </row>
    <row r="456" spans="1:64" hidden="1"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100"/>
      <c r="BE456" s="100"/>
      <c r="BF456" s="100"/>
      <c r="BG456" s="100"/>
      <c r="BH456" s="100"/>
      <c r="BI456" s="100"/>
      <c r="BJ456" s="100"/>
      <c r="BK456" s="12"/>
      <c r="BL456" s="12"/>
    </row>
    <row r="457" spans="1:64" hidden="1"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100"/>
      <c r="BE457" s="100"/>
      <c r="BF457" s="100"/>
      <c r="BG457" s="100"/>
      <c r="BH457" s="100"/>
      <c r="BI457" s="100"/>
      <c r="BJ457" s="100"/>
      <c r="BK457" s="12"/>
      <c r="BL457" s="12"/>
    </row>
    <row r="458" spans="1:64" hidden="1"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100"/>
      <c r="BE458" s="100"/>
      <c r="BF458" s="100"/>
      <c r="BG458" s="100"/>
      <c r="BH458" s="100"/>
      <c r="BI458" s="100"/>
      <c r="BJ458" s="100"/>
      <c r="BK458" s="12"/>
      <c r="BL458" s="12"/>
    </row>
    <row r="459" spans="1:64" hidden="1"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100"/>
      <c r="BE459" s="100"/>
      <c r="BF459" s="100"/>
      <c r="BG459" s="100"/>
      <c r="BH459" s="100"/>
      <c r="BI459" s="100"/>
      <c r="BJ459" s="100"/>
      <c r="BK459" s="12"/>
      <c r="BL459" s="12"/>
    </row>
    <row r="460" spans="1:64" hidden="1"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100"/>
      <c r="BE460" s="100"/>
      <c r="BF460" s="100"/>
      <c r="BG460" s="100"/>
      <c r="BH460" s="100"/>
      <c r="BI460" s="100"/>
      <c r="BJ460" s="100"/>
      <c r="BK460" s="12"/>
      <c r="BL460" s="12"/>
    </row>
    <row r="461" spans="1:64" hidden="1"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100"/>
      <c r="BE461" s="100"/>
      <c r="BF461" s="100"/>
      <c r="BG461" s="100"/>
      <c r="BH461" s="100"/>
      <c r="BI461" s="100"/>
      <c r="BJ461" s="100"/>
      <c r="BK461" s="12"/>
      <c r="BL461" s="12"/>
    </row>
    <row r="462" spans="1:64" hidden="1"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100"/>
      <c r="BE462" s="100"/>
      <c r="BF462" s="100"/>
      <c r="BG462" s="100"/>
      <c r="BH462" s="100"/>
      <c r="BI462" s="100"/>
      <c r="BJ462" s="100"/>
      <c r="BK462" s="12"/>
      <c r="BL462" s="12"/>
    </row>
    <row r="463" spans="1:64" hidden="1"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100"/>
      <c r="BE463" s="100"/>
      <c r="BF463" s="100"/>
      <c r="BG463" s="100"/>
      <c r="BH463" s="100"/>
      <c r="BI463" s="100"/>
      <c r="BJ463" s="100"/>
      <c r="BK463" s="12"/>
      <c r="BL463" s="12"/>
    </row>
    <row r="464" spans="1:64" hidden="1"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100"/>
      <c r="BE464" s="100"/>
      <c r="BF464" s="100"/>
      <c r="BG464" s="100"/>
      <c r="BH464" s="100"/>
      <c r="BI464" s="100"/>
      <c r="BJ464" s="100"/>
      <c r="BK464" s="12"/>
      <c r="BL464" s="12"/>
    </row>
    <row r="465" spans="1:64" hidden="1"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100"/>
      <c r="BE465" s="100"/>
      <c r="BF465" s="100"/>
      <c r="BG465" s="100"/>
      <c r="BH465" s="100"/>
      <c r="BI465" s="100"/>
      <c r="BJ465" s="100"/>
      <c r="BK465" s="12"/>
      <c r="BL465" s="12"/>
    </row>
    <row r="466" spans="1:64" hidden="1"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100"/>
      <c r="BE466" s="100"/>
      <c r="BF466" s="100"/>
      <c r="BG466" s="100"/>
      <c r="BH466" s="100"/>
      <c r="BI466" s="100"/>
      <c r="BJ466" s="100"/>
      <c r="BK466" s="12"/>
      <c r="BL466" s="12"/>
    </row>
    <row r="467" spans="1:64" hidden="1"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100"/>
      <c r="BE468" s="100"/>
      <c r="BF468" s="100"/>
      <c r="BG468" s="100"/>
      <c r="BH468" s="100"/>
      <c r="BI468" s="100"/>
      <c r="BJ468" s="100"/>
      <c r="BK468" s="12"/>
      <c r="BL468" s="12"/>
    </row>
    <row r="469" spans="1:64">
      <c r="A469" s="9"/>
      <c r="B469" s="9"/>
      <c r="C469" s="46" t="s">
        <v>34</v>
      </c>
      <c r="D469" s="9"/>
      <c r="E469" s="9"/>
      <c r="F469" s="9"/>
      <c r="G469" s="194">
        <f>SUM(G470:G499)</f>
        <v>0.84770619546925075</v>
      </c>
      <c r="H469" s="37">
        <f>SUM(H470:H499)</f>
        <v>1.2334981708445729</v>
      </c>
      <c r="I469" s="37">
        <f t="shared" ref="I469:Q469" si="11">SUM(I470:I499)</f>
        <v>1.1249155446196559</v>
      </c>
      <c r="J469" s="37">
        <f t="shared" si="11"/>
        <v>1.269384256909623</v>
      </c>
      <c r="K469" s="37">
        <f t="shared" si="11"/>
        <v>1.7535306812681719</v>
      </c>
      <c r="L469" s="37">
        <f t="shared" si="11"/>
        <v>2.2095377557532627</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100"/>
      <c r="BE469" s="100"/>
      <c r="BF469" s="100"/>
      <c r="BG469" s="100"/>
      <c r="BH469" s="100"/>
      <c r="BI469" s="100"/>
      <c r="BJ469" s="100"/>
      <c r="BK469" s="12"/>
      <c r="BL469" s="12"/>
    </row>
    <row r="470" spans="1:64" hidden="1" outlineLevel="1">
      <c r="A470" s="9"/>
      <c r="B470" s="9"/>
      <c r="C470" s="46"/>
      <c r="D470" s="129" t="str">
        <f>Asset1</f>
        <v>Mains &amp; Services</v>
      </c>
      <c r="E470" s="9"/>
      <c r="F470" s="9"/>
      <c r="G470" s="202">
        <f>'Adjustment for previous period'!G366</f>
        <v>0.54630600280508135</v>
      </c>
      <c r="H470" s="111">
        <f t="shared" ref="H470:Q470" si="12">H12*H$7</f>
        <v>0.91760384828257524</v>
      </c>
      <c r="I470" s="111">
        <f t="shared" si="12"/>
        <v>0.85492155248925916</v>
      </c>
      <c r="J470" s="111">
        <f t="shared" si="12"/>
        <v>0.99910690868667684</v>
      </c>
      <c r="K470" s="111">
        <f t="shared" si="12"/>
        <v>1.0795998767551374</v>
      </c>
      <c r="L470" s="111">
        <f t="shared" si="12"/>
        <v>1.2436007507455049</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100"/>
      <c r="BE470" s="100"/>
      <c r="BF470" s="100"/>
      <c r="BG470" s="100"/>
      <c r="BH470" s="100"/>
      <c r="BI470" s="100"/>
      <c r="BJ470" s="100"/>
      <c r="BK470" s="12"/>
      <c r="BL470" s="12"/>
    </row>
    <row r="471" spans="1:64" hidden="1" outlineLevel="1">
      <c r="A471" s="9"/>
      <c r="B471" s="9"/>
      <c r="C471" s="46"/>
      <c r="D471" s="129" t="str">
        <f>Asset2</f>
        <v>Meters</v>
      </c>
      <c r="E471" s="9"/>
      <c r="F471" s="9"/>
      <c r="G471" s="196">
        <f>'Adjustment for previous period'!G367</f>
        <v>0.27813816558080157</v>
      </c>
      <c r="H471" s="111">
        <f t="shared" ref="H471:L489" si="13">H13*H$7</f>
        <v>0.25536022290297333</v>
      </c>
      <c r="I471" s="111">
        <f t="shared" si="13"/>
        <v>0.20604955148446724</v>
      </c>
      <c r="J471" s="111">
        <f t="shared" si="13"/>
        <v>0.21652711034049169</v>
      </c>
      <c r="K471" s="111">
        <f t="shared" si="13"/>
        <v>0.53966754572698583</v>
      </c>
      <c r="L471" s="111">
        <f t="shared" si="13"/>
        <v>0.53983740007894632</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64" hidden="1" outlineLevel="1">
      <c r="A472" s="9"/>
      <c r="B472" s="9"/>
      <c r="C472" s="46"/>
      <c r="D472" s="129" t="str">
        <f>Asset3</f>
        <v>Buildings</v>
      </c>
      <c r="E472" s="9"/>
      <c r="F472" s="9"/>
      <c r="G472" s="196">
        <f>'Adjustment for previous period'!G368</f>
        <v>0</v>
      </c>
      <c r="H472" s="111">
        <f t="shared" si="13"/>
        <v>0</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64" hidden="1" outlineLevel="1">
      <c r="A473" s="9"/>
      <c r="B473" s="9"/>
      <c r="C473" s="46"/>
      <c r="D473" s="129" t="str">
        <f>Asset4</f>
        <v>SCADA</v>
      </c>
      <c r="E473" s="9"/>
      <c r="F473" s="9"/>
      <c r="G473" s="196">
        <f>'Adjustment for previous period'!G369</f>
        <v>0</v>
      </c>
      <c r="H473" s="111">
        <f t="shared" si="13"/>
        <v>0</v>
      </c>
      <c r="I473" s="111">
        <f t="shared" si="13"/>
        <v>0</v>
      </c>
      <c r="J473" s="111">
        <f t="shared" si="13"/>
        <v>0</v>
      </c>
      <c r="K473" s="111">
        <f t="shared" si="13"/>
        <v>0</v>
      </c>
      <c r="L473" s="111">
        <f t="shared" si="13"/>
        <v>0</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64" hidden="1" outlineLevel="1">
      <c r="A474" s="9"/>
      <c r="B474" s="9"/>
      <c r="C474" s="46"/>
      <c r="D474" s="129" t="str">
        <f>Asset5</f>
        <v>Computer Equipment</v>
      </c>
      <c r="E474" s="9"/>
      <c r="F474" s="9"/>
      <c r="G474" s="196">
        <f>'Adjustment for previous period'!G370</f>
        <v>0</v>
      </c>
      <c r="H474" s="111">
        <f t="shared" si="13"/>
        <v>0</v>
      </c>
      <c r="I474" s="111">
        <f t="shared" si="13"/>
        <v>0</v>
      </c>
      <c r="J474" s="111">
        <f t="shared" si="13"/>
        <v>0</v>
      </c>
      <c r="K474" s="111">
        <f t="shared" si="13"/>
        <v>4.4485397011306049E-2</v>
      </c>
      <c r="L474" s="111">
        <f t="shared" si="13"/>
        <v>0.30359255527086471</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64" hidden="1" outlineLevel="1">
      <c r="A475" s="9"/>
      <c r="B475" s="9"/>
      <c r="C475" s="46"/>
      <c r="D475" s="129" t="str">
        <f>Asset6</f>
        <v>Other Assets</v>
      </c>
      <c r="E475" s="9"/>
      <c r="F475" s="9"/>
      <c r="G475" s="196">
        <f>'Adjustment for previous period'!G371</f>
        <v>2.3262027083367776E-2</v>
      </c>
      <c r="H475" s="111">
        <f t="shared" si="13"/>
        <v>6.0534099659024419E-2</v>
      </c>
      <c r="I475" s="111">
        <f t="shared" si="13"/>
        <v>6.3944440645929509E-2</v>
      </c>
      <c r="J475" s="111">
        <f t="shared" si="13"/>
        <v>5.3750237882454317E-2</v>
      </c>
      <c r="K475" s="111">
        <f t="shared" si="13"/>
        <v>8.977786177474277E-2</v>
      </c>
      <c r="L475" s="111">
        <f t="shared" si="13"/>
        <v>0.12250704965794657</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64" hidden="1" outlineLevel="1">
      <c r="A476" s="9"/>
      <c r="B476" s="9"/>
      <c r="C476" s="46"/>
      <c r="D476" s="129" t="str">
        <f>Asset7</f>
        <v>Equity Raising Costs</v>
      </c>
      <c r="E476" s="9"/>
      <c r="F476" s="9"/>
      <c r="G476" s="196">
        <f>'Adjustment for previous period'!G372</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64" hidden="1" outlineLevel="1">
      <c r="A477" s="9"/>
      <c r="B477" s="9"/>
      <c r="C477" s="46"/>
      <c r="D477" s="129" t="str">
        <f>Asset8</f>
        <v>Land</v>
      </c>
      <c r="E477" s="9"/>
      <c r="F477" s="9"/>
      <c r="G477" s="196">
        <f>'Adjustment for previous period'!G373</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64" hidden="1" outlineLevel="1">
      <c r="A478" s="9"/>
      <c r="B478" s="9"/>
      <c r="C478" s="46"/>
      <c r="D478" s="129">
        <f>Asset9</f>
        <v>0</v>
      </c>
      <c r="E478" s="9"/>
      <c r="F478" s="9"/>
      <c r="G478" s="196">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64" hidden="1" outlineLevel="1">
      <c r="A479" s="9"/>
      <c r="B479" s="9"/>
      <c r="C479" s="46"/>
      <c r="D479" s="129">
        <f>Asset10</f>
        <v>0</v>
      </c>
      <c r="E479" s="9"/>
      <c r="F479" s="9"/>
      <c r="G479" s="196">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64" hidden="1" outlineLevel="1">
      <c r="A480" s="9"/>
      <c r="B480" s="9"/>
      <c r="C480" s="46"/>
      <c r="D480" s="129">
        <f>Asset11</f>
        <v>0</v>
      </c>
      <c r="E480" s="9"/>
      <c r="F480" s="9"/>
      <c r="G480" s="196">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6"/>
      <c r="D481" s="129">
        <f>Asset12</f>
        <v>0</v>
      </c>
      <c r="E481" s="9"/>
      <c r="F481" s="9"/>
      <c r="G481" s="196">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6"/>
      <c r="D482" s="129">
        <f>Asset13</f>
        <v>0</v>
      </c>
      <c r="E482" s="9"/>
      <c r="F482" s="9"/>
      <c r="G482" s="196">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6"/>
      <c r="D483" s="129">
        <f>Asset14</f>
        <v>0</v>
      </c>
      <c r="E483" s="9"/>
      <c r="F483" s="9"/>
      <c r="G483" s="196">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6"/>
      <c r="D484" s="129">
        <f>Asset15</f>
        <v>0</v>
      </c>
      <c r="E484" s="9"/>
      <c r="F484" s="9"/>
      <c r="G484" s="196">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6"/>
      <c r="D485" s="129">
        <f>Asset16</f>
        <v>0</v>
      </c>
      <c r="E485" s="9"/>
      <c r="F485" s="9"/>
      <c r="G485" s="196">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6"/>
      <c r="D486" s="129">
        <f>Asset17</f>
        <v>0</v>
      </c>
      <c r="E486" s="9"/>
      <c r="F486" s="9"/>
      <c r="G486" s="196">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6"/>
      <c r="D487" s="129">
        <f>Asset18</f>
        <v>0</v>
      </c>
      <c r="E487" s="9"/>
      <c r="F487" s="9"/>
      <c r="G487" s="196">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6"/>
      <c r="D488" s="129">
        <f>Asset19</f>
        <v>0</v>
      </c>
      <c r="E488" s="9"/>
      <c r="F488" s="9"/>
      <c r="G488" s="196">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6"/>
      <c r="D489" s="129">
        <f>Asset20</f>
        <v>0</v>
      </c>
      <c r="E489" s="9"/>
      <c r="F489" s="9"/>
      <c r="G489" s="196">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6"/>
      <c r="D490" s="129">
        <f>Asset21</f>
        <v>0</v>
      </c>
      <c r="E490" s="9"/>
      <c r="F490" s="9"/>
      <c r="G490" s="196">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6"/>
      <c r="D491" s="129">
        <f>Asset22</f>
        <v>0</v>
      </c>
      <c r="E491" s="9"/>
      <c r="F491" s="9"/>
      <c r="G491" s="196">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6"/>
      <c r="D492" s="129">
        <f>Asset23</f>
        <v>0</v>
      </c>
      <c r="E492" s="9"/>
      <c r="F492" s="9"/>
      <c r="G492" s="196">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6"/>
      <c r="D493" s="129">
        <f>Asset24</f>
        <v>0</v>
      </c>
      <c r="E493" s="9"/>
      <c r="F493" s="9"/>
      <c r="G493" s="196">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6"/>
      <c r="D494" s="129">
        <f>Asset25</f>
        <v>0</v>
      </c>
      <c r="E494" s="9"/>
      <c r="F494" s="9"/>
      <c r="G494" s="196">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6"/>
      <c r="D495" s="129">
        <f>Asset26</f>
        <v>0</v>
      </c>
      <c r="E495" s="9"/>
      <c r="F495" s="9"/>
      <c r="G495" s="196">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6"/>
      <c r="D496" s="129">
        <f>Asset27</f>
        <v>0</v>
      </c>
      <c r="E496" s="9"/>
      <c r="F496" s="9"/>
      <c r="G496" s="196">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6"/>
      <c r="D497" s="129">
        <f>Asset28</f>
        <v>0</v>
      </c>
      <c r="E497" s="9"/>
      <c r="F497" s="9"/>
      <c r="G497" s="196">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6"/>
      <c r="D498" s="129">
        <f>Asset29</f>
        <v>0</v>
      </c>
      <c r="E498" s="9"/>
      <c r="F498" s="9"/>
      <c r="G498" s="196">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6"/>
      <c r="D499" s="129">
        <f>Asset30</f>
        <v>0</v>
      </c>
      <c r="E499" s="9"/>
      <c r="F499" s="9"/>
      <c r="G499" s="196">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584" t="s">
        <v>72</v>
      </c>
      <c r="D501" s="221"/>
      <c r="E501" s="9"/>
      <c r="F501" s="9"/>
      <c r="G501" s="194">
        <f>SUM(G502:G531)</f>
        <v>-0.2697438018302809</v>
      </c>
      <c r="H501" s="37">
        <f>SUM(H502:H531)</f>
        <v>-0.70853167892455904</v>
      </c>
      <c r="I501" s="37">
        <f t="shared" ref="I501:Q501" si="25">SUM(I502:I531)</f>
        <v>-0.76189336975146638</v>
      </c>
      <c r="J501" s="37">
        <f t="shared" si="25"/>
        <v>-0.84523495554865691</v>
      </c>
      <c r="K501" s="37">
        <f t="shared" si="25"/>
        <v>-1.2195455208159405</v>
      </c>
      <c r="L501" s="37">
        <f t="shared" si="25"/>
        <v>-1.3467973855884443</v>
      </c>
      <c r="M501" s="37">
        <f t="shared" si="25"/>
        <v>0.89723837761915526</v>
      </c>
      <c r="N501" s="37">
        <f t="shared" si="25"/>
        <v>0</v>
      </c>
      <c r="O501" s="37">
        <f t="shared" si="25"/>
        <v>0</v>
      </c>
      <c r="P501" s="37">
        <f t="shared" si="25"/>
        <v>0</v>
      </c>
      <c r="Q501" s="37">
        <f t="shared" si="25"/>
        <v>0</v>
      </c>
      <c r="R501" s="29"/>
      <c r="S501" s="100"/>
      <c r="T501" s="100"/>
      <c r="U501" s="100"/>
      <c r="V501" s="100"/>
      <c r="W501" s="100"/>
      <c r="X501" s="100"/>
      <c r="Y501" s="100"/>
      <c r="Z501" s="100"/>
      <c r="AA501" s="100"/>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0.10171540313863559</v>
      </c>
      <c r="H502" s="111">
        <f>H632+H666</f>
        <v>-0.21794858168937514</v>
      </c>
      <c r="I502" s="111">
        <f t="shared" ref="I502:Q502" si="26">I632+I666</f>
        <v>-0.18485474634787913</v>
      </c>
      <c r="J502" s="111">
        <f t="shared" si="26"/>
        <v>-0.15701148899373574</v>
      </c>
      <c r="K502" s="111">
        <f t="shared" si="26"/>
        <v>-0.42471851290965634</v>
      </c>
      <c r="L502" s="111">
        <f t="shared" si="26"/>
        <v>-0.50991553319459937</v>
      </c>
      <c r="M502" s="111">
        <f t="shared" si="26"/>
        <v>0.80632683968309959</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-0.37225618484226675</v>
      </c>
      <c r="H503" s="111">
        <f t="shared" ref="H503:Q531" si="27">H633+H667</f>
        <v>-0.51019746745640038</v>
      </c>
      <c r="I503" s="111">
        <f t="shared" si="27"/>
        <v>-0.53883641535467353</v>
      </c>
      <c r="J503" s="111">
        <f t="shared" si="27"/>
        <v>-0.57213491077532297</v>
      </c>
      <c r="K503" s="111">
        <f t="shared" si="27"/>
        <v>-0.64260141533605031</v>
      </c>
      <c r="L503" s="111">
        <f t="shared" si="27"/>
        <v>-0.67888952096919974</v>
      </c>
      <c r="M503" s="111">
        <f t="shared" si="27"/>
        <v>8.4360955333570506E-2</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3.9061348024210224E-7</v>
      </c>
      <c r="H504" s="111">
        <f t="shared" si="27"/>
        <v>-1.1487878418923143E-5</v>
      </c>
      <c r="I504" s="111">
        <f t="shared" si="27"/>
        <v>7.4685341203876082E-21</v>
      </c>
      <c r="J504" s="111">
        <f t="shared" si="27"/>
        <v>8.1474917676956378E-21</v>
      </c>
      <c r="K504" s="111">
        <f t="shared" si="27"/>
        <v>5.4316611784636856E-21</v>
      </c>
      <c r="L504" s="111">
        <f t="shared" si="27"/>
        <v>4.7527035311557974E-21</v>
      </c>
      <c r="M504" s="111">
        <f t="shared" si="27"/>
        <v>8.8762170105512293E-21</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0</v>
      </c>
      <c r="H505" s="111">
        <f t="shared" si="27"/>
        <v>0</v>
      </c>
      <c r="I505" s="111">
        <f t="shared" si="27"/>
        <v>-1.6463969631295425E-3</v>
      </c>
      <c r="J505" s="111">
        <f t="shared" si="27"/>
        <v>-3.5667274278282325E-3</v>
      </c>
      <c r="K505" s="111">
        <f t="shared" si="27"/>
        <v>-5.5536971523016303E-3</v>
      </c>
      <c r="L505" s="111">
        <f t="shared" si="27"/>
        <v>-7.684177685906032E-3</v>
      </c>
      <c r="M505" s="111">
        <f t="shared" si="27"/>
        <v>-4.40978881577054E-4</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v>
      </c>
      <c r="H506" s="111">
        <f t="shared" si="27"/>
        <v>0</v>
      </c>
      <c r="I506" s="111">
        <f t="shared" si="27"/>
        <v>-3.7670319872074656E-2</v>
      </c>
      <c r="J506" s="111">
        <f t="shared" si="27"/>
        <v>-0.11502782450905186</v>
      </c>
      <c r="K506" s="111">
        <f t="shared" si="27"/>
        <v>-0.14880895028045971</v>
      </c>
      <c r="L506" s="111">
        <f t="shared" si="27"/>
        <v>-0.15304133221424648</v>
      </c>
      <c r="M506" s="111">
        <f t="shared" si="27"/>
        <v>-2.5446443427885202E-3</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7.9658925987000453E-4</v>
      </c>
      <c r="H507" s="111">
        <f t="shared" si="27"/>
        <v>1.9625858099635379E-2</v>
      </c>
      <c r="I507" s="111">
        <f t="shared" si="27"/>
        <v>1.1145087862904973E-3</v>
      </c>
      <c r="J507" s="111">
        <f t="shared" si="27"/>
        <v>2.5059961572819747E-3</v>
      </c>
      <c r="K507" s="111">
        <f t="shared" si="27"/>
        <v>2.1370548625275466E-3</v>
      </c>
      <c r="L507" s="111">
        <f t="shared" si="27"/>
        <v>2.7331784755074565E-3</v>
      </c>
      <c r="M507" s="111">
        <f t="shared" si="27"/>
        <v>9.5362058268507501E-3</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s="9" customFormat="1">
      <c r="B631" s="12"/>
      <c r="C631" s="584" t="s">
        <v>229</v>
      </c>
      <c r="D631" s="12"/>
      <c r="E631" s="12"/>
      <c r="F631" s="12"/>
      <c r="G631" s="195">
        <f>SUM(G632:G661)</f>
        <v>-1.475471590636565</v>
      </c>
      <c r="H631" s="117">
        <f>SUM(H632:H661)</f>
        <v>-1.4065775950234041</v>
      </c>
      <c r="I631" s="117">
        <f t="shared" ref="I631:Q631" si="29">SUM(I632:I661)</f>
        <v>-1.5260034576842265</v>
      </c>
      <c r="J631" s="117">
        <f t="shared" si="29"/>
        <v>-1.6695537220129819</v>
      </c>
      <c r="K631" s="117">
        <f t="shared" si="29"/>
        <v>-1.7630737791840789</v>
      </c>
      <c r="L631" s="117">
        <f t="shared" si="29"/>
        <v>-1.8222609048357368</v>
      </c>
      <c r="M631" s="117">
        <f t="shared" si="29"/>
        <v>0</v>
      </c>
      <c r="N631" s="117">
        <f t="shared" si="29"/>
        <v>0</v>
      </c>
      <c r="O631" s="117">
        <f t="shared" si="29"/>
        <v>0</v>
      </c>
      <c r="P631" s="117">
        <f t="shared" si="29"/>
        <v>0</v>
      </c>
      <c r="Q631" s="117">
        <f t="shared" si="29"/>
        <v>0</v>
      </c>
      <c r="R631" s="106"/>
      <c r="S631" s="106"/>
      <c r="T631" s="106">
        <f>+SUM(H631:L631)</f>
        <v>-8.1874694587404289</v>
      </c>
      <c r="U631" s="106">
        <v>-216.09368678571389</v>
      </c>
      <c r="V631" s="106"/>
      <c r="W631" s="106"/>
      <c r="X631" s="106"/>
      <c r="Y631" s="106"/>
      <c r="Z631" s="106"/>
      <c r="AA631" s="10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-0.93627436649961382</v>
      </c>
      <c r="H632" s="111">
        <f t="shared" ref="H632:Q632" si="31">H$56*H$7</f>
        <v>-0.82189929509837634</v>
      </c>
      <c r="I632" s="111">
        <f t="shared" si="31"/>
        <v>-0.85126880238466685</v>
      </c>
      <c r="J632" s="111">
        <f t="shared" si="31"/>
        <v>-0.88409293526705646</v>
      </c>
      <c r="K632" s="111">
        <f t="shared" si="31"/>
        <v>-0.91116901052674515</v>
      </c>
      <c r="L632" s="111">
        <f t="shared" si="31"/>
        <v>-0.93774308169029696</v>
      </c>
      <c r="M632" s="111">
        <f t="shared" si="31"/>
        <v>0</v>
      </c>
      <c r="N632" s="111">
        <f t="shared" si="31"/>
        <v>0</v>
      </c>
      <c r="O632" s="111">
        <f t="shared" si="31"/>
        <v>0</v>
      </c>
      <c r="P632" s="111">
        <f t="shared" si="31"/>
        <v>0</v>
      </c>
      <c r="Q632" s="111">
        <f t="shared" si="31"/>
        <v>0</v>
      </c>
      <c r="R632" s="9"/>
      <c r="S632" s="12"/>
      <c r="T632" s="106">
        <f t="shared" ref="T632:T663" si="32">+SUM(H632:L632)</f>
        <v>-4.4061731249671414</v>
      </c>
      <c r="U632" s="12"/>
      <c r="V632" s="12"/>
      <c r="W632" s="12"/>
      <c r="X632" s="12"/>
      <c r="Y632" s="12"/>
      <c r="Z632" s="12"/>
      <c r="AA632" s="12"/>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-0.54153146656532392</v>
      </c>
      <c r="H633" s="111">
        <f t="shared" ref="H633:Q633" si="33">H$69*H$7</f>
        <v>-0.60468574369777151</v>
      </c>
      <c r="I633" s="111">
        <f t="shared" si="33"/>
        <v>-0.63522424470398742</v>
      </c>
      <c r="J633" s="111">
        <f t="shared" si="33"/>
        <v>-0.66738123868349541</v>
      </c>
      <c r="K633" s="111">
        <f t="shared" si="33"/>
        <v>-0.69931920594636487</v>
      </c>
      <c r="L633" s="111">
        <f t="shared" si="33"/>
        <v>-0.72644802919482643</v>
      </c>
      <c r="M633" s="111">
        <f t="shared" si="33"/>
        <v>0</v>
      </c>
      <c r="N633" s="111">
        <f t="shared" si="33"/>
        <v>0</v>
      </c>
      <c r="O633" s="111">
        <f t="shared" si="33"/>
        <v>0</v>
      </c>
      <c r="P633" s="111">
        <f t="shared" si="33"/>
        <v>0</v>
      </c>
      <c r="Q633" s="111">
        <f t="shared" si="33"/>
        <v>0</v>
      </c>
      <c r="R633" s="9"/>
      <c r="S633" s="12"/>
      <c r="T633" s="106">
        <f t="shared" si="32"/>
        <v>-3.3330584622264459</v>
      </c>
      <c r="U633" s="12"/>
      <c r="V633" s="12"/>
      <c r="W633" s="12"/>
      <c r="X633" s="12"/>
      <c r="Y633" s="12"/>
      <c r="Z633" s="12"/>
      <c r="AA633" s="12"/>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0</v>
      </c>
      <c r="H634" s="111">
        <f t="shared" ref="H634:Q634" si="34">H$82*H$7</f>
        <v>-1.1718096423310388E-5</v>
      </c>
      <c r="I634" s="111">
        <f t="shared" si="34"/>
        <v>0</v>
      </c>
      <c r="J634" s="111">
        <f t="shared" si="34"/>
        <v>0</v>
      </c>
      <c r="K634" s="111">
        <f t="shared" si="34"/>
        <v>0</v>
      </c>
      <c r="L634" s="111">
        <f t="shared" si="34"/>
        <v>0</v>
      </c>
      <c r="M634" s="111">
        <f t="shared" si="34"/>
        <v>0</v>
      </c>
      <c r="N634" s="111">
        <f t="shared" si="34"/>
        <v>0</v>
      </c>
      <c r="O634" s="111">
        <f t="shared" si="34"/>
        <v>0</v>
      </c>
      <c r="P634" s="111">
        <f t="shared" si="34"/>
        <v>0</v>
      </c>
      <c r="Q634" s="111">
        <f t="shared" si="34"/>
        <v>0</v>
      </c>
      <c r="R634" s="9"/>
      <c r="S634" s="12"/>
      <c r="T634" s="106">
        <f t="shared" si="32"/>
        <v>-1.1718096423310388E-5</v>
      </c>
      <c r="U634" s="12"/>
      <c r="V634" s="12"/>
      <c r="W634" s="12"/>
      <c r="X634" s="12"/>
      <c r="Y634" s="12"/>
      <c r="Z634" s="12"/>
      <c r="AA634" s="12"/>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v>
      </c>
      <c r="H635" s="111">
        <f t="shared" ref="H635:Q635" si="35">H$95*H$7</f>
        <v>0</v>
      </c>
      <c r="I635" s="111">
        <f t="shared" si="35"/>
        <v>-1.6463969631295425E-3</v>
      </c>
      <c r="J635" s="111">
        <f t="shared" si="35"/>
        <v>-3.5287336517560121E-3</v>
      </c>
      <c r="K635" s="111">
        <f t="shared" si="35"/>
        <v>-5.4753043043173034E-3</v>
      </c>
      <c r="L635" s="111">
        <f t="shared" si="35"/>
        <v>-7.5446077770119271E-3</v>
      </c>
      <c r="M635" s="111">
        <f t="shared" si="35"/>
        <v>0</v>
      </c>
      <c r="N635" s="111">
        <f t="shared" si="35"/>
        <v>0</v>
      </c>
      <c r="O635" s="111">
        <f t="shared" si="35"/>
        <v>0</v>
      </c>
      <c r="P635" s="111">
        <f t="shared" si="35"/>
        <v>0</v>
      </c>
      <c r="Q635" s="111">
        <f t="shared" si="35"/>
        <v>0</v>
      </c>
      <c r="R635" s="9"/>
      <c r="S635" s="12"/>
      <c r="T635" s="106">
        <f t="shared" si="32"/>
        <v>-1.8195042696214785E-2</v>
      </c>
      <c r="U635" s="12"/>
      <c r="V635" s="12"/>
      <c r="W635" s="12"/>
      <c r="X635" s="12"/>
      <c r="Y635" s="12"/>
      <c r="Z635" s="12"/>
      <c r="AA635" s="12"/>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v>
      </c>
      <c r="H636" s="111">
        <f t="shared" ref="H636:Q636" si="36">H$108*H$7</f>
        <v>0</v>
      </c>
      <c r="I636" s="111">
        <f t="shared" si="36"/>
        <v>-3.7670319872074656E-2</v>
      </c>
      <c r="J636" s="111">
        <f t="shared" si="36"/>
        <v>-0.11415850943508089</v>
      </c>
      <c r="K636" s="111">
        <f t="shared" si="36"/>
        <v>-0.14651273758299918</v>
      </c>
      <c r="L636" s="111">
        <f t="shared" si="36"/>
        <v>-0.14970956946692801</v>
      </c>
      <c r="M636" s="111">
        <f t="shared" si="36"/>
        <v>0</v>
      </c>
      <c r="N636" s="111">
        <f t="shared" si="36"/>
        <v>0</v>
      </c>
      <c r="O636" s="111">
        <f t="shared" si="36"/>
        <v>0</v>
      </c>
      <c r="P636" s="111">
        <f t="shared" si="36"/>
        <v>0</v>
      </c>
      <c r="Q636" s="111">
        <f t="shared" si="36"/>
        <v>0</v>
      </c>
      <c r="R636" s="9"/>
      <c r="S636" s="12"/>
      <c r="T636" s="106">
        <f t="shared" si="32"/>
        <v>-0.44805113635708271</v>
      </c>
      <c r="U636" s="12"/>
      <c r="V636" s="12"/>
      <c r="W636" s="12"/>
      <c r="X636" s="12"/>
      <c r="Y636" s="12"/>
      <c r="Z636" s="12"/>
      <c r="AA636" s="12"/>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2.3342424283727494E-3</v>
      </c>
      <c r="H637" s="111">
        <f t="shared" ref="H637:Q637" si="37">H$121*H$7</f>
        <v>2.0019161869167152E-2</v>
      </c>
      <c r="I637" s="111">
        <f t="shared" si="37"/>
        <v>-1.9369376036818147E-4</v>
      </c>
      <c r="J637" s="111">
        <f t="shared" si="37"/>
        <v>-3.9230497559291478E-4</v>
      </c>
      <c r="K637" s="111">
        <f t="shared" si="37"/>
        <v>-5.975208236525943E-4</v>
      </c>
      <c r="L637" s="111">
        <f t="shared" si="37"/>
        <v>-8.1561670667360268E-4</v>
      </c>
      <c r="M637" s="111">
        <f t="shared" si="37"/>
        <v>0</v>
      </c>
      <c r="N637" s="111">
        <f t="shared" si="37"/>
        <v>0</v>
      </c>
      <c r="O637" s="111">
        <f t="shared" si="37"/>
        <v>0</v>
      </c>
      <c r="P637" s="111">
        <f t="shared" si="37"/>
        <v>0</v>
      </c>
      <c r="Q637" s="111">
        <f t="shared" si="37"/>
        <v>0</v>
      </c>
      <c r="R637" s="9"/>
      <c r="S637" s="12"/>
      <c r="T637" s="106">
        <f t="shared" si="32"/>
        <v>1.8020025602879859E-2</v>
      </c>
      <c r="U637" s="12"/>
      <c r="V637" s="12"/>
      <c r="W637" s="12"/>
      <c r="X637" s="12"/>
      <c r="Y637" s="12"/>
      <c r="Z637" s="12"/>
      <c r="AA637" s="12"/>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1.2057277888062841</v>
      </c>
      <c r="H665" s="120">
        <f>SUM(H666:H695)</f>
        <v>0.69804591609884503</v>
      </c>
      <c r="I665" s="120">
        <f>SUM(I666:I695)</f>
        <v>0.76411008793276025</v>
      </c>
      <c r="J665" s="120">
        <f t="shared" ref="J665:Q665" si="64">SUM(J666:J695)</f>
        <v>0.824318766464325</v>
      </c>
      <c r="K665" s="120">
        <f t="shared" si="64"/>
        <v>0.54352825836813878</v>
      </c>
      <c r="L665" s="120">
        <f t="shared" si="64"/>
        <v>0.4754635192472928</v>
      </c>
      <c r="M665" s="120">
        <f t="shared" si="64"/>
        <v>0.89723837761915526</v>
      </c>
      <c r="N665" s="120">
        <f t="shared" si="64"/>
        <v>0</v>
      </c>
      <c r="O665" s="120">
        <f t="shared" si="64"/>
        <v>0</v>
      </c>
      <c r="P665" s="120">
        <f t="shared" si="64"/>
        <v>0</v>
      </c>
      <c r="Q665" s="120">
        <f t="shared" si="64"/>
        <v>0</v>
      </c>
      <c r="R665" s="9"/>
      <c r="S665" s="12"/>
      <c r="T665" s="106">
        <f>+SUM(H665:L665)</f>
        <v>3.3054665481113616</v>
      </c>
      <c r="U665" s="37">
        <v>125.40560278182187</v>
      </c>
      <c r="V665" s="12"/>
      <c r="W665" s="12"/>
      <c r="X665" s="12"/>
      <c r="Y665" s="12"/>
      <c r="Z665" s="12"/>
      <c r="AA665" s="12"/>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1.0379897696382494</v>
      </c>
      <c r="H666" s="111">
        <f>H438*H$6</f>
        <v>0.60395071340900119</v>
      </c>
      <c r="I666" s="111">
        <f t="shared" ref="I666:Q666" si="65">I438*I$6</f>
        <v>0.66641405603678772</v>
      </c>
      <c r="J666" s="111">
        <f t="shared" si="65"/>
        <v>0.72708144627332072</v>
      </c>
      <c r="K666" s="111">
        <f t="shared" si="65"/>
        <v>0.48645049761708881</v>
      </c>
      <c r="L666" s="111">
        <f t="shared" si="65"/>
        <v>0.4278275484956976</v>
      </c>
      <c r="M666" s="111">
        <f t="shared" si="65"/>
        <v>0.80632683968309959</v>
      </c>
      <c r="N666" s="111">
        <f t="shared" si="65"/>
        <v>0</v>
      </c>
      <c r="O666" s="111">
        <f t="shared" si="65"/>
        <v>0</v>
      </c>
      <c r="P666" s="111">
        <f t="shared" si="65"/>
        <v>0</v>
      </c>
      <c r="Q666" s="111">
        <f t="shared" si="65"/>
        <v>0</v>
      </c>
      <c r="R666" s="9"/>
      <c r="S666" s="12"/>
      <c r="T666" s="12"/>
      <c r="U666" s="12"/>
      <c r="V666" s="12"/>
      <c r="W666" s="12"/>
      <c r="X666" s="12"/>
      <c r="Y666" s="12"/>
      <c r="Z666" s="12"/>
      <c r="AA666" s="12"/>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0.16927528172305714</v>
      </c>
      <c r="H667" s="111">
        <f t="shared" si="66"/>
        <v>9.4488276241371114E-2</v>
      </c>
      <c r="I667" s="111">
        <f t="shared" ref="I667:Q667" si="67">I439*I$6</f>
        <v>9.6387829349313864E-2</v>
      </c>
      <c r="J667" s="111">
        <f t="shared" si="67"/>
        <v>9.5246327908172432E-2</v>
      </c>
      <c r="K667" s="111">
        <f t="shared" si="67"/>
        <v>5.6717790610314602E-2</v>
      </c>
      <c r="L667" s="111">
        <f t="shared" si="67"/>
        <v>4.7558508225626656E-2</v>
      </c>
      <c r="M667" s="111">
        <f t="shared" si="67"/>
        <v>8.4360955333570506E-2</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3.9061348024210224E-7</v>
      </c>
      <c r="H668" s="111">
        <f t="shared" si="66"/>
        <v>2.302180043872445E-7</v>
      </c>
      <c r="I668" s="111">
        <f t="shared" ref="I668:Q668" si="68">I440*I$6</f>
        <v>7.4685341203876082E-21</v>
      </c>
      <c r="J668" s="111">
        <f t="shared" si="68"/>
        <v>8.1474917676956378E-21</v>
      </c>
      <c r="K668" s="111">
        <f t="shared" si="68"/>
        <v>5.4316611784636856E-21</v>
      </c>
      <c r="L668" s="111">
        <f t="shared" si="68"/>
        <v>4.7527035311557974E-21</v>
      </c>
      <c r="M668" s="111">
        <f t="shared" si="68"/>
        <v>8.8762170105512293E-21</v>
      </c>
      <c r="N668" s="111">
        <f t="shared" si="68"/>
        <v>0</v>
      </c>
      <c r="O668" s="111">
        <f t="shared" si="68"/>
        <v>0</v>
      </c>
      <c r="P668" s="111">
        <f t="shared" si="68"/>
        <v>0</v>
      </c>
      <c r="Q668" s="111">
        <f t="shared" si="68"/>
        <v>0</v>
      </c>
      <c r="R668" s="9"/>
      <c r="S668" s="12"/>
      <c r="T668" s="12"/>
      <c r="U668" s="12"/>
      <c r="V668" s="12"/>
      <c r="W668" s="12"/>
      <c r="X668" s="12"/>
      <c r="Y668" s="12"/>
      <c r="Z668" s="12"/>
      <c r="AA668" s="12"/>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0</v>
      </c>
      <c r="H669" s="111">
        <f t="shared" si="66"/>
        <v>0</v>
      </c>
      <c r="I669" s="111">
        <f t="shared" ref="I669:Q669" si="69">I441*I$6</f>
        <v>0</v>
      </c>
      <c r="J669" s="111">
        <f t="shared" si="69"/>
        <v>-3.7993776072220445E-5</v>
      </c>
      <c r="K669" s="111">
        <f t="shared" si="69"/>
        <v>-7.8392847984326859E-5</v>
      </c>
      <c r="L669" s="111">
        <f t="shared" si="69"/>
        <v>-1.3956990889410451E-4</v>
      </c>
      <c r="M669" s="111">
        <f t="shared" si="69"/>
        <v>-4.40978881577054E-4</v>
      </c>
      <c r="N669" s="111">
        <f t="shared" si="69"/>
        <v>0</v>
      </c>
      <c r="O669" s="111">
        <f t="shared" si="69"/>
        <v>0</v>
      </c>
      <c r="P669" s="111">
        <f t="shared" si="69"/>
        <v>0</v>
      </c>
      <c r="Q669" s="111">
        <f t="shared" si="69"/>
        <v>0</v>
      </c>
      <c r="R669" s="9"/>
      <c r="S669" s="12"/>
      <c r="T669" s="12"/>
      <c r="U669" s="12"/>
      <c r="V669" s="12"/>
      <c r="W669" s="12"/>
      <c r="X669" s="12"/>
      <c r="Y669" s="12"/>
      <c r="Z669" s="12"/>
      <c r="AA669" s="12"/>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0</v>
      </c>
      <c r="H670" s="111">
        <f t="shared" si="66"/>
        <v>0</v>
      </c>
      <c r="I670" s="111">
        <f t="shared" ref="I670:Q670" si="70">I442*I$6</f>
        <v>0</v>
      </c>
      <c r="J670" s="111">
        <f t="shared" si="70"/>
        <v>-8.6931507397095887E-4</v>
      </c>
      <c r="K670" s="111">
        <f t="shared" si="70"/>
        <v>-2.2962126974605318E-3</v>
      </c>
      <c r="L670" s="111">
        <f t="shared" si="70"/>
        <v>-3.3317627473184726E-3</v>
      </c>
      <c r="M670" s="111">
        <f t="shared" si="70"/>
        <v>-2.5446443427885202E-3</v>
      </c>
      <c r="N670" s="111">
        <f t="shared" si="70"/>
        <v>0</v>
      </c>
      <c r="O670" s="111">
        <f t="shared" si="70"/>
        <v>0</v>
      </c>
      <c r="P670" s="111">
        <f t="shared" si="70"/>
        <v>0</v>
      </c>
      <c r="Q670" s="111">
        <f t="shared" si="70"/>
        <v>0</v>
      </c>
      <c r="R670" s="9"/>
      <c r="S670" s="12"/>
      <c r="T670" s="12"/>
      <c r="U670" s="12"/>
      <c r="V670" s="12"/>
      <c r="W670" s="12"/>
      <c r="X670" s="12"/>
      <c r="Y670" s="12"/>
      <c r="Z670" s="12"/>
      <c r="AA670" s="12"/>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-1.5376531685027449E-3</v>
      </c>
      <c r="H671" s="111">
        <f t="shared" si="66"/>
        <v>-3.9330376953177143E-4</v>
      </c>
      <c r="I671" s="111">
        <f t="shared" ref="I671:Q671" si="71">I443*I$6</f>
        <v>1.3082025466586787E-3</v>
      </c>
      <c r="J671" s="111">
        <f t="shared" si="71"/>
        <v>2.8983011328748893E-3</v>
      </c>
      <c r="K671" s="111">
        <f t="shared" si="71"/>
        <v>2.7345756861801409E-3</v>
      </c>
      <c r="L671" s="111">
        <f t="shared" si="71"/>
        <v>3.5487951821810593E-3</v>
      </c>
      <c r="M671" s="111">
        <f t="shared" si="71"/>
        <v>9.5362058268507501E-3</v>
      </c>
      <c r="N671" s="111">
        <f t="shared" si="71"/>
        <v>0</v>
      </c>
      <c r="O671" s="111">
        <f t="shared" si="71"/>
        <v>0</v>
      </c>
      <c r="P671" s="111">
        <f t="shared" si="71"/>
        <v>0</v>
      </c>
      <c r="Q671" s="111">
        <f t="shared" si="71"/>
        <v>0</v>
      </c>
      <c r="R671" s="9"/>
      <c r="S671" s="12"/>
      <c r="T671" s="12"/>
      <c r="U671" s="12"/>
      <c r="V671" s="12"/>
      <c r="W671" s="12"/>
      <c r="X671" s="12"/>
      <c r="Y671" s="12"/>
      <c r="Z671" s="12"/>
      <c r="AA671" s="12"/>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-0.70853167892455904</v>
      </c>
      <c r="I697" s="37">
        <f>+I631+I665</f>
        <v>-0.76189336975146627</v>
      </c>
      <c r="J697" s="37">
        <f>+J631+J665</f>
        <v>-0.84523495554865691</v>
      </c>
      <c r="K697" s="37">
        <f>+K631+K665</f>
        <v>-1.2195455208159403</v>
      </c>
      <c r="L697" s="37">
        <f>+L631+L665</f>
        <v>-1.3467973855884439</v>
      </c>
      <c r="M697" s="9"/>
      <c r="N697" s="9"/>
      <c r="O697" s="9"/>
      <c r="P697" s="9"/>
      <c r="Q697" s="9"/>
      <c r="R697" s="9"/>
      <c r="S697" s="9"/>
      <c r="T697" s="106">
        <f>+SUM(H697:L697)</f>
        <v>-4.8820029106290663</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-4.8820029106290663</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CN1264"/>
  <sheetViews>
    <sheetView zoomScale="70" zoomScaleNormal="70" workbookViewId="0"/>
  </sheetViews>
  <sheetFormatPr defaultRowHeight="12.75" outlineLevelRow="1"/>
  <cols>
    <col min="1" max="1" width="20.42578125" style="342" customWidth="1"/>
    <col min="2" max="2" width="8.7109375" style="342" customWidth="1"/>
    <col min="3" max="3" width="12.5703125" style="342" bestFit="1" customWidth="1"/>
    <col min="4" max="13" width="8.7109375" style="342" customWidth="1"/>
    <col min="14" max="16384" width="9.140625" style="342"/>
  </cols>
  <sheetData>
    <row r="1" spans="1:5" ht="14.25">
      <c r="A1" s="596" t="s">
        <v>230</v>
      </c>
    </row>
    <row r="3" spans="1:5">
      <c r="A3" s="343" t="s">
        <v>135</v>
      </c>
    </row>
    <row r="5" spans="1:5" ht="25.5" hidden="1" customHeight="1" outlineLevel="1">
      <c r="A5" s="344" t="s">
        <v>136</v>
      </c>
      <c r="B5" s="345" t="s">
        <v>137</v>
      </c>
      <c r="C5" s="345" t="s">
        <v>138</v>
      </c>
      <c r="D5" s="621" t="s">
        <v>139</v>
      </c>
      <c r="E5" s="621"/>
    </row>
    <row r="6" spans="1:5" ht="12.75" hidden="1" customHeight="1" outlineLevel="1">
      <c r="A6" s="346" t="s">
        <v>121</v>
      </c>
      <c r="B6" s="347">
        <v>18.065999999999999</v>
      </c>
      <c r="C6" s="348">
        <v>7.5</v>
      </c>
      <c r="D6" s="349" t="s">
        <v>140</v>
      </c>
      <c r="E6" s="350"/>
    </row>
    <row r="7" spans="1:5" ht="12.75" hidden="1" customHeight="1" outlineLevel="1">
      <c r="A7" s="351" t="s">
        <v>122</v>
      </c>
      <c r="B7" s="352">
        <v>1.8460000000000001</v>
      </c>
      <c r="C7" s="353">
        <v>1</v>
      </c>
      <c r="D7" s="353" t="s">
        <v>141</v>
      </c>
      <c r="E7" s="354"/>
    </row>
    <row r="8" spans="1:5" ht="12.75" hidden="1" customHeight="1" outlineLevel="1">
      <c r="A8" s="351" t="s">
        <v>142</v>
      </c>
      <c r="B8" s="352">
        <v>0</v>
      </c>
      <c r="C8" s="353">
        <v>40</v>
      </c>
      <c r="D8" s="353" t="s">
        <v>143</v>
      </c>
      <c r="E8" s="354"/>
    </row>
    <row r="9" spans="1:5" ht="12.75" hidden="1" customHeight="1" outlineLevel="1">
      <c r="A9" s="355" t="s">
        <v>126</v>
      </c>
      <c r="B9" s="356">
        <v>1.9730000000000001</v>
      </c>
      <c r="C9" s="357">
        <v>5</v>
      </c>
      <c r="D9" s="357" t="s">
        <v>140</v>
      </c>
      <c r="E9" s="358"/>
    </row>
    <row r="10" spans="1:5" ht="13.5" hidden="1" customHeight="1" outlineLevel="1" thickBot="1">
      <c r="B10" s="359">
        <f>SUM(B6:B9)</f>
        <v>21.884999999999998</v>
      </c>
    </row>
    <row r="11" spans="1:5" ht="13.5" hidden="1" customHeight="1" outlineLevel="1" thickTop="1"/>
    <row r="12" spans="1:5" ht="12.75" hidden="1" customHeight="1" outlineLevel="1">
      <c r="A12" s="360" t="s">
        <v>144</v>
      </c>
    </row>
    <row r="13" spans="1:5" ht="12.75" hidden="1" customHeight="1" outlineLevel="1"/>
    <row r="14" spans="1:5" ht="12.75" hidden="1" customHeight="1" outlineLevel="1">
      <c r="A14" s="360" t="str">
        <f>A$6</f>
        <v>Mains &amp; Services</v>
      </c>
    </row>
    <row r="15" spans="1:5" ht="12.75" hidden="1" customHeight="1" outlineLevel="1">
      <c r="A15" s="346" t="s">
        <v>145</v>
      </c>
      <c r="B15" s="361">
        <f>B6</f>
        <v>18.065999999999999</v>
      </c>
      <c r="C15" s="350"/>
      <c r="E15" s="362"/>
    </row>
    <row r="16" spans="1:5" ht="12.75" hidden="1" customHeight="1" outlineLevel="1">
      <c r="A16" s="351" t="s">
        <v>146</v>
      </c>
      <c r="B16" s="363">
        <f>C6</f>
        <v>7.5</v>
      </c>
      <c r="C16" s="354"/>
    </row>
    <row r="17" spans="1:23" ht="12.75" hidden="1" customHeight="1" outlineLevel="1">
      <c r="A17" s="351" t="s">
        <v>147</v>
      </c>
      <c r="B17" s="363" t="str">
        <f>D6</f>
        <v>Declining Balance</v>
      </c>
      <c r="C17" s="354"/>
    </row>
    <row r="18" spans="1:23" ht="12.75" hidden="1" customHeight="1" outlineLevel="1">
      <c r="A18" s="364" t="s">
        <v>148</v>
      </c>
      <c r="B18" s="365">
        <f>IF(B17="Straight Line",1/B16,IF(B17="Declining Balance",1/B16*1.5,1))</f>
        <v>0.2</v>
      </c>
      <c r="C18" s="358"/>
    </row>
    <row r="19" spans="1:23" ht="12.75" hidden="1" customHeight="1" outlineLevel="1">
      <c r="A19" s="366"/>
      <c r="B19" s="363"/>
      <c r="C19" s="366"/>
      <c r="D19" s="366"/>
    </row>
    <row r="20" spans="1:23" ht="12.75" hidden="1" customHeight="1" outlineLevel="1">
      <c r="B20" s="367">
        <v>1996</v>
      </c>
      <c r="C20" s="368">
        <v>1997</v>
      </c>
      <c r="D20" s="367">
        <v>1998</v>
      </c>
      <c r="E20" s="369">
        <v>1999</v>
      </c>
      <c r="F20" s="369">
        <v>2000</v>
      </c>
      <c r="G20" s="369">
        <v>2001</v>
      </c>
      <c r="H20" s="368">
        <v>2002</v>
      </c>
      <c r="I20" s="367">
        <v>2003</v>
      </c>
      <c r="J20" s="369">
        <v>2004</v>
      </c>
      <c r="K20" s="369">
        <v>2005</v>
      </c>
      <c r="L20" s="369">
        <v>2006</v>
      </c>
      <c r="M20" s="368">
        <v>2007</v>
      </c>
      <c r="N20" s="367">
        <v>2008</v>
      </c>
      <c r="O20" s="369">
        <v>2009</v>
      </c>
      <c r="P20" s="369">
        <v>2010</v>
      </c>
      <c r="Q20" s="369">
        <v>2011</v>
      </c>
      <c r="R20" s="368">
        <v>2012</v>
      </c>
      <c r="S20" s="367">
        <f t="shared" ref="S20:W20" si="0">R20+1</f>
        <v>2013</v>
      </c>
      <c r="T20" s="369">
        <f t="shared" si="0"/>
        <v>2014</v>
      </c>
      <c r="U20" s="369">
        <f t="shared" si="0"/>
        <v>2015</v>
      </c>
      <c r="V20" s="369">
        <f t="shared" si="0"/>
        <v>2016</v>
      </c>
      <c r="W20" s="368">
        <f t="shared" si="0"/>
        <v>2017</v>
      </c>
    </row>
    <row r="21" spans="1:23" ht="12.75" hidden="1" customHeight="1" outlineLevel="1">
      <c r="A21" s="346" t="s">
        <v>2</v>
      </c>
      <c r="B21" s="353">
        <f>B15</f>
        <v>18.065999999999999</v>
      </c>
      <c r="C21" s="370">
        <f>B23</f>
        <v>16.259399999999999</v>
      </c>
      <c r="D21" s="353">
        <f t="shared" ref="D21:W21" si="1">C23</f>
        <v>13.00752</v>
      </c>
      <c r="E21" s="363">
        <f t="shared" si="1"/>
        <v>10.406015999999999</v>
      </c>
      <c r="F21" s="363">
        <f t="shared" si="1"/>
        <v>8.3248128000000001</v>
      </c>
      <c r="G21" s="363">
        <f t="shared" si="1"/>
        <v>6.6598502399999999</v>
      </c>
      <c r="H21" s="370">
        <f t="shared" si="1"/>
        <v>5.3278801920000003</v>
      </c>
      <c r="I21" s="353">
        <f t="shared" si="1"/>
        <v>4.2623041536000006</v>
      </c>
      <c r="J21" s="363">
        <f t="shared" si="1"/>
        <v>3.4098433228800005</v>
      </c>
      <c r="K21" s="363">
        <f t="shared" si="1"/>
        <v>2.7278746583040006</v>
      </c>
      <c r="L21" s="363">
        <f t="shared" si="1"/>
        <v>2.1822997266432003</v>
      </c>
      <c r="M21" s="370">
        <f t="shared" si="1"/>
        <v>1.7458397813145603</v>
      </c>
      <c r="N21" s="353">
        <f t="shared" si="1"/>
        <v>1.3966718250516483</v>
      </c>
      <c r="O21" s="363">
        <f t="shared" si="1"/>
        <v>1.1173374600413186</v>
      </c>
      <c r="P21" s="363">
        <f t="shared" si="1"/>
        <v>0.89386996803305485</v>
      </c>
      <c r="Q21" s="363">
        <f t="shared" si="1"/>
        <v>0.7150959744264439</v>
      </c>
      <c r="R21" s="370">
        <f t="shared" si="1"/>
        <v>0.5720767795411551</v>
      </c>
      <c r="S21" s="353">
        <f t="shared" si="1"/>
        <v>0.45766142363292406</v>
      </c>
      <c r="T21" s="363">
        <f t="shared" si="1"/>
        <v>0.36612913890633925</v>
      </c>
      <c r="U21" s="363">
        <f t="shared" si="1"/>
        <v>0.2929033111250714</v>
      </c>
      <c r="V21" s="363">
        <f t="shared" si="1"/>
        <v>0.23432264890005711</v>
      </c>
      <c r="W21" s="370">
        <f t="shared" si="1"/>
        <v>0.18745811912004567</v>
      </c>
    </row>
    <row r="22" spans="1:23" ht="12.75" hidden="1" customHeight="1" outlineLevel="1">
      <c r="A22" s="351" t="s">
        <v>149</v>
      </c>
      <c r="B22" s="353">
        <f>B18*B21*0.5</f>
        <v>1.8066</v>
      </c>
      <c r="C22" s="370">
        <f>$B18*C21</f>
        <v>3.2518799999999999</v>
      </c>
      <c r="D22" s="353">
        <f t="shared" ref="D22:W22" si="2">$B18*D21</f>
        <v>2.6015040000000003</v>
      </c>
      <c r="E22" s="363">
        <f t="shared" si="2"/>
        <v>2.0812032</v>
      </c>
      <c r="F22" s="363">
        <f t="shared" si="2"/>
        <v>1.6649625600000002</v>
      </c>
      <c r="G22" s="363">
        <f t="shared" si="2"/>
        <v>1.3319700480000001</v>
      </c>
      <c r="H22" s="370">
        <f t="shared" si="2"/>
        <v>1.0655760384000001</v>
      </c>
      <c r="I22" s="353">
        <f t="shared" si="2"/>
        <v>0.85246083072000012</v>
      </c>
      <c r="J22" s="363">
        <f t="shared" si="2"/>
        <v>0.68196866457600014</v>
      </c>
      <c r="K22" s="363">
        <f t="shared" si="2"/>
        <v>0.54557493166080018</v>
      </c>
      <c r="L22" s="363">
        <f t="shared" si="2"/>
        <v>0.43645994532864008</v>
      </c>
      <c r="M22" s="370">
        <f t="shared" si="2"/>
        <v>0.34916795626291208</v>
      </c>
      <c r="N22" s="353">
        <f t="shared" si="2"/>
        <v>0.27933436501032965</v>
      </c>
      <c r="O22" s="363">
        <f t="shared" si="2"/>
        <v>0.22346749200826374</v>
      </c>
      <c r="P22" s="363">
        <f t="shared" si="2"/>
        <v>0.17877399360661098</v>
      </c>
      <c r="Q22" s="363">
        <f t="shared" si="2"/>
        <v>0.14301919488528878</v>
      </c>
      <c r="R22" s="370">
        <f t="shared" si="2"/>
        <v>0.11441535590823103</v>
      </c>
      <c r="S22" s="353">
        <f t="shared" si="2"/>
        <v>9.1532284726584812E-2</v>
      </c>
      <c r="T22" s="363">
        <f t="shared" si="2"/>
        <v>7.3225827781267849E-2</v>
      </c>
      <c r="U22" s="363">
        <f t="shared" si="2"/>
        <v>5.8580662225014284E-2</v>
      </c>
      <c r="V22" s="363">
        <f t="shared" si="2"/>
        <v>4.6864529780011425E-2</v>
      </c>
      <c r="W22" s="370">
        <f t="shared" si="2"/>
        <v>3.749162382400914E-2</v>
      </c>
    </row>
    <row r="23" spans="1:23" ht="12.75" hidden="1" customHeight="1" outlineLevel="1">
      <c r="A23" s="355" t="s">
        <v>113</v>
      </c>
      <c r="B23" s="357">
        <f>B21-B22</f>
        <v>16.259399999999999</v>
      </c>
      <c r="C23" s="371">
        <f>C21-C22</f>
        <v>13.00752</v>
      </c>
      <c r="D23" s="357">
        <f t="shared" ref="D23:W23" si="3">D21-D22</f>
        <v>10.406015999999999</v>
      </c>
      <c r="E23" s="372">
        <f t="shared" si="3"/>
        <v>8.3248128000000001</v>
      </c>
      <c r="F23" s="372">
        <f t="shared" si="3"/>
        <v>6.6598502399999999</v>
      </c>
      <c r="G23" s="372">
        <f t="shared" si="3"/>
        <v>5.3278801920000003</v>
      </c>
      <c r="H23" s="371">
        <f t="shared" si="3"/>
        <v>4.2623041536000006</v>
      </c>
      <c r="I23" s="357">
        <f t="shared" si="3"/>
        <v>3.4098433228800005</v>
      </c>
      <c r="J23" s="372">
        <f t="shared" si="3"/>
        <v>2.7278746583040006</v>
      </c>
      <c r="K23" s="372">
        <f t="shared" si="3"/>
        <v>2.1822997266432003</v>
      </c>
      <c r="L23" s="372">
        <f t="shared" si="3"/>
        <v>1.7458397813145603</v>
      </c>
      <c r="M23" s="371">
        <f t="shared" si="3"/>
        <v>1.3966718250516483</v>
      </c>
      <c r="N23" s="357">
        <f t="shared" si="3"/>
        <v>1.1173374600413186</v>
      </c>
      <c r="O23" s="372">
        <f t="shared" si="3"/>
        <v>0.89386996803305485</v>
      </c>
      <c r="P23" s="372">
        <f t="shared" si="3"/>
        <v>0.7150959744264439</v>
      </c>
      <c r="Q23" s="372">
        <f t="shared" si="3"/>
        <v>0.5720767795411551</v>
      </c>
      <c r="R23" s="371">
        <f t="shared" si="3"/>
        <v>0.45766142363292406</v>
      </c>
      <c r="S23" s="357">
        <f t="shared" si="3"/>
        <v>0.36612913890633925</v>
      </c>
      <c r="T23" s="372">
        <f t="shared" si="3"/>
        <v>0.2929033111250714</v>
      </c>
      <c r="U23" s="372">
        <f t="shared" si="3"/>
        <v>0.23432264890005711</v>
      </c>
      <c r="V23" s="372">
        <f t="shared" si="3"/>
        <v>0.18745811912004567</v>
      </c>
      <c r="W23" s="371">
        <f t="shared" si="3"/>
        <v>0.14996649529603653</v>
      </c>
    </row>
    <row r="24" spans="1:23" ht="12.75" hidden="1" customHeight="1" outlineLevel="1"/>
    <row r="25" spans="1:23" ht="12.75" hidden="1" customHeight="1" outlineLevel="1">
      <c r="A25" s="360" t="str">
        <f>A$7</f>
        <v>Meters</v>
      </c>
      <c r="B25" s="373"/>
      <c r="C25" s="373"/>
      <c r="D25" s="373"/>
      <c r="E25" s="373"/>
      <c r="F25" s="373"/>
      <c r="G25" s="373"/>
      <c r="H25" s="373"/>
      <c r="I25" s="373"/>
      <c r="J25" s="373"/>
      <c r="K25" s="373"/>
      <c r="L25" s="373"/>
      <c r="M25" s="373"/>
    </row>
    <row r="26" spans="1:23" ht="12.75" hidden="1" customHeight="1" outlineLevel="1">
      <c r="A26" s="346" t="s">
        <v>145</v>
      </c>
      <c r="B26" s="361">
        <f>B7</f>
        <v>1.8460000000000001</v>
      </c>
      <c r="C26" s="350"/>
      <c r="E26" s="362"/>
    </row>
    <row r="27" spans="1:23" ht="12.75" hidden="1" customHeight="1" outlineLevel="1">
      <c r="A27" s="351" t="s">
        <v>146</v>
      </c>
      <c r="B27" s="363">
        <f>C7</f>
        <v>1</v>
      </c>
      <c r="C27" s="354"/>
    </row>
    <row r="28" spans="1:23" ht="12.75" hidden="1" customHeight="1" outlineLevel="1">
      <c r="A28" s="351" t="s">
        <v>147</v>
      </c>
      <c r="B28" s="363" t="str">
        <f>D7</f>
        <v>Fully Deductible</v>
      </c>
      <c r="C28" s="354"/>
    </row>
    <row r="29" spans="1:23" ht="12.75" hidden="1" customHeight="1" outlineLevel="1">
      <c r="A29" s="364" t="s">
        <v>148</v>
      </c>
      <c r="B29" s="365">
        <f>IF(B28="Straight Line",1/B27,IF(B28="Declining Balance",1/B27*1.5,1))</f>
        <v>1</v>
      </c>
      <c r="C29" s="358"/>
    </row>
    <row r="30" spans="1:23" ht="12.75" hidden="1" customHeight="1" outlineLevel="1">
      <c r="A30" s="366"/>
      <c r="B30" s="363"/>
      <c r="C30" s="366"/>
      <c r="D30" s="366"/>
    </row>
    <row r="31" spans="1:23" ht="12.75" hidden="1" customHeight="1" outlineLevel="1">
      <c r="B31" s="367">
        <v>1996</v>
      </c>
      <c r="C31" s="368">
        <v>1997</v>
      </c>
      <c r="D31" s="367">
        <v>1998</v>
      </c>
      <c r="E31" s="369">
        <v>1999</v>
      </c>
      <c r="F31" s="369">
        <v>2000</v>
      </c>
      <c r="G31" s="369">
        <v>2001</v>
      </c>
      <c r="H31" s="368">
        <v>2002</v>
      </c>
      <c r="I31" s="367">
        <v>2003</v>
      </c>
      <c r="J31" s="369">
        <v>2004</v>
      </c>
      <c r="K31" s="369">
        <v>2005</v>
      </c>
      <c r="L31" s="369">
        <v>2006</v>
      </c>
      <c r="M31" s="368">
        <v>2007</v>
      </c>
      <c r="N31" s="367">
        <v>2008</v>
      </c>
      <c r="O31" s="369">
        <v>2009</v>
      </c>
      <c r="P31" s="369">
        <v>2010</v>
      </c>
      <c r="Q31" s="369">
        <v>2011</v>
      </c>
      <c r="R31" s="368">
        <v>2012</v>
      </c>
      <c r="S31" s="367">
        <f t="shared" ref="S31:W31" si="4">R31+1</f>
        <v>2013</v>
      </c>
      <c r="T31" s="369">
        <f t="shared" si="4"/>
        <v>2014</v>
      </c>
      <c r="U31" s="369">
        <f t="shared" si="4"/>
        <v>2015</v>
      </c>
      <c r="V31" s="369">
        <f t="shared" si="4"/>
        <v>2016</v>
      </c>
      <c r="W31" s="368">
        <f t="shared" si="4"/>
        <v>2017</v>
      </c>
    </row>
    <row r="32" spans="1:23" ht="12.75" hidden="1" customHeight="1" outlineLevel="1">
      <c r="A32" s="346" t="s">
        <v>2</v>
      </c>
      <c r="B32" s="353">
        <f>B26</f>
        <v>1.8460000000000001</v>
      </c>
      <c r="C32" s="370">
        <f>B34</f>
        <v>0.92300000000000004</v>
      </c>
      <c r="D32" s="353">
        <f t="shared" ref="D32:W32" si="5">C34</f>
        <v>0</v>
      </c>
      <c r="E32" s="363">
        <f t="shared" si="5"/>
        <v>0</v>
      </c>
      <c r="F32" s="363">
        <f t="shared" si="5"/>
        <v>0</v>
      </c>
      <c r="G32" s="363">
        <f t="shared" si="5"/>
        <v>0</v>
      </c>
      <c r="H32" s="370">
        <f t="shared" si="5"/>
        <v>0</v>
      </c>
      <c r="I32" s="353">
        <f t="shared" si="5"/>
        <v>0</v>
      </c>
      <c r="J32" s="363">
        <f t="shared" si="5"/>
        <v>0</v>
      </c>
      <c r="K32" s="363">
        <f t="shared" si="5"/>
        <v>0</v>
      </c>
      <c r="L32" s="363">
        <f t="shared" si="5"/>
        <v>0</v>
      </c>
      <c r="M32" s="370">
        <f t="shared" si="5"/>
        <v>0</v>
      </c>
      <c r="N32" s="353">
        <f t="shared" si="5"/>
        <v>0</v>
      </c>
      <c r="O32" s="363">
        <f t="shared" si="5"/>
        <v>0</v>
      </c>
      <c r="P32" s="363">
        <f t="shared" si="5"/>
        <v>0</v>
      </c>
      <c r="Q32" s="363">
        <f t="shared" si="5"/>
        <v>0</v>
      </c>
      <c r="R32" s="370">
        <f t="shared" si="5"/>
        <v>0</v>
      </c>
      <c r="S32" s="353">
        <f t="shared" si="5"/>
        <v>0</v>
      </c>
      <c r="T32" s="363">
        <f t="shared" si="5"/>
        <v>0</v>
      </c>
      <c r="U32" s="363">
        <f t="shared" si="5"/>
        <v>0</v>
      </c>
      <c r="V32" s="363">
        <f t="shared" si="5"/>
        <v>0</v>
      </c>
      <c r="W32" s="370">
        <f t="shared" si="5"/>
        <v>0</v>
      </c>
    </row>
    <row r="33" spans="1:23" ht="12.75" hidden="1" customHeight="1" outlineLevel="1">
      <c r="A33" s="351" t="s">
        <v>149</v>
      </c>
      <c r="B33" s="353">
        <f>B29*B32*0.5</f>
        <v>0.92300000000000004</v>
      </c>
      <c r="C33" s="370">
        <f t="shared" ref="C33:W33" si="6">$B29*C32</f>
        <v>0.92300000000000004</v>
      </c>
      <c r="D33" s="353">
        <f t="shared" si="6"/>
        <v>0</v>
      </c>
      <c r="E33" s="363">
        <f t="shared" si="6"/>
        <v>0</v>
      </c>
      <c r="F33" s="363">
        <f t="shared" si="6"/>
        <v>0</v>
      </c>
      <c r="G33" s="363">
        <f t="shared" si="6"/>
        <v>0</v>
      </c>
      <c r="H33" s="370">
        <f t="shared" si="6"/>
        <v>0</v>
      </c>
      <c r="I33" s="353">
        <f t="shared" si="6"/>
        <v>0</v>
      </c>
      <c r="J33" s="363">
        <f t="shared" si="6"/>
        <v>0</v>
      </c>
      <c r="K33" s="363">
        <f t="shared" si="6"/>
        <v>0</v>
      </c>
      <c r="L33" s="363">
        <f t="shared" si="6"/>
        <v>0</v>
      </c>
      <c r="M33" s="370">
        <f t="shared" si="6"/>
        <v>0</v>
      </c>
      <c r="N33" s="353">
        <f t="shared" si="6"/>
        <v>0</v>
      </c>
      <c r="O33" s="363">
        <f t="shared" si="6"/>
        <v>0</v>
      </c>
      <c r="P33" s="363">
        <f t="shared" si="6"/>
        <v>0</v>
      </c>
      <c r="Q33" s="363">
        <f t="shared" si="6"/>
        <v>0</v>
      </c>
      <c r="R33" s="370">
        <f t="shared" si="6"/>
        <v>0</v>
      </c>
      <c r="S33" s="353">
        <f t="shared" si="6"/>
        <v>0</v>
      </c>
      <c r="T33" s="363">
        <f t="shared" si="6"/>
        <v>0</v>
      </c>
      <c r="U33" s="363">
        <f t="shared" si="6"/>
        <v>0</v>
      </c>
      <c r="V33" s="363">
        <f t="shared" si="6"/>
        <v>0</v>
      </c>
      <c r="W33" s="370">
        <f t="shared" si="6"/>
        <v>0</v>
      </c>
    </row>
    <row r="34" spans="1:23" ht="12.75" hidden="1" customHeight="1" outlineLevel="1">
      <c r="A34" s="355" t="s">
        <v>113</v>
      </c>
      <c r="B34" s="357">
        <f t="shared" ref="B34:W34" si="7">B32-B33</f>
        <v>0.92300000000000004</v>
      </c>
      <c r="C34" s="371">
        <f t="shared" si="7"/>
        <v>0</v>
      </c>
      <c r="D34" s="357">
        <f t="shared" si="7"/>
        <v>0</v>
      </c>
      <c r="E34" s="372">
        <f t="shared" si="7"/>
        <v>0</v>
      </c>
      <c r="F34" s="372">
        <f t="shared" si="7"/>
        <v>0</v>
      </c>
      <c r="G34" s="372">
        <f t="shared" si="7"/>
        <v>0</v>
      </c>
      <c r="H34" s="371">
        <f t="shared" si="7"/>
        <v>0</v>
      </c>
      <c r="I34" s="357">
        <f t="shared" si="7"/>
        <v>0</v>
      </c>
      <c r="J34" s="372">
        <f t="shared" si="7"/>
        <v>0</v>
      </c>
      <c r="K34" s="372">
        <f t="shared" si="7"/>
        <v>0</v>
      </c>
      <c r="L34" s="372">
        <f t="shared" si="7"/>
        <v>0</v>
      </c>
      <c r="M34" s="371">
        <f t="shared" si="7"/>
        <v>0</v>
      </c>
      <c r="N34" s="357">
        <f t="shared" si="7"/>
        <v>0</v>
      </c>
      <c r="O34" s="372">
        <f t="shared" si="7"/>
        <v>0</v>
      </c>
      <c r="P34" s="372">
        <f t="shared" si="7"/>
        <v>0</v>
      </c>
      <c r="Q34" s="372">
        <f t="shared" si="7"/>
        <v>0</v>
      </c>
      <c r="R34" s="371">
        <f t="shared" si="7"/>
        <v>0</v>
      </c>
      <c r="S34" s="357">
        <f t="shared" si="7"/>
        <v>0</v>
      </c>
      <c r="T34" s="372">
        <f t="shared" si="7"/>
        <v>0</v>
      </c>
      <c r="U34" s="372">
        <f t="shared" si="7"/>
        <v>0</v>
      </c>
      <c r="V34" s="372">
        <f t="shared" si="7"/>
        <v>0</v>
      </c>
      <c r="W34" s="371">
        <f t="shared" si="7"/>
        <v>0</v>
      </c>
    </row>
    <row r="35" spans="1:23" ht="12.75" hidden="1" customHeight="1" outlineLevel="1"/>
    <row r="36" spans="1:23" ht="12.75" hidden="1" customHeight="1" outlineLevel="1">
      <c r="A36" s="360" t="str">
        <f>A$8</f>
        <v>Land &amp; Buildings</v>
      </c>
    </row>
    <row r="37" spans="1:23" ht="12.75" hidden="1" customHeight="1" outlineLevel="1">
      <c r="A37" s="346" t="s">
        <v>145</v>
      </c>
      <c r="B37" s="361">
        <f>B8</f>
        <v>0</v>
      </c>
      <c r="C37" s="350"/>
      <c r="E37" s="362"/>
    </row>
    <row r="38" spans="1:23" ht="12.75" hidden="1" customHeight="1" outlineLevel="1">
      <c r="A38" s="351" t="s">
        <v>146</v>
      </c>
      <c r="B38" s="363">
        <f>C8</f>
        <v>40</v>
      </c>
      <c r="C38" s="354"/>
    </row>
    <row r="39" spans="1:23" ht="12.75" hidden="1" customHeight="1" outlineLevel="1">
      <c r="A39" s="351" t="s">
        <v>147</v>
      </c>
      <c r="B39" s="363" t="str">
        <f>D8</f>
        <v>Straight Line</v>
      </c>
      <c r="C39" s="354"/>
    </row>
    <row r="40" spans="1:23" ht="12.75" hidden="1" customHeight="1" outlineLevel="1">
      <c r="A40" s="364" t="s">
        <v>148</v>
      </c>
      <c r="B40" s="365">
        <f>IF(B39="Straight Line",1/B38,IF(B39="Declining Balance",1/B38*1.5,1))</f>
        <v>2.5000000000000001E-2</v>
      </c>
      <c r="C40" s="358"/>
    </row>
    <row r="41" spans="1:23" ht="12.75" hidden="1" customHeight="1" outlineLevel="1">
      <c r="A41" s="366"/>
      <c r="B41" s="363"/>
      <c r="C41" s="366"/>
      <c r="D41" s="366"/>
    </row>
    <row r="42" spans="1:23" ht="12.75" hidden="1" customHeight="1" outlineLevel="1">
      <c r="B42" s="367">
        <v>1996</v>
      </c>
      <c r="C42" s="368">
        <v>1997</v>
      </c>
      <c r="D42" s="367">
        <v>1998</v>
      </c>
      <c r="E42" s="369">
        <v>1999</v>
      </c>
      <c r="F42" s="369">
        <v>2000</v>
      </c>
      <c r="G42" s="369">
        <v>2001</v>
      </c>
      <c r="H42" s="368">
        <v>2002</v>
      </c>
      <c r="I42" s="367">
        <v>2003</v>
      </c>
      <c r="J42" s="369">
        <v>2004</v>
      </c>
      <c r="K42" s="369">
        <v>2005</v>
      </c>
      <c r="L42" s="369">
        <v>2006</v>
      </c>
      <c r="M42" s="368">
        <v>2007</v>
      </c>
      <c r="N42" s="367">
        <v>2008</v>
      </c>
      <c r="O42" s="369">
        <v>2009</v>
      </c>
      <c r="P42" s="369">
        <v>2010</v>
      </c>
      <c r="Q42" s="369">
        <v>2011</v>
      </c>
      <c r="R42" s="368">
        <v>2012</v>
      </c>
      <c r="S42" s="367">
        <f t="shared" ref="S42:W42" si="8">R42+1</f>
        <v>2013</v>
      </c>
      <c r="T42" s="369">
        <f t="shared" si="8"/>
        <v>2014</v>
      </c>
      <c r="U42" s="369">
        <f t="shared" si="8"/>
        <v>2015</v>
      </c>
      <c r="V42" s="369">
        <f t="shared" si="8"/>
        <v>2016</v>
      </c>
      <c r="W42" s="368">
        <f t="shared" si="8"/>
        <v>2017</v>
      </c>
    </row>
    <row r="43" spans="1:23" ht="12.75" hidden="1" customHeight="1" outlineLevel="1">
      <c r="A43" s="346" t="s">
        <v>2</v>
      </c>
      <c r="B43" s="353">
        <f>B37</f>
        <v>0</v>
      </c>
      <c r="C43" s="370">
        <f>B45</f>
        <v>0</v>
      </c>
      <c r="D43" s="353">
        <f t="shared" ref="D43:W43" si="9">C45</f>
        <v>0</v>
      </c>
      <c r="E43" s="363">
        <f t="shared" si="9"/>
        <v>0</v>
      </c>
      <c r="F43" s="363">
        <f t="shared" si="9"/>
        <v>0</v>
      </c>
      <c r="G43" s="363">
        <f t="shared" si="9"/>
        <v>0</v>
      </c>
      <c r="H43" s="370">
        <f t="shared" si="9"/>
        <v>0</v>
      </c>
      <c r="I43" s="353">
        <f t="shared" si="9"/>
        <v>0</v>
      </c>
      <c r="J43" s="363">
        <f t="shared" si="9"/>
        <v>0</v>
      </c>
      <c r="K43" s="363">
        <f t="shared" si="9"/>
        <v>0</v>
      </c>
      <c r="L43" s="363">
        <f t="shared" si="9"/>
        <v>0</v>
      </c>
      <c r="M43" s="370">
        <f t="shared" si="9"/>
        <v>0</v>
      </c>
      <c r="N43" s="353">
        <f t="shared" si="9"/>
        <v>0</v>
      </c>
      <c r="O43" s="363">
        <f t="shared" si="9"/>
        <v>0</v>
      </c>
      <c r="P43" s="363">
        <f t="shared" si="9"/>
        <v>0</v>
      </c>
      <c r="Q43" s="363">
        <f t="shared" si="9"/>
        <v>0</v>
      </c>
      <c r="R43" s="370">
        <f t="shared" si="9"/>
        <v>0</v>
      </c>
      <c r="S43" s="353">
        <f t="shared" si="9"/>
        <v>0</v>
      </c>
      <c r="T43" s="363">
        <f t="shared" si="9"/>
        <v>0</v>
      </c>
      <c r="U43" s="363">
        <f t="shared" si="9"/>
        <v>0</v>
      </c>
      <c r="V43" s="363">
        <f t="shared" si="9"/>
        <v>0</v>
      </c>
      <c r="W43" s="370">
        <f t="shared" si="9"/>
        <v>0</v>
      </c>
    </row>
    <row r="44" spans="1:23" ht="12.75" hidden="1" customHeight="1" outlineLevel="1">
      <c r="A44" s="351" t="s">
        <v>149</v>
      </c>
      <c r="B44" s="353">
        <f>B40*B43*0.5</f>
        <v>0</v>
      </c>
      <c r="C44" s="370">
        <f>IF(SUM($B44:B44)&gt;=$B42,0,$B40*$B43)</f>
        <v>0</v>
      </c>
      <c r="D44" s="353">
        <f>IF(SUM($B44:C44)&gt;=$B42,0,MIN(D43,$B40*$B43))</f>
        <v>0</v>
      </c>
      <c r="E44" s="363">
        <f>IF(SUM($B44:D44)&gt;=$B42,0,MIN(E43,$B40*$B43))</f>
        <v>0</v>
      </c>
      <c r="F44" s="363">
        <f>IF(SUM($B44:E44)&gt;=$B42,0,MIN(F43,$B40*$B43))</f>
        <v>0</v>
      </c>
      <c r="G44" s="363">
        <f>IF(SUM($B44:F44)&gt;=$B42,0,MIN(G43,$B40*$B43))</f>
        <v>0</v>
      </c>
      <c r="H44" s="370">
        <f>IF(SUM($B44:G44)&gt;=$B42,0,MIN(H43,$B40*$B43))</f>
        <v>0</v>
      </c>
      <c r="I44" s="353">
        <f>IF(SUM($B44:H44)&gt;=$B42,0,MIN(I43,$B40*$B43))</f>
        <v>0</v>
      </c>
      <c r="J44" s="363">
        <f>IF(SUM($B44:I44)&gt;=$B42,0,MIN(J43,$B40*$B43))</f>
        <v>0</v>
      </c>
      <c r="K44" s="363">
        <f>IF(SUM($B44:J44)&gt;=$B42,0,MIN(K43,$B40*$B43))</f>
        <v>0</v>
      </c>
      <c r="L44" s="363">
        <f>IF(SUM($B44:K44)&gt;=$B42,0,MIN(L43,$B40*$B43))</f>
        <v>0</v>
      </c>
      <c r="M44" s="370">
        <f>IF(SUM($B44:L44)&gt;=$B42,0,MIN(M43,$B40*$B43))</f>
        <v>0</v>
      </c>
      <c r="N44" s="353">
        <f>IF(SUM($B44:M44)&gt;=$B42,0,MIN(N43,$B40*$B43))</f>
        <v>0</v>
      </c>
      <c r="O44" s="363">
        <f>IF(SUM($B44:N44)&gt;=$B42,0,MIN(O43,$B40*$B43))</f>
        <v>0</v>
      </c>
      <c r="P44" s="363">
        <f>IF(SUM($B44:O44)&gt;=$B42,0,MIN(P43,$B40*$B43))</f>
        <v>0</v>
      </c>
      <c r="Q44" s="363">
        <f>IF(SUM($B44:P44)&gt;=$B42,0,MIN(Q43,$B40*$B43))</f>
        <v>0</v>
      </c>
      <c r="R44" s="370">
        <f>IF(SUM($B44:Q44)&gt;=$B42,0,MIN(R43,$B40*$B43))</f>
        <v>0</v>
      </c>
      <c r="S44" s="353">
        <f>IF(SUM($B44:R44)&gt;=$B42,0,MIN(S43,$B40*$B43))</f>
        <v>0</v>
      </c>
      <c r="T44" s="363">
        <f>IF(SUM($B44:S44)&gt;=$B42,0,MIN(T43,$B40*$B43))</f>
        <v>0</v>
      </c>
      <c r="U44" s="363">
        <f>IF(SUM($B44:T44)&gt;=$B42,0,MIN(U43,$B40*$B43))</f>
        <v>0</v>
      </c>
      <c r="V44" s="363">
        <f>IF(SUM($B44:U44)&gt;=$B42,0,MIN(V43,$B40*$B43))</f>
        <v>0</v>
      </c>
      <c r="W44" s="370">
        <f>IF(SUM($B44:V44)&gt;=$B42,0,MIN(W43,$B40*$B43))</f>
        <v>0</v>
      </c>
    </row>
    <row r="45" spans="1:23" ht="12.75" hidden="1" customHeight="1" outlineLevel="1">
      <c r="A45" s="355" t="s">
        <v>113</v>
      </c>
      <c r="B45" s="357">
        <f t="shared" ref="B45:W45" si="10">B43-B44</f>
        <v>0</v>
      </c>
      <c r="C45" s="371">
        <f t="shared" si="10"/>
        <v>0</v>
      </c>
      <c r="D45" s="357">
        <f t="shared" si="10"/>
        <v>0</v>
      </c>
      <c r="E45" s="372">
        <f t="shared" si="10"/>
        <v>0</v>
      </c>
      <c r="F45" s="372">
        <f t="shared" si="10"/>
        <v>0</v>
      </c>
      <c r="G45" s="372">
        <f t="shared" si="10"/>
        <v>0</v>
      </c>
      <c r="H45" s="371">
        <f t="shared" si="10"/>
        <v>0</v>
      </c>
      <c r="I45" s="357">
        <f t="shared" si="10"/>
        <v>0</v>
      </c>
      <c r="J45" s="372">
        <f t="shared" si="10"/>
        <v>0</v>
      </c>
      <c r="K45" s="372">
        <f t="shared" si="10"/>
        <v>0</v>
      </c>
      <c r="L45" s="372">
        <f t="shared" si="10"/>
        <v>0</v>
      </c>
      <c r="M45" s="371">
        <f t="shared" si="10"/>
        <v>0</v>
      </c>
      <c r="N45" s="357">
        <f t="shared" si="10"/>
        <v>0</v>
      </c>
      <c r="O45" s="372">
        <f t="shared" si="10"/>
        <v>0</v>
      </c>
      <c r="P45" s="372">
        <f t="shared" si="10"/>
        <v>0</v>
      </c>
      <c r="Q45" s="372">
        <f t="shared" si="10"/>
        <v>0</v>
      </c>
      <c r="R45" s="371">
        <f t="shared" si="10"/>
        <v>0</v>
      </c>
      <c r="S45" s="357">
        <f t="shared" si="10"/>
        <v>0</v>
      </c>
      <c r="T45" s="372">
        <f t="shared" si="10"/>
        <v>0</v>
      </c>
      <c r="U45" s="372">
        <f t="shared" si="10"/>
        <v>0</v>
      </c>
      <c r="V45" s="372">
        <f t="shared" si="10"/>
        <v>0</v>
      </c>
      <c r="W45" s="371">
        <f t="shared" si="10"/>
        <v>0</v>
      </c>
    </row>
    <row r="46" spans="1:23" ht="12.75" hidden="1" customHeight="1" outlineLevel="1"/>
    <row r="47" spans="1:23" ht="12.75" hidden="1" customHeight="1" outlineLevel="1">
      <c r="A47" s="360" t="str">
        <f>A$9</f>
        <v>Other Assets</v>
      </c>
    </row>
    <row r="48" spans="1:23" ht="12.75" hidden="1" customHeight="1" outlineLevel="1">
      <c r="A48" s="346" t="s">
        <v>145</v>
      </c>
      <c r="B48" s="361">
        <f>B9</f>
        <v>1.9730000000000001</v>
      </c>
      <c r="C48" s="350"/>
      <c r="E48" s="362"/>
    </row>
    <row r="49" spans="1:23" ht="12.75" hidden="1" customHeight="1" outlineLevel="1">
      <c r="A49" s="351" t="s">
        <v>146</v>
      </c>
      <c r="B49" s="363">
        <f>C9</f>
        <v>5</v>
      </c>
      <c r="C49" s="354"/>
    </row>
    <row r="50" spans="1:23" ht="12.75" hidden="1" customHeight="1" outlineLevel="1">
      <c r="A50" s="351" t="s">
        <v>147</v>
      </c>
      <c r="B50" s="363" t="str">
        <f>D9</f>
        <v>Declining Balance</v>
      </c>
      <c r="C50" s="354"/>
    </row>
    <row r="51" spans="1:23" ht="12.75" hidden="1" customHeight="1" outlineLevel="1">
      <c r="A51" s="364" t="s">
        <v>148</v>
      </c>
      <c r="B51" s="365">
        <f>IF(B50="Straight Line",1/B49,IF(B50="Declining Balance",1/B49*1.5,1))</f>
        <v>0.30000000000000004</v>
      </c>
      <c r="C51" s="358"/>
    </row>
    <row r="52" spans="1:23" ht="12.75" hidden="1" customHeight="1" outlineLevel="1">
      <c r="A52" s="366"/>
      <c r="B52" s="363"/>
      <c r="C52" s="366"/>
      <c r="D52" s="366"/>
    </row>
    <row r="53" spans="1:23" ht="12.75" hidden="1" customHeight="1" outlineLevel="1">
      <c r="B53" s="367">
        <v>1996</v>
      </c>
      <c r="C53" s="368">
        <v>1997</v>
      </c>
      <c r="D53" s="367">
        <v>1998</v>
      </c>
      <c r="E53" s="369">
        <v>1999</v>
      </c>
      <c r="F53" s="369">
        <v>2000</v>
      </c>
      <c r="G53" s="369">
        <v>2001</v>
      </c>
      <c r="H53" s="368">
        <v>2002</v>
      </c>
      <c r="I53" s="367">
        <v>2003</v>
      </c>
      <c r="J53" s="369">
        <v>2004</v>
      </c>
      <c r="K53" s="369">
        <v>2005</v>
      </c>
      <c r="L53" s="369">
        <v>2006</v>
      </c>
      <c r="M53" s="368">
        <v>2007</v>
      </c>
      <c r="N53" s="367">
        <v>2008</v>
      </c>
      <c r="O53" s="369">
        <v>2009</v>
      </c>
      <c r="P53" s="369">
        <v>2010</v>
      </c>
      <c r="Q53" s="369">
        <v>2011</v>
      </c>
      <c r="R53" s="368">
        <v>2012</v>
      </c>
      <c r="S53" s="367">
        <f t="shared" ref="S53:W53" si="11">R53+1</f>
        <v>2013</v>
      </c>
      <c r="T53" s="369">
        <f t="shared" si="11"/>
        <v>2014</v>
      </c>
      <c r="U53" s="369">
        <f t="shared" si="11"/>
        <v>2015</v>
      </c>
      <c r="V53" s="369">
        <f t="shared" si="11"/>
        <v>2016</v>
      </c>
      <c r="W53" s="368">
        <f t="shared" si="11"/>
        <v>2017</v>
      </c>
    </row>
    <row r="54" spans="1:23" ht="12.75" hidden="1" customHeight="1" outlineLevel="1">
      <c r="A54" s="346" t="s">
        <v>2</v>
      </c>
      <c r="B54" s="353">
        <f>B48</f>
        <v>1.9730000000000001</v>
      </c>
      <c r="C54" s="370">
        <f>B56</f>
        <v>1.6770499999999999</v>
      </c>
      <c r="D54" s="353">
        <f t="shared" ref="D54:W54" si="12">C56</f>
        <v>1.1739349999999997</v>
      </c>
      <c r="E54" s="363">
        <f t="shared" si="12"/>
        <v>0.82175449999999972</v>
      </c>
      <c r="F54" s="363">
        <f t="shared" si="12"/>
        <v>0.57522814999999983</v>
      </c>
      <c r="G54" s="363">
        <f t="shared" si="12"/>
        <v>0.40265970499999981</v>
      </c>
      <c r="H54" s="370">
        <f t="shared" si="12"/>
        <v>0.28186179349999985</v>
      </c>
      <c r="I54" s="353">
        <f t="shared" si="12"/>
        <v>0.19730325544999988</v>
      </c>
      <c r="J54" s="363">
        <f t="shared" si="12"/>
        <v>0.13811227881499991</v>
      </c>
      <c r="K54" s="363">
        <f t="shared" si="12"/>
        <v>9.6678595170499926E-2</v>
      </c>
      <c r="L54" s="363">
        <f t="shared" si="12"/>
        <v>6.7675016619349937E-2</v>
      </c>
      <c r="M54" s="370">
        <f t="shared" si="12"/>
        <v>4.7372511633544952E-2</v>
      </c>
      <c r="N54" s="353">
        <f t="shared" si="12"/>
        <v>3.3160758143481461E-2</v>
      </c>
      <c r="O54" s="363">
        <f t="shared" si="12"/>
        <v>2.3212530700437023E-2</v>
      </c>
      <c r="P54" s="363">
        <f t="shared" si="12"/>
        <v>1.6248771490305916E-2</v>
      </c>
      <c r="Q54" s="363">
        <f t="shared" si="12"/>
        <v>1.137414004321414E-2</v>
      </c>
      <c r="R54" s="370">
        <f t="shared" si="12"/>
        <v>7.9618980302498983E-3</v>
      </c>
      <c r="S54" s="353">
        <f t="shared" si="12"/>
        <v>5.5733286211749281E-3</v>
      </c>
      <c r="T54" s="363">
        <f t="shared" si="12"/>
        <v>3.9013300348224493E-3</v>
      </c>
      <c r="U54" s="363">
        <f t="shared" si="12"/>
        <v>2.7309310243757144E-3</v>
      </c>
      <c r="V54" s="363">
        <f t="shared" si="12"/>
        <v>1.911651717063E-3</v>
      </c>
      <c r="W54" s="370">
        <f t="shared" si="12"/>
        <v>1.3381562019441E-3</v>
      </c>
    </row>
    <row r="55" spans="1:23" ht="12.75" hidden="1" customHeight="1" outlineLevel="1">
      <c r="A55" s="351" t="s">
        <v>149</v>
      </c>
      <c r="B55" s="353">
        <f>B51*B54*0.5</f>
        <v>0.29595000000000005</v>
      </c>
      <c r="C55" s="370">
        <f t="shared" ref="C55:W55" si="13">$B51*C54</f>
        <v>0.50311500000000009</v>
      </c>
      <c r="D55" s="353">
        <f t="shared" si="13"/>
        <v>0.35218049999999995</v>
      </c>
      <c r="E55" s="363">
        <f t="shared" si="13"/>
        <v>0.24652634999999995</v>
      </c>
      <c r="F55" s="363">
        <f t="shared" si="13"/>
        <v>0.17256844499999999</v>
      </c>
      <c r="G55" s="363">
        <f t="shared" si="13"/>
        <v>0.12079791149999997</v>
      </c>
      <c r="H55" s="370">
        <f t="shared" si="13"/>
        <v>8.4558538049999965E-2</v>
      </c>
      <c r="I55" s="353">
        <f t="shared" si="13"/>
        <v>5.9190976634999976E-2</v>
      </c>
      <c r="J55" s="363">
        <f t="shared" si="13"/>
        <v>4.143368364449998E-2</v>
      </c>
      <c r="K55" s="363">
        <f t="shared" si="13"/>
        <v>2.9003578551149982E-2</v>
      </c>
      <c r="L55" s="363">
        <f t="shared" si="13"/>
        <v>2.0302504985804985E-2</v>
      </c>
      <c r="M55" s="370">
        <f t="shared" si="13"/>
        <v>1.4211753490063487E-2</v>
      </c>
      <c r="N55" s="353">
        <f t="shared" si="13"/>
        <v>9.9482274430444401E-3</v>
      </c>
      <c r="O55" s="363">
        <f t="shared" si="13"/>
        <v>6.9637592101311077E-3</v>
      </c>
      <c r="P55" s="363">
        <f t="shared" si="13"/>
        <v>4.8746314470917759E-3</v>
      </c>
      <c r="Q55" s="363">
        <f t="shared" si="13"/>
        <v>3.4122420129642428E-3</v>
      </c>
      <c r="R55" s="370">
        <f t="shared" si="13"/>
        <v>2.3885694090749698E-3</v>
      </c>
      <c r="S55" s="353">
        <f t="shared" si="13"/>
        <v>1.6719985863524788E-3</v>
      </c>
      <c r="T55" s="363">
        <f t="shared" si="13"/>
        <v>1.170399010446735E-3</v>
      </c>
      <c r="U55" s="363">
        <f t="shared" si="13"/>
        <v>8.1927930731271446E-4</v>
      </c>
      <c r="V55" s="363">
        <f t="shared" si="13"/>
        <v>5.7349551511890005E-4</v>
      </c>
      <c r="W55" s="370">
        <f t="shared" si="13"/>
        <v>4.0144686058323002E-4</v>
      </c>
    </row>
    <row r="56" spans="1:23" ht="12.75" hidden="1" customHeight="1" outlineLevel="1">
      <c r="A56" s="355" t="s">
        <v>113</v>
      </c>
      <c r="B56" s="357">
        <f t="shared" ref="B56:W56" si="14">B54-B55</f>
        <v>1.6770499999999999</v>
      </c>
      <c r="C56" s="371">
        <f t="shared" si="14"/>
        <v>1.1739349999999997</v>
      </c>
      <c r="D56" s="357">
        <f t="shared" si="14"/>
        <v>0.82175449999999972</v>
      </c>
      <c r="E56" s="372">
        <f t="shared" si="14"/>
        <v>0.57522814999999983</v>
      </c>
      <c r="F56" s="372">
        <f t="shared" si="14"/>
        <v>0.40265970499999981</v>
      </c>
      <c r="G56" s="372">
        <f t="shared" si="14"/>
        <v>0.28186179349999985</v>
      </c>
      <c r="H56" s="371">
        <f t="shared" si="14"/>
        <v>0.19730325544999988</v>
      </c>
      <c r="I56" s="357">
        <f t="shared" si="14"/>
        <v>0.13811227881499991</v>
      </c>
      <c r="J56" s="372">
        <f t="shared" si="14"/>
        <v>9.6678595170499926E-2</v>
      </c>
      <c r="K56" s="372">
        <f t="shared" si="14"/>
        <v>6.7675016619349937E-2</v>
      </c>
      <c r="L56" s="372">
        <f t="shared" si="14"/>
        <v>4.7372511633544952E-2</v>
      </c>
      <c r="M56" s="371">
        <f t="shared" si="14"/>
        <v>3.3160758143481461E-2</v>
      </c>
      <c r="N56" s="357">
        <f t="shared" si="14"/>
        <v>2.3212530700437023E-2</v>
      </c>
      <c r="O56" s="372">
        <f t="shared" si="14"/>
        <v>1.6248771490305916E-2</v>
      </c>
      <c r="P56" s="372">
        <f t="shared" si="14"/>
        <v>1.137414004321414E-2</v>
      </c>
      <c r="Q56" s="372">
        <f t="shared" si="14"/>
        <v>7.9618980302498983E-3</v>
      </c>
      <c r="R56" s="371">
        <f t="shared" si="14"/>
        <v>5.5733286211749281E-3</v>
      </c>
      <c r="S56" s="357">
        <f t="shared" si="14"/>
        <v>3.9013300348224493E-3</v>
      </c>
      <c r="T56" s="372">
        <f t="shared" si="14"/>
        <v>2.7309310243757144E-3</v>
      </c>
      <c r="U56" s="372">
        <f t="shared" si="14"/>
        <v>1.911651717063E-3</v>
      </c>
      <c r="V56" s="372">
        <f t="shared" si="14"/>
        <v>1.3381562019441E-3</v>
      </c>
      <c r="W56" s="371">
        <f t="shared" si="14"/>
        <v>9.3670934136086989E-4</v>
      </c>
    </row>
    <row r="57" spans="1:23" ht="12.75" hidden="1" customHeight="1" outlineLevel="1"/>
    <row r="58" spans="1:23" ht="12.75" hidden="1" customHeight="1" outlineLevel="1"/>
    <row r="59" spans="1:23" ht="12.75" hidden="1" customHeight="1" outlineLevel="1">
      <c r="A59" s="360" t="s">
        <v>150</v>
      </c>
    </row>
    <row r="60" spans="1:23" ht="12.75" hidden="1" customHeight="1" outlineLevel="1">
      <c r="A60" s="360"/>
    </row>
    <row r="61" spans="1:23" ht="12.75" hidden="1" customHeight="1" outlineLevel="1">
      <c r="B61" s="367">
        <v>1996</v>
      </c>
      <c r="C61" s="368">
        <v>1997</v>
      </c>
      <c r="D61" s="367">
        <v>1998</v>
      </c>
      <c r="E61" s="369">
        <v>1999</v>
      </c>
      <c r="F61" s="369">
        <v>2000</v>
      </c>
      <c r="G61" s="369">
        <v>2001</v>
      </c>
      <c r="H61" s="368">
        <v>2002</v>
      </c>
      <c r="I61" s="367">
        <v>2003</v>
      </c>
      <c r="J61" s="369">
        <v>2004</v>
      </c>
      <c r="K61" s="369">
        <v>2005</v>
      </c>
      <c r="L61" s="369">
        <v>2006</v>
      </c>
      <c r="M61" s="368">
        <v>2007</v>
      </c>
      <c r="N61" s="367">
        <v>2008</v>
      </c>
      <c r="O61" s="369">
        <v>2009</v>
      </c>
      <c r="P61" s="369">
        <v>2010</v>
      </c>
      <c r="Q61" s="369">
        <v>2011</v>
      </c>
      <c r="R61" s="368">
        <v>2012</v>
      </c>
      <c r="S61" s="367">
        <f t="shared" ref="S61:W61" si="15">R61+1</f>
        <v>2013</v>
      </c>
      <c r="T61" s="369">
        <f t="shared" si="15"/>
        <v>2014</v>
      </c>
      <c r="U61" s="369">
        <f t="shared" si="15"/>
        <v>2015</v>
      </c>
      <c r="V61" s="369">
        <f t="shared" si="15"/>
        <v>2016</v>
      </c>
      <c r="W61" s="368">
        <f t="shared" si="15"/>
        <v>2017</v>
      </c>
    </row>
    <row r="62" spans="1:23" ht="12.75" hidden="1" customHeight="1" outlineLevel="1">
      <c r="A62" s="346" t="s">
        <v>2</v>
      </c>
      <c r="B62" s="353">
        <f>B21+B32+B43+B54</f>
        <v>21.884999999999998</v>
      </c>
      <c r="C62" s="370">
        <f>B64</f>
        <v>18.859449999999999</v>
      </c>
      <c r="D62" s="353">
        <f t="shared" ref="D62:W62" si="16">C64</f>
        <v>14.181455</v>
      </c>
      <c r="E62" s="363">
        <f t="shared" si="16"/>
        <v>11.2277705</v>
      </c>
      <c r="F62" s="363">
        <f t="shared" si="16"/>
        <v>8.9000409500000011</v>
      </c>
      <c r="G62" s="363">
        <f t="shared" si="16"/>
        <v>7.0625099450000004</v>
      </c>
      <c r="H62" s="370">
        <f t="shared" si="16"/>
        <v>5.6097419855000004</v>
      </c>
      <c r="I62" s="353">
        <f t="shared" si="16"/>
        <v>4.4596074090500002</v>
      </c>
      <c r="J62" s="363">
        <f t="shared" si="16"/>
        <v>3.547955601695</v>
      </c>
      <c r="K62" s="363">
        <f t="shared" si="16"/>
        <v>2.8245532534744999</v>
      </c>
      <c r="L62" s="363">
        <f t="shared" si="16"/>
        <v>2.2499747432625496</v>
      </c>
      <c r="M62" s="370">
        <f t="shared" si="16"/>
        <v>1.7932122929481045</v>
      </c>
      <c r="N62" s="353">
        <f t="shared" si="16"/>
        <v>1.4298325831951288</v>
      </c>
      <c r="O62" s="363">
        <f t="shared" si="16"/>
        <v>1.1405499907417547</v>
      </c>
      <c r="P62" s="363">
        <f t="shared" si="16"/>
        <v>0.91011873952335987</v>
      </c>
      <c r="Q62" s="363">
        <f t="shared" si="16"/>
        <v>0.72647011446965715</v>
      </c>
      <c r="R62" s="370">
        <f t="shared" si="16"/>
        <v>0.58003867757140415</v>
      </c>
      <c r="S62" s="353">
        <f t="shared" si="16"/>
        <v>0.46323475225409816</v>
      </c>
      <c r="T62" s="363">
        <f t="shared" si="16"/>
        <v>0.37003046894116087</v>
      </c>
      <c r="U62" s="363">
        <f t="shared" si="16"/>
        <v>0.29563424214944628</v>
      </c>
      <c r="V62" s="363">
        <f t="shared" si="16"/>
        <v>0.23623430061711928</v>
      </c>
      <c r="W62" s="370">
        <f t="shared" si="16"/>
        <v>0.18879627532198895</v>
      </c>
    </row>
    <row r="63" spans="1:23" ht="12.75" hidden="1" customHeight="1" outlineLevel="1">
      <c r="A63" s="351" t="s">
        <v>149</v>
      </c>
      <c r="B63" s="353">
        <f t="shared" ref="B63:W63" si="17">B22+B33+B44+B55</f>
        <v>3.02555</v>
      </c>
      <c r="C63" s="370">
        <f t="shared" si="17"/>
        <v>4.6779950000000001</v>
      </c>
      <c r="D63" s="353">
        <f t="shared" si="17"/>
        <v>2.9536845</v>
      </c>
      <c r="E63" s="363">
        <f t="shared" si="17"/>
        <v>2.3277295499999999</v>
      </c>
      <c r="F63" s="363">
        <f t="shared" si="17"/>
        <v>1.8375310050000002</v>
      </c>
      <c r="G63" s="363">
        <f t="shared" si="17"/>
        <v>1.4527679595</v>
      </c>
      <c r="H63" s="370">
        <f t="shared" si="17"/>
        <v>1.1501345764500002</v>
      </c>
      <c r="I63" s="353">
        <f t="shared" si="17"/>
        <v>0.91165180735500007</v>
      </c>
      <c r="J63" s="363">
        <f t="shared" si="17"/>
        <v>0.72340234822050009</v>
      </c>
      <c r="K63" s="363">
        <f t="shared" si="17"/>
        <v>0.57457851021195017</v>
      </c>
      <c r="L63" s="363">
        <f t="shared" si="17"/>
        <v>0.45676245031444507</v>
      </c>
      <c r="M63" s="370">
        <f t="shared" si="17"/>
        <v>0.36337970975297557</v>
      </c>
      <c r="N63" s="353">
        <f t="shared" si="17"/>
        <v>0.28928259245337412</v>
      </c>
      <c r="O63" s="363">
        <f t="shared" si="17"/>
        <v>0.23043125121839486</v>
      </c>
      <c r="P63" s="363">
        <f t="shared" si="17"/>
        <v>0.18364862505370275</v>
      </c>
      <c r="Q63" s="363">
        <f t="shared" si="17"/>
        <v>0.14643143689825303</v>
      </c>
      <c r="R63" s="370">
        <f t="shared" si="17"/>
        <v>0.116803925317306</v>
      </c>
      <c r="S63" s="353">
        <f t="shared" si="17"/>
        <v>9.3204283312937286E-2</v>
      </c>
      <c r="T63" s="363">
        <f t="shared" si="17"/>
        <v>7.4396226791714579E-2</v>
      </c>
      <c r="U63" s="363">
        <f t="shared" si="17"/>
        <v>5.9399941532327E-2</v>
      </c>
      <c r="V63" s="363">
        <f t="shared" si="17"/>
        <v>4.7438025295130325E-2</v>
      </c>
      <c r="W63" s="370">
        <f t="shared" si="17"/>
        <v>3.789307068459237E-2</v>
      </c>
    </row>
    <row r="64" spans="1:23" ht="12.75" hidden="1" customHeight="1" outlineLevel="1">
      <c r="A64" s="355" t="s">
        <v>113</v>
      </c>
      <c r="B64" s="357">
        <f t="shared" ref="B64:W64" si="18">B62-B63</f>
        <v>18.859449999999999</v>
      </c>
      <c r="C64" s="371">
        <f t="shared" si="18"/>
        <v>14.181455</v>
      </c>
      <c r="D64" s="357">
        <f t="shared" si="18"/>
        <v>11.2277705</v>
      </c>
      <c r="E64" s="372">
        <f t="shared" si="18"/>
        <v>8.9000409500000011</v>
      </c>
      <c r="F64" s="372">
        <f t="shared" si="18"/>
        <v>7.0625099450000004</v>
      </c>
      <c r="G64" s="372">
        <f t="shared" si="18"/>
        <v>5.6097419855000004</v>
      </c>
      <c r="H64" s="371">
        <f t="shared" si="18"/>
        <v>4.4596074090500002</v>
      </c>
      <c r="I64" s="357">
        <f t="shared" si="18"/>
        <v>3.547955601695</v>
      </c>
      <c r="J64" s="372">
        <f t="shared" si="18"/>
        <v>2.8245532534744999</v>
      </c>
      <c r="K64" s="372">
        <f t="shared" si="18"/>
        <v>2.2499747432625496</v>
      </c>
      <c r="L64" s="372">
        <f t="shared" si="18"/>
        <v>1.7932122929481045</v>
      </c>
      <c r="M64" s="371">
        <f t="shared" si="18"/>
        <v>1.4298325831951288</v>
      </c>
      <c r="N64" s="357">
        <f t="shared" si="18"/>
        <v>1.1405499907417547</v>
      </c>
      <c r="O64" s="372">
        <f t="shared" si="18"/>
        <v>0.91011873952335987</v>
      </c>
      <c r="P64" s="372">
        <f t="shared" si="18"/>
        <v>0.72647011446965715</v>
      </c>
      <c r="Q64" s="372">
        <f t="shared" si="18"/>
        <v>0.58003867757140415</v>
      </c>
      <c r="R64" s="371">
        <f t="shared" si="18"/>
        <v>0.46323475225409816</v>
      </c>
      <c r="S64" s="357">
        <f t="shared" si="18"/>
        <v>0.37003046894116087</v>
      </c>
      <c r="T64" s="372">
        <f t="shared" si="18"/>
        <v>0.29563424214944628</v>
      </c>
      <c r="U64" s="372">
        <f t="shared" si="18"/>
        <v>0.23623430061711928</v>
      </c>
      <c r="V64" s="372">
        <f t="shared" si="18"/>
        <v>0.18879627532198895</v>
      </c>
      <c r="W64" s="371">
        <f t="shared" si="18"/>
        <v>0.15090320463739659</v>
      </c>
    </row>
    <row r="65" spans="1:13" ht="12.75" hidden="1" customHeight="1" outlineLevel="1"/>
    <row r="66" spans="1:13" ht="12.75" hidden="1" customHeight="1" outlineLevel="1">
      <c r="A66" s="360"/>
      <c r="B66" s="374"/>
      <c r="C66" s="374"/>
      <c r="D66" s="374"/>
      <c r="E66" s="374"/>
      <c r="F66" s="374"/>
      <c r="G66" s="374"/>
      <c r="H66" s="374"/>
      <c r="I66" s="374"/>
      <c r="J66" s="374"/>
      <c r="K66" s="374"/>
      <c r="L66" s="374"/>
      <c r="M66" s="374"/>
    </row>
    <row r="67" spans="1:13" ht="12.75" hidden="1" customHeight="1" outlineLevel="1">
      <c r="B67" s="375"/>
      <c r="C67" s="375"/>
      <c r="D67" s="375"/>
      <c r="E67" s="375"/>
      <c r="F67" s="375"/>
      <c r="G67" s="375"/>
      <c r="H67" s="375"/>
      <c r="I67" s="375"/>
      <c r="J67" s="375"/>
      <c r="K67" s="375"/>
      <c r="L67" s="375"/>
      <c r="M67" s="375"/>
    </row>
    <row r="68" spans="1:13" ht="12.75" hidden="1" customHeight="1" outlineLevel="1">
      <c r="B68" s="375"/>
      <c r="C68" s="375"/>
      <c r="D68" s="375"/>
      <c r="E68" s="375"/>
      <c r="F68" s="375"/>
      <c r="G68" s="375"/>
      <c r="H68" s="375"/>
      <c r="I68" s="375"/>
      <c r="J68" s="375"/>
      <c r="K68" s="375"/>
      <c r="L68" s="375"/>
      <c r="M68" s="375"/>
    </row>
    <row r="69" spans="1:13" collapsed="1"/>
    <row r="70" spans="1:13">
      <c r="A70" s="343" t="s">
        <v>151</v>
      </c>
    </row>
    <row r="72" spans="1:13" ht="25.5" hidden="1" customHeight="1" outlineLevel="1">
      <c r="A72" s="344" t="s">
        <v>152</v>
      </c>
      <c r="B72" s="345" t="s">
        <v>137</v>
      </c>
      <c r="C72" s="345" t="s">
        <v>138</v>
      </c>
      <c r="D72" s="621" t="s">
        <v>139</v>
      </c>
      <c r="E72" s="621"/>
    </row>
    <row r="73" spans="1:13" ht="12.75" hidden="1" customHeight="1" outlineLevel="1">
      <c r="A73" s="346" t="s">
        <v>121</v>
      </c>
      <c r="B73" s="376">
        <v>0</v>
      </c>
      <c r="C73" s="377">
        <v>7.5</v>
      </c>
      <c r="D73" s="377" t="s">
        <v>140</v>
      </c>
      <c r="E73" s="350"/>
    </row>
    <row r="74" spans="1:13" ht="12.75" hidden="1" customHeight="1" outlineLevel="1">
      <c r="A74" s="351" t="s">
        <v>122</v>
      </c>
      <c r="B74" s="378">
        <f>B73</f>
        <v>0</v>
      </c>
      <c r="C74" s="379">
        <v>1</v>
      </c>
      <c r="D74" s="379" t="s">
        <v>141</v>
      </c>
      <c r="E74" s="354"/>
    </row>
    <row r="75" spans="1:13" ht="12.75" hidden="1" customHeight="1" outlineLevel="1">
      <c r="A75" s="351" t="s">
        <v>142</v>
      </c>
      <c r="B75" s="378">
        <f>B74</f>
        <v>0</v>
      </c>
      <c r="C75" s="379">
        <v>40</v>
      </c>
      <c r="D75" s="379" t="s">
        <v>143</v>
      </c>
      <c r="E75" s="354"/>
    </row>
    <row r="76" spans="1:13" ht="12.75" hidden="1" customHeight="1" outlineLevel="1">
      <c r="A76" s="351" t="s">
        <v>126</v>
      </c>
      <c r="B76" s="378">
        <f>B75</f>
        <v>0</v>
      </c>
      <c r="C76" s="379">
        <v>5</v>
      </c>
      <c r="D76" s="379" t="s">
        <v>140</v>
      </c>
      <c r="E76" s="354"/>
    </row>
    <row r="77" spans="1:13" ht="12.75" hidden="1" customHeight="1" outlineLevel="1">
      <c r="A77" s="351" t="s">
        <v>153</v>
      </c>
      <c r="B77" s="380">
        <f>B76</f>
        <v>0</v>
      </c>
      <c r="C77" s="381">
        <v>0</v>
      </c>
      <c r="D77" s="382" t="s">
        <v>141</v>
      </c>
      <c r="E77" s="358"/>
    </row>
    <row r="78" spans="1:13" ht="12.75" hidden="1" customHeight="1" outlineLevel="1">
      <c r="A78" s="366"/>
      <c r="B78" s="383">
        <f>SUM(B73:B77)</f>
        <v>0</v>
      </c>
      <c r="C78" s="384"/>
      <c r="D78" s="383"/>
      <c r="E78" s="366"/>
    </row>
    <row r="79" spans="1:13" ht="12.75" hidden="1" customHeight="1" outlineLevel="1"/>
    <row r="80" spans="1:13" ht="12.75" hidden="1" customHeight="1" outlineLevel="1">
      <c r="A80" s="360" t="s">
        <v>144</v>
      </c>
    </row>
    <row r="81" spans="1:23" ht="12.75" hidden="1" customHeight="1" outlineLevel="1"/>
    <row r="82" spans="1:23" ht="12.75" hidden="1" customHeight="1" outlineLevel="1">
      <c r="A82" s="360" t="str">
        <f>A73</f>
        <v>Mains &amp; Services</v>
      </c>
    </row>
    <row r="83" spans="1:23" ht="12.75" hidden="1" customHeight="1" outlineLevel="1">
      <c r="A83" s="385" t="s">
        <v>145</v>
      </c>
      <c r="B83" s="377">
        <f>B73</f>
        <v>0</v>
      </c>
      <c r="C83" s="350"/>
      <c r="D83" s="366"/>
      <c r="E83" s="366"/>
    </row>
    <row r="84" spans="1:23" ht="12.75" hidden="1" customHeight="1" outlineLevel="1">
      <c r="A84" s="386" t="s">
        <v>146</v>
      </c>
      <c r="B84" s="379">
        <f>C73</f>
        <v>7.5</v>
      </c>
      <c r="C84" s="354"/>
      <c r="D84" s="366"/>
      <c r="E84" s="366"/>
    </row>
    <row r="85" spans="1:23" ht="12.75" hidden="1" customHeight="1" outlineLevel="1">
      <c r="A85" s="386" t="s">
        <v>147</v>
      </c>
      <c r="B85" s="379" t="str">
        <f>D73</f>
        <v>Declining Balance</v>
      </c>
      <c r="C85" s="354"/>
      <c r="D85" s="366"/>
      <c r="E85" s="366"/>
    </row>
    <row r="86" spans="1:23" ht="12.75" hidden="1" customHeight="1" outlineLevel="1">
      <c r="A86" s="364" t="s">
        <v>148</v>
      </c>
      <c r="B86" s="365">
        <f>IF(B85="Straight Line",1/B84,IF(B85="Declining Balance",1/B84*1.5,1))</f>
        <v>0.2</v>
      </c>
      <c r="C86" s="358"/>
      <c r="D86" s="366"/>
      <c r="E86" s="366"/>
    </row>
    <row r="87" spans="1:23" ht="12.75" hidden="1" customHeight="1" outlineLevel="1">
      <c r="A87" s="366"/>
      <c r="B87" s="383"/>
      <c r="C87" s="366"/>
      <c r="D87" s="366"/>
      <c r="E87" s="366"/>
    </row>
    <row r="88" spans="1:23" ht="12.75" hidden="1" customHeight="1" outlineLevel="1">
      <c r="A88" s="366" t="s">
        <v>154</v>
      </c>
      <c r="B88" s="387">
        <v>1996</v>
      </c>
      <c r="C88" s="388">
        <v>1997</v>
      </c>
      <c r="D88" s="389">
        <v>1998</v>
      </c>
      <c r="E88" s="390">
        <v>1999</v>
      </c>
    </row>
    <row r="89" spans="1:23" ht="12.75" hidden="1" customHeight="1" outlineLevel="1">
      <c r="A89" s="391" t="s">
        <v>155</v>
      </c>
      <c r="B89" s="392">
        <v>0.27500000000000002</v>
      </c>
      <c r="C89" s="393">
        <v>0.55000000000000004</v>
      </c>
      <c r="D89" s="393">
        <v>0.53899999999999992</v>
      </c>
      <c r="E89" s="394">
        <v>0.42749999999999999</v>
      </c>
    </row>
    <row r="90" spans="1:23" ht="12.75" hidden="1" customHeight="1" outlineLevel="1">
      <c r="A90" s="366"/>
      <c r="B90" s="383"/>
      <c r="C90" s="366"/>
    </row>
    <row r="91" spans="1:23" ht="12.75" hidden="1" customHeight="1" outlineLevel="1">
      <c r="B91" s="367">
        <v>1996</v>
      </c>
      <c r="C91" s="368">
        <v>1997</v>
      </c>
      <c r="D91" s="367">
        <v>1998</v>
      </c>
      <c r="E91" s="369">
        <v>1999</v>
      </c>
      <c r="F91" s="369">
        <v>2000</v>
      </c>
      <c r="G91" s="369">
        <v>2001</v>
      </c>
      <c r="H91" s="368">
        <v>2002</v>
      </c>
      <c r="I91" s="367">
        <v>2003</v>
      </c>
      <c r="J91" s="369">
        <v>2004</v>
      </c>
      <c r="K91" s="369">
        <v>2005</v>
      </c>
      <c r="L91" s="369">
        <v>2006</v>
      </c>
      <c r="M91" s="368">
        <v>2007</v>
      </c>
      <c r="N91" s="367">
        <v>2008</v>
      </c>
      <c r="O91" s="369">
        <v>2009</v>
      </c>
      <c r="P91" s="369">
        <v>2010</v>
      </c>
      <c r="Q91" s="369">
        <v>2011</v>
      </c>
      <c r="R91" s="368">
        <v>2012</v>
      </c>
      <c r="S91" s="367">
        <f t="shared" ref="S91:W91" si="19">R91+1</f>
        <v>2013</v>
      </c>
      <c r="T91" s="369">
        <f t="shared" si="19"/>
        <v>2014</v>
      </c>
      <c r="U91" s="369">
        <f t="shared" si="19"/>
        <v>2015</v>
      </c>
      <c r="V91" s="369">
        <f t="shared" si="19"/>
        <v>2016</v>
      </c>
      <c r="W91" s="368">
        <f t="shared" si="19"/>
        <v>2017</v>
      </c>
    </row>
    <row r="92" spans="1:23" ht="12.75" hidden="1" customHeight="1" outlineLevel="1">
      <c r="A92" s="346" t="s">
        <v>2</v>
      </c>
      <c r="B92" s="379">
        <f>B83</f>
        <v>0</v>
      </c>
      <c r="C92" s="395">
        <f t="shared" ref="C92:W92" si="20">B95</f>
        <v>0.24750000000000003</v>
      </c>
      <c r="D92" s="379">
        <f t="shared" si="20"/>
        <v>0.69300000000000006</v>
      </c>
      <c r="E92" s="383">
        <f t="shared" si="20"/>
        <v>1.0394999999999999</v>
      </c>
      <c r="F92" s="383">
        <f t="shared" si="20"/>
        <v>1.2163499999999998</v>
      </c>
      <c r="G92" s="383">
        <f t="shared" si="20"/>
        <v>0.97307999999999983</v>
      </c>
      <c r="H92" s="395">
        <f t="shared" si="20"/>
        <v>0.77846399999999982</v>
      </c>
      <c r="I92" s="379">
        <f t="shared" si="20"/>
        <v>0.62277119999999986</v>
      </c>
      <c r="J92" s="383">
        <f t="shared" si="20"/>
        <v>0.49821695999999988</v>
      </c>
      <c r="K92" s="383">
        <f t="shared" si="20"/>
        <v>0.39857356799999988</v>
      </c>
      <c r="L92" s="383">
        <f t="shared" si="20"/>
        <v>0.31885885439999989</v>
      </c>
      <c r="M92" s="395">
        <f t="shared" si="20"/>
        <v>0.25508708351999992</v>
      </c>
      <c r="N92" s="379">
        <f t="shared" si="20"/>
        <v>0.20406966681599994</v>
      </c>
      <c r="O92" s="383">
        <f t="shared" si="20"/>
        <v>0.16325573345279995</v>
      </c>
      <c r="P92" s="383">
        <f t="shared" si="20"/>
        <v>0.13060458676223996</v>
      </c>
      <c r="Q92" s="383">
        <f t="shared" si="20"/>
        <v>0.10448366940979197</v>
      </c>
      <c r="R92" s="395">
        <f t="shared" si="20"/>
        <v>8.358693552783357E-2</v>
      </c>
      <c r="S92" s="379">
        <f t="shared" si="20"/>
        <v>6.6869548422266861E-2</v>
      </c>
      <c r="T92" s="383">
        <f t="shared" si="20"/>
        <v>5.3495638737813489E-2</v>
      </c>
      <c r="U92" s="383">
        <f t="shared" si="20"/>
        <v>4.2796510990250794E-2</v>
      </c>
      <c r="V92" s="383">
        <f t="shared" si="20"/>
        <v>3.4237208792200637E-2</v>
      </c>
      <c r="W92" s="395">
        <f t="shared" si="20"/>
        <v>2.7389767033760511E-2</v>
      </c>
    </row>
    <row r="93" spans="1:23" ht="12.75" hidden="1" customHeight="1" outlineLevel="1">
      <c r="A93" s="351" t="s">
        <v>156</v>
      </c>
      <c r="B93" s="379">
        <f>B89</f>
        <v>0.27500000000000002</v>
      </c>
      <c r="C93" s="395">
        <f>C89</f>
        <v>0.55000000000000004</v>
      </c>
      <c r="D93" s="379">
        <f>D89</f>
        <v>0.53899999999999992</v>
      </c>
      <c r="E93" s="383">
        <f>E89</f>
        <v>0.42749999999999999</v>
      </c>
      <c r="F93" s="383">
        <v>0</v>
      </c>
      <c r="G93" s="383">
        <v>0</v>
      </c>
      <c r="H93" s="395">
        <v>0</v>
      </c>
      <c r="I93" s="379">
        <v>0</v>
      </c>
      <c r="J93" s="383">
        <v>0</v>
      </c>
      <c r="K93" s="383">
        <v>0</v>
      </c>
      <c r="L93" s="383">
        <v>0</v>
      </c>
      <c r="M93" s="395">
        <v>0</v>
      </c>
      <c r="N93" s="379">
        <v>0</v>
      </c>
      <c r="O93" s="383">
        <v>0</v>
      </c>
      <c r="P93" s="383">
        <v>0</v>
      </c>
      <c r="Q93" s="383">
        <v>0</v>
      </c>
      <c r="R93" s="395">
        <v>0</v>
      </c>
      <c r="S93" s="379">
        <v>0</v>
      </c>
      <c r="T93" s="383">
        <v>0</v>
      </c>
      <c r="U93" s="383">
        <v>0</v>
      </c>
      <c r="V93" s="383">
        <v>0</v>
      </c>
      <c r="W93" s="395">
        <v>0</v>
      </c>
    </row>
    <row r="94" spans="1:23" ht="12.75" hidden="1" customHeight="1" outlineLevel="1">
      <c r="A94" s="351" t="s">
        <v>157</v>
      </c>
      <c r="B94" s="375">
        <f>IF($B86=1,B93+B92,B93*$B86*0.5)</f>
        <v>2.7500000000000004E-2</v>
      </c>
      <c r="C94" s="375">
        <f>IF($B86=1,C93+C92,(C92+C93*0.5)*$B86)</f>
        <v>0.10450000000000002</v>
      </c>
      <c r="D94" s="396">
        <f t="shared" ref="D94:W94" si="21">IF($B86=1,D93+D92,(D92+D93*0.5)*$B86)</f>
        <v>0.1925</v>
      </c>
      <c r="E94" s="375">
        <f t="shared" si="21"/>
        <v>0.25064999999999998</v>
      </c>
      <c r="F94" s="375">
        <f t="shared" si="21"/>
        <v>0.24326999999999999</v>
      </c>
      <c r="G94" s="375">
        <f t="shared" si="21"/>
        <v>0.19461599999999998</v>
      </c>
      <c r="H94" s="397">
        <f t="shared" si="21"/>
        <v>0.15569279999999996</v>
      </c>
      <c r="I94" s="396">
        <f t="shared" si="21"/>
        <v>0.12455423999999998</v>
      </c>
      <c r="J94" s="375">
        <f t="shared" si="21"/>
        <v>9.9643391999999983E-2</v>
      </c>
      <c r="K94" s="375">
        <f t="shared" si="21"/>
        <v>7.9714713599999987E-2</v>
      </c>
      <c r="L94" s="375">
        <f t="shared" si="21"/>
        <v>6.3771770879999981E-2</v>
      </c>
      <c r="M94" s="397">
        <f t="shared" si="21"/>
        <v>5.1017416703999986E-2</v>
      </c>
      <c r="N94" s="396">
        <f t="shared" si="21"/>
        <v>4.0813933363199995E-2</v>
      </c>
      <c r="O94" s="375">
        <f t="shared" si="21"/>
        <v>3.265114669055999E-2</v>
      </c>
      <c r="P94" s="375">
        <f t="shared" si="21"/>
        <v>2.6120917352447995E-2</v>
      </c>
      <c r="Q94" s="375">
        <f t="shared" si="21"/>
        <v>2.0896733881958396E-2</v>
      </c>
      <c r="R94" s="397">
        <f t="shared" si="21"/>
        <v>1.6717387105566715E-2</v>
      </c>
      <c r="S94" s="396">
        <f t="shared" si="21"/>
        <v>1.3373909684453372E-2</v>
      </c>
      <c r="T94" s="375">
        <f t="shared" si="21"/>
        <v>1.0699127747562698E-2</v>
      </c>
      <c r="U94" s="375">
        <f t="shared" si="21"/>
        <v>8.5593021980501591E-3</v>
      </c>
      <c r="V94" s="375">
        <f t="shared" si="21"/>
        <v>6.8474417584401277E-3</v>
      </c>
      <c r="W94" s="397">
        <f t="shared" si="21"/>
        <v>5.4779534067521023E-3</v>
      </c>
    </row>
    <row r="95" spans="1:23" ht="12.75" hidden="1" customHeight="1" outlineLevel="1">
      <c r="A95" s="355" t="s">
        <v>113</v>
      </c>
      <c r="B95" s="382">
        <f t="shared" ref="B95:W95" si="22">B92+B93-B94</f>
        <v>0.24750000000000003</v>
      </c>
      <c r="C95" s="398">
        <f t="shared" si="22"/>
        <v>0.69300000000000006</v>
      </c>
      <c r="D95" s="382">
        <f t="shared" si="22"/>
        <v>1.0394999999999999</v>
      </c>
      <c r="E95" s="399">
        <f t="shared" si="22"/>
        <v>1.2163499999999998</v>
      </c>
      <c r="F95" s="399">
        <f t="shared" si="22"/>
        <v>0.97307999999999983</v>
      </c>
      <c r="G95" s="399">
        <f t="shared" si="22"/>
        <v>0.77846399999999982</v>
      </c>
      <c r="H95" s="398">
        <f t="shared" si="22"/>
        <v>0.62277119999999986</v>
      </c>
      <c r="I95" s="382">
        <f t="shared" si="22"/>
        <v>0.49821695999999988</v>
      </c>
      <c r="J95" s="399">
        <f t="shared" si="22"/>
        <v>0.39857356799999988</v>
      </c>
      <c r="K95" s="399">
        <f t="shared" si="22"/>
        <v>0.31885885439999989</v>
      </c>
      <c r="L95" s="399">
        <f t="shared" si="22"/>
        <v>0.25508708351999992</v>
      </c>
      <c r="M95" s="398">
        <f t="shared" si="22"/>
        <v>0.20406966681599994</v>
      </c>
      <c r="N95" s="382">
        <f t="shared" si="22"/>
        <v>0.16325573345279995</v>
      </c>
      <c r="O95" s="399">
        <f t="shared" si="22"/>
        <v>0.13060458676223996</v>
      </c>
      <c r="P95" s="399">
        <f t="shared" si="22"/>
        <v>0.10448366940979197</v>
      </c>
      <c r="Q95" s="399">
        <f t="shared" si="22"/>
        <v>8.358693552783357E-2</v>
      </c>
      <c r="R95" s="398">
        <f t="shared" si="22"/>
        <v>6.6869548422266861E-2</v>
      </c>
      <c r="S95" s="382">
        <f t="shared" si="22"/>
        <v>5.3495638737813489E-2</v>
      </c>
      <c r="T95" s="399">
        <f t="shared" si="22"/>
        <v>4.2796510990250794E-2</v>
      </c>
      <c r="U95" s="399">
        <f t="shared" si="22"/>
        <v>3.4237208792200637E-2</v>
      </c>
      <c r="V95" s="399">
        <f t="shared" si="22"/>
        <v>2.7389767033760511E-2</v>
      </c>
      <c r="W95" s="398">
        <f t="shared" si="22"/>
        <v>2.1911813627008409E-2</v>
      </c>
    </row>
    <row r="96" spans="1:23" ht="12.75" hidden="1" customHeight="1" outlineLevel="1"/>
    <row r="97" spans="1:23" ht="12.75" hidden="1" customHeight="1" outlineLevel="1">
      <c r="A97" s="360" t="str">
        <f>A74</f>
        <v>Meters</v>
      </c>
    </row>
    <row r="98" spans="1:23" ht="12.75" hidden="1" customHeight="1" outlineLevel="1">
      <c r="A98" s="385" t="s">
        <v>145</v>
      </c>
      <c r="B98" s="377">
        <f>B74</f>
        <v>0</v>
      </c>
      <c r="C98" s="350"/>
      <c r="D98" s="366"/>
      <c r="E98" s="366"/>
    </row>
    <row r="99" spans="1:23" ht="12.75" hidden="1" customHeight="1" outlineLevel="1">
      <c r="A99" s="386" t="s">
        <v>146</v>
      </c>
      <c r="B99" s="379">
        <f>C74</f>
        <v>1</v>
      </c>
      <c r="C99" s="354"/>
      <c r="D99" s="366"/>
      <c r="E99" s="366"/>
    </row>
    <row r="100" spans="1:23" ht="12.75" hidden="1" customHeight="1" outlineLevel="1">
      <c r="A100" s="386" t="s">
        <v>147</v>
      </c>
      <c r="B100" s="379" t="str">
        <f>D74</f>
        <v>Fully Deductible</v>
      </c>
      <c r="C100" s="354"/>
      <c r="D100" s="366"/>
      <c r="E100" s="366"/>
    </row>
    <row r="101" spans="1:23" ht="12.75" hidden="1" customHeight="1" outlineLevel="1">
      <c r="A101" s="364" t="s">
        <v>148</v>
      </c>
      <c r="B101" s="365">
        <f>IF(AND(B99=0,B100=""),0,IF(B100="Straight Line",1/B99,IF(B100="Declining Balance",1/B99*1.5,1)))</f>
        <v>1</v>
      </c>
      <c r="C101" s="358"/>
      <c r="D101" s="366"/>
      <c r="E101" s="366"/>
    </row>
    <row r="102" spans="1:23" ht="12.75" hidden="1" customHeight="1" outlineLevel="1">
      <c r="A102" s="366"/>
      <c r="B102" s="383"/>
      <c r="C102" s="366"/>
      <c r="D102" s="366"/>
      <c r="E102" s="366"/>
    </row>
    <row r="103" spans="1:23" ht="12.75" hidden="1" customHeight="1" outlineLevel="1">
      <c r="A103" s="366" t="s">
        <v>154</v>
      </c>
      <c r="B103" s="387">
        <v>1996</v>
      </c>
      <c r="C103" s="388">
        <v>1997</v>
      </c>
      <c r="D103" s="389">
        <v>1998</v>
      </c>
      <c r="E103" s="390">
        <v>1999</v>
      </c>
    </row>
    <row r="104" spans="1:23" ht="12.75" hidden="1" customHeight="1" outlineLevel="1">
      <c r="A104" s="391" t="s">
        <v>155</v>
      </c>
      <c r="B104" s="392">
        <v>0.1</v>
      </c>
      <c r="C104" s="393">
        <v>0.2</v>
      </c>
      <c r="D104" s="393">
        <v>0.20700000000000002</v>
      </c>
      <c r="E104" s="394">
        <v>8.6249999999999993E-2</v>
      </c>
    </row>
    <row r="105" spans="1:23" ht="12.75" hidden="1" customHeight="1" outlineLevel="1">
      <c r="A105" s="366"/>
      <c r="B105" s="383"/>
      <c r="C105" s="366"/>
    </row>
    <row r="106" spans="1:23" ht="12.75" hidden="1" customHeight="1" outlineLevel="1">
      <c r="B106" s="367">
        <v>1996</v>
      </c>
      <c r="C106" s="368">
        <v>1997</v>
      </c>
      <c r="D106" s="367">
        <v>1998</v>
      </c>
      <c r="E106" s="369">
        <v>1999</v>
      </c>
      <c r="F106" s="369">
        <v>2000</v>
      </c>
      <c r="G106" s="369">
        <v>2001</v>
      </c>
      <c r="H106" s="368">
        <v>2002</v>
      </c>
      <c r="I106" s="367">
        <v>2003</v>
      </c>
      <c r="J106" s="369">
        <v>2004</v>
      </c>
      <c r="K106" s="369">
        <v>2005</v>
      </c>
      <c r="L106" s="369">
        <v>2006</v>
      </c>
      <c r="M106" s="368">
        <v>2007</v>
      </c>
      <c r="N106" s="367">
        <v>2008</v>
      </c>
      <c r="O106" s="369">
        <v>2009</v>
      </c>
      <c r="P106" s="369">
        <v>2010</v>
      </c>
      <c r="Q106" s="369">
        <v>2011</v>
      </c>
      <c r="R106" s="368">
        <v>2012</v>
      </c>
      <c r="S106" s="367">
        <f t="shared" ref="S106:W106" si="23">R106+1</f>
        <v>2013</v>
      </c>
      <c r="T106" s="369">
        <f t="shared" si="23"/>
        <v>2014</v>
      </c>
      <c r="U106" s="369">
        <f t="shared" si="23"/>
        <v>2015</v>
      </c>
      <c r="V106" s="369">
        <f t="shared" si="23"/>
        <v>2016</v>
      </c>
      <c r="W106" s="368">
        <f t="shared" si="23"/>
        <v>2017</v>
      </c>
    </row>
    <row r="107" spans="1:23" ht="12.75" hidden="1" customHeight="1" outlineLevel="1">
      <c r="A107" s="346" t="s">
        <v>2</v>
      </c>
      <c r="B107" s="379">
        <f>B98</f>
        <v>0</v>
      </c>
      <c r="C107" s="395">
        <f t="shared" ref="C107:W107" si="24">B110</f>
        <v>0</v>
      </c>
      <c r="D107" s="379">
        <f t="shared" si="24"/>
        <v>0</v>
      </c>
      <c r="E107" s="383">
        <f t="shared" si="24"/>
        <v>0</v>
      </c>
      <c r="F107" s="383">
        <f t="shared" si="24"/>
        <v>0</v>
      </c>
      <c r="G107" s="383">
        <f t="shared" si="24"/>
        <v>0</v>
      </c>
      <c r="H107" s="395">
        <f t="shared" si="24"/>
        <v>0</v>
      </c>
      <c r="I107" s="379">
        <f t="shared" si="24"/>
        <v>0</v>
      </c>
      <c r="J107" s="383">
        <f t="shared" si="24"/>
        <v>0</v>
      </c>
      <c r="K107" s="383">
        <f t="shared" si="24"/>
        <v>0</v>
      </c>
      <c r="L107" s="383">
        <f t="shared" si="24"/>
        <v>0</v>
      </c>
      <c r="M107" s="395">
        <f t="shared" si="24"/>
        <v>0</v>
      </c>
      <c r="N107" s="379">
        <f t="shared" si="24"/>
        <v>0</v>
      </c>
      <c r="O107" s="383">
        <f t="shared" si="24"/>
        <v>0</v>
      </c>
      <c r="P107" s="383">
        <f t="shared" si="24"/>
        <v>0</v>
      </c>
      <c r="Q107" s="383">
        <f t="shared" si="24"/>
        <v>0</v>
      </c>
      <c r="R107" s="395">
        <f t="shared" si="24"/>
        <v>0</v>
      </c>
      <c r="S107" s="379">
        <f t="shared" si="24"/>
        <v>0</v>
      </c>
      <c r="T107" s="383">
        <f t="shared" si="24"/>
        <v>0</v>
      </c>
      <c r="U107" s="383">
        <f t="shared" si="24"/>
        <v>0</v>
      </c>
      <c r="V107" s="383">
        <f t="shared" si="24"/>
        <v>0</v>
      </c>
      <c r="W107" s="395">
        <f t="shared" si="24"/>
        <v>0</v>
      </c>
    </row>
    <row r="108" spans="1:23" ht="12.75" hidden="1" customHeight="1" outlineLevel="1">
      <c r="A108" s="351" t="s">
        <v>156</v>
      </c>
      <c r="B108" s="379">
        <f>B104</f>
        <v>0.1</v>
      </c>
      <c r="C108" s="395">
        <f>C104</f>
        <v>0.2</v>
      </c>
      <c r="D108" s="379">
        <f>D104</f>
        <v>0.20700000000000002</v>
      </c>
      <c r="E108" s="383">
        <f>E104</f>
        <v>8.6249999999999993E-2</v>
      </c>
      <c r="F108" s="383">
        <v>0</v>
      </c>
      <c r="G108" s="383">
        <v>0</v>
      </c>
      <c r="H108" s="395">
        <v>0</v>
      </c>
      <c r="I108" s="379">
        <v>0</v>
      </c>
      <c r="J108" s="383">
        <v>0</v>
      </c>
      <c r="K108" s="383">
        <v>0</v>
      </c>
      <c r="L108" s="383">
        <v>0</v>
      </c>
      <c r="M108" s="395">
        <v>0</v>
      </c>
      <c r="N108" s="379">
        <v>0</v>
      </c>
      <c r="O108" s="383">
        <v>0</v>
      </c>
      <c r="P108" s="383">
        <v>0</v>
      </c>
      <c r="Q108" s="383">
        <v>0</v>
      </c>
      <c r="R108" s="395">
        <v>0</v>
      </c>
      <c r="S108" s="379">
        <v>0</v>
      </c>
      <c r="T108" s="383">
        <v>0</v>
      </c>
      <c r="U108" s="383">
        <v>0</v>
      </c>
      <c r="V108" s="383">
        <v>0</v>
      </c>
      <c r="W108" s="395">
        <v>0</v>
      </c>
    </row>
    <row r="109" spans="1:23" ht="12.75" hidden="1" customHeight="1" outlineLevel="1">
      <c r="A109" s="351" t="s">
        <v>157</v>
      </c>
      <c r="B109" s="375">
        <f>IF($B101=1,B108+B107,B108*$B101*0.5)</f>
        <v>0.1</v>
      </c>
      <c r="C109" s="375">
        <f t="shared" ref="C109:W109" si="25">IF($B101=1,C108+C107,(C107+C108*0.5)*$B101)</f>
        <v>0.2</v>
      </c>
      <c r="D109" s="396">
        <f t="shared" si="25"/>
        <v>0.20700000000000002</v>
      </c>
      <c r="E109" s="375">
        <f t="shared" si="25"/>
        <v>8.6249999999999993E-2</v>
      </c>
      <c r="F109" s="375">
        <f t="shared" si="25"/>
        <v>0</v>
      </c>
      <c r="G109" s="375">
        <f t="shared" si="25"/>
        <v>0</v>
      </c>
      <c r="H109" s="397">
        <f t="shared" si="25"/>
        <v>0</v>
      </c>
      <c r="I109" s="396">
        <f t="shared" si="25"/>
        <v>0</v>
      </c>
      <c r="J109" s="375">
        <f t="shared" si="25"/>
        <v>0</v>
      </c>
      <c r="K109" s="375">
        <f t="shared" si="25"/>
        <v>0</v>
      </c>
      <c r="L109" s="375">
        <f t="shared" si="25"/>
        <v>0</v>
      </c>
      <c r="M109" s="397">
        <f t="shared" si="25"/>
        <v>0</v>
      </c>
      <c r="N109" s="396">
        <f t="shared" si="25"/>
        <v>0</v>
      </c>
      <c r="O109" s="375">
        <f t="shared" si="25"/>
        <v>0</v>
      </c>
      <c r="P109" s="375">
        <f t="shared" si="25"/>
        <v>0</v>
      </c>
      <c r="Q109" s="375">
        <f t="shared" si="25"/>
        <v>0</v>
      </c>
      <c r="R109" s="397">
        <f t="shared" si="25"/>
        <v>0</v>
      </c>
      <c r="S109" s="396">
        <f t="shared" si="25"/>
        <v>0</v>
      </c>
      <c r="T109" s="375">
        <f t="shared" si="25"/>
        <v>0</v>
      </c>
      <c r="U109" s="375">
        <f t="shared" si="25"/>
        <v>0</v>
      </c>
      <c r="V109" s="375">
        <f t="shared" si="25"/>
        <v>0</v>
      </c>
      <c r="W109" s="397">
        <f t="shared" si="25"/>
        <v>0</v>
      </c>
    </row>
    <row r="110" spans="1:23" ht="12.75" hidden="1" customHeight="1" outlineLevel="1">
      <c r="A110" s="355" t="s">
        <v>113</v>
      </c>
      <c r="B110" s="382">
        <f t="shared" ref="B110:W110" si="26">B107+B108-B109</f>
        <v>0</v>
      </c>
      <c r="C110" s="398">
        <f t="shared" si="26"/>
        <v>0</v>
      </c>
      <c r="D110" s="382">
        <f t="shared" si="26"/>
        <v>0</v>
      </c>
      <c r="E110" s="399">
        <f t="shared" si="26"/>
        <v>0</v>
      </c>
      <c r="F110" s="399">
        <f t="shared" si="26"/>
        <v>0</v>
      </c>
      <c r="G110" s="399">
        <f t="shared" si="26"/>
        <v>0</v>
      </c>
      <c r="H110" s="398">
        <f t="shared" si="26"/>
        <v>0</v>
      </c>
      <c r="I110" s="382">
        <f t="shared" si="26"/>
        <v>0</v>
      </c>
      <c r="J110" s="399">
        <f t="shared" si="26"/>
        <v>0</v>
      </c>
      <c r="K110" s="399">
        <f t="shared" si="26"/>
        <v>0</v>
      </c>
      <c r="L110" s="399">
        <f t="shared" si="26"/>
        <v>0</v>
      </c>
      <c r="M110" s="398">
        <f t="shared" si="26"/>
        <v>0</v>
      </c>
      <c r="N110" s="382">
        <f t="shared" si="26"/>
        <v>0</v>
      </c>
      <c r="O110" s="399">
        <f t="shared" si="26"/>
        <v>0</v>
      </c>
      <c r="P110" s="399">
        <f t="shared" si="26"/>
        <v>0</v>
      </c>
      <c r="Q110" s="399">
        <f t="shared" si="26"/>
        <v>0</v>
      </c>
      <c r="R110" s="398">
        <f t="shared" si="26"/>
        <v>0</v>
      </c>
      <c r="S110" s="382">
        <f t="shared" si="26"/>
        <v>0</v>
      </c>
      <c r="T110" s="399">
        <f t="shared" si="26"/>
        <v>0</v>
      </c>
      <c r="U110" s="399">
        <f t="shared" si="26"/>
        <v>0</v>
      </c>
      <c r="V110" s="399">
        <f t="shared" si="26"/>
        <v>0</v>
      </c>
      <c r="W110" s="398">
        <f t="shared" si="26"/>
        <v>0</v>
      </c>
    </row>
    <row r="111" spans="1:23" ht="12.75" hidden="1" customHeight="1" outlineLevel="1"/>
    <row r="112" spans="1:23" ht="12.75" hidden="1" customHeight="1" outlineLevel="1">
      <c r="A112" s="360" t="str">
        <f>A75</f>
        <v>Land &amp; Buildings</v>
      </c>
    </row>
    <row r="113" spans="1:23" ht="12.75" hidden="1" customHeight="1" outlineLevel="1">
      <c r="A113" s="385" t="s">
        <v>145</v>
      </c>
      <c r="B113" s="377">
        <f>B75</f>
        <v>0</v>
      </c>
      <c r="C113" s="350"/>
      <c r="D113" s="366"/>
      <c r="E113" s="366"/>
    </row>
    <row r="114" spans="1:23" ht="12.75" hidden="1" customHeight="1" outlineLevel="1">
      <c r="A114" s="386" t="s">
        <v>146</v>
      </c>
      <c r="B114" s="379">
        <f>C75</f>
        <v>40</v>
      </c>
      <c r="C114" s="354"/>
      <c r="D114" s="366"/>
      <c r="E114" s="366"/>
    </row>
    <row r="115" spans="1:23" ht="12.75" hidden="1" customHeight="1" outlineLevel="1">
      <c r="A115" s="386" t="s">
        <v>147</v>
      </c>
      <c r="B115" s="379" t="str">
        <f>D75</f>
        <v>Straight Line</v>
      </c>
      <c r="C115" s="354"/>
      <c r="D115" s="366"/>
      <c r="E115" s="366"/>
    </row>
    <row r="116" spans="1:23" ht="12.75" hidden="1" customHeight="1" outlineLevel="1">
      <c r="A116" s="364" t="s">
        <v>148</v>
      </c>
      <c r="B116" s="365">
        <f>IF(AND(B114=0,B115=""),0,IF(B115="Straight Line",1/B114,IF(B115="Declining Balance",1/B114*1.5,1)))</f>
        <v>2.5000000000000001E-2</v>
      </c>
      <c r="C116" s="358"/>
      <c r="D116" s="366"/>
      <c r="E116" s="366"/>
    </row>
    <row r="117" spans="1:23" ht="12.75" hidden="1" customHeight="1" outlineLevel="1">
      <c r="A117" s="366"/>
      <c r="B117" s="383"/>
      <c r="C117" s="366"/>
      <c r="D117" s="366"/>
      <c r="E117" s="366"/>
    </row>
    <row r="118" spans="1:23" ht="12.75" hidden="1" customHeight="1" outlineLevel="1">
      <c r="A118" s="366" t="s">
        <v>154</v>
      </c>
      <c r="B118" s="387">
        <v>1996</v>
      </c>
      <c r="C118" s="388">
        <v>1997</v>
      </c>
      <c r="D118" s="389">
        <v>1998</v>
      </c>
      <c r="E118" s="390">
        <v>1999</v>
      </c>
    </row>
    <row r="119" spans="1:23" ht="12.75" hidden="1" customHeight="1" outlineLevel="1">
      <c r="A119" s="391" t="s">
        <v>155</v>
      </c>
      <c r="B119" s="392">
        <v>0</v>
      </c>
      <c r="C119" s="393">
        <v>0</v>
      </c>
      <c r="D119" s="393">
        <v>0</v>
      </c>
      <c r="E119" s="394">
        <v>0</v>
      </c>
    </row>
    <row r="120" spans="1:23" ht="12.75" hidden="1" customHeight="1" outlineLevel="1">
      <c r="A120" s="366"/>
      <c r="B120" s="383"/>
      <c r="C120" s="366"/>
    </row>
    <row r="121" spans="1:23" ht="12.75" hidden="1" customHeight="1" outlineLevel="1">
      <c r="B121" s="367">
        <v>1996</v>
      </c>
      <c r="C121" s="368">
        <v>1997</v>
      </c>
      <c r="D121" s="367">
        <v>1998</v>
      </c>
      <c r="E121" s="369">
        <v>1999</v>
      </c>
      <c r="F121" s="369">
        <v>2000</v>
      </c>
      <c r="G121" s="369">
        <v>2001</v>
      </c>
      <c r="H121" s="368">
        <v>2002</v>
      </c>
      <c r="I121" s="367">
        <v>2003</v>
      </c>
      <c r="J121" s="369">
        <v>2004</v>
      </c>
      <c r="K121" s="369">
        <v>2005</v>
      </c>
      <c r="L121" s="369">
        <v>2006</v>
      </c>
      <c r="M121" s="368">
        <v>2007</v>
      </c>
      <c r="N121" s="367">
        <v>2008</v>
      </c>
      <c r="O121" s="369">
        <v>2009</v>
      </c>
      <c r="P121" s="369">
        <v>2010</v>
      </c>
      <c r="Q121" s="369">
        <v>2011</v>
      </c>
      <c r="R121" s="368">
        <v>2012</v>
      </c>
      <c r="S121" s="367">
        <f t="shared" ref="S121:W121" si="27">R121+1</f>
        <v>2013</v>
      </c>
      <c r="T121" s="369">
        <f t="shared" si="27"/>
        <v>2014</v>
      </c>
      <c r="U121" s="369">
        <f t="shared" si="27"/>
        <v>2015</v>
      </c>
      <c r="V121" s="369">
        <f t="shared" si="27"/>
        <v>2016</v>
      </c>
      <c r="W121" s="368">
        <f t="shared" si="27"/>
        <v>2017</v>
      </c>
    </row>
    <row r="122" spans="1:23" ht="12.75" hidden="1" customHeight="1" outlineLevel="1">
      <c r="A122" s="346" t="s">
        <v>2</v>
      </c>
      <c r="B122" s="379">
        <f>B113</f>
        <v>0</v>
      </c>
      <c r="C122" s="395">
        <f t="shared" ref="C122:W122" si="28">B125</f>
        <v>0</v>
      </c>
      <c r="D122" s="379">
        <f t="shared" si="28"/>
        <v>0</v>
      </c>
      <c r="E122" s="383">
        <f t="shared" si="28"/>
        <v>0</v>
      </c>
      <c r="F122" s="383">
        <f t="shared" si="28"/>
        <v>0</v>
      </c>
      <c r="G122" s="383">
        <f t="shared" si="28"/>
        <v>0</v>
      </c>
      <c r="H122" s="395">
        <f t="shared" si="28"/>
        <v>0</v>
      </c>
      <c r="I122" s="379">
        <f t="shared" si="28"/>
        <v>0</v>
      </c>
      <c r="J122" s="383">
        <f t="shared" si="28"/>
        <v>0</v>
      </c>
      <c r="K122" s="383">
        <f t="shared" si="28"/>
        <v>0</v>
      </c>
      <c r="L122" s="383">
        <f t="shared" si="28"/>
        <v>0</v>
      </c>
      <c r="M122" s="395">
        <f t="shared" si="28"/>
        <v>0</v>
      </c>
      <c r="N122" s="379">
        <f t="shared" si="28"/>
        <v>0</v>
      </c>
      <c r="O122" s="383">
        <f t="shared" si="28"/>
        <v>0</v>
      </c>
      <c r="P122" s="383">
        <f t="shared" si="28"/>
        <v>0</v>
      </c>
      <c r="Q122" s="383">
        <f t="shared" si="28"/>
        <v>0</v>
      </c>
      <c r="R122" s="395">
        <f t="shared" si="28"/>
        <v>0</v>
      </c>
      <c r="S122" s="379">
        <f t="shared" si="28"/>
        <v>0</v>
      </c>
      <c r="T122" s="383">
        <f t="shared" si="28"/>
        <v>0</v>
      </c>
      <c r="U122" s="383">
        <f t="shared" si="28"/>
        <v>0</v>
      </c>
      <c r="V122" s="383">
        <f t="shared" si="28"/>
        <v>0</v>
      </c>
      <c r="W122" s="395">
        <f t="shared" si="28"/>
        <v>0</v>
      </c>
    </row>
    <row r="123" spans="1:23" ht="12.75" hidden="1" customHeight="1" outlineLevel="1">
      <c r="A123" s="351" t="s">
        <v>156</v>
      </c>
      <c r="B123" s="379">
        <f>B119</f>
        <v>0</v>
      </c>
      <c r="C123" s="395">
        <f>C119</f>
        <v>0</v>
      </c>
      <c r="D123" s="379">
        <f>D119</f>
        <v>0</v>
      </c>
      <c r="E123" s="383">
        <f>E119</f>
        <v>0</v>
      </c>
      <c r="F123" s="383">
        <v>0</v>
      </c>
      <c r="G123" s="383">
        <v>0</v>
      </c>
      <c r="H123" s="395">
        <v>0</v>
      </c>
      <c r="I123" s="379">
        <v>0</v>
      </c>
      <c r="J123" s="383">
        <v>0</v>
      </c>
      <c r="K123" s="383">
        <v>0</v>
      </c>
      <c r="L123" s="383">
        <v>0</v>
      </c>
      <c r="M123" s="395">
        <v>0</v>
      </c>
      <c r="N123" s="379">
        <v>0</v>
      </c>
      <c r="O123" s="383">
        <v>0</v>
      </c>
      <c r="P123" s="383">
        <v>0</v>
      </c>
      <c r="Q123" s="383">
        <v>0</v>
      </c>
      <c r="R123" s="395">
        <v>0</v>
      </c>
      <c r="S123" s="379">
        <v>0</v>
      </c>
      <c r="T123" s="383">
        <v>0</v>
      </c>
      <c r="U123" s="383">
        <v>0</v>
      </c>
      <c r="V123" s="383">
        <v>0</v>
      </c>
      <c r="W123" s="395">
        <v>0</v>
      </c>
    </row>
    <row r="124" spans="1:23" ht="12.75" hidden="1" customHeight="1" outlineLevel="1">
      <c r="A124" s="351" t="s">
        <v>157</v>
      </c>
      <c r="B124" s="379">
        <f>B123*$B116*0.5</f>
        <v>0</v>
      </c>
      <c r="C124" s="395">
        <f>(SUM($B123:B123)+C123*0.5)*$B116</f>
        <v>0</v>
      </c>
      <c r="D124" s="379">
        <f>(SUM($B123:C123)+D123*0.5)*$B116</f>
        <v>0</v>
      </c>
      <c r="E124" s="383">
        <f>(SUM($B123:D123)+E123*0.5)*$B116</f>
        <v>0</v>
      </c>
      <c r="F124" s="383">
        <f>(SUM($B123:E123)+F123*0.5)*$B116</f>
        <v>0</v>
      </c>
      <c r="G124" s="383">
        <f>(SUM($B123:F123)+G123*0.5)*$B116</f>
        <v>0</v>
      </c>
      <c r="H124" s="395">
        <f>(SUM($B123:G123)+H123*0.5)*$B116</f>
        <v>0</v>
      </c>
      <c r="I124" s="379">
        <f>(SUM($B123:H123)+I123*0.5)*$B116</f>
        <v>0</v>
      </c>
      <c r="J124" s="383">
        <f>(SUM($B123:I123)+J123*0.5)*$B116</f>
        <v>0</v>
      </c>
      <c r="K124" s="383">
        <f>(SUM($B123:J123)+K123*0.5)*$B116</f>
        <v>0</v>
      </c>
      <c r="L124" s="383">
        <f>(SUM($B123:K123)+L123*0.5)*$B116</f>
        <v>0</v>
      </c>
      <c r="M124" s="395">
        <f>(SUM($B123:L123)+M123*0.5)*$B116</f>
        <v>0</v>
      </c>
      <c r="N124" s="379">
        <f>(SUM($B123:M123)+N123*0.5)*$B116</f>
        <v>0</v>
      </c>
      <c r="O124" s="383">
        <f>(SUM($B123:N123)+O123*0.5)*$B116</f>
        <v>0</v>
      </c>
      <c r="P124" s="383">
        <f>(SUM($B123:O123)+P123*0.5)*$B116</f>
        <v>0</v>
      </c>
      <c r="Q124" s="383">
        <f>(SUM($B123:P123)+Q123*0.5)*$B116</f>
        <v>0</v>
      </c>
      <c r="R124" s="395">
        <f>(SUM($B123:Q123)+R123*0.5)*$B116</f>
        <v>0</v>
      </c>
      <c r="S124" s="379">
        <f>(SUM($B123:R123)+S123*0.5)*$B116</f>
        <v>0</v>
      </c>
      <c r="T124" s="383">
        <f>(SUM($B123:S123)+T123*0.5)*$B116</f>
        <v>0</v>
      </c>
      <c r="U124" s="383">
        <f>(SUM($B123:T123)+U123*0.5)*$B116</f>
        <v>0</v>
      </c>
      <c r="V124" s="383">
        <f>(SUM($B123:U123)+V123*0.5)*$B116</f>
        <v>0</v>
      </c>
      <c r="W124" s="395">
        <f>(SUM($B123:V123)+W123*0.5)*$B116</f>
        <v>0</v>
      </c>
    </row>
    <row r="125" spans="1:23" ht="12.75" hidden="1" customHeight="1" outlineLevel="1">
      <c r="A125" s="355" t="s">
        <v>113</v>
      </c>
      <c r="B125" s="382">
        <f t="shared" ref="B125:W125" si="29">B122+B123-B124</f>
        <v>0</v>
      </c>
      <c r="C125" s="398">
        <f t="shared" si="29"/>
        <v>0</v>
      </c>
      <c r="D125" s="382">
        <f t="shared" si="29"/>
        <v>0</v>
      </c>
      <c r="E125" s="399">
        <f t="shared" si="29"/>
        <v>0</v>
      </c>
      <c r="F125" s="399">
        <f t="shared" si="29"/>
        <v>0</v>
      </c>
      <c r="G125" s="399">
        <f t="shared" si="29"/>
        <v>0</v>
      </c>
      <c r="H125" s="398">
        <f t="shared" si="29"/>
        <v>0</v>
      </c>
      <c r="I125" s="382">
        <f t="shared" si="29"/>
        <v>0</v>
      </c>
      <c r="J125" s="399">
        <f t="shared" si="29"/>
        <v>0</v>
      </c>
      <c r="K125" s="399">
        <f t="shared" si="29"/>
        <v>0</v>
      </c>
      <c r="L125" s="399">
        <f t="shared" si="29"/>
        <v>0</v>
      </c>
      <c r="M125" s="398">
        <f t="shared" si="29"/>
        <v>0</v>
      </c>
      <c r="N125" s="382">
        <f t="shared" si="29"/>
        <v>0</v>
      </c>
      <c r="O125" s="399">
        <f t="shared" si="29"/>
        <v>0</v>
      </c>
      <c r="P125" s="399">
        <f t="shared" si="29"/>
        <v>0</v>
      </c>
      <c r="Q125" s="399">
        <f t="shared" si="29"/>
        <v>0</v>
      </c>
      <c r="R125" s="398">
        <f t="shared" si="29"/>
        <v>0</v>
      </c>
      <c r="S125" s="382">
        <f t="shared" si="29"/>
        <v>0</v>
      </c>
      <c r="T125" s="399">
        <f t="shared" si="29"/>
        <v>0</v>
      </c>
      <c r="U125" s="399">
        <f t="shared" si="29"/>
        <v>0</v>
      </c>
      <c r="V125" s="399">
        <f t="shared" si="29"/>
        <v>0</v>
      </c>
      <c r="W125" s="398">
        <f t="shared" si="29"/>
        <v>0</v>
      </c>
    </row>
    <row r="126" spans="1:23" ht="12.75" hidden="1" customHeight="1" outlineLevel="1">
      <c r="M126" s="401"/>
    </row>
    <row r="127" spans="1:23" ht="12.75" hidden="1" customHeight="1" outlineLevel="1">
      <c r="A127" s="360" t="str">
        <f>A76</f>
        <v>Other Assets</v>
      </c>
    </row>
    <row r="128" spans="1:23" ht="12.75" hidden="1" customHeight="1" outlineLevel="1">
      <c r="A128" s="385" t="s">
        <v>145</v>
      </c>
      <c r="B128" s="377">
        <f>B76</f>
        <v>0</v>
      </c>
      <c r="C128" s="350"/>
      <c r="D128" s="366"/>
      <c r="E128" s="366"/>
    </row>
    <row r="129" spans="1:23" ht="12.75" hidden="1" customHeight="1" outlineLevel="1">
      <c r="A129" s="386" t="s">
        <v>146</v>
      </c>
      <c r="B129" s="379">
        <f>C76</f>
        <v>5</v>
      </c>
      <c r="C129" s="354"/>
      <c r="D129" s="366"/>
      <c r="E129" s="366"/>
    </row>
    <row r="130" spans="1:23" ht="12.75" hidden="1" customHeight="1" outlineLevel="1">
      <c r="A130" s="386" t="s">
        <v>147</v>
      </c>
      <c r="B130" s="379" t="str">
        <f>D76</f>
        <v>Declining Balance</v>
      </c>
      <c r="C130" s="354"/>
      <c r="D130" s="366"/>
      <c r="E130" s="366"/>
    </row>
    <row r="131" spans="1:23" ht="12.75" hidden="1" customHeight="1" outlineLevel="1">
      <c r="A131" s="364" t="s">
        <v>148</v>
      </c>
      <c r="B131" s="365">
        <f>IF(AND(B129=0,B130=""),0,IF(B130="Straight Line",1/B129,IF(B130="Declining Balance",1/B129*1.5,1)))</f>
        <v>0.30000000000000004</v>
      </c>
      <c r="C131" s="358"/>
      <c r="D131" s="366"/>
      <c r="E131" s="366"/>
    </row>
    <row r="132" spans="1:23" ht="12.75" hidden="1" customHeight="1" outlineLevel="1">
      <c r="A132" s="366"/>
      <c r="B132" s="383"/>
      <c r="C132" s="366"/>
      <c r="D132" s="366"/>
      <c r="E132" s="366"/>
    </row>
    <row r="133" spans="1:23" ht="12.75" hidden="1" customHeight="1" outlineLevel="1">
      <c r="A133" s="366" t="s">
        <v>154</v>
      </c>
      <c r="B133" s="387">
        <v>1996</v>
      </c>
      <c r="C133" s="388">
        <v>1997</v>
      </c>
      <c r="D133" s="389">
        <v>1998</v>
      </c>
      <c r="E133" s="390">
        <v>1999</v>
      </c>
    </row>
    <row r="134" spans="1:23" ht="12.75" hidden="1" customHeight="1" outlineLevel="1">
      <c r="A134" s="391" t="s">
        <v>155</v>
      </c>
      <c r="B134" s="392">
        <v>0</v>
      </c>
      <c r="C134" s="393">
        <v>5.0000000000000001E-3</v>
      </c>
      <c r="D134" s="393">
        <v>0</v>
      </c>
      <c r="E134" s="394">
        <v>3.7499999999999999E-3</v>
      </c>
    </row>
    <row r="135" spans="1:23" ht="12.75" hidden="1" customHeight="1" outlineLevel="1">
      <c r="A135" s="366"/>
      <c r="B135" s="383"/>
      <c r="C135" s="366"/>
    </row>
    <row r="136" spans="1:23" ht="12.75" hidden="1" customHeight="1" outlineLevel="1">
      <c r="B136" s="367">
        <v>1996</v>
      </c>
      <c r="C136" s="368">
        <v>1997</v>
      </c>
      <c r="D136" s="367">
        <v>1998</v>
      </c>
      <c r="E136" s="369">
        <v>1999</v>
      </c>
      <c r="F136" s="369">
        <v>2000</v>
      </c>
      <c r="G136" s="369">
        <v>2001</v>
      </c>
      <c r="H136" s="368">
        <v>2002</v>
      </c>
      <c r="I136" s="367">
        <v>2003</v>
      </c>
      <c r="J136" s="369">
        <v>2004</v>
      </c>
      <c r="K136" s="369">
        <v>2005</v>
      </c>
      <c r="L136" s="369">
        <v>2006</v>
      </c>
      <c r="M136" s="368">
        <v>2007</v>
      </c>
      <c r="N136" s="367">
        <v>2008</v>
      </c>
      <c r="O136" s="369">
        <v>2009</v>
      </c>
      <c r="P136" s="369">
        <v>2010</v>
      </c>
      <c r="Q136" s="369">
        <v>2011</v>
      </c>
      <c r="R136" s="368">
        <v>2012</v>
      </c>
      <c r="S136" s="367">
        <f t="shared" ref="S136:W136" si="30">R136+1</f>
        <v>2013</v>
      </c>
      <c r="T136" s="369">
        <f t="shared" si="30"/>
        <v>2014</v>
      </c>
      <c r="U136" s="369">
        <f t="shared" si="30"/>
        <v>2015</v>
      </c>
      <c r="V136" s="369">
        <f t="shared" si="30"/>
        <v>2016</v>
      </c>
      <c r="W136" s="368">
        <f t="shared" si="30"/>
        <v>2017</v>
      </c>
    </row>
    <row r="137" spans="1:23" ht="12.75" hidden="1" customHeight="1" outlineLevel="1">
      <c r="A137" s="346" t="s">
        <v>2</v>
      </c>
      <c r="B137" s="379">
        <f>B128</f>
        <v>0</v>
      </c>
      <c r="C137" s="395">
        <f t="shared" ref="C137:W137" si="31">B140</f>
        <v>0</v>
      </c>
      <c r="D137" s="379">
        <f t="shared" si="31"/>
        <v>4.2500000000000003E-3</v>
      </c>
      <c r="E137" s="383">
        <f t="shared" si="31"/>
        <v>2.9750000000000002E-3</v>
      </c>
      <c r="F137" s="383">
        <f t="shared" si="31"/>
        <v>5.2699999999999995E-3</v>
      </c>
      <c r="G137" s="383">
        <f t="shared" si="31"/>
        <v>3.6889999999999996E-3</v>
      </c>
      <c r="H137" s="395">
        <f t="shared" si="31"/>
        <v>2.5822999999999996E-3</v>
      </c>
      <c r="I137" s="379">
        <f t="shared" si="31"/>
        <v>1.8076099999999996E-3</v>
      </c>
      <c r="J137" s="383">
        <f t="shared" si="31"/>
        <v>1.2653269999999997E-3</v>
      </c>
      <c r="K137" s="383">
        <f t="shared" si="31"/>
        <v>8.8572889999999978E-4</v>
      </c>
      <c r="L137" s="383">
        <f t="shared" si="31"/>
        <v>6.2001022999999978E-4</v>
      </c>
      <c r="M137" s="395">
        <f t="shared" si="31"/>
        <v>4.3400716099999982E-4</v>
      </c>
      <c r="N137" s="379">
        <f t="shared" si="31"/>
        <v>3.0380501269999989E-4</v>
      </c>
      <c r="O137" s="383">
        <f t="shared" si="31"/>
        <v>2.1266350888999989E-4</v>
      </c>
      <c r="P137" s="383">
        <f t="shared" si="31"/>
        <v>1.4886445622299993E-4</v>
      </c>
      <c r="Q137" s="383">
        <f t="shared" si="31"/>
        <v>1.0420511935609994E-4</v>
      </c>
      <c r="R137" s="395">
        <f t="shared" si="31"/>
        <v>7.294358354926995E-5</v>
      </c>
      <c r="S137" s="379">
        <f t="shared" si="31"/>
        <v>5.106050848448896E-5</v>
      </c>
      <c r="T137" s="383">
        <f t="shared" si="31"/>
        <v>3.5742355939142267E-5</v>
      </c>
      <c r="U137" s="383">
        <f t="shared" si="31"/>
        <v>2.5019649157399587E-5</v>
      </c>
      <c r="V137" s="383">
        <f t="shared" si="31"/>
        <v>1.7513754410179709E-5</v>
      </c>
      <c r="W137" s="395">
        <f t="shared" si="31"/>
        <v>1.2259628087125796E-5</v>
      </c>
    </row>
    <row r="138" spans="1:23" ht="12.75" hidden="1" customHeight="1" outlineLevel="1">
      <c r="A138" s="351" t="s">
        <v>156</v>
      </c>
      <c r="B138" s="379">
        <f>B134</f>
        <v>0</v>
      </c>
      <c r="C138" s="395">
        <f>C134</f>
        <v>5.0000000000000001E-3</v>
      </c>
      <c r="D138" s="379">
        <f>D134</f>
        <v>0</v>
      </c>
      <c r="E138" s="383">
        <f>E134</f>
        <v>3.7499999999999999E-3</v>
      </c>
      <c r="F138" s="383">
        <v>0</v>
      </c>
      <c r="G138" s="383">
        <v>0</v>
      </c>
      <c r="H138" s="395">
        <v>0</v>
      </c>
      <c r="I138" s="379">
        <v>0</v>
      </c>
      <c r="J138" s="383">
        <v>0</v>
      </c>
      <c r="K138" s="383">
        <v>0</v>
      </c>
      <c r="L138" s="383">
        <v>0</v>
      </c>
      <c r="M138" s="395">
        <v>0</v>
      </c>
      <c r="N138" s="379">
        <v>0</v>
      </c>
      <c r="O138" s="383">
        <v>0</v>
      </c>
      <c r="P138" s="383">
        <v>0</v>
      </c>
      <c r="Q138" s="383">
        <v>0</v>
      </c>
      <c r="R138" s="395">
        <v>0</v>
      </c>
      <c r="S138" s="379">
        <v>0</v>
      </c>
      <c r="T138" s="383">
        <v>0</v>
      </c>
      <c r="U138" s="383">
        <v>0</v>
      </c>
      <c r="V138" s="383">
        <v>0</v>
      </c>
      <c r="W138" s="395">
        <v>0</v>
      </c>
    </row>
    <row r="139" spans="1:23" ht="12.75" hidden="1" customHeight="1" outlineLevel="1">
      <c r="A139" s="351" t="s">
        <v>157</v>
      </c>
      <c r="B139" s="375">
        <f>IF($B131=1,B138+B137,B138*$B131*0.5)</f>
        <v>0</v>
      </c>
      <c r="C139" s="375">
        <f t="shared" ref="C139:W139" si="32">IF($B131=1,C138+C137,(C137+C138*0.5)*$B131)</f>
        <v>7.5000000000000012E-4</v>
      </c>
      <c r="D139" s="396">
        <f t="shared" si="32"/>
        <v>1.2750000000000003E-3</v>
      </c>
      <c r="E139" s="375">
        <f t="shared" si="32"/>
        <v>1.4550000000000003E-3</v>
      </c>
      <c r="F139" s="375">
        <f t="shared" si="32"/>
        <v>1.5810000000000002E-3</v>
      </c>
      <c r="G139" s="375">
        <f t="shared" si="32"/>
        <v>1.1067E-3</v>
      </c>
      <c r="H139" s="397">
        <f t="shared" si="32"/>
        <v>7.7468999999999997E-4</v>
      </c>
      <c r="I139" s="396">
        <f t="shared" si="32"/>
        <v>5.4228299999999996E-4</v>
      </c>
      <c r="J139" s="375">
        <f t="shared" si="32"/>
        <v>3.7959809999999996E-4</v>
      </c>
      <c r="K139" s="375">
        <f t="shared" si="32"/>
        <v>2.6571867E-4</v>
      </c>
      <c r="L139" s="375">
        <f t="shared" si="32"/>
        <v>1.8600306899999996E-4</v>
      </c>
      <c r="M139" s="397">
        <f t="shared" si="32"/>
        <v>1.3020214829999996E-4</v>
      </c>
      <c r="N139" s="396">
        <f t="shared" si="32"/>
        <v>9.1141503809999985E-5</v>
      </c>
      <c r="O139" s="375">
        <f t="shared" si="32"/>
        <v>6.3799052666999969E-5</v>
      </c>
      <c r="P139" s="375">
        <f t="shared" si="32"/>
        <v>4.4659336866899989E-5</v>
      </c>
      <c r="Q139" s="375">
        <f t="shared" si="32"/>
        <v>3.1261535806829987E-5</v>
      </c>
      <c r="R139" s="397">
        <f t="shared" si="32"/>
        <v>2.1883075064780987E-5</v>
      </c>
      <c r="S139" s="396">
        <f t="shared" si="32"/>
        <v>1.531815254534669E-5</v>
      </c>
      <c r="T139" s="375">
        <f t="shared" si="32"/>
        <v>1.0722706781742682E-5</v>
      </c>
      <c r="U139" s="375">
        <f t="shared" si="32"/>
        <v>7.5058947472198772E-6</v>
      </c>
      <c r="V139" s="375">
        <f t="shared" si="32"/>
        <v>5.2541263230539138E-6</v>
      </c>
      <c r="W139" s="397">
        <f t="shared" si="32"/>
        <v>3.6778884261377391E-6</v>
      </c>
    </row>
    <row r="140" spans="1:23" ht="12.75" hidden="1" customHeight="1" outlineLevel="1">
      <c r="A140" s="355" t="s">
        <v>113</v>
      </c>
      <c r="B140" s="382">
        <f t="shared" ref="B140:W140" si="33">B137+B138-B139</f>
        <v>0</v>
      </c>
      <c r="C140" s="398">
        <f t="shared" si="33"/>
        <v>4.2500000000000003E-3</v>
      </c>
      <c r="D140" s="382">
        <f t="shared" si="33"/>
        <v>2.9750000000000002E-3</v>
      </c>
      <c r="E140" s="399">
        <f t="shared" si="33"/>
        <v>5.2699999999999995E-3</v>
      </c>
      <c r="F140" s="399">
        <f t="shared" si="33"/>
        <v>3.6889999999999996E-3</v>
      </c>
      <c r="G140" s="399">
        <f t="shared" si="33"/>
        <v>2.5822999999999996E-3</v>
      </c>
      <c r="H140" s="398">
        <f t="shared" si="33"/>
        <v>1.8076099999999996E-3</v>
      </c>
      <c r="I140" s="382">
        <f t="shared" si="33"/>
        <v>1.2653269999999997E-3</v>
      </c>
      <c r="J140" s="399">
        <f t="shared" si="33"/>
        <v>8.8572889999999978E-4</v>
      </c>
      <c r="K140" s="399">
        <f t="shared" si="33"/>
        <v>6.2001022999999978E-4</v>
      </c>
      <c r="L140" s="399">
        <f t="shared" si="33"/>
        <v>4.3400716099999982E-4</v>
      </c>
      <c r="M140" s="398">
        <f t="shared" si="33"/>
        <v>3.0380501269999989E-4</v>
      </c>
      <c r="N140" s="382">
        <f t="shared" si="33"/>
        <v>2.1266350888999989E-4</v>
      </c>
      <c r="O140" s="399">
        <f t="shared" si="33"/>
        <v>1.4886445622299993E-4</v>
      </c>
      <c r="P140" s="399">
        <f t="shared" si="33"/>
        <v>1.0420511935609994E-4</v>
      </c>
      <c r="Q140" s="399">
        <f t="shared" si="33"/>
        <v>7.294358354926995E-5</v>
      </c>
      <c r="R140" s="398">
        <f t="shared" si="33"/>
        <v>5.106050848448896E-5</v>
      </c>
      <c r="S140" s="382">
        <f t="shared" si="33"/>
        <v>3.5742355939142267E-5</v>
      </c>
      <c r="T140" s="399">
        <f t="shared" si="33"/>
        <v>2.5019649157399587E-5</v>
      </c>
      <c r="U140" s="399">
        <f t="shared" si="33"/>
        <v>1.7513754410179709E-5</v>
      </c>
      <c r="V140" s="399">
        <f t="shared" si="33"/>
        <v>1.2259628087125796E-5</v>
      </c>
      <c r="W140" s="398">
        <f t="shared" si="33"/>
        <v>8.581739660988057E-6</v>
      </c>
    </row>
    <row r="141" spans="1:23" ht="12.75" hidden="1" customHeight="1" outlineLevel="1"/>
    <row r="142" spans="1:23" ht="12.75" hidden="1" customHeight="1" outlineLevel="1"/>
    <row r="143" spans="1:23" ht="12.75" hidden="1" customHeight="1" outlineLevel="1">
      <c r="A143" s="360" t="str">
        <f>A77</f>
        <v>Repairs</v>
      </c>
    </row>
    <row r="144" spans="1:23" ht="12.75" hidden="1" customHeight="1" outlineLevel="1">
      <c r="A144" s="385" t="s">
        <v>145</v>
      </c>
      <c r="B144" s="377">
        <f>B77</f>
        <v>0</v>
      </c>
      <c r="C144" s="350"/>
      <c r="D144" s="366"/>
      <c r="E144" s="366"/>
    </row>
    <row r="145" spans="1:23" ht="12.75" hidden="1" customHeight="1" outlineLevel="1">
      <c r="A145" s="386" t="s">
        <v>146</v>
      </c>
      <c r="B145" s="379">
        <f>C77</f>
        <v>0</v>
      </c>
      <c r="C145" s="354"/>
      <c r="D145" s="366"/>
      <c r="E145" s="366"/>
    </row>
    <row r="146" spans="1:23" ht="12.75" hidden="1" customHeight="1" outlineLevel="1">
      <c r="A146" s="386" t="s">
        <v>147</v>
      </c>
      <c r="B146" s="379" t="str">
        <f>D77</f>
        <v>Fully Deductible</v>
      </c>
      <c r="C146" s="354"/>
      <c r="D146" s="366"/>
      <c r="E146" s="366"/>
    </row>
    <row r="147" spans="1:23" ht="12.75" hidden="1" customHeight="1" outlineLevel="1">
      <c r="A147" s="364" t="s">
        <v>148</v>
      </c>
      <c r="B147" s="365">
        <f>IF(AND(B145=0,B146=""),0,IF(B146="Straight Line",1/B145,IF(B146="Declining Balance",1/B145*1.5,1)))</f>
        <v>1</v>
      </c>
      <c r="C147" s="358"/>
      <c r="D147" s="366"/>
      <c r="E147" s="366"/>
    </row>
    <row r="148" spans="1:23" ht="12.75" hidden="1" customHeight="1" outlineLevel="1">
      <c r="A148" s="366"/>
      <c r="B148" s="383"/>
      <c r="C148" s="366"/>
      <c r="D148" s="366"/>
      <c r="E148" s="366"/>
    </row>
    <row r="149" spans="1:23" ht="12.75" hidden="1" customHeight="1" outlineLevel="1">
      <c r="A149" s="366" t="s">
        <v>154</v>
      </c>
      <c r="B149" s="387">
        <v>1996</v>
      </c>
      <c r="C149" s="388">
        <v>1997</v>
      </c>
      <c r="D149" s="389">
        <v>1998</v>
      </c>
      <c r="E149" s="390">
        <v>1999</v>
      </c>
    </row>
    <row r="150" spans="1:23" ht="12.75" hidden="1" customHeight="1" outlineLevel="1">
      <c r="A150" s="391" t="s">
        <v>155</v>
      </c>
      <c r="B150" s="392">
        <v>0</v>
      </c>
      <c r="C150" s="393">
        <v>0</v>
      </c>
      <c r="D150" s="393">
        <v>0</v>
      </c>
      <c r="E150" s="394">
        <v>0</v>
      </c>
    </row>
    <row r="151" spans="1:23" ht="12.75" hidden="1" customHeight="1" outlineLevel="1">
      <c r="A151" s="366"/>
      <c r="B151" s="383"/>
      <c r="C151" s="366"/>
    </row>
    <row r="152" spans="1:23" ht="12.75" hidden="1" customHeight="1" outlineLevel="1">
      <c r="B152" s="367">
        <v>1996</v>
      </c>
      <c r="C152" s="368">
        <v>1997</v>
      </c>
      <c r="D152" s="367">
        <v>1998</v>
      </c>
      <c r="E152" s="369">
        <v>1999</v>
      </c>
      <c r="F152" s="369">
        <v>2000</v>
      </c>
      <c r="G152" s="369">
        <v>2001</v>
      </c>
      <c r="H152" s="368">
        <v>2002</v>
      </c>
      <c r="I152" s="367">
        <v>2003</v>
      </c>
      <c r="J152" s="369">
        <v>2004</v>
      </c>
      <c r="K152" s="369">
        <v>2005</v>
      </c>
      <c r="L152" s="369">
        <v>2006</v>
      </c>
      <c r="M152" s="368">
        <v>2007</v>
      </c>
      <c r="N152" s="367">
        <v>2008</v>
      </c>
      <c r="O152" s="369">
        <v>2009</v>
      </c>
      <c r="P152" s="369">
        <v>2010</v>
      </c>
      <c r="Q152" s="369">
        <v>2011</v>
      </c>
      <c r="R152" s="368">
        <v>2012</v>
      </c>
      <c r="S152" s="367">
        <f t="shared" ref="S152:W152" si="34">R152+1</f>
        <v>2013</v>
      </c>
      <c r="T152" s="369">
        <f t="shared" si="34"/>
        <v>2014</v>
      </c>
      <c r="U152" s="369">
        <f t="shared" si="34"/>
        <v>2015</v>
      </c>
      <c r="V152" s="369">
        <f t="shared" si="34"/>
        <v>2016</v>
      </c>
      <c r="W152" s="368">
        <f t="shared" si="34"/>
        <v>2017</v>
      </c>
    </row>
    <row r="153" spans="1:23" ht="12.75" hidden="1" customHeight="1" outlineLevel="1">
      <c r="A153" s="346" t="s">
        <v>2</v>
      </c>
      <c r="B153" s="379">
        <f>B144</f>
        <v>0</v>
      </c>
      <c r="C153" s="395">
        <f t="shared" ref="C153:W153" si="35">B156</f>
        <v>0</v>
      </c>
      <c r="D153" s="379">
        <f t="shared" si="35"/>
        <v>0</v>
      </c>
      <c r="E153" s="383">
        <f t="shared" si="35"/>
        <v>0</v>
      </c>
      <c r="F153" s="383">
        <f t="shared" si="35"/>
        <v>0</v>
      </c>
      <c r="G153" s="383">
        <f t="shared" si="35"/>
        <v>0</v>
      </c>
      <c r="H153" s="395">
        <f t="shared" si="35"/>
        <v>0</v>
      </c>
      <c r="I153" s="379">
        <f t="shared" si="35"/>
        <v>0</v>
      </c>
      <c r="J153" s="383">
        <f t="shared" si="35"/>
        <v>0</v>
      </c>
      <c r="K153" s="383">
        <f t="shared" si="35"/>
        <v>0</v>
      </c>
      <c r="L153" s="383">
        <f t="shared" si="35"/>
        <v>0</v>
      </c>
      <c r="M153" s="395">
        <f t="shared" si="35"/>
        <v>0</v>
      </c>
      <c r="N153" s="379">
        <f t="shared" si="35"/>
        <v>0</v>
      </c>
      <c r="O153" s="383">
        <f t="shared" si="35"/>
        <v>0</v>
      </c>
      <c r="P153" s="383">
        <f t="shared" si="35"/>
        <v>0</v>
      </c>
      <c r="Q153" s="383">
        <f t="shared" si="35"/>
        <v>0</v>
      </c>
      <c r="R153" s="395">
        <f t="shared" si="35"/>
        <v>0</v>
      </c>
      <c r="S153" s="379">
        <f t="shared" si="35"/>
        <v>0</v>
      </c>
      <c r="T153" s="383">
        <f t="shared" si="35"/>
        <v>0</v>
      </c>
      <c r="U153" s="383">
        <f t="shared" si="35"/>
        <v>0</v>
      </c>
      <c r="V153" s="383">
        <f t="shared" si="35"/>
        <v>0</v>
      </c>
      <c r="W153" s="395">
        <f t="shared" si="35"/>
        <v>0</v>
      </c>
    </row>
    <row r="154" spans="1:23" ht="12.75" hidden="1" customHeight="1" outlineLevel="1">
      <c r="A154" s="351" t="s">
        <v>156</v>
      </c>
      <c r="B154" s="379">
        <f>B150</f>
        <v>0</v>
      </c>
      <c r="C154" s="395">
        <f>C150</f>
        <v>0</v>
      </c>
      <c r="D154" s="379">
        <f>D150</f>
        <v>0</v>
      </c>
      <c r="E154" s="383">
        <f>E150</f>
        <v>0</v>
      </c>
      <c r="F154" s="383">
        <v>0</v>
      </c>
      <c r="G154" s="383">
        <v>0</v>
      </c>
      <c r="H154" s="395">
        <v>0</v>
      </c>
      <c r="I154" s="379">
        <v>0</v>
      </c>
      <c r="J154" s="383">
        <v>0</v>
      </c>
      <c r="K154" s="383">
        <v>0</v>
      </c>
      <c r="L154" s="383">
        <v>0</v>
      </c>
      <c r="M154" s="395">
        <v>0</v>
      </c>
      <c r="N154" s="379">
        <v>0</v>
      </c>
      <c r="O154" s="383">
        <v>0</v>
      </c>
      <c r="P154" s="383">
        <v>0</v>
      </c>
      <c r="Q154" s="383">
        <v>0</v>
      </c>
      <c r="R154" s="395">
        <v>0</v>
      </c>
      <c r="S154" s="379">
        <v>0</v>
      </c>
      <c r="T154" s="383">
        <v>0</v>
      </c>
      <c r="U154" s="383">
        <v>0</v>
      </c>
      <c r="V154" s="383">
        <v>0</v>
      </c>
      <c r="W154" s="395">
        <v>0</v>
      </c>
    </row>
    <row r="155" spans="1:23" ht="12.75" hidden="1" customHeight="1" outlineLevel="1">
      <c r="A155" s="351" t="s">
        <v>157</v>
      </c>
      <c r="B155" s="375">
        <f>IF($B147=1,B154+B153,B154*$B147*0.5)</f>
        <v>0</v>
      </c>
      <c r="C155" s="375">
        <f t="shared" ref="C155:W155" si="36">IF($B147=1,C154+C153,(C153+C154*0.5)*$B147)</f>
        <v>0</v>
      </c>
      <c r="D155" s="396">
        <f t="shared" si="36"/>
        <v>0</v>
      </c>
      <c r="E155" s="375">
        <f t="shared" si="36"/>
        <v>0</v>
      </c>
      <c r="F155" s="375">
        <f t="shared" si="36"/>
        <v>0</v>
      </c>
      <c r="G155" s="375">
        <f t="shared" si="36"/>
        <v>0</v>
      </c>
      <c r="H155" s="397">
        <f t="shared" si="36"/>
        <v>0</v>
      </c>
      <c r="I155" s="396">
        <f t="shared" si="36"/>
        <v>0</v>
      </c>
      <c r="J155" s="375">
        <f t="shared" si="36"/>
        <v>0</v>
      </c>
      <c r="K155" s="375">
        <f t="shared" si="36"/>
        <v>0</v>
      </c>
      <c r="L155" s="375">
        <f t="shared" si="36"/>
        <v>0</v>
      </c>
      <c r="M155" s="397">
        <f t="shared" si="36"/>
        <v>0</v>
      </c>
      <c r="N155" s="396">
        <f t="shared" si="36"/>
        <v>0</v>
      </c>
      <c r="O155" s="375">
        <f t="shared" si="36"/>
        <v>0</v>
      </c>
      <c r="P155" s="375">
        <f t="shared" si="36"/>
        <v>0</v>
      </c>
      <c r="Q155" s="375">
        <f t="shared" si="36"/>
        <v>0</v>
      </c>
      <c r="R155" s="397">
        <f t="shared" si="36"/>
        <v>0</v>
      </c>
      <c r="S155" s="396">
        <f t="shared" si="36"/>
        <v>0</v>
      </c>
      <c r="T155" s="375">
        <f t="shared" si="36"/>
        <v>0</v>
      </c>
      <c r="U155" s="375">
        <f t="shared" si="36"/>
        <v>0</v>
      </c>
      <c r="V155" s="375">
        <f t="shared" si="36"/>
        <v>0</v>
      </c>
      <c r="W155" s="397">
        <f t="shared" si="36"/>
        <v>0</v>
      </c>
    </row>
    <row r="156" spans="1:23" ht="12.75" hidden="1" customHeight="1" outlineLevel="1">
      <c r="A156" s="355" t="s">
        <v>113</v>
      </c>
      <c r="B156" s="382">
        <f t="shared" ref="B156:W156" si="37">B153+B154-B155</f>
        <v>0</v>
      </c>
      <c r="C156" s="398">
        <f t="shared" si="37"/>
        <v>0</v>
      </c>
      <c r="D156" s="382">
        <f t="shared" si="37"/>
        <v>0</v>
      </c>
      <c r="E156" s="399">
        <f t="shared" si="37"/>
        <v>0</v>
      </c>
      <c r="F156" s="399">
        <f t="shared" si="37"/>
        <v>0</v>
      </c>
      <c r="G156" s="399">
        <f t="shared" si="37"/>
        <v>0</v>
      </c>
      <c r="H156" s="398">
        <f t="shared" si="37"/>
        <v>0</v>
      </c>
      <c r="I156" s="382">
        <f t="shared" si="37"/>
        <v>0</v>
      </c>
      <c r="J156" s="399">
        <f t="shared" si="37"/>
        <v>0</v>
      </c>
      <c r="K156" s="399">
        <f t="shared" si="37"/>
        <v>0</v>
      </c>
      <c r="L156" s="399">
        <f t="shared" si="37"/>
        <v>0</v>
      </c>
      <c r="M156" s="398">
        <f t="shared" si="37"/>
        <v>0</v>
      </c>
      <c r="N156" s="382">
        <f t="shared" si="37"/>
        <v>0</v>
      </c>
      <c r="O156" s="399">
        <f t="shared" si="37"/>
        <v>0</v>
      </c>
      <c r="P156" s="399">
        <f t="shared" si="37"/>
        <v>0</v>
      </c>
      <c r="Q156" s="399">
        <f t="shared" si="37"/>
        <v>0</v>
      </c>
      <c r="R156" s="398">
        <f t="shared" si="37"/>
        <v>0</v>
      </c>
      <c r="S156" s="382">
        <f t="shared" si="37"/>
        <v>0</v>
      </c>
      <c r="T156" s="399">
        <f t="shared" si="37"/>
        <v>0</v>
      </c>
      <c r="U156" s="399">
        <f t="shared" si="37"/>
        <v>0</v>
      </c>
      <c r="V156" s="399">
        <f t="shared" si="37"/>
        <v>0</v>
      </c>
      <c r="W156" s="398">
        <f t="shared" si="37"/>
        <v>0</v>
      </c>
    </row>
    <row r="157" spans="1:23" ht="12.75" hidden="1" customHeight="1" outlineLevel="1"/>
    <row r="158" spans="1:23" ht="12.75" hidden="1" customHeight="1" outlineLevel="1"/>
    <row r="159" spans="1:23" ht="12.75" hidden="1" customHeight="1" outlineLevel="1">
      <c r="A159" s="360" t="s">
        <v>158</v>
      </c>
    </row>
    <row r="160" spans="1:23" ht="12.75" hidden="1" customHeight="1" outlineLevel="1">
      <c r="A160" s="360"/>
    </row>
    <row r="161" spans="1:23" ht="12.75" hidden="1" customHeight="1" outlineLevel="1">
      <c r="B161" s="367">
        <v>1996</v>
      </c>
      <c r="C161" s="368">
        <v>1997</v>
      </c>
      <c r="D161" s="367">
        <v>1998</v>
      </c>
      <c r="E161" s="369">
        <v>1999</v>
      </c>
      <c r="F161" s="369">
        <v>2000</v>
      </c>
      <c r="G161" s="369">
        <v>2001</v>
      </c>
      <c r="H161" s="368">
        <v>2002</v>
      </c>
      <c r="I161" s="367">
        <v>2003</v>
      </c>
      <c r="J161" s="369">
        <v>2004</v>
      </c>
      <c r="K161" s="369">
        <v>2005</v>
      </c>
      <c r="L161" s="369">
        <v>2006</v>
      </c>
      <c r="M161" s="368">
        <v>2007</v>
      </c>
      <c r="N161" s="367">
        <v>2008</v>
      </c>
      <c r="O161" s="369">
        <v>2009</v>
      </c>
      <c r="P161" s="369">
        <v>2010</v>
      </c>
      <c r="Q161" s="369">
        <v>2011</v>
      </c>
      <c r="R161" s="368">
        <v>2012</v>
      </c>
      <c r="S161" s="367">
        <f t="shared" ref="S161:W161" si="38">R161+1</f>
        <v>2013</v>
      </c>
      <c r="T161" s="369">
        <f t="shared" si="38"/>
        <v>2014</v>
      </c>
      <c r="U161" s="369">
        <f t="shared" si="38"/>
        <v>2015</v>
      </c>
      <c r="V161" s="369">
        <f t="shared" si="38"/>
        <v>2016</v>
      </c>
      <c r="W161" s="368">
        <f t="shared" si="38"/>
        <v>2017</v>
      </c>
    </row>
    <row r="162" spans="1:23" ht="12.75" hidden="1" customHeight="1" outlineLevel="1">
      <c r="A162" s="346" t="s">
        <v>2</v>
      </c>
      <c r="B162" s="353">
        <f t="shared" ref="B162:W164" si="39">B92+B107+B122+B137+B153</f>
        <v>0</v>
      </c>
      <c r="C162" s="370">
        <f t="shared" si="39"/>
        <v>0.24750000000000003</v>
      </c>
      <c r="D162" s="353">
        <f t="shared" si="39"/>
        <v>0.69725000000000004</v>
      </c>
      <c r="E162" s="363">
        <f t="shared" si="39"/>
        <v>1.0424749999999998</v>
      </c>
      <c r="F162" s="363">
        <f t="shared" si="39"/>
        <v>1.2216199999999999</v>
      </c>
      <c r="G162" s="363">
        <f t="shared" si="39"/>
        <v>0.97676899999999989</v>
      </c>
      <c r="H162" s="370">
        <f t="shared" si="39"/>
        <v>0.78104629999999986</v>
      </c>
      <c r="I162" s="353">
        <f t="shared" si="39"/>
        <v>0.62457880999999982</v>
      </c>
      <c r="J162" s="363">
        <f t="shared" si="39"/>
        <v>0.49948228699999986</v>
      </c>
      <c r="K162" s="363">
        <f t="shared" si="39"/>
        <v>0.39945929689999987</v>
      </c>
      <c r="L162" s="363">
        <f t="shared" si="39"/>
        <v>0.31947886462999991</v>
      </c>
      <c r="M162" s="370">
        <f t="shared" si="39"/>
        <v>0.25552109068099993</v>
      </c>
      <c r="N162" s="353">
        <f t="shared" si="39"/>
        <v>0.20437347182869994</v>
      </c>
      <c r="O162" s="363">
        <f t="shared" si="39"/>
        <v>0.16346839696168994</v>
      </c>
      <c r="P162" s="363">
        <f t="shared" si="39"/>
        <v>0.13075345121846296</v>
      </c>
      <c r="Q162" s="363">
        <f t="shared" si="39"/>
        <v>0.10458787452914807</v>
      </c>
      <c r="R162" s="370">
        <f t="shared" si="39"/>
        <v>8.365987911138284E-2</v>
      </c>
      <c r="S162" s="353">
        <f t="shared" si="39"/>
        <v>6.6920608930751344E-2</v>
      </c>
      <c r="T162" s="363">
        <f t="shared" si="39"/>
        <v>5.3531381093752634E-2</v>
      </c>
      <c r="U162" s="363">
        <f t="shared" si="39"/>
        <v>4.2821530639408197E-2</v>
      </c>
      <c r="V162" s="363">
        <f t="shared" si="39"/>
        <v>3.4254722546610814E-2</v>
      </c>
      <c r="W162" s="370">
        <f t="shared" si="39"/>
        <v>2.7402026661847635E-2</v>
      </c>
    </row>
    <row r="163" spans="1:23" ht="12.75" hidden="1" customHeight="1" outlineLevel="1">
      <c r="A163" s="351" t="s">
        <v>154</v>
      </c>
      <c r="B163" s="353">
        <f>B93+B108+B123+B138+B154</f>
        <v>0.375</v>
      </c>
      <c r="C163" s="370">
        <f t="shared" si="39"/>
        <v>0.755</v>
      </c>
      <c r="D163" s="353">
        <f t="shared" si="39"/>
        <v>0.746</v>
      </c>
      <c r="E163" s="363">
        <f t="shared" si="39"/>
        <v>0.51749999999999996</v>
      </c>
      <c r="F163" s="363">
        <f t="shared" si="39"/>
        <v>0</v>
      </c>
      <c r="G163" s="363">
        <f t="shared" si="39"/>
        <v>0</v>
      </c>
      <c r="H163" s="370">
        <f t="shared" si="39"/>
        <v>0</v>
      </c>
      <c r="I163" s="353">
        <f t="shared" si="39"/>
        <v>0</v>
      </c>
      <c r="J163" s="363">
        <f t="shared" si="39"/>
        <v>0</v>
      </c>
      <c r="K163" s="363">
        <f t="shared" si="39"/>
        <v>0</v>
      </c>
      <c r="L163" s="363">
        <f t="shared" si="39"/>
        <v>0</v>
      </c>
      <c r="M163" s="370">
        <f t="shared" si="39"/>
        <v>0</v>
      </c>
      <c r="N163" s="353">
        <f t="shared" si="39"/>
        <v>0</v>
      </c>
      <c r="O163" s="363">
        <f t="shared" si="39"/>
        <v>0</v>
      </c>
      <c r="P163" s="363">
        <f t="shared" si="39"/>
        <v>0</v>
      </c>
      <c r="Q163" s="363">
        <f t="shared" si="39"/>
        <v>0</v>
      </c>
      <c r="R163" s="370">
        <f t="shared" si="39"/>
        <v>0</v>
      </c>
      <c r="S163" s="353">
        <f t="shared" si="39"/>
        <v>0</v>
      </c>
      <c r="T163" s="363">
        <f t="shared" si="39"/>
        <v>0</v>
      </c>
      <c r="U163" s="363">
        <f t="shared" si="39"/>
        <v>0</v>
      </c>
      <c r="V163" s="363">
        <f t="shared" si="39"/>
        <v>0</v>
      </c>
      <c r="W163" s="370">
        <f t="shared" si="39"/>
        <v>0</v>
      </c>
    </row>
    <row r="164" spans="1:23" ht="12.75" hidden="1" customHeight="1" outlineLevel="1">
      <c r="A164" s="351" t="s">
        <v>149</v>
      </c>
      <c r="B164" s="353">
        <f t="shared" ref="B164:M164" si="40">B94+B109+B124+B139+B155</f>
        <v>0.1275</v>
      </c>
      <c r="C164" s="370">
        <f t="shared" si="40"/>
        <v>0.30525000000000002</v>
      </c>
      <c r="D164" s="353">
        <f t="shared" si="40"/>
        <v>0.40077500000000005</v>
      </c>
      <c r="E164" s="363">
        <f t="shared" si="40"/>
        <v>0.33835499999999996</v>
      </c>
      <c r="F164" s="363">
        <f t="shared" si="40"/>
        <v>0.24485099999999999</v>
      </c>
      <c r="G164" s="363">
        <f t="shared" si="40"/>
        <v>0.19572269999999997</v>
      </c>
      <c r="H164" s="370">
        <f t="shared" si="40"/>
        <v>0.15646748999999996</v>
      </c>
      <c r="I164" s="353">
        <f t="shared" si="40"/>
        <v>0.12509652299999999</v>
      </c>
      <c r="J164" s="363">
        <f t="shared" si="40"/>
        <v>0.10002299009999999</v>
      </c>
      <c r="K164" s="363">
        <f t="shared" si="40"/>
        <v>7.9980432269999985E-2</v>
      </c>
      <c r="L164" s="363">
        <f t="shared" si="40"/>
        <v>6.3957773948999985E-2</v>
      </c>
      <c r="M164" s="370">
        <f t="shared" si="40"/>
        <v>5.1147618852299986E-2</v>
      </c>
      <c r="N164" s="353">
        <f t="shared" si="39"/>
        <v>4.0905074867009991E-2</v>
      </c>
      <c r="O164" s="363">
        <f t="shared" si="39"/>
        <v>3.2714945743226989E-2</v>
      </c>
      <c r="P164" s="363">
        <f t="shared" si="39"/>
        <v>2.6165576689314896E-2</v>
      </c>
      <c r="Q164" s="363">
        <f t="shared" si="39"/>
        <v>2.0927995417765227E-2</v>
      </c>
      <c r="R164" s="370">
        <f t="shared" si="39"/>
        <v>1.6739270180631496E-2</v>
      </c>
      <c r="S164" s="353">
        <f t="shared" si="39"/>
        <v>1.3389227836998719E-2</v>
      </c>
      <c r="T164" s="363">
        <f t="shared" si="39"/>
        <v>1.070985045434444E-2</v>
      </c>
      <c r="U164" s="363">
        <f t="shared" si="39"/>
        <v>8.5668080927973796E-3</v>
      </c>
      <c r="V164" s="363">
        <f t="shared" si="39"/>
        <v>6.8526958847631818E-3</v>
      </c>
      <c r="W164" s="370">
        <f t="shared" si="39"/>
        <v>5.4816312951782402E-3</v>
      </c>
    </row>
    <row r="165" spans="1:23" ht="12.75" hidden="1" customHeight="1" outlineLevel="1">
      <c r="A165" s="355" t="s">
        <v>113</v>
      </c>
      <c r="B165" s="357">
        <f>B162+B163-B164</f>
        <v>0.2475</v>
      </c>
      <c r="C165" s="371">
        <f t="shared" ref="C165:W165" si="41">C162+C163-C164</f>
        <v>0.69724999999999993</v>
      </c>
      <c r="D165" s="357">
        <f t="shared" si="41"/>
        <v>1.0424749999999998</v>
      </c>
      <c r="E165" s="372">
        <f t="shared" si="41"/>
        <v>1.2216199999999997</v>
      </c>
      <c r="F165" s="372">
        <f t="shared" si="41"/>
        <v>0.976769</v>
      </c>
      <c r="G165" s="372">
        <f t="shared" si="41"/>
        <v>0.78104629999999986</v>
      </c>
      <c r="H165" s="371">
        <f t="shared" si="41"/>
        <v>0.62457880999999993</v>
      </c>
      <c r="I165" s="357">
        <f t="shared" si="41"/>
        <v>0.49948228699999986</v>
      </c>
      <c r="J165" s="372">
        <f t="shared" si="41"/>
        <v>0.39945929689999987</v>
      </c>
      <c r="K165" s="372">
        <f t="shared" si="41"/>
        <v>0.31947886462999986</v>
      </c>
      <c r="L165" s="372">
        <f t="shared" si="41"/>
        <v>0.25552109068099993</v>
      </c>
      <c r="M165" s="371">
        <f t="shared" si="41"/>
        <v>0.20437347182869994</v>
      </c>
      <c r="N165" s="357">
        <f t="shared" si="41"/>
        <v>0.16346839696168997</v>
      </c>
      <c r="O165" s="372">
        <f t="shared" si="41"/>
        <v>0.13075345121846293</v>
      </c>
      <c r="P165" s="372">
        <f t="shared" si="41"/>
        <v>0.10458787452914807</v>
      </c>
      <c r="Q165" s="372">
        <f t="shared" si="41"/>
        <v>8.365987911138284E-2</v>
      </c>
      <c r="R165" s="371">
        <f t="shared" si="41"/>
        <v>6.6920608930751344E-2</v>
      </c>
      <c r="S165" s="357">
        <f t="shared" si="41"/>
        <v>5.3531381093752627E-2</v>
      </c>
      <c r="T165" s="372">
        <f t="shared" si="41"/>
        <v>4.282153063940819E-2</v>
      </c>
      <c r="U165" s="372">
        <f t="shared" si="41"/>
        <v>3.4254722546610814E-2</v>
      </c>
      <c r="V165" s="372">
        <f t="shared" si="41"/>
        <v>2.7402026661847632E-2</v>
      </c>
      <c r="W165" s="371">
        <f t="shared" si="41"/>
        <v>2.1920395366669395E-2</v>
      </c>
    </row>
    <row r="166" spans="1:23" ht="12.75" hidden="1" customHeight="1" outlineLevel="1"/>
    <row r="167" spans="1:23" ht="12.75" hidden="1" customHeight="1" outlineLevel="1">
      <c r="A167" s="360"/>
      <c r="B167" s="402"/>
      <c r="C167" s="402"/>
      <c r="D167" s="402"/>
      <c r="E167" s="402"/>
      <c r="F167" s="402"/>
      <c r="G167" s="402"/>
      <c r="H167" s="402"/>
      <c r="I167" s="402"/>
      <c r="J167" s="402"/>
      <c r="K167" s="402"/>
      <c r="L167" s="402"/>
      <c r="M167" s="402"/>
    </row>
    <row r="168" spans="1:23" ht="12.75" hidden="1" customHeight="1" outlineLevel="1">
      <c r="B168" s="375"/>
      <c r="C168" s="375"/>
      <c r="D168" s="375"/>
      <c r="E168" s="375"/>
      <c r="F168" s="375"/>
      <c r="G168" s="375"/>
      <c r="H168" s="375"/>
      <c r="I168" s="375"/>
      <c r="J168" s="375"/>
      <c r="K168" s="375"/>
      <c r="L168" s="375"/>
      <c r="M168" s="375"/>
    </row>
    <row r="169" spans="1:23" ht="12.75" hidden="1" customHeight="1" outlineLevel="1">
      <c r="B169" s="375"/>
      <c r="C169" s="375"/>
      <c r="D169" s="375"/>
      <c r="E169" s="375"/>
      <c r="F169" s="375"/>
      <c r="G169" s="375"/>
      <c r="H169" s="375"/>
      <c r="I169" s="375"/>
      <c r="J169" s="375"/>
      <c r="K169" s="375"/>
      <c r="L169" s="375"/>
      <c r="M169" s="375"/>
    </row>
    <row r="170" spans="1:23" collapsed="1"/>
    <row r="171" spans="1:23">
      <c r="A171" s="343" t="s">
        <v>159</v>
      </c>
    </row>
    <row r="173" spans="1:23" ht="25.5" hidden="1" customHeight="1" outlineLevel="1">
      <c r="A173" s="344" t="s">
        <v>160</v>
      </c>
      <c r="B173" s="345" t="s">
        <v>137</v>
      </c>
      <c r="C173" s="345" t="s">
        <v>138</v>
      </c>
      <c r="D173" s="621" t="s">
        <v>139</v>
      </c>
      <c r="E173" s="621"/>
    </row>
    <row r="174" spans="1:23" ht="12.75" hidden="1" customHeight="1" outlineLevel="1">
      <c r="A174" s="346" t="s">
        <v>121</v>
      </c>
      <c r="B174" s="376">
        <v>0</v>
      </c>
      <c r="C174" s="377">
        <v>50</v>
      </c>
      <c r="D174" s="377" t="s">
        <v>140</v>
      </c>
      <c r="E174" s="350"/>
    </row>
    <row r="175" spans="1:23" ht="12.75" hidden="1" customHeight="1" outlineLevel="1">
      <c r="A175" s="351" t="s">
        <v>122</v>
      </c>
      <c r="B175" s="378">
        <f>B174</f>
        <v>0</v>
      </c>
      <c r="C175" s="379">
        <v>4</v>
      </c>
      <c r="D175" s="379" t="s">
        <v>140</v>
      </c>
      <c r="E175" s="354"/>
    </row>
    <row r="176" spans="1:23" ht="12.75" hidden="1" customHeight="1" outlineLevel="1">
      <c r="A176" s="351" t="s">
        <v>142</v>
      </c>
      <c r="B176" s="378">
        <f>B175</f>
        <v>0</v>
      </c>
      <c r="C176" s="379">
        <v>40</v>
      </c>
      <c r="D176" s="379" t="s">
        <v>143</v>
      </c>
      <c r="E176" s="354"/>
    </row>
    <row r="177" spans="1:23" ht="12.75" hidden="1" customHeight="1" outlineLevel="1">
      <c r="A177" s="351" t="s">
        <v>126</v>
      </c>
      <c r="B177" s="378">
        <f>B176</f>
        <v>0</v>
      </c>
      <c r="C177" s="379">
        <v>10</v>
      </c>
      <c r="D177" s="379" t="s">
        <v>140</v>
      </c>
      <c r="E177" s="354"/>
    </row>
    <row r="178" spans="1:23" ht="12.75" hidden="1" customHeight="1" outlineLevel="1">
      <c r="A178" s="351" t="s">
        <v>153</v>
      </c>
      <c r="B178" s="380">
        <f>B177</f>
        <v>0</v>
      </c>
      <c r="C178" s="381">
        <v>0</v>
      </c>
      <c r="D178" s="382" t="s">
        <v>141</v>
      </c>
      <c r="E178" s="358"/>
    </row>
    <row r="179" spans="1:23" ht="12.75" hidden="1" customHeight="1" outlineLevel="1">
      <c r="A179" s="366"/>
      <c r="B179" s="383">
        <f>SUM(B174:B178)</f>
        <v>0</v>
      </c>
      <c r="C179" s="384"/>
      <c r="D179" s="383"/>
      <c r="E179" s="366"/>
    </row>
    <row r="180" spans="1:23" ht="12.75" hidden="1" customHeight="1" outlineLevel="1"/>
    <row r="181" spans="1:23" ht="12.75" hidden="1" customHeight="1" outlineLevel="1">
      <c r="A181" s="360" t="s">
        <v>144</v>
      </c>
    </row>
    <row r="182" spans="1:23" ht="12.75" hidden="1" customHeight="1" outlineLevel="1"/>
    <row r="183" spans="1:23" ht="12.75" hidden="1" customHeight="1" outlineLevel="1">
      <c r="A183" s="360" t="str">
        <f>A174</f>
        <v>Mains &amp; Services</v>
      </c>
    </row>
    <row r="184" spans="1:23" ht="12.75" hidden="1" customHeight="1" outlineLevel="1">
      <c r="A184" s="385" t="s">
        <v>145</v>
      </c>
      <c r="B184" s="377">
        <f>B174</f>
        <v>0</v>
      </c>
      <c r="C184" s="350"/>
      <c r="D184" s="366"/>
      <c r="E184" s="366"/>
    </row>
    <row r="185" spans="1:23" ht="12.75" hidden="1" customHeight="1" outlineLevel="1">
      <c r="A185" s="386" t="s">
        <v>146</v>
      </c>
      <c r="B185" s="379">
        <f>C174</f>
        <v>50</v>
      </c>
      <c r="C185" s="354"/>
      <c r="D185" s="366"/>
      <c r="E185" s="366"/>
    </row>
    <row r="186" spans="1:23" ht="12.75" hidden="1" customHeight="1" outlineLevel="1">
      <c r="A186" s="386" t="s">
        <v>147</v>
      </c>
      <c r="B186" s="379" t="str">
        <f>D174</f>
        <v>Declining Balance</v>
      </c>
      <c r="C186" s="354"/>
      <c r="D186" s="366"/>
      <c r="E186" s="366"/>
    </row>
    <row r="187" spans="1:23" ht="12.75" hidden="1" customHeight="1" outlineLevel="1">
      <c r="A187" s="364" t="s">
        <v>148</v>
      </c>
      <c r="B187" s="365">
        <f>IF(B186="Straight Line",1/B185,IF(B186="Declining Balance",1/B185*1.5,1))</f>
        <v>0.03</v>
      </c>
      <c r="C187" s="358"/>
      <c r="D187" s="366"/>
      <c r="E187" s="366"/>
    </row>
    <row r="188" spans="1:23" ht="12.75" hidden="1" customHeight="1" outlineLevel="1">
      <c r="A188" s="366"/>
      <c r="B188" s="383"/>
      <c r="C188" s="366"/>
      <c r="D188" s="366"/>
      <c r="E188" s="366"/>
    </row>
    <row r="189" spans="1:23" ht="12.75" hidden="1" customHeight="1" outlineLevel="1">
      <c r="A189" s="366" t="s">
        <v>154</v>
      </c>
      <c r="B189" s="387" t="s">
        <v>161</v>
      </c>
      <c r="C189" s="388" t="s">
        <v>162</v>
      </c>
      <c r="D189" s="389" t="s">
        <v>163</v>
      </c>
      <c r="E189" s="390" t="s">
        <v>164</v>
      </c>
    </row>
    <row r="190" spans="1:23" ht="12.75" hidden="1" customHeight="1" outlineLevel="1">
      <c r="A190" s="391" t="s">
        <v>155</v>
      </c>
      <c r="B190" s="392">
        <v>0.14374999999999999</v>
      </c>
      <c r="C190" s="393">
        <v>0.80900000000000005</v>
      </c>
      <c r="D190" s="393">
        <v>0.78400000000000003</v>
      </c>
      <c r="E190" s="394">
        <v>0.25285783605479456</v>
      </c>
    </row>
    <row r="191" spans="1:23" ht="12.75" hidden="1" customHeight="1" outlineLevel="1">
      <c r="A191" s="366"/>
      <c r="B191" s="383"/>
      <c r="C191" s="366"/>
    </row>
    <row r="192" spans="1:23" ht="12.75" hidden="1" customHeight="1" outlineLevel="1">
      <c r="B192" s="367">
        <v>1996</v>
      </c>
      <c r="C192" s="368">
        <v>1997</v>
      </c>
      <c r="D192" s="367">
        <v>1998</v>
      </c>
      <c r="E192" s="369">
        <v>1999</v>
      </c>
      <c r="F192" s="369">
        <v>2000</v>
      </c>
      <c r="G192" s="369">
        <v>2001</v>
      </c>
      <c r="H192" s="368">
        <v>2002</v>
      </c>
      <c r="I192" s="367">
        <v>2003</v>
      </c>
      <c r="J192" s="369">
        <v>2004</v>
      </c>
      <c r="K192" s="369">
        <v>2005</v>
      </c>
      <c r="L192" s="369">
        <v>2006</v>
      </c>
      <c r="M192" s="368">
        <v>2007</v>
      </c>
      <c r="N192" s="367">
        <v>2008</v>
      </c>
      <c r="O192" s="369">
        <v>2009</v>
      </c>
      <c r="P192" s="369">
        <v>2010</v>
      </c>
      <c r="Q192" s="369">
        <v>2011</v>
      </c>
      <c r="R192" s="368">
        <v>2012</v>
      </c>
      <c r="S192" s="367">
        <f t="shared" ref="S192:W192" si="42">R192+1</f>
        <v>2013</v>
      </c>
      <c r="T192" s="369">
        <f t="shared" si="42"/>
        <v>2014</v>
      </c>
      <c r="U192" s="369">
        <f t="shared" si="42"/>
        <v>2015</v>
      </c>
      <c r="V192" s="369">
        <f t="shared" si="42"/>
        <v>2016</v>
      </c>
      <c r="W192" s="368">
        <f t="shared" si="42"/>
        <v>2017</v>
      </c>
    </row>
    <row r="193" spans="1:23" ht="12.75" hidden="1" customHeight="1" outlineLevel="1">
      <c r="A193" s="346" t="s">
        <v>2</v>
      </c>
      <c r="B193" s="379">
        <f>B184</f>
        <v>0</v>
      </c>
      <c r="C193" s="395">
        <f t="shared" ref="C193:W193" si="43">B196</f>
        <v>0</v>
      </c>
      <c r="D193" s="379">
        <f t="shared" si="43"/>
        <v>0</v>
      </c>
      <c r="E193" s="383">
        <f t="shared" si="43"/>
        <v>0</v>
      </c>
      <c r="F193" s="383">
        <f t="shared" si="43"/>
        <v>0.14159374999999999</v>
      </c>
      <c r="G193" s="383">
        <f t="shared" si="43"/>
        <v>0.93421093750000006</v>
      </c>
      <c r="H193" s="395">
        <f t="shared" si="43"/>
        <v>1.6784246093750002</v>
      </c>
      <c r="I193" s="379">
        <f t="shared" si="43"/>
        <v>1.8771368396077228</v>
      </c>
      <c r="J193" s="383">
        <f t="shared" si="43"/>
        <v>1.8208227344194912</v>
      </c>
      <c r="K193" s="383">
        <f t="shared" si="43"/>
        <v>1.7661980523869065</v>
      </c>
      <c r="L193" s="383">
        <f t="shared" si="43"/>
        <v>1.7132121108152993</v>
      </c>
      <c r="M193" s="395">
        <f t="shared" si="43"/>
        <v>1.6618157474908404</v>
      </c>
      <c r="N193" s="379">
        <f t="shared" si="43"/>
        <v>1.6119612750661152</v>
      </c>
      <c r="O193" s="383">
        <f t="shared" si="43"/>
        <v>1.5636024368141317</v>
      </c>
      <c r="P193" s="383">
        <f t="shared" si="43"/>
        <v>1.5166943637097077</v>
      </c>
      <c r="Q193" s="383">
        <f t="shared" si="43"/>
        <v>1.4711935327984165</v>
      </c>
      <c r="R193" s="395">
        <f t="shared" si="43"/>
        <v>1.427057726814464</v>
      </c>
      <c r="S193" s="379">
        <f t="shared" si="43"/>
        <v>1.3842459950100301</v>
      </c>
      <c r="T193" s="383">
        <f t="shared" si="43"/>
        <v>1.3427186151597292</v>
      </c>
      <c r="U193" s="383">
        <f t="shared" si="43"/>
        <v>1.3024370567049373</v>
      </c>
      <c r="V193" s="383">
        <f t="shared" si="43"/>
        <v>1.2633639450037892</v>
      </c>
      <c r="W193" s="395">
        <f t="shared" si="43"/>
        <v>1.2254630266536755</v>
      </c>
    </row>
    <row r="194" spans="1:23" ht="12.75" hidden="1" customHeight="1" outlineLevel="1">
      <c r="A194" s="351" t="s">
        <v>156</v>
      </c>
      <c r="B194" s="379">
        <v>0</v>
      </c>
      <c r="C194" s="395">
        <v>0</v>
      </c>
      <c r="D194" s="379">
        <v>0</v>
      </c>
      <c r="E194" s="383">
        <f>B190</f>
        <v>0.14374999999999999</v>
      </c>
      <c r="F194" s="383">
        <f>C190</f>
        <v>0.80900000000000005</v>
      </c>
      <c r="G194" s="383">
        <f>D190</f>
        <v>0.78400000000000003</v>
      </c>
      <c r="H194" s="395">
        <f>E190</f>
        <v>0.25285783605479456</v>
      </c>
      <c r="I194" s="379">
        <v>0</v>
      </c>
      <c r="J194" s="383">
        <v>0</v>
      </c>
      <c r="K194" s="383">
        <v>0</v>
      </c>
      <c r="L194" s="383">
        <v>0</v>
      </c>
      <c r="M194" s="395">
        <v>0</v>
      </c>
      <c r="N194" s="379">
        <v>0</v>
      </c>
      <c r="O194" s="383">
        <v>0</v>
      </c>
      <c r="P194" s="383">
        <v>0</v>
      </c>
      <c r="Q194" s="383">
        <v>0</v>
      </c>
      <c r="R194" s="395">
        <v>0</v>
      </c>
      <c r="S194" s="379">
        <v>0</v>
      </c>
      <c r="T194" s="383">
        <v>0</v>
      </c>
      <c r="U194" s="383">
        <v>0</v>
      </c>
      <c r="V194" s="383">
        <v>0</v>
      </c>
      <c r="W194" s="395">
        <v>0</v>
      </c>
    </row>
    <row r="195" spans="1:23" ht="12.75" hidden="1" customHeight="1" outlineLevel="1">
      <c r="A195" s="351" t="s">
        <v>157</v>
      </c>
      <c r="B195" s="375">
        <f>IF($B187=1,B194+B193,B194*$B187*0.5)</f>
        <v>0</v>
      </c>
      <c r="C195" s="375">
        <f t="shared" ref="C195:W195" si="44">IF($B187=1,C194+C193,(C193+C194*0.5)*$B187)</f>
        <v>0</v>
      </c>
      <c r="D195" s="396">
        <f t="shared" si="44"/>
        <v>0</v>
      </c>
      <c r="E195" s="375">
        <f t="shared" si="44"/>
        <v>2.1562499999999997E-3</v>
      </c>
      <c r="F195" s="375">
        <f t="shared" si="44"/>
        <v>1.63828125E-2</v>
      </c>
      <c r="G195" s="375">
        <f t="shared" si="44"/>
        <v>3.9786328124999999E-2</v>
      </c>
      <c r="H195" s="397">
        <f t="shared" si="44"/>
        <v>5.4145605822071917E-2</v>
      </c>
      <c r="I195" s="396">
        <f t="shared" si="44"/>
        <v>5.6314105188231683E-2</v>
      </c>
      <c r="J195" s="375">
        <f t="shared" si="44"/>
        <v>5.4624682032584734E-2</v>
      </c>
      <c r="K195" s="375">
        <f t="shared" si="44"/>
        <v>5.2985941571607194E-2</v>
      </c>
      <c r="L195" s="375">
        <f t="shared" si="44"/>
        <v>5.1396363324458981E-2</v>
      </c>
      <c r="M195" s="397">
        <f t="shared" si="44"/>
        <v>4.985447242472521E-2</v>
      </c>
      <c r="N195" s="396">
        <f t="shared" si="44"/>
        <v>4.8358838251983456E-2</v>
      </c>
      <c r="O195" s="375">
        <f t="shared" si="44"/>
        <v>4.690807310442395E-2</v>
      </c>
      <c r="P195" s="375">
        <f t="shared" si="44"/>
        <v>4.5500830911291229E-2</v>
      </c>
      <c r="Q195" s="375">
        <f t="shared" si="44"/>
        <v>4.4135805983952489E-2</v>
      </c>
      <c r="R195" s="397">
        <f t="shared" si="44"/>
        <v>4.2811731804433914E-2</v>
      </c>
      <c r="S195" s="396">
        <f t="shared" si="44"/>
        <v>4.1527379850300902E-2</v>
      </c>
      <c r="T195" s="375">
        <f t="shared" si="44"/>
        <v>4.0281558454791873E-2</v>
      </c>
      <c r="U195" s="375">
        <f t="shared" si="44"/>
        <v>3.9073111701148119E-2</v>
      </c>
      <c r="V195" s="375">
        <f t="shared" si="44"/>
        <v>3.7900918350113673E-2</v>
      </c>
      <c r="W195" s="397">
        <f t="shared" si="44"/>
        <v>3.676389079961026E-2</v>
      </c>
    </row>
    <row r="196" spans="1:23" ht="12.75" hidden="1" customHeight="1" outlineLevel="1">
      <c r="A196" s="355" t="s">
        <v>113</v>
      </c>
      <c r="B196" s="382">
        <f t="shared" ref="B196:W196" si="45">B193+B194-B195</f>
        <v>0</v>
      </c>
      <c r="C196" s="398">
        <f t="shared" si="45"/>
        <v>0</v>
      </c>
      <c r="D196" s="382">
        <f t="shared" si="45"/>
        <v>0</v>
      </c>
      <c r="E196" s="399">
        <f t="shared" si="45"/>
        <v>0.14159374999999999</v>
      </c>
      <c r="F196" s="399">
        <f t="shared" si="45"/>
        <v>0.93421093750000006</v>
      </c>
      <c r="G196" s="399">
        <f t="shared" si="45"/>
        <v>1.6784246093750002</v>
      </c>
      <c r="H196" s="398">
        <f t="shared" si="45"/>
        <v>1.8771368396077228</v>
      </c>
      <c r="I196" s="382">
        <f t="shared" si="45"/>
        <v>1.8208227344194912</v>
      </c>
      <c r="J196" s="399">
        <f t="shared" si="45"/>
        <v>1.7661980523869065</v>
      </c>
      <c r="K196" s="399">
        <f t="shared" si="45"/>
        <v>1.7132121108152993</v>
      </c>
      <c r="L196" s="399">
        <f t="shared" si="45"/>
        <v>1.6618157474908404</v>
      </c>
      <c r="M196" s="398">
        <f t="shared" si="45"/>
        <v>1.6119612750661152</v>
      </c>
      <c r="N196" s="382">
        <f t="shared" si="45"/>
        <v>1.5636024368141317</v>
      </c>
      <c r="O196" s="399">
        <f t="shared" si="45"/>
        <v>1.5166943637097077</v>
      </c>
      <c r="P196" s="399">
        <f t="shared" si="45"/>
        <v>1.4711935327984165</v>
      </c>
      <c r="Q196" s="399">
        <f t="shared" si="45"/>
        <v>1.427057726814464</v>
      </c>
      <c r="R196" s="398">
        <f t="shared" si="45"/>
        <v>1.3842459950100301</v>
      </c>
      <c r="S196" s="382">
        <f t="shared" si="45"/>
        <v>1.3427186151597292</v>
      </c>
      <c r="T196" s="399">
        <f t="shared" si="45"/>
        <v>1.3024370567049373</v>
      </c>
      <c r="U196" s="399">
        <f t="shared" si="45"/>
        <v>1.2633639450037892</v>
      </c>
      <c r="V196" s="399">
        <f t="shared" si="45"/>
        <v>1.2254630266536755</v>
      </c>
      <c r="W196" s="398">
        <f t="shared" si="45"/>
        <v>1.1886991358540653</v>
      </c>
    </row>
    <row r="197" spans="1:23" ht="12.75" hidden="1" customHeight="1" outlineLevel="1"/>
    <row r="198" spans="1:23" ht="12.75" hidden="1" customHeight="1" outlineLevel="1">
      <c r="A198" s="360" t="str">
        <f>A175</f>
        <v>Meters</v>
      </c>
    </row>
    <row r="199" spans="1:23" ht="12.75" hidden="1" customHeight="1" outlineLevel="1">
      <c r="A199" s="385" t="s">
        <v>145</v>
      </c>
      <c r="B199" s="377">
        <f>B175</f>
        <v>0</v>
      </c>
      <c r="C199" s="350"/>
      <c r="D199" s="366"/>
      <c r="E199" s="366"/>
    </row>
    <row r="200" spans="1:23" ht="12.75" hidden="1" customHeight="1" outlineLevel="1">
      <c r="A200" s="386" t="s">
        <v>146</v>
      </c>
      <c r="B200" s="379">
        <f>C175</f>
        <v>4</v>
      </c>
      <c r="C200" s="354"/>
      <c r="D200" s="366"/>
      <c r="E200" s="366"/>
    </row>
    <row r="201" spans="1:23" ht="12.75" hidden="1" customHeight="1" outlineLevel="1">
      <c r="A201" s="386" t="s">
        <v>147</v>
      </c>
      <c r="B201" s="379" t="str">
        <f>D175</f>
        <v>Declining Balance</v>
      </c>
      <c r="C201" s="354"/>
      <c r="D201" s="366"/>
      <c r="E201" s="366"/>
    </row>
    <row r="202" spans="1:23" ht="12.75" hidden="1" customHeight="1" outlineLevel="1">
      <c r="A202" s="364" t="s">
        <v>148</v>
      </c>
      <c r="B202" s="365">
        <f>IF(AND(B200=0,B201=""),0,IF(B201="Straight Line",1/B200,IF(B201="Declining Balance",1/B200*1.5,1)))</f>
        <v>0.375</v>
      </c>
      <c r="C202" s="358"/>
      <c r="D202" s="366"/>
      <c r="E202" s="366"/>
    </row>
    <row r="203" spans="1:23" ht="12.75" hidden="1" customHeight="1" outlineLevel="1">
      <c r="A203" s="366"/>
      <c r="B203" s="383"/>
      <c r="C203" s="366"/>
      <c r="D203" s="366"/>
      <c r="E203" s="366"/>
    </row>
    <row r="204" spans="1:23" ht="12.75" hidden="1" customHeight="1" outlineLevel="1">
      <c r="A204" s="366" t="s">
        <v>154</v>
      </c>
      <c r="B204" s="387" t="s">
        <v>161</v>
      </c>
      <c r="C204" s="388" t="s">
        <v>162</v>
      </c>
      <c r="D204" s="389" t="s">
        <v>163</v>
      </c>
      <c r="E204" s="390" t="s">
        <v>164</v>
      </c>
    </row>
    <row r="205" spans="1:23" ht="12.75" hidden="1" customHeight="1" outlineLevel="1">
      <c r="A205" s="391" t="s">
        <v>155</v>
      </c>
      <c r="B205" s="392">
        <v>2.8750000000000001E-2</v>
      </c>
      <c r="C205" s="393">
        <v>0.11800000000000001</v>
      </c>
      <c r="D205" s="393">
        <v>9.9000000000000005E-2</v>
      </c>
      <c r="E205" s="394">
        <v>0.16517554476944682</v>
      </c>
    </row>
    <row r="206" spans="1:23" ht="12.75" hidden="1" customHeight="1" outlineLevel="1">
      <c r="A206" s="366"/>
      <c r="B206" s="383"/>
      <c r="C206" s="366"/>
    </row>
    <row r="207" spans="1:23" ht="12.75" hidden="1" customHeight="1" outlineLevel="1">
      <c r="B207" s="367">
        <v>1996</v>
      </c>
      <c r="C207" s="368">
        <v>1997</v>
      </c>
      <c r="D207" s="367">
        <v>1998</v>
      </c>
      <c r="E207" s="369">
        <v>1999</v>
      </c>
      <c r="F207" s="369">
        <v>2000</v>
      </c>
      <c r="G207" s="369">
        <v>2001</v>
      </c>
      <c r="H207" s="368">
        <v>2002</v>
      </c>
      <c r="I207" s="367">
        <v>2003</v>
      </c>
      <c r="J207" s="369">
        <v>2004</v>
      </c>
      <c r="K207" s="369">
        <v>2005</v>
      </c>
      <c r="L207" s="369">
        <v>2006</v>
      </c>
      <c r="M207" s="368">
        <v>2007</v>
      </c>
      <c r="N207" s="367">
        <v>2008</v>
      </c>
      <c r="O207" s="369">
        <v>2009</v>
      </c>
      <c r="P207" s="369">
        <v>2010</v>
      </c>
      <c r="Q207" s="369">
        <v>2011</v>
      </c>
      <c r="R207" s="368">
        <v>2012</v>
      </c>
      <c r="S207" s="367">
        <f t="shared" ref="S207:W207" si="46">R207+1</f>
        <v>2013</v>
      </c>
      <c r="T207" s="369">
        <f t="shared" si="46"/>
        <v>2014</v>
      </c>
      <c r="U207" s="369">
        <f t="shared" si="46"/>
        <v>2015</v>
      </c>
      <c r="V207" s="369">
        <f t="shared" si="46"/>
        <v>2016</v>
      </c>
      <c r="W207" s="368">
        <f t="shared" si="46"/>
        <v>2017</v>
      </c>
    </row>
    <row r="208" spans="1:23" ht="12.75" hidden="1" customHeight="1" outlineLevel="1">
      <c r="A208" s="346" t="s">
        <v>2</v>
      </c>
      <c r="B208" s="379">
        <f>B199</f>
        <v>0</v>
      </c>
      <c r="C208" s="395">
        <f t="shared" ref="C208:W208" si="47">B211</f>
        <v>0</v>
      </c>
      <c r="D208" s="379">
        <f t="shared" si="47"/>
        <v>0</v>
      </c>
      <c r="E208" s="383">
        <f t="shared" si="47"/>
        <v>0</v>
      </c>
      <c r="F208" s="383">
        <f t="shared" si="47"/>
        <v>2.3359375000000002E-2</v>
      </c>
      <c r="G208" s="383">
        <f t="shared" si="47"/>
        <v>0.110474609375</v>
      </c>
      <c r="H208" s="395">
        <f t="shared" si="47"/>
        <v>0.14948413085937501</v>
      </c>
      <c r="I208" s="379">
        <f t="shared" si="47"/>
        <v>0.2276327119122849</v>
      </c>
      <c r="J208" s="383">
        <f t="shared" si="47"/>
        <v>0.14227044494517807</v>
      </c>
      <c r="K208" s="383">
        <f t="shared" si="47"/>
        <v>8.8919028090736291E-2</v>
      </c>
      <c r="L208" s="383">
        <f t="shared" si="47"/>
        <v>5.5574392556710178E-2</v>
      </c>
      <c r="M208" s="395">
        <f t="shared" si="47"/>
        <v>3.4733995347943858E-2</v>
      </c>
      <c r="N208" s="379">
        <f t="shared" si="47"/>
        <v>2.1708747092464911E-2</v>
      </c>
      <c r="O208" s="383">
        <f t="shared" si="47"/>
        <v>1.3567966932790569E-2</v>
      </c>
      <c r="P208" s="383">
        <f t="shared" si="47"/>
        <v>8.4799793329941066E-3</v>
      </c>
      <c r="Q208" s="383">
        <f t="shared" si="47"/>
        <v>5.2999870831213162E-3</v>
      </c>
      <c r="R208" s="395">
        <f t="shared" si="47"/>
        <v>3.3124919269508224E-3</v>
      </c>
      <c r="S208" s="379">
        <f t="shared" si="47"/>
        <v>2.070307454344264E-3</v>
      </c>
      <c r="T208" s="383">
        <f t="shared" si="47"/>
        <v>1.293942158965165E-3</v>
      </c>
      <c r="U208" s="383">
        <f t="shared" si="47"/>
        <v>8.0871384935322812E-4</v>
      </c>
      <c r="V208" s="383">
        <f t="shared" si="47"/>
        <v>5.054461558457676E-4</v>
      </c>
      <c r="W208" s="395">
        <f t="shared" si="47"/>
        <v>3.1590384740360473E-4</v>
      </c>
    </row>
    <row r="209" spans="1:23" ht="12.75" hidden="1" customHeight="1" outlineLevel="1">
      <c r="A209" s="351" t="s">
        <v>156</v>
      </c>
      <c r="B209" s="379">
        <v>0</v>
      </c>
      <c r="C209" s="395">
        <v>0</v>
      </c>
      <c r="D209" s="379">
        <v>0</v>
      </c>
      <c r="E209" s="383">
        <f>B205</f>
        <v>2.8750000000000001E-2</v>
      </c>
      <c r="F209" s="383">
        <f>C205</f>
        <v>0.11800000000000001</v>
      </c>
      <c r="G209" s="383">
        <f>D205</f>
        <v>9.9000000000000005E-2</v>
      </c>
      <c r="H209" s="395">
        <f>E205</f>
        <v>0.16517554476944682</v>
      </c>
      <c r="I209" s="379">
        <v>0</v>
      </c>
      <c r="J209" s="383">
        <v>0</v>
      </c>
      <c r="K209" s="383">
        <v>0</v>
      </c>
      <c r="L209" s="383">
        <v>0</v>
      </c>
      <c r="M209" s="395">
        <v>0</v>
      </c>
      <c r="N209" s="379">
        <v>0</v>
      </c>
      <c r="O209" s="383">
        <v>0</v>
      </c>
      <c r="P209" s="383">
        <v>0</v>
      </c>
      <c r="Q209" s="383">
        <v>0</v>
      </c>
      <c r="R209" s="395">
        <v>0</v>
      </c>
      <c r="S209" s="379">
        <v>0</v>
      </c>
      <c r="T209" s="383">
        <v>0</v>
      </c>
      <c r="U209" s="383">
        <v>0</v>
      </c>
      <c r="V209" s="383">
        <v>0</v>
      </c>
      <c r="W209" s="395">
        <v>0</v>
      </c>
    </row>
    <row r="210" spans="1:23" ht="12.75" hidden="1" customHeight="1" outlineLevel="1">
      <c r="A210" s="351" t="s">
        <v>157</v>
      </c>
      <c r="B210" s="375">
        <f>IF($B202=1,B209+B208,B209*$B202*0.5)</f>
        <v>0</v>
      </c>
      <c r="C210" s="375">
        <f t="shared" ref="C210:W210" si="48">IF($B202=1,C209+C208,(C208+C209*0.5)*$B202)</f>
        <v>0</v>
      </c>
      <c r="D210" s="396">
        <f t="shared" si="48"/>
        <v>0</v>
      </c>
      <c r="E210" s="375">
        <f t="shared" si="48"/>
        <v>5.3906250000000005E-3</v>
      </c>
      <c r="F210" s="375">
        <f t="shared" si="48"/>
        <v>3.0884765625000005E-2</v>
      </c>
      <c r="G210" s="375">
        <f t="shared" si="48"/>
        <v>5.9990478515625008E-2</v>
      </c>
      <c r="H210" s="397">
        <f t="shared" si="48"/>
        <v>8.7026963716536912E-2</v>
      </c>
      <c r="I210" s="396">
        <f t="shared" si="48"/>
        <v>8.5362266967106831E-2</v>
      </c>
      <c r="J210" s="375">
        <f t="shared" si="48"/>
        <v>5.335141685444178E-2</v>
      </c>
      <c r="K210" s="375">
        <f t="shared" si="48"/>
        <v>3.3344635534026112E-2</v>
      </c>
      <c r="L210" s="375">
        <f t="shared" si="48"/>
        <v>2.0840397208766317E-2</v>
      </c>
      <c r="M210" s="397">
        <f t="shared" si="48"/>
        <v>1.3025248255478947E-2</v>
      </c>
      <c r="N210" s="396">
        <f t="shared" si="48"/>
        <v>8.1407801596743417E-3</v>
      </c>
      <c r="O210" s="375">
        <f t="shared" si="48"/>
        <v>5.0879875997964638E-3</v>
      </c>
      <c r="P210" s="375">
        <f t="shared" si="48"/>
        <v>3.17999224987279E-3</v>
      </c>
      <c r="Q210" s="375">
        <f t="shared" si="48"/>
        <v>1.9874951561704938E-3</v>
      </c>
      <c r="R210" s="397">
        <f t="shared" si="48"/>
        <v>1.2421844726065584E-3</v>
      </c>
      <c r="S210" s="396">
        <f t="shared" si="48"/>
        <v>7.76365295379099E-4</v>
      </c>
      <c r="T210" s="375">
        <f t="shared" si="48"/>
        <v>4.8522830961193687E-4</v>
      </c>
      <c r="U210" s="375">
        <f t="shared" si="48"/>
        <v>3.0326769350746052E-4</v>
      </c>
      <c r="V210" s="375">
        <f t="shared" si="48"/>
        <v>1.8954230844216285E-4</v>
      </c>
      <c r="W210" s="397">
        <f t="shared" si="48"/>
        <v>1.1846394277635177E-4</v>
      </c>
    </row>
    <row r="211" spans="1:23" ht="12.75" hidden="1" customHeight="1" outlineLevel="1">
      <c r="A211" s="355" t="s">
        <v>113</v>
      </c>
      <c r="B211" s="382">
        <f t="shared" ref="B211:W211" si="49">B208+B209-B210</f>
        <v>0</v>
      </c>
      <c r="C211" s="398">
        <f t="shared" si="49"/>
        <v>0</v>
      </c>
      <c r="D211" s="382">
        <f t="shared" si="49"/>
        <v>0</v>
      </c>
      <c r="E211" s="399">
        <f t="shared" si="49"/>
        <v>2.3359375000000002E-2</v>
      </c>
      <c r="F211" s="399">
        <f t="shared" si="49"/>
        <v>0.110474609375</v>
      </c>
      <c r="G211" s="399">
        <f t="shared" si="49"/>
        <v>0.14948413085937501</v>
      </c>
      <c r="H211" s="398">
        <f t="shared" si="49"/>
        <v>0.2276327119122849</v>
      </c>
      <c r="I211" s="382">
        <f t="shared" si="49"/>
        <v>0.14227044494517807</v>
      </c>
      <c r="J211" s="399">
        <f t="shared" si="49"/>
        <v>8.8919028090736291E-2</v>
      </c>
      <c r="K211" s="399">
        <f t="shared" si="49"/>
        <v>5.5574392556710178E-2</v>
      </c>
      <c r="L211" s="399">
        <f t="shared" si="49"/>
        <v>3.4733995347943858E-2</v>
      </c>
      <c r="M211" s="398">
        <f t="shared" si="49"/>
        <v>2.1708747092464911E-2</v>
      </c>
      <c r="N211" s="382">
        <f t="shared" si="49"/>
        <v>1.3567966932790569E-2</v>
      </c>
      <c r="O211" s="399">
        <f t="shared" si="49"/>
        <v>8.4799793329941066E-3</v>
      </c>
      <c r="P211" s="399">
        <f t="shared" si="49"/>
        <v>5.2999870831213162E-3</v>
      </c>
      <c r="Q211" s="399">
        <f t="shared" si="49"/>
        <v>3.3124919269508224E-3</v>
      </c>
      <c r="R211" s="398">
        <f t="shared" si="49"/>
        <v>2.070307454344264E-3</v>
      </c>
      <c r="S211" s="382">
        <f t="shared" si="49"/>
        <v>1.293942158965165E-3</v>
      </c>
      <c r="T211" s="399">
        <f t="shared" si="49"/>
        <v>8.0871384935322812E-4</v>
      </c>
      <c r="U211" s="399">
        <f t="shared" si="49"/>
        <v>5.054461558457676E-4</v>
      </c>
      <c r="V211" s="399">
        <f t="shared" si="49"/>
        <v>3.1590384740360473E-4</v>
      </c>
      <c r="W211" s="398">
        <f t="shared" si="49"/>
        <v>1.9743990462725295E-4</v>
      </c>
    </row>
    <row r="212" spans="1:23" ht="12.75" hidden="1" customHeight="1" outlineLevel="1"/>
    <row r="213" spans="1:23" ht="12.75" hidden="1" customHeight="1" outlineLevel="1">
      <c r="A213" s="360" t="str">
        <f>A176</f>
        <v>Land &amp; Buildings</v>
      </c>
    </row>
    <row r="214" spans="1:23" ht="12.75" hidden="1" customHeight="1" outlineLevel="1">
      <c r="A214" s="385" t="s">
        <v>145</v>
      </c>
      <c r="B214" s="377">
        <f>B176</f>
        <v>0</v>
      </c>
      <c r="C214" s="350"/>
      <c r="D214" s="366"/>
      <c r="E214" s="366"/>
    </row>
    <row r="215" spans="1:23" ht="12.75" hidden="1" customHeight="1" outlineLevel="1">
      <c r="A215" s="386" t="s">
        <v>146</v>
      </c>
      <c r="B215" s="379">
        <f>C176</f>
        <v>40</v>
      </c>
      <c r="C215" s="354"/>
      <c r="D215" s="366"/>
      <c r="E215" s="366"/>
    </row>
    <row r="216" spans="1:23" ht="12.75" hidden="1" customHeight="1" outlineLevel="1">
      <c r="A216" s="386" t="s">
        <v>147</v>
      </c>
      <c r="B216" s="379" t="str">
        <f>D176</f>
        <v>Straight Line</v>
      </c>
      <c r="C216" s="354"/>
      <c r="D216" s="366"/>
      <c r="E216" s="366"/>
    </row>
    <row r="217" spans="1:23" ht="12.75" hidden="1" customHeight="1" outlineLevel="1">
      <c r="A217" s="364" t="s">
        <v>148</v>
      </c>
      <c r="B217" s="365">
        <f>IF(AND(B215=0,B216=""),0,IF(B216="Straight Line",1/B215,IF(B216="Declining Balance",1/B215*1.5,1)))</f>
        <v>2.5000000000000001E-2</v>
      </c>
      <c r="C217" s="358"/>
      <c r="D217" s="366"/>
      <c r="E217" s="366"/>
    </row>
    <row r="218" spans="1:23" ht="12.75" hidden="1" customHeight="1" outlineLevel="1">
      <c r="A218" s="366"/>
      <c r="B218" s="383"/>
      <c r="C218" s="366"/>
      <c r="D218" s="366"/>
      <c r="E218" s="366"/>
    </row>
    <row r="219" spans="1:23" ht="12.75" hidden="1" customHeight="1" outlineLevel="1">
      <c r="A219" s="366" t="s">
        <v>154</v>
      </c>
      <c r="B219" s="387" t="s">
        <v>161</v>
      </c>
      <c r="C219" s="388" t="s">
        <v>162</v>
      </c>
      <c r="D219" s="389" t="s">
        <v>163</v>
      </c>
      <c r="E219" s="390" t="s">
        <v>164</v>
      </c>
    </row>
    <row r="220" spans="1:23" ht="12.75" hidden="1" customHeight="1" outlineLevel="1">
      <c r="A220" s="391" t="s">
        <v>155</v>
      </c>
      <c r="B220" s="392">
        <v>0</v>
      </c>
      <c r="C220" s="393">
        <v>0</v>
      </c>
      <c r="D220" s="393">
        <v>0</v>
      </c>
      <c r="E220" s="394">
        <v>0</v>
      </c>
    </row>
    <row r="221" spans="1:23" ht="12.75" hidden="1" customHeight="1" outlineLevel="1">
      <c r="A221" s="366"/>
      <c r="B221" s="383"/>
      <c r="C221" s="366"/>
    </row>
    <row r="222" spans="1:23" ht="12.75" hidden="1" customHeight="1" outlineLevel="1">
      <c r="B222" s="367">
        <v>1996</v>
      </c>
      <c r="C222" s="368">
        <v>1997</v>
      </c>
      <c r="D222" s="367">
        <v>1998</v>
      </c>
      <c r="E222" s="369">
        <v>1999</v>
      </c>
      <c r="F222" s="369">
        <v>2000</v>
      </c>
      <c r="G222" s="369">
        <v>2001</v>
      </c>
      <c r="H222" s="368">
        <v>2002</v>
      </c>
      <c r="I222" s="367">
        <v>2003</v>
      </c>
      <c r="J222" s="369">
        <v>2004</v>
      </c>
      <c r="K222" s="369">
        <v>2005</v>
      </c>
      <c r="L222" s="369">
        <v>2006</v>
      </c>
      <c r="M222" s="368">
        <v>2007</v>
      </c>
      <c r="N222" s="367">
        <v>2008</v>
      </c>
      <c r="O222" s="369">
        <v>2009</v>
      </c>
      <c r="P222" s="369">
        <v>2010</v>
      </c>
      <c r="Q222" s="369">
        <v>2011</v>
      </c>
      <c r="R222" s="368">
        <v>2012</v>
      </c>
      <c r="S222" s="367">
        <f t="shared" ref="S222:W222" si="50">R222+1</f>
        <v>2013</v>
      </c>
      <c r="T222" s="369">
        <f t="shared" si="50"/>
        <v>2014</v>
      </c>
      <c r="U222" s="369">
        <f t="shared" si="50"/>
        <v>2015</v>
      </c>
      <c r="V222" s="369">
        <f t="shared" si="50"/>
        <v>2016</v>
      </c>
      <c r="W222" s="368">
        <f t="shared" si="50"/>
        <v>2017</v>
      </c>
    </row>
    <row r="223" spans="1:23" ht="12.75" hidden="1" customHeight="1" outlineLevel="1">
      <c r="A223" s="346" t="s">
        <v>2</v>
      </c>
      <c r="B223" s="379">
        <f>B214</f>
        <v>0</v>
      </c>
      <c r="C223" s="395">
        <f t="shared" ref="C223:W223" si="51">B226</f>
        <v>0</v>
      </c>
      <c r="D223" s="379">
        <f t="shared" si="51"/>
        <v>0</v>
      </c>
      <c r="E223" s="383">
        <f t="shared" si="51"/>
        <v>0</v>
      </c>
      <c r="F223" s="383">
        <f t="shared" si="51"/>
        <v>0</v>
      </c>
      <c r="G223" s="383">
        <f t="shared" si="51"/>
        <v>0</v>
      </c>
      <c r="H223" s="395">
        <f t="shared" si="51"/>
        <v>0</v>
      </c>
      <c r="I223" s="379">
        <f t="shared" si="51"/>
        <v>0</v>
      </c>
      <c r="J223" s="383">
        <f t="shared" si="51"/>
        <v>0</v>
      </c>
      <c r="K223" s="383">
        <f t="shared" si="51"/>
        <v>0</v>
      </c>
      <c r="L223" s="383">
        <f t="shared" si="51"/>
        <v>0</v>
      </c>
      <c r="M223" s="395">
        <f t="shared" si="51"/>
        <v>0</v>
      </c>
      <c r="N223" s="379">
        <f t="shared" si="51"/>
        <v>0</v>
      </c>
      <c r="O223" s="383">
        <f t="shared" si="51"/>
        <v>0</v>
      </c>
      <c r="P223" s="383">
        <f t="shared" si="51"/>
        <v>0</v>
      </c>
      <c r="Q223" s="383">
        <f t="shared" si="51"/>
        <v>0</v>
      </c>
      <c r="R223" s="395">
        <f t="shared" si="51"/>
        <v>0</v>
      </c>
      <c r="S223" s="379">
        <f t="shared" si="51"/>
        <v>0</v>
      </c>
      <c r="T223" s="383">
        <f t="shared" si="51"/>
        <v>0</v>
      </c>
      <c r="U223" s="383">
        <f t="shared" si="51"/>
        <v>0</v>
      </c>
      <c r="V223" s="383">
        <f t="shared" si="51"/>
        <v>0</v>
      </c>
      <c r="W223" s="395">
        <f t="shared" si="51"/>
        <v>0</v>
      </c>
    </row>
    <row r="224" spans="1:23" ht="12.75" hidden="1" customHeight="1" outlineLevel="1">
      <c r="A224" s="351" t="s">
        <v>156</v>
      </c>
      <c r="B224" s="379">
        <v>0</v>
      </c>
      <c r="C224" s="395">
        <v>0</v>
      </c>
      <c r="D224" s="379">
        <v>0</v>
      </c>
      <c r="E224" s="383">
        <f>B220</f>
        <v>0</v>
      </c>
      <c r="F224" s="383">
        <f>C220</f>
        <v>0</v>
      </c>
      <c r="G224" s="383">
        <f>D220</f>
        <v>0</v>
      </c>
      <c r="H224" s="395">
        <f>E220</f>
        <v>0</v>
      </c>
      <c r="I224" s="379">
        <v>0</v>
      </c>
      <c r="J224" s="383">
        <v>0</v>
      </c>
      <c r="K224" s="383">
        <v>0</v>
      </c>
      <c r="L224" s="383">
        <v>0</v>
      </c>
      <c r="M224" s="395">
        <v>0</v>
      </c>
      <c r="N224" s="379">
        <v>0</v>
      </c>
      <c r="O224" s="383">
        <v>0</v>
      </c>
      <c r="P224" s="383">
        <v>0</v>
      </c>
      <c r="Q224" s="383">
        <v>0</v>
      </c>
      <c r="R224" s="395">
        <v>0</v>
      </c>
      <c r="S224" s="379">
        <v>0</v>
      </c>
      <c r="T224" s="383">
        <v>0</v>
      </c>
      <c r="U224" s="383">
        <v>0</v>
      </c>
      <c r="V224" s="383">
        <v>0</v>
      </c>
      <c r="W224" s="395">
        <v>0</v>
      </c>
    </row>
    <row r="225" spans="1:23" ht="12.75" hidden="1" customHeight="1" outlineLevel="1">
      <c r="A225" s="351" t="s">
        <v>157</v>
      </c>
      <c r="B225" s="379">
        <f>B224*$B217*0.5</f>
        <v>0</v>
      </c>
      <c r="C225" s="395">
        <f>(SUM($B224:B224)+C224*0.5)*$B217</f>
        <v>0</v>
      </c>
      <c r="D225" s="379">
        <f>(SUM($B224:C224)+D224*0.5)*$B217</f>
        <v>0</v>
      </c>
      <c r="E225" s="383">
        <f>(SUM($B224:D224)+E224*0.5)*$B217</f>
        <v>0</v>
      </c>
      <c r="F225" s="383">
        <f>(SUM($B224:E224)+F224*0.5)*$B217</f>
        <v>0</v>
      </c>
      <c r="G225" s="383">
        <f>(SUM($B224:F224)+G224*0.5)*$B217</f>
        <v>0</v>
      </c>
      <c r="H225" s="395">
        <f>(SUM($B224:G224)+H224*0.5)*$B217</f>
        <v>0</v>
      </c>
      <c r="I225" s="379">
        <f>(SUM($B224:H224)+I224*0.5)*$B217</f>
        <v>0</v>
      </c>
      <c r="J225" s="383">
        <f>(SUM($B224:I224)+J224*0.5)*$B217</f>
        <v>0</v>
      </c>
      <c r="K225" s="383">
        <f>(SUM($B224:J224)+K224*0.5)*$B217</f>
        <v>0</v>
      </c>
      <c r="L225" s="383">
        <f>(SUM($B224:K224)+L224*0.5)*$B217</f>
        <v>0</v>
      </c>
      <c r="M225" s="395">
        <f>(SUM($B224:L224)+M224*0.5)*$B217</f>
        <v>0</v>
      </c>
      <c r="N225" s="379">
        <f>(SUM($B224:M224)+N224*0.5)*$B217</f>
        <v>0</v>
      </c>
      <c r="O225" s="383">
        <f>(SUM($B224:N224)+O224*0.5)*$B217</f>
        <v>0</v>
      </c>
      <c r="P225" s="383">
        <f>(SUM($B224:O224)+P224*0.5)*$B217</f>
        <v>0</v>
      </c>
      <c r="Q225" s="383">
        <f>(SUM($B224:P224)+Q224*0.5)*$B217</f>
        <v>0</v>
      </c>
      <c r="R225" s="395">
        <f>(SUM($B224:Q224)+R224*0.5)*$B217</f>
        <v>0</v>
      </c>
      <c r="S225" s="379">
        <f>(SUM($B224:R224)+S224*0.5)*$B217</f>
        <v>0</v>
      </c>
      <c r="T225" s="383">
        <f>(SUM($B224:S224)+T224*0.5)*$B217</f>
        <v>0</v>
      </c>
      <c r="U225" s="383">
        <f>(SUM($B224:T224)+U224*0.5)*$B217</f>
        <v>0</v>
      </c>
      <c r="V225" s="383">
        <f>(SUM($B224:U224)+V224*0.5)*$B217</f>
        <v>0</v>
      </c>
      <c r="W225" s="395">
        <f>(SUM($B224:V224)+W224*0.5)*$B217</f>
        <v>0</v>
      </c>
    </row>
    <row r="226" spans="1:23" ht="12.75" hidden="1" customHeight="1" outlineLevel="1">
      <c r="A226" s="355" t="s">
        <v>113</v>
      </c>
      <c r="B226" s="382">
        <f t="shared" ref="B226:W226" si="52">B223+B224-B225</f>
        <v>0</v>
      </c>
      <c r="C226" s="398">
        <f t="shared" si="52"/>
        <v>0</v>
      </c>
      <c r="D226" s="382">
        <f t="shared" si="52"/>
        <v>0</v>
      </c>
      <c r="E226" s="399">
        <f t="shared" si="52"/>
        <v>0</v>
      </c>
      <c r="F226" s="399">
        <f t="shared" si="52"/>
        <v>0</v>
      </c>
      <c r="G226" s="399">
        <f t="shared" si="52"/>
        <v>0</v>
      </c>
      <c r="H226" s="398">
        <f t="shared" si="52"/>
        <v>0</v>
      </c>
      <c r="I226" s="382">
        <f t="shared" si="52"/>
        <v>0</v>
      </c>
      <c r="J226" s="399">
        <f t="shared" si="52"/>
        <v>0</v>
      </c>
      <c r="K226" s="399">
        <f t="shared" si="52"/>
        <v>0</v>
      </c>
      <c r="L226" s="399">
        <f t="shared" si="52"/>
        <v>0</v>
      </c>
      <c r="M226" s="398">
        <f t="shared" si="52"/>
        <v>0</v>
      </c>
      <c r="N226" s="382">
        <f t="shared" si="52"/>
        <v>0</v>
      </c>
      <c r="O226" s="399">
        <f t="shared" si="52"/>
        <v>0</v>
      </c>
      <c r="P226" s="399">
        <f t="shared" si="52"/>
        <v>0</v>
      </c>
      <c r="Q226" s="399">
        <f t="shared" si="52"/>
        <v>0</v>
      </c>
      <c r="R226" s="398">
        <f t="shared" si="52"/>
        <v>0</v>
      </c>
      <c r="S226" s="382">
        <f t="shared" si="52"/>
        <v>0</v>
      </c>
      <c r="T226" s="399">
        <f t="shared" si="52"/>
        <v>0</v>
      </c>
      <c r="U226" s="399">
        <f t="shared" si="52"/>
        <v>0</v>
      </c>
      <c r="V226" s="399">
        <f t="shared" si="52"/>
        <v>0</v>
      </c>
      <c r="W226" s="398">
        <f t="shared" si="52"/>
        <v>0</v>
      </c>
    </row>
    <row r="227" spans="1:23" ht="12.75" hidden="1" customHeight="1" outlineLevel="1">
      <c r="M227" s="401"/>
    </row>
    <row r="228" spans="1:23" ht="12.75" hidden="1" customHeight="1" outlineLevel="1">
      <c r="A228" s="360" t="str">
        <f>A177</f>
        <v>Other Assets</v>
      </c>
    </row>
    <row r="229" spans="1:23" ht="12.75" hidden="1" customHeight="1" outlineLevel="1">
      <c r="A229" s="385" t="s">
        <v>145</v>
      </c>
      <c r="B229" s="377">
        <f>B177</f>
        <v>0</v>
      </c>
      <c r="C229" s="350"/>
      <c r="D229" s="366"/>
      <c r="E229" s="366"/>
    </row>
    <row r="230" spans="1:23" ht="12.75" hidden="1" customHeight="1" outlineLevel="1">
      <c r="A230" s="386" t="s">
        <v>146</v>
      </c>
      <c r="B230" s="379">
        <f>C177</f>
        <v>10</v>
      </c>
      <c r="C230" s="354"/>
      <c r="D230" s="366"/>
      <c r="E230" s="366"/>
    </row>
    <row r="231" spans="1:23" ht="12.75" hidden="1" customHeight="1" outlineLevel="1">
      <c r="A231" s="386" t="s">
        <v>147</v>
      </c>
      <c r="B231" s="379" t="str">
        <f>D177</f>
        <v>Declining Balance</v>
      </c>
      <c r="C231" s="354"/>
      <c r="D231" s="366"/>
      <c r="E231" s="366"/>
    </row>
    <row r="232" spans="1:23" ht="12.75" hidden="1" customHeight="1" outlineLevel="1">
      <c r="A232" s="364" t="s">
        <v>148</v>
      </c>
      <c r="B232" s="365">
        <f>IF(AND(B230=0,B231=""),0,IF(B231="Straight Line",1/B230,IF(B231="Declining Balance",1/B230*1.5,1)))</f>
        <v>0.15000000000000002</v>
      </c>
      <c r="C232" s="358"/>
      <c r="D232" s="366"/>
      <c r="E232" s="366"/>
    </row>
    <row r="233" spans="1:23" ht="12.75" hidden="1" customHeight="1" outlineLevel="1">
      <c r="A233" s="366"/>
      <c r="B233" s="383"/>
      <c r="C233" s="366"/>
      <c r="D233" s="366"/>
      <c r="E233" s="366"/>
    </row>
    <row r="234" spans="1:23" ht="12.75" hidden="1" customHeight="1" outlineLevel="1">
      <c r="A234" s="366" t="s">
        <v>154</v>
      </c>
      <c r="B234" s="387" t="s">
        <v>161</v>
      </c>
      <c r="C234" s="388" t="s">
        <v>162</v>
      </c>
      <c r="D234" s="389" t="s">
        <v>163</v>
      </c>
      <c r="E234" s="390" t="s">
        <v>164</v>
      </c>
    </row>
    <row r="235" spans="1:23" ht="12.75" hidden="1" customHeight="1" outlineLevel="1">
      <c r="A235" s="391" t="s">
        <v>155</v>
      </c>
      <c r="B235" s="392">
        <v>0</v>
      </c>
      <c r="C235" s="393">
        <v>0</v>
      </c>
      <c r="D235" s="393">
        <v>0</v>
      </c>
      <c r="E235" s="394">
        <v>7.4462027397260277E-3</v>
      </c>
    </row>
    <row r="236" spans="1:23" ht="12.75" hidden="1" customHeight="1" outlineLevel="1">
      <c r="A236" s="366"/>
      <c r="B236" s="383"/>
      <c r="C236" s="366"/>
    </row>
    <row r="237" spans="1:23" ht="12.75" hidden="1" customHeight="1" outlineLevel="1">
      <c r="B237" s="367">
        <v>1996</v>
      </c>
      <c r="C237" s="368">
        <v>1997</v>
      </c>
      <c r="D237" s="367">
        <v>1998</v>
      </c>
      <c r="E237" s="369">
        <v>1999</v>
      </c>
      <c r="F237" s="369">
        <v>2000</v>
      </c>
      <c r="G237" s="369">
        <v>2001</v>
      </c>
      <c r="H237" s="368">
        <v>2002</v>
      </c>
      <c r="I237" s="367">
        <v>2003</v>
      </c>
      <c r="J237" s="369">
        <v>2004</v>
      </c>
      <c r="K237" s="369">
        <v>2005</v>
      </c>
      <c r="L237" s="369">
        <v>2006</v>
      </c>
      <c r="M237" s="368">
        <v>2007</v>
      </c>
      <c r="N237" s="367">
        <v>2008</v>
      </c>
      <c r="O237" s="369">
        <v>2009</v>
      </c>
      <c r="P237" s="369">
        <v>2010</v>
      </c>
      <c r="Q237" s="369">
        <v>2011</v>
      </c>
      <c r="R237" s="368">
        <v>2012</v>
      </c>
      <c r="S237" s="367">
        <f t="shared" ref="S237:W237" si="53">R237+1</f>
        <v>2013</v>
      </c>
      <c r="T237" s="369">
        <f t="shared" si="53"/>
        <v>2014</v>
      </c>
      <c r="U237" s="369">
        <f t="shared" si="53"/>
        <v>2015</v>
      </c>
      <c r="V237" s="369">
        <f t="shared" si="53"/>
        <v>2016</v>
      </c>
      <c r="W237" s="368">
        <f t="shared" si="53"/>
        <v>2017</v>
      </c>
    </row>
    <row r="238" spans="1:23" ht="12.75" hidden="1" customHeight="1" outlineLevel="1">
      <c r="A238" s="346" t="s">
        <v>2</v>
      </c>
      <c r="B238" s="379">
        <f>B229</f>
        <v>0</v>
      </c>
      <c r="C238" s="395">
        <f t="shared" ref="C238:W238" si="54">B241</f>
        <v>0</v>
      </c>
      <c r="D238" s="379">
        <f t="shared" si="54"/>
        <v>0</v>
      </c>
      <c r="E238" s="383">
        <f t="shared" si="54"/>
        <v>0</v>
      </c>
      <c r="F238" s="383">
        <f t="shared" si="54"/>
        <v>0</v>
      </c>
      <c r="G238" s="383">
        <f t="shared" si="54"/>
        <v>0</v>
      </c>
      <c r="H238" s="395">
        <f t="shared" si="54"/>
        <v>0</v>
      </c>
      <c r="I238" s="379">
        <f t="shared" si="54"/>
        <v>6.8877375342465755E-3</v>
      </c>
      <c r="J238" s="383">
        <f t="shared" si="54"/>
        <v>5.8545769041095895E-3</v>
      </c>
      <c r="K238" s="383">
        <f t="shared" si="54"/>
        <v>4.9763903684931507E-3</v>
      </c>
      <c r="L238" s="383">
        <f t="shared" si="54"/>
        <v>4.2299318132191779E-3</v>
      </c>
      <c r="M238" s="395">
        <f t="shared" si="54"/>
        <v>3.5954420412363012E-3</v>
      </c>
      <c r="N238" s="379">
        <f t="shared" si="54"/>
        <v>3.0561257350508559E-3</v>
      </c>
      <c r="O238" s="383">
        <f t="shared" si="54"/>
        <v>2.5977068747932274E-3</v>
      </c>
      <c r="P238" s="383">
        <f t="shared" si="54"/>
        <v>2.208050843574243E-3</v>
      </c>
      <c r="Q238" s="383">
        <f t="shared" si="54"/>
        <v>1.8768432170381065E-3</v>
      </c>
      <c r="R238" s="395">
        <f t="shared" si="54"/>
        <v>1.5953167344823905E-3</v>
      </c>
      <c r="S238" s="379">
        <f t="shared" si="54"/>
        <v>1.3560192243100319E-3</v>
      </c>
      <c r="T238" s="383">
        <f t="shared" si="54"/>
        <v>1.1526163406635271E-3</v>
      </c>
      <c r="U238" s="383">
        <f t="shared" si="54"/>
        <v>9.7972388956399804E-4</v>
      </c>
      <c r="V238" s="383">
        <f t="shared" si="54"/>
        <v>8.3276530612939837E-4</v>
      </c>
      <c r="W238" s="395">
        <f t="shared" si="54"/>
        <v>7.0785051020998862E-4</v>
      </c>
    </row>
    <row r="239" spans="1:23" ht="12.75" hidden="1" customHeight="1" outlineLevel="1">
      <c r="A239" s="351" t="s">
        <v>156</v>
      </c>
      <c r="B239" s="379">
        <v>0</v>
      </c>
      <c r="C239" s="395">
        <v>0</v>
      </c>
      <c r="D239" s="379">
        <v>0</v>
      </c>
      <c r="E239" s="383">
        <f>B235</f>
        <v>0</v>
      </c>
      <c r="F239" s="383">
        <f>C235</f>
        <v>0</v>
      </c>
      <c r="G239" s="383">
        <f>D235</f>
        <v>0</v>
      </c>
      <c r="H239" s="395">
        <f>E235</f>
        <v>7.4462027397260277E-3</v>
      </c>
      <c r="I239" s="379">
        <v>0</v>
      </c>
      <c r="J239" s="383">
        <v>0</v>
      </c>
      <c r="K239" s="383">
        <v>0</v>
      </c>
      <c r="L239" s="383">
        <v>0</v>
      </c>
      <c r="M239" s="395">
        <v>0</v>
      </c>
      <c r="N239" s="379">
        <v>0</v>
      </c>
      <c r="O239" s="383">
        <v>0</v>
      </c>
      <c r="P239" s="383">
        <v>0</v>
      </c>
      <c r="Q239" s="383">
        <v>0</v>
      </c>
      <c r="R239" s="395">
        <v>0</v>
      </c>
      <c r="S239" s="379">
        <v>0</v>
      </c>
      <c r="T239" s="383">
        <v>0</v>
      </c>
      <c r="U239" s="383">
        <v>0</v>
      </c>
      <c r="V239" s="383">
        <v>0</v>
      </c>
      <c r="W239" s="395">
        <v>0</v>
      </c>
    </row>
    <row r="240" spans="1:23" ht="12.75" hidden="1" customHeight="1" outlineLevel="1">
      <c r="A240" s="351" t="s">
        <v>157</v>
      </c>
      <c r="B240" s="375">
        <f>IF($B232=1,B239+B238,B239*$B232*0.5)</f>
        <v>0</v>
      </c>
      <c r="C240" s="375">
        <f t="shared" ref="C240:W240" si="55">IF($B232=1,C239+C238,(C238+C239*0.5)*$B232)</f>
        <v>0</v>
      </c>
      <c r="D240" s="396">
        <f t="shared" si="55"/>
        <v>0</v>
      </c>
      <c r="E240" s="375">
        <f t="shared" si="55"/>
        <v>0</v>
      </c>
      <c r="F240" s="375">
        <f t="shared" si="55"/>
        <v>0</v>
      </c>
      <c r="G240" s="375">
        <f t="shared" si="55"/>
        <v>0</v>
      </c>
      <c r="H240" s="397">
        <f t="shared" si="55"/>
        <v>5.5846520547945221E-4</v>
      </c>
      <c r="I240" s="396">
        <f t="shared" si="55"/>
        <v>1.0331606301369864E-3</v>
      </c>
      <c r="J240" s="375">
        <f t="shared" si="55"/>
        <v>8.7818653561643856E-4</v>
      </c>
      <c r="K240" s="375">
        <f t="shared" si="55"/>
        <v>7.4645855527397272E-4</v>
      </c>
      <c r="L240" s="375">
        <f t="shared" si="55"/>
        <v>6.3448977198287673E-4</v>
      </c>
      <c r="M240" s="397">
        <f t="shared" si="55"/>
        <v>5.3931630618544524E-4</v>
      </c>
      <c r="N240" s="396">
        <f t="shared" si="55"/>
        <v>4.5841886025762847E-4</v>
      </c>
      <c r="O240" s="375">
        <f t="shared" si="55"/>
        <v>3.8965603121898416E-4</v>
      </c>
      <c r="P240" s="375">
        <f t="shared" si="55"/>
        <v>3.3120762653613653E-4</v>
      </c>
      <c r="Q240" s="375">
        <f t="shared" si="55"/>
        <v>2.8152648255571602E-4</v>
      </c>
      <c r="R240" s="397">
        <f t="shared" si="55"/>
        <v>2.3929751017235862E-4</v>
      </c>
      <c r="S240" s="396">
        <f t="shared" si="55"/>
        <v>2.0340288364650481E-4</v>
      </c>
      <c r="T240" s="375">
        <f t="shared" si="55"/>
        <v>1.7289245109952908E-4</v>
      </c>
      <c r="U240" s="375">
        <f t="shared" si="55"/>
        <v>1.4695858343459972E-4</v>
      </c>
      <c r="V240" s="375">
        <f t="shared" si="55"/>
        <v>1.2491479591940978E-4</v>
      </c>
      <c r="W240" s="397">
        <f t="shared" si="55"/>
        <v>1.0617757653149831E-4</v>
      </c>
    </row>
    <row r="241" spans="1:23" ht="12.75" hidden="1" customHeight="1" outlineLevel="1">
      <c r="A241" s="355" t="s">
        <v>113</v>
      </c>
      <c r="B241" s="382">
        <f t="shared" ref="B241:W241" si="56">B238+B239-B240</f>
        <v>0</v>
      </c>
      <c r="C241" s="398">
        <f t="shared" si="56"/>
        <v>0</v>
      </c>
      <c r="D241" s="382">
        <f t="shared" si="56"/>
        <v>0</v>
      </c>
      <c r="E241" s="399">
        <f t="shared" si="56"/>
        <v>0</v>
      </c>
      <c r="F241" s="399">
        <f t="shared" si="56"/>
        <v>0</v>
      </c>
      <c r="G241" s="399">
        <f t="shared" si="56"/>
        <v>0</v>
      </c>
      <c r="H241" s="398">
        <f t="shared" si="56"/>
        <v>6.8877375342465755E-3</v>
      </c>
      <c r="I241" s="382">
        <f t="shared" si="56"/>
        <v>5.8545769041095895E-3</v>
      </c>
      <c r="J241" s="399">
        <f t="shared" si="56"/>
        <v>4.9763903684931507E-3</v>
      </c>
      <c r="K241" s="399">
        <f t="shared" si="56"/>
        <v>4.2299318132191779E-3</v>
      </c>
      <c r="L241" s="399">
        <f t="shared" si="56"/>
        <v>3.5954420412363012E-3</v>
      </c>
      <c r="M241" s="398">
        <f t="shared" si="56"/>
        <v>3.0561257350508559E-3</v>
      </c>
      <c r="N241" s="382">
        <f t="shared" si="56"/>
        <v>2.5977068747932274E-3</v>
      </c>
      <c r="O241" s="399">
        <f t="shared" si="56"/>
        <v>2.208050843574243E-3</v>
      </c>
      <c r="P241" s="399">
        <f t="shared" si="56"/>
        <v>1.8768432170381065E-3</v>
      </c>
      <c r="Q241" s="399">
        <f t="shared" si="56"/>
        <v>1.5953167344823905E-3</v>
      </c>
      <c r="R241" s="398">
        <f t="shared" si="56"/>
        <v>1.3560192243100319E-3</v>
      </c>
      <c r="S241" s="382">
        <f t="shared" si="56"/>
        <v>1.1526163406635271E-3</v>
      </c>
      <c r="T241" s="399">
        <f t="shared" si="56"/>
        <v>9.7972388956399804E-4</v>
      </c>
      <c r="U241" s="399">
        <f t="shared" si="56"/>
        <v>8.3276530612939837E-4</v>
      </c>
      <c r="V241" s="399">
        <f t="shared" si="56"/>
        <v>7.0785051020998862E-4</v>
      </c>
      <c r="W241" s="398">
        <f t="shared" si="56"/>
        <v>6.0167293367849035E-4</v>
      </c>
    </row>
    <row r="242" spans="1:23" ht="12.75" hidden="1" customHeight="1" outlineLevel="1"/>
    <row r="243" spans="1:23" ht="12.75" hidden="1" customHeight="1" outlineLevel="1"/>
    <row r="244" spans="1:23" ht="12.75" hidden="1" customHeight="1" outlineLevel="1">
      <c r="A244" s="360" t="str">
        <f>A178</f>
        <v>Repairs</v>
      </c>
    </row>
    <row r="245" spans="1:23" ht="12.75" hidden="1" customHeight="1" outlineLevel="1">
      <c r="A245" s="385" t="s">
        <v>145</v>
      </c>
      <c r="B245" s="377">
        <f>B178</f>
        <v>0</v>
      </c>
      <c r="C245" s="350"/>
      <c r="D245" s="366"/>
      <c r="E245" s="366"/>
    </row>
    <row r="246" spans="1:23" ht="12.75" hidden="1" customHeight="1" outlineLevel="1">
      <c r="A246" s="386" t="s">
        <v>146</v>
      </c>
      <c r="B246" s="379">
        <f>C178</f>
        <v>0</v>
      </c>
      <c r="C246" s="354"/>
      <c r="D246" s="366"/>
      <c r="E246" s="366"/>
    </row>
    <row r="247" spans="1:23" ht="12.75" hidden="1" customHeight="1" outlineLevel="1">
      <c r="A247" s="386" t="s">
        <v>147</v>
      </c>
      <c r="B247" s="379" t="str">
        <f>D178</f>
        <v>Fully Deductible</v>
      </c>
      <c r="C247" s="354"/>
      <c r="D247" s="366"/>
      <c r="E247" s="366"/>
    </row>
    <row r="248" spans="1:23" ht="12.75" hidden="1" customHeight="1" outlineLevel="1">
      <c r="A248" s="364" t="s">
        <v>148</v>
      </c>
      <c r="B248" s="365">
        <f>IF(AND(B246=0,B247=""),0,IF(B247="Straight Line",1/B246,IF(B247="Declining Balance",1/B246*1.5,1)))</f>
        <v>1</v>
      </c>
      <c r="C248" s="358"/>
      <c r="D248" s="366"/>
      <c r="E248" s="366"/>
    </row>
    <row r="249" spans="1:23" ht="12.75" hidden="1" customHeight="1" outlineLevel="1">
      <c r="A249" s="366"/>
      <c r="B249" s="383"/>
      <c r="C249" s="366"/>
      <c r="D249" s="366"/>
      <c r="E249" s="366"/>
    </row>
    <row r="250" spans="1:23" ht="12.75" hidden="1" customHeight="1" outlineLevel="1">
      <c r="A250" s="366" t="s">
        <v>154</v>
      </c>
      <c r="B250" s="387" t="s">
        <v>161</v>
      </c>
      <c r="C250" s="388" t="s">
        <v>162</v>
      </c>
      <c r="D250" s="389" t="s">
        <v>163</v>
      </c>
      <c r="E250" s="390" t="s">
        <v>164</v>
      </c>
    </row>
    <row r="251" spans="1:23" ht="12.75" hidden="1" customHeight="1" outlineLevel="1">
      <c r="A251" s="391" t="s">
        <v>155</v>
      </c>
      <c r="B251" s="392">
        <v>0</v>
      </c>
      <c r="C251" s="393">
        <v>0</v>
      </c>
      <c r="D251" s="393">
        <v>0</v>
      </c>
      <c r="E251" s="394">
        <v>3.7151999999999998E-2</v>
      </c>
    </row>
    <row r="252" spans="1:23" ht="12.75" hidden="1" customHeight="1" outlineLevel="1">
      <c r="A252" s="366"/>
      <c r="B252" s="383"/>
      <c r="C252" s="366"/>
    </row>
    <row r="253" spans="1:23" ht="12.75" hidden="1" customHeight="1" outlineLevel="1">
      <c r="B253" s="367">
        <v>1996</v>
      </c>
      <c r="C253" s="368">
        <v>1997</v>
      </c>
      <c r="D253" s="367">
        <v>1998</v>
      </c>
      <c r="E253" s="369">
        <v>1999</v>
      </c>
      <c r="F253" s="369">
        <v>2000</v>
      </c>
      <c r="G253" s="369">
        <v>2001</v>
      </c>
      <c r="H253" s="368">
        <v>2002</v>
      </c>
      <c r="I253" s="367">
        <v>2003</v>
      </c>
      <c r="J253" s="369">
        <v>2004</v>
      </c>
      <c r="K253" s="369">
        <v>2005</v>
      </c>
      <c r="L253" s="369">
        <v>2006</v>
      </c>
      <c r="M253" s="368">
        <v>2007</v>
      </c>
      <c r="N253" s="367">
        <v>2008</v>
      </c>
      <c r="O253" s="369">
        <v>2009</v>
      </c>
      <c r="P253" s="369">
        <v>2010</v>
      </c>
      <c r="Q253" s="369">
        <v>2011</v>
      </c>
      <c r="R253" s="368">
        <v>2012</v>
      </c>
      <c r="S253" s="367">
        <f t="shared" ref="S253:W253" si="57">R253+1</f>
        <v>2013</v>
      </c>
      <c r="T253" s="369">
        <f t="shared" si="57"/>
        <v>2014</v>
      </c>
      <c r="U253" s="369">
        <f t="shared" si="57"/>
        <v>2015</v>
      </c>
      <c r="V253" s="369">
        <f t="shared" si="57"/>
        <v>2016</v>
      </c>
      <c r="W253" s="368">
        <f t="shared" si="57"/>
        <v>2017</v>
      </c>
    </row>
    <row r="254" spans="1:23" ht="12.75" hidden="1" customHeight="1" outlineLevel="1">
      <c r="A254" s="346" t="s">
        <v>2</v>
      </c>
      <c r="B254" s="379">
        <f>B245</f>
        <v>0</v>
      </c>
      <c r="C254" s="395">
        <f t="shared" ref="C254:W254" si="58">B257</f>
        <v>0</v>
      </c>
      <c r="D254" s="379">
        <f t="shared" si="58"/>
        <v>0</v>
      </c>
      <c r="E254" s="383">
        <f t="shared" si="58"/>
        <v>0</v>
      </c>
      <c r="F254" s="383">
        <f t="shared" si="58"/>
        <v>0</v>
      </c>
      <c r="G254" s="383">
        <f t="shared" si="58"/>
        <v>0</v>
      </c>
      <c r="H254" s="395">
        <f t="shared" si="58"/>
        <v>0</v>
      </c>
      <c r="I254" s="379">
        <f t="shared" si="58"/>
        <v>0</v>
      </c>
      <c r="J254" s="383">
        <f t="shared" si="58"/>
        <v>0</v>
      </c>
      <c r="K254" s="383">
        <f t="shared" si="58"/>
        <v>0</v>
      </c>
      <c r="L254" s="383">
        <f t="shared" si="58"/>
        <v>0</v>
      </c>
      <c r="M254" s="395">
        <f t="shared" si="58"/>
        <v>0</v>
      </c>
      <c r="N254" s="379">
        <f t="shared" si="58"/>
        <v>0</v>
      </c>
      <c r="O254" s="383">
        <f t="shared" si="58"/>
        <v>0</v>
      </c>
      <c r="P254" s="383">
        <f t="shared" si="58"/>
        <v>0</v>
      </c>
      <c r="Q254" s="383">
        <f t="shared" si="58"/>
        <v>0</v>
      </c>
      <c r="R254" s="395">
        <f t="shared" si="58"/>
        <v>0</v>
      </c>
      <c r="S254" s="379">
        <f t="shared" si="58"/>
        <v>0</v>
      </c>
      <c r="T254" s="383">
        <f t="shared" si="58"/>
        <v>0</v>
      </c>
      <c r="U254" s="383">
        <f t="shared" si="58"/>
        <v>0</v>
      </c>
      <c r="V254" s="383">
        <f t="shared" si="58"/>
        <v>0</v>
      </c>
      <c r="W254" s="395">
        <f t="shared" si="58"/>
        <v>0</v>
      </c>
    </row>
    <row r="255" spans="1:23" ht="12.75" hidden="1" customHeight="1" outlineLevel="1">
      <c r="A255" s="351" t="s">
        <v>156</v>
      </c>
      <c r="B255" s="379">
        <v>0</v>
      </c>
      <c r="C255" s="395">
        <v>0</v>
      </c>
      <c r="D255" s="379">
        <v>0</v>
      </c>
      <c r="E255" s="383">
        <f>B251</f>
        <v>0</v>
      </c>
      <c r="F255" s="383">
        <f>C251</f>
        <v>0</v>
      </c>
      <c r="G255" s="383">
        <f>D251</f>
        <v>0</v>
      </c>
      <c r="H255" s="395">
        <f>E251</f>
        <v>3.7151999999999998E-2</v>
      </c>
      <c r="I255" s="379">
        <v>0</v>
      </c>
      <c r="J255" s="383">
        <v>0</v>
      </c>
      <c r="K255" s="383">
        <v>0</v>
      </c>
      <c r="L255" s="383">
        <v>0</v>
      </c>
      <c r="M255" s="395">
        <v>0</v>
      </c>
      <c r="N255" s="379">
        <v>0</v>
      </c>
      <c r="O255" s="383">
        <v>0</v>
      </c>
      <c r="P255" s="383">
        <v>0</v>
      </c>
      <c r="Q255" s="383">
        <v>0</v>
      </c>
      <c r="R255" s="395">
        <v>0</v>
      </c>
      <c r="S255" s="379">
        <v>0</v>
      </c>
      <c r="T255" s="383">
        <v>0</v>
      </c>
      <c r="U255" s="383">
        <v>0</v>
      </c>
      <c r="V255" s="383">
        <v>0</v>
      </c>
      <c r="W255" s="395">
        <v>0</v>
      </c>
    </row>
    <row r="256" spans="1:23" ht="12.75" hidden="1" customHeight="1" outlineLevel="1">
      <c r="A256" s="351" t="s">
        <v>157</v>
      </c>
      <c r="B256" s="375">
        <f>IF($B248=1,B255+B254,B255*$B248*0.5)</f>
        <v>0</v>
      </c>
      <c r="C256" s="375">
        <f t="shared" ref="C256:W256" si="59">IF($B248=1,C255+C254,(C254+C255*0.5)*$B248)</f>
        <v>0</v>
      </c>
      <c r="D256" s="396">
        <f t="shared" si="59"/>
        <v>0</v>
      </c>
      <c r="E256" s="375">
        <f t="shared" si="59"/>
        <v>0</v>
      </c>
      <c r="F256" s="375">
        <f t="shared" si="59"/>
        <v>0</v>
      </c>
      <c r="G256" s="375">
        <f t="shared" si="59"/>
        <v>0</v>
      </c>
      <c r="H256" s="397">
        <f t="shared" si="59"/>
        <v>3.7151999999999998E-2</v>
      </c>
      <c r="I256" s="396">
        <f t="shared" si="59"/>
        <v>0</v>
      </c>
      <c r="J256" s="375">
        <f t="shared" si="59"/>
        <v>0</v>
      </c>
      <c r="K256" s="375">
        <f t="shared" si="59"/>
        <v>0</v>
      </c>
      <c r="L256" s="375">
        <f t="shared" si="59"/>
        <v>0</v>
      </c>
      <c r="M256" s="397">
        <f t="shared" si="59"/>
        <v>0</v>
      </c>
      <c r="N256" s="396">
        <f t="shared" si="59"/>
        <v>0</v>
      </c>
      <c r="O256" s="375">
        <f t="shared" si="59"/>
        <v>0</v>
      </c>
      <c r="P256" s="375">
        <f t="shared" si="59"/>
        <v>0</v>
      </c>
      <c r="Q256" s="375">
        <f t="shared" si="59"/>
        <v>0</v>
      </c>
      <c r="R256" s="397">
        <f t="shared" si="59"/>
        <v>0</v>
      </c>
      <c r="S256" s="396">
        <f t="shared" si="59"/>
        <v>0</v>
      </c>
      <c r="T256" s="375">
        <f t="shared" si="59"/>
        <v>0</v>
      </c>
      <c r="U256" s="375">
        <f t="shared" si="59"/>
        <v>0</v>
      </c>
      <c r="V256" s="375">
        <f t="shared" si="59"/>
        <v>0</v>
      </c>
      <c r="W256" s="397">
        <f t="shared" si="59"/>
        <v>0</v>
      </c>
    </row>
    <row r="257" spans="1:23" ht="12.75" hidden="1" customHeight="1" outlineLevel="1">
      <c r="A257" s="355" t="s">
        <v>113</v>
      </c>
      <c r="B257" s="382">
        <f t="shared" ref="B257:W257" si="60">B254+B255-B256</f>
        <v>0</v>
      </c>
      <c r="C257" s="398">
        <f t="shared" si="60"/>
        <v>0</v>
      </c>
      <c r="D257" s="382">
        <f t="shared" si="60"/>
        <v>0</v>
      </c>
      <c r="E257" s="399">
        <f t="shared" si="60"/>
        <v>0</v>
      </c>
      <c r="F257" s="399">
        <f t="shared" si="60"/>
        <v>0</v>
      </c>
      <c r="G257" s="399">
        <f t="shared" si="60"/>
        <v>0</v>
      </c>
      <c r="H257" s="398">
        <f t="shared" si="60"/>
        <v>0</v>
      </c>
      <c r="I257" s="382">
        <f t="shared" si="60"/>
        <v>0</v>
      </c>
      <c r="J257" s="399">
        <f t="shared" si="60"/>
        <v>0</v>
      </c>
      <c r="K257" s="399">
        <f t="shared" si="60"/>
        <v>0</v>
      </c>
      <c r="L257" s="399">
        <f t="shared" si="60"/>
        <v>0</v>
      </c>
      <c r="M257" s="398">
        <f t="shared" si="60"/>
        <v>0</v>
      </c>
      <c r="N257" s="382">
        <f t="shared" si="60"/>
        <v>0</v>
      </c>
      <c r="O257" s="399">
        <f t="shared" si="60"/>
        <v>0</v>
      </c>
      <c r="P257" s="399">
        <f t="shared" si="60"/>
        <v>0</v>
      </c>
      <c r="Q257" s="399">
        <f t="shared" si="60"/>
        <v>0</v>
      </c>
      <c r="R257" s="398">
        <f t="shared" si="60"/>
        <v>0</v>
      </c>
      <c r="S257" s="382">
        <f t="shared" si="60"/>
        <v>0</v>
      </c>
      <c r="T257" s="399">
        <f t="shared" si="60"/>
        <v>0</v>
      </c>
      <c r="U257" s="399">
        <f t="shared" si="60"/>
        <v>0</v>
      </c>
      <c r="V257" s="399">
        <f t="shared" si="60"/>
        <v>0</v>
      </c>
      <c r="W257" s="398">
        <f t="shared" si="60"/>
        <v>0</v>
      </c>
    </row>
    <row r="258" spans="1:23" ht="12.75" hidden="1" customHeight="1" outlineLevel="1"/>
    <row r="259" spans="1:23" ht="12.75" hidden="1" customHeight="1" outlineLevel="1"/>
    <row r="260" spans="1:23" ht="12.75" hidden="1" customHeight="1" outlineLevel="1">
      <c r="A260" s="360" t="s">
        <v>165</v>
      </c>
    </row>
    <row r="261" spans="1:23" ht="12.75" hidden="1" customHeight="1" outlineLevel="1">
      <c r="A261" s="360"/>
    </row>
    <row r="262" spans="1:23" ht="12.75" hidden="1" customHeight="1" outlineLevel="1">
      <c r="B262" s="367">
        <v>1996</v>
      </c>
      <c r="C262" s="368">
        <v>1997</v>
      </c>
      <c r="D262" s="367">
        <v>1998</v>
      </c>
      <c r="E262" s="369">
        <v>1999</v>
      </c>
      <c r="F262" s="369">
        <v>2000</v>
      </c>
      <c r="G262" s="369">
        <v>2001</v>
      </c>
      <c r="H262" s="368">
        <v>2002</v>
      </c>
      <c r="I262" s="367">
        <v>2003</v>
      </c>
      <c r="J262" s="369">
        <v>2004</v>
      </c>
      <c r="K262" s="369">
        <v>2005</v>
      </c>
      <c r="L262" s="369">
        <v>2006</v>
      </c>
      <c r="M262" s="368">
        <v>2007</v>
      </c>
      <c r="N262" s="367">
        <v>2008</v>
      </c>
      <c r="O262" s="369">
        <v>2009</v>
      </c>
      <c r="P262" s="369">
        <v>2010</v>
      </c>
      <c r="Q262" s="369">
        <v>2011</v>
      </c>
      <c r="R262" s="368">
        <v>2012</v>
      </c>
      <c r="S262" s="367">
        <f t="shared" ref="S262:W262" si="61">R262+1</f>
        <v>2013</v>
      </c>
      <c r="T262" s="369">
        <f t="shared" si="61"/>
        <v>2014</v>
      </c>
      <c r="U262" s="369">
        <f t="shared" si="61"/>
        <v>2015</v>
      </c>
      <c r="V262" s="369">
        <f t="shared" si="61"/>
        <v>2016</v>
      </c>
      <c r="W262" s="368">
        <f t="shared" si="61"/>
        <v>2017</v>
      </c>
    </row>
    <row r="263" spans="1:23" ht="12.75" hidden="1" customHeight="1" outlineLevel="1">
      <c r="A263" s="346" t="s">
        <v>2</v>
      </c>
      <c r="B263" s="353">
        <f t="shared" ref="B263:W265" si="62">B193+B208+B223+B238+B254</f>
        <v>0</v>
      </c>
      <c r="C263" s="370">
        <f t="shared" si="62"/>
        <v>0</v>
      </c>
      <c r="D263" s="353">
        <f t="shared" si="62"/>
        <v>0</v>
      </c>
      <c r="E263" s="363">
        <f t="shared" si="62"/>
        <v>0</v>
      </c>
      <c r="F263" s="363">
        <f t="shared" si="62"/>
        <v>0.16495312499999998</v>
      </c>
      <c r="G263" s="363">
        <f t="shared" si="62"/>
        <v>1.044685546875</v>
      </c>
      <c r="H263" s="370">
        <f t="shared" si="62"/>
        <v>1.8279087402343752</v>
      </c>
      <c r="I263" s="353">
        <f t="shared" si="62"/>
        <v>2.111657289054254</v>
      </c>
      <c r="J263" s="363">
        <f t="shared" si="62"/>
        <v>1.9689477562687789</v>
      </c>
      <c r="K263" s="363">
        <f t="shared" si="62"/>
        <v>1.8600934708461361</v>
      </c>
      <c r="L263" s="363">
        <f t="shared" si="62"/>
        <v>1.7730164351852287</v>
      </c>
      <c r="M263" s="370">
        <f t="shared" si="62"/>
        <v>1.7001451848800206</v>
      </c>
      <c r="N263" s="353">
        <f t="shared" si="62"/>
        <v>1.6367261478936308</v>
      </c>
      <c r="O263" s="363">
        <f t="shared" si="62"/>
        <v>1.5797681106217156</v>
      </c>
      <c r="P263" s="363">
        <f t="shared" si="62"/>
        <v>1.5273823938862761</v>
      </c>
      <c r="Q263" s="363">
        <f t="shared" si="62"/>
        <v>1.4783703630985761</v>
      </c>
      <c r="R263" s="370">
        <f t="shared" si="62"/>
        <v>1.4319655354758971</v>
      </c>
      <c r="S263" s="353">
        <f t="shared" si="62"/>
        <v>1.3876723216886844</v>
      </c>
      <c r="T263" s="363">
        <f t="shared" si="62"/>
        <v>1.3451651736593577</v>
      </c>
      <c r="U263" s="363">
        <f t="shared" si="62"/>
        <v>1.3042254944438545</v>
      </c>
      <c r="V263" s="363">
        <f t="shared" si="62"/>
        <v>1.2647021564657643</v>
      </c>
      <c r="W263" s="370">
        <f t="shared" si="62"/>
        <v>1.2264867810112892</v>
      </c>
    </row>
    <row r="264" spans="1:23" ht="12.75" hidden="1" customHeight="1" outlineLevel="1">
      <c r="A264" s="351" t="s">
        <v>154</v>
      </c>
      <c r="B264" s="353">
        <f>B194+B209+B224+B239+B255</f>
        <v>0</v>
      </c>
      <c r="C264" s="370">
        <f t="shared" si="62"/>
        <v>0</v>
      </c>
      <c r="D264" s="353">
        <f t="shared" si="62"/>
        <v>0</v>
      </c>
      <c r="E264" s="363">
        <f t="shared" si="62"/>
        <v>0.17249999999999999</v>
      </c>
      <c r="F264" s="363">
        <f t="shared" si="62"/>
        <v>0.92700000000000005</v>
      </c>
      <c r="G264" s="363">
        <f t="shared" si="62"/>
        <v>0.88300000000000001</v>
      </c>
      <c r="H264" s="370">
        <f t="shared" si="62"/>
        <v>0.46263158356396739</v>
      </c>
      <c r="I264" s="353">
        <f t="shared" si="62"/>
        <v>0</v>
      </c>
      <c r="J264" s="363">
        <f t="shared" si="62"/>
        <v>0</v>
      </c>
      <c r="K264" s="363">
        <f t="shared" si="62"/>
        <v>0</v>
      </c>
      <c r="L264" s="363">
        <f t="shared" si="62"/>
        <v>0</v>
      </c>
      <c r="M264" s="370">
        <f t="shared" si="62"/>
        <v>0</v>
      </c>
      <c r="N264" s="353">
        <f t="shared" si="62"/>
        <v>0</v>
      </c>
      <c r="O264" s="363">
        <f t="shared" si="62"/>
        <v>0</v>
      </c>
      <c r="P264" s="363">
        <f t="shared" si="62"/>
        <v>0</v>
      </c>
      <c r="Q264" s="363">
        <f t="shared" si="62"/>
        <v>0</v>
      </c>
      <c r="R264" s="370">
        <f t="shared" si="62"/>
        <v>0</v>
      </c>
      <c r="S264" s="353">
        <f t="shared" si="62"/>
        <v>0</v>
      </c>
      <c r="T264" s="363">
        <f t="shared" si="62"/>
        <v>0</v>
      </c>
      <c r="U264" s="363">
        <f t="shared" si="62"/>
        <v>0</v>
      </c>
      <c r="V264" s="363">
        <f t="shared" si="62"/>
        <v>0</v>
      </c>
      <c r="W264" s="370">
        <f t="shared" si="62"/>
        <v>0</v>
      </c>
    </row>
    <row r="265" spans="1:23" ht="12.75" hidden="1" customHeight="1" outlineLevel="1">
      <c r="A265" s="351" t="s">
        <v>149</v>
      </c>
      <c r="B265" s="353">
        <f t="shared" ref="B265:R265" si="63">B195+B210+B225+B240+B256</f>
        <v>0</v>
      </c>
      <c r="C265" s="370">
        <f t="shared" si="63"/>
        <v>0</v>
      </c>
      <c r="D265" s="353">
        <f t="shared" si="63"/>
        <v>0</v>
      </c>
      <c r="E265" s="363">
        <f t="shared" si="63"/>
        <v>7.5468749999999998E-3</v>
      </c>
      <c r="F265" s="363">
        <f t="shared" si="63"/>
        <v>4.7267578125000001E-2</v>
      </c>
      <c r="G265" s="363">
        <f t="shared" si="63"/>
        <v>9.9776806640625007E-2</v>
      </c>
      <c r="H265" s="370">
        <f t="shared" si="63"/>
        <v>0.17888303474408826</v>
      </c>
      <c r="I265" s="353">
        <f t="shared" si="63"/>
        <v>0.14270953278547549</v>
      </c>
      <c r="J265" s="363">
        <f t="shared" si="63"/>
        <v>0.10885428542264296</v>
      </c>
      <c r="K265" s="363">
        <f t="shared" si="63"/>
        <v>8.707703566090727E-2</v>
      </c>
      <c r="L265" s="363">
        <f t="shared" si="63"/>
        <v>7.2871250305208177E-2</v>
      </c>
      <c r="M265" s="370">
        <f t="shared" si="63"/>
        <v>6.3419036986389607E-2</v>
      </c>
      <c r="N265" s="353">
        <f t="shared" si="63"/>
        <v>5.6958037271915431E-2</v>
      </c>
      <c r="O265" s="363">
        <f t="shared" si="63"/>
        <v>5.2385716735439396E-2</v>
      </c>
      <c r="P265" s="363">
        <f t="shared" si="63"/>
        <v>4.9012030787700153E-2</v>
      </c>
      <c r="Q265" s="363">
        <f t="shared" si="63"/>
        <v>4.6404827622678696E-2</v>
      </c>
      <c r="R265" s="370">
        <f t="shared" si="63"/>
        <v>4.4293213787212828E-2</v>
      </c>
      <c r="S265" s="353">
        <f t="shared" si="62"/>
        <v>4.2507148029326501E-2</v>
      </c>
      <c r="T265" s="363">
        <f t="shared" si="62"/>
        <v>4.0939679215503337E-2</v>
      </c>
      <c r="U265" s="363">
        <f t="shared" si="62"/>
        <v>3.9523337978090184E-2</v>
      </c>
      <c r="V265" s="363">
        <f t="shared" si="62"/>
        <v>3.8215375454475245E-2</v>
      </c>
      <c r="W265" s="370">
        <f t="shared" si="62"/>
        <v>3.6988532318918105E-2</v>
      </c>
    </row>
    <row r="266" spans="1:23" ht="12.75" hidden="1" customHeight="1" outlineLevel="1">
      <c r="A266" s="355" t="s">
        <v>113</v>
      </c>
      <c r="B266" s="357">
        <f t="shared" ref="B266:W266" si="64">B263+B264-B265</f>
        <v>0</v>
      </c>
      <c r="C266" s="371">
        <f t="shared" si="64"/>
        <v>0</v>
      </c>
      <c r="D266" s="357">
        <f t="shared" si="64"/>
        <v>0</v>
      </c>
      <c r="E266" s="372">
        <f t="shared" si="64"/>
        <v>0.16495312499999998</v>
      </c>
      <c r="F266" s="372">
        <f t="shared" si="64"/>
        <v>1.044685546875</v>
      </c>
      <c r="G266" s="372">
        <f t="shared" si="64"/>
        <v>1.827908740234375</v>
      </c>
      <c r="H266" s="371">
        <f t="shared" si="64"/>
        <v>2.1116572890542544</v>
      </c>
      <c r="I266" s="357">
        <f t="shared" si="64"/>
        <v>1.9689477562687785</v>
      </c>
      <c r="J266" s="372">
        <f t="shared" si="64"/>
        <v>1.8600934708461361</v>
      </c>
      <c r="K266" s="372">
        <f t="shared" si="64"/>
        <v>1.7730164351852289</v>
      </c>
      <c r="L266" s="372">
        <f t="shared" si="64"/>
        <v>1.7001451848800204</v>
      </c>
      <c r="M266" s="371">
        <f t="shared" si="64"/>
        <v>1.636726147893631</v>
      </c>
      <c r="N266" s="357">
        <f t="shared" si="64"/>
        <v>1.5797681106217154</v>
      </c>
      <c r="O266" s="372">
        <f t="shared" si="64"/>
        <v>1.5273823938862763</v>
      </c>
      <c r="P266" s="372">
        <f t="shared" si="64"/>
        <v>1.4783703630985758</v>
      </c>
      <c r="Q266" s="372">
        <f t="shared" si="64"/>
        <v>1.4319655354758973</v>
      </c>
      <c r="R266" s="371">
        <f t="shared" si="64"/>
        <v>1.3876723216886844</v>
      </c>
      <c r="S266" s="357">
        <f t="shared" si="64"/>
        <v>1.3451651736593579</v>
      </c>
      <c r="T266" s="372">
        <f t="shared" si="64"/>
        <v>1.3042254944438545</v>
      </c>
      <c r="U266" s="372">
        <f t="shared" si="64"/>
        <v>1.2647021564657643</v>
      </c>
      <c r="V266" s="372">
        <f t="shared" si="64"/>
        <v>1.2264867810112892</v>
      </c>
      <c r="W266" s="371">
        <f t="shared" si="64"/>
        <v>1.1894982486923711</v>
      </c>
    </row>
    <row r="267" spans="1:23" ht="12.75" hidden="1" customHeight="1" outlineLevel="1">
      <c r="A267" s="366"/>
      <c r="B267" s="363"/>
      <c r="C267" s="363"/>
      <c r="D267" s="363"/>
      <c r="E267" s="363"/>
      <c r="F267" s="363"/>
      <c r="G267" s="363"/>
      <c r="H267" s="363"/>
      <c r="I267" s="363"/>
      <c r="J267" s="363"/>
      <c r="K267" s="363"/>
      <c r="L267" s="363"/>
      <c r="M267" s="363"/>
      <c r="N267" s="363"/>
      <c r="O267" s="363"/>
      <c r="P267" s="363"/>
      <c r="Q267" s="363"/>
      <c r="R267" s="363"/>
    </row>
    <row r="268" spans="1:23" ht="12.75" hidden="1" customHeight="1" outlineLevel="1">
      <c r="A268" s="366"/>
      <c r="B268" s="363"/>
      <c r="C268" s="363"/>
      <c r="D268" s="363"/>
      <c r="E268" s="363"/>
      <c r="F268" s="363"/>
      <c r="G268" s="363"/>
      <c r="H268" s="363"/>
      <c r="I268" s="363"/>
      <c r="J268" s="363"/>
      <c r="K268" s="363"/>
      <c r="L268" s="363"/>
      <c r="M268" s="363"/>
      <c r="N268" s="363"/>
      <c r="O268" s="363"/>
      <c r="P268" s="363"/>
      <c r="Q268" s="363"/>
      <c r="R268" s="363"/>
    </row>
    <row r="269" spans="1:23" ht="12.75" hidden="1" customHeight="1" outlineLevel="1">
      <c r="A269" s="366"/>
      <c r="B269" s="363"/>
      <c r="C269" s="363"/>
      <c r="D269" s="363"/>
      <c r="E269" s="363"/>
      <c r="F269" s="363"/>
      <c r="G269" s="363"/>
      <c r="H269" s="363"/>
      <c r="I269" s="363"/>
      <c r="J269" s="363"/>
      <c r="K269" s="363"/>
      <c r="L269" s="363"/>
      <c r="M269" s="363"/>
      <c r="N269" s="363"/>
      <c r="O269" s="363"/>
      <c r="P269" s="363"/>
      <c r="Q269" s="363"/>
      <c r="R269" s="363"/>
    </row>
    <row r="270" spans="1:23" ht="12.75" hidden="1" customHeight="1" outlineLevel="1">
      <c r="A270" s="366"/>
      <c r="B270" s="363"/>
      <c r="C270" s="363"/>
      <c r="D270" s="363"/>
      <c r="E270" s="363"/>
      <c r="F270" s="363"/>
      <c r="G270" s="363"/>
      <c r="H270" s="363"/>
      <c r="I270" s="363"/>
      <c r="J270" s="363"/>
      <c r="K270" s="363"/>
      <c r="L270" s="363"/>
      <c r="M270" s="363"/>
      <c r="N270" s="363"/>
      <c r="O270" s="363"/>
      <c r="P270" s="363"/>
      <c r="Q270" s="363"/>
      <c r="R270" s="363"/>
    </row>
    <row r="271" spans="1:23" collapsed="1">
      <c r="A271" s="366"/>
      <c r="B271" s="363"/>
      <c r="C271" s="363"/>
      <c r="D271" s="363"/>
      <c r="E271" s="363"/>
      <c r="F271" s="363"/>
      <c r="G271" s="363"/>
      <c r="H271" s="363"/>
      <c r="I271" s="363"/>
      <c r="J271" s="363"/>
      <c r="K271" s="363"/>
      <c r="L271" s="363"/>
      <c r="M271" s="363"/>
      <c r="N271" s="363"/>
      <c r="O271" s="363"/>
      <c r="P271" s="363"/>
      <c r="Q271" s="363"/>
      <c r="R271" s="363"/>
    </row>
    <row r="272" spans="1:23">
      <c r="A272" s="343" t="s">
        <v>166</v>
      </c>
    </row>
    <row r="274" spans="1:5" ht="25.5" hidden="1" customHeight="1" outlineLevel="1">
      <c r="A274" s="344" t="s">
        <v>167</v>
      </c>
      <c r="B274" s="345" t="s">
        <v>137</v>
      </c>
      <c r="C274" s="345" t="s">
        <v>138</v>
      </c>
      <c r="D274" s="621" t="s">
        <v>139</v>
      </c>
      <c r="E274" s="621"/>
    </row>
    <row r="275" spans="1:5" ht="12.75" hidden="1" customHeight="1" outlineLevel="1">
      <c r="A275" s="346" t="s">
        <v>121</v>
      </c>
      <c r="B275" s="376">
        <v>0</v>
      </c>
      <c r="C275" s="377">
        <v>20</v>
      </c>
      <c r="D275" s="377" t="s">
        <v>140</v>
      </c>
      <c r="E275" s="350"/>
    </row>
    <row r="276" spans="1:5" ht="12.75" hidden="1" customHeight="1" outlineLevel="1">
      <c r="A276" s="351" t="s">
        <v>122</v>
      </c>
      <c r="B276" s="378">
        <f>B275</f>
        <v>0</v>
      </c>
      <c r="C276" s="379">
        <v>4</v>
      </c>
      <c r="D276" s="379" t="s">
        <v>140</v>
      </c>
      <c r="E276" s="354"/>
    </row>
    <row r="277" spans="1:5" ht="12.75" hidden="1" customHeight="1" outlineLevel="1">
      <c r="A277" s="351" t="s">
        <v>142</v>
      </c>
      <c r="B277" s="378">
        <f>B276</f>
        <v>0</v>
      </c>
      <c r="C277" s="379">
        <v>40</v>
      </c>
      <c r="D277" s="379" t="s">
        <v>143</v>
      </c>
      <c r="E277" s="354"/>
    </row>
    <row r="278" spans="1:5" ht="12.75" hidden="1" customHeight="1" outlineLevel="1">
      <c r="A278" s="351" t="s">
        <v>126</v>
      </c>
      <c r="B278" s="378">
        <f>B277</f>
        <v>0</v>
      </c>
      <c r="C278" s="379">
        <v>10</v>
      </c>
      <c r="D278" s="379" t="s">
        <v>140</v>
      </c>
      <c r="E278" s="354"/>
    </row>
    <row r="279" spans="1:5" ht="12.75" hidden="1" customHeight="1" outlineLevel="1">
      <c r="A279" s="351" t="s">
        <v>153</v>
      </c>
      <c r="B279" s="380">
        <f>B278</f>
        <v>0</v>
      </c>
      <c r="C279" s="381">
        <v>0</v>
      </c>
      <c r="D279" s="382" t="s">
        <v>141</v>
      </c>
      <c r="E279" s="358"/>
    </row>
    <row r="280" spans="1:5" ht="12.75" hidden="1" customHeight="1" outlineLevel="1">
      <c r="A280" s="366"/>
      <c r="B280" s="383">
        <f>SUM(B275:B279)</f>
        <v>0</v>
      </c>
      <c r="C280" s="384"/>
      <c r="D280" s="383"/>
      <c r="E280" s="366"/>
    </row>
    <row r="281" spans="1:5" ht="12.75" hidden="1" customHeight="1" outlineLevel="1"/>
    <row r="282" spans="1:5" ht="12.75" hidden="1" customHeight="1" outlineLevel="1">
      <c r="A282" s="360" t="s">
        <v>144</v>
      </c>
    </row>
    <row r="283" spans="1:5" ht="12.75" hidden="1" customHeight="1" outlineLevel="1"/>
    <row r="284" spans="1:5" ht="12.75" hidden="1" customHeight="1" outlineLevel="1">
      <c r="A284" s="360" t="str">
        <f>A275</f>
        <v>Mains &amp; Services</v>
      </c>
    </row>
    <row r="285" spans="1:5" ht="12.75" hidden="1" customHeight="1" outlineLevel="1">
      <c r="A285" s="385" t="s">
        <v>145</v>
      </c>
      <c r="B285" s="377">
        <f>B275</f>
        <v>0</v>
      </c>
      <c r="C285" s="350"/>
      <c r="D285" s="366"/>
      <c r="E285" s="366"/>
    </row>
    <row r="286" spans="1:5" ht="12.75" hidden="1" customHeight="1" outlineLevel="1">
      <c r="A286" s="386" t="s">
        <v>146</v>
      </c>
      <c r="B286" s="379">
        <f>C275</f>
        <v>20</v>
      </c>
      <c r="C286" s="354"/>
      <c r="D286" s="366"/>
      <c r="E286" s="366"/>
    </row>
    <row r="287" spans="1:5" ht="12.75" hidden="1" customHeight="1" outlineLevel="1">
      <c r="A287" s="386" t="s">
        <v>147</v>
      </c>
      <c r="B287" s="379" t="str">
        <f>D275</f>
        <v>Declining Balance</v>
      </c>
      <c r="C287" s="354"/>
      <c r="D287" s="366"/>
      <c r="E287" s="366"/>
    </row>
    <row r="288" spans="1:5" ht="12.75" hidden="1" customHeight="1" outlineLevel="1">
      <c r="A288" s="364" t="s">
        <v>148</v>
      </c>
      <c r="B288" s="365">
        <f>IF(B287="Straight Line",1/B286,IF(B287="Declining Balance",1/B286*1.5,1))</f>
        <v>7.5000000000000011E-2</v>
      </c>
      <c r="C288" s="358"/>
      <c r="D288" s="366"/>
      <c r="E288" s="366"/>
    </row>
    <row r="289" spans="1:23" ht="12.75" hidden="1" customHeight="1" outlineLevel="1">
      <c r="A289" s="366"/>
      <c r="B289" s="383"/>
      <c r="C289" s="366"/>
      <c r="D289" s="366"/>
      <c r="E289" s="366"/>
    </row>
    <row r="290" spans="1:23" ht="12.75" hidden="1" customHeight="1" outlineLevel="1">
      <c r="A290" s="366" t="s">
        <v>154</v>
      </c>
      <c r="B290" s="403" t="s">
        <v>164</v>
      </c>
      <c r="C290" s="404" t="s">
        <v>168</v>
      </c>
      <c r="D290" s="405" t="s">
        <v>169</v>
      </c>
      <c r="E290" s="404" t="s">
        <v>170</v>
      </c>
      <c r="F290" s="406" t="s">
        <v>171</v>
      </c>
      <c r="G290" s="407"/>
      <c r="H290" s="408"/>
      <c r="I290" s="408"/>
      <c r="J290" s="408"/>
      <c r="K290" s="408"/>
      <c r="L290" s="408"/>
    </row>
    <row r="291" spans="1:23" ht="12.75" hidden="1" customHeight="1" outlineLevel="1">
      <c r="A291" s="391" t="s">
        <v>155</v>
      </c>
      <c r="B291" s="392">
        <v>0.24873515394520543</v>
      </c>
      <c r="C291" s="409">
        <v>0.41180783490914619</v>
      </c>
      <c r="D291" s="409">
        <v>1.0532347106394881</v>
      </c>
      <c r="E291" s="409">
        <v>0.65670708799999999</v>
      </c>
      <c r="F291" s="394">
        <v>0.37868707903824655</v>
      </c>
      <c r="G291" s="410"/>
      <c r="H291" s="383"/>
      <c r="I291" s="383"/>
      <c r="J291" s="383"/>
      <c r="K291" s="383"/>
      <c r="L291" s="411"/>
      <c r="M291" s="412"/>
    </row>
    <row r="292" spans="1:23" ht="12.75" hidden="1" customHeight="1" outlineLevel="1">
      <c r="A292" s="366"/>
      <c r="B292" s="383"/>
      <c r="C292" s="366"/>
    </row>
    <row r="293" spans="1:23" ht="12.75" hidden="1" customHeight="1" outlineLevel="1">
      <c r="B293" s="367">
        <v>1996</v>
      </c>
      <c r="C293" s="368">
        <v>1997</v>
      </c>
      <c r="D293" s="367">
        <v>1998</v>
      </c>
      <c r="E293" s="369">
        <v>1999</v>
      </c>
      <c r="F293" s="369">
        <v>2000</v>
      </c>
      <c r="G293" s="369">
        <v>2001</v>
      </c>
      <c r="H293" s="368">
        <v>2002</v>
      </c>
      <c r="I293" s="367">
        <v>2003</v>
      </c>
      <c r="J293" s="369">
        <v>2004</v>
      </c>
      <c r="K293" s="369">
        <v>2005</v>
      </c>
      <c r="L293" s="369">
        <v>2006</v>
      </c>
      <c r="M293" s="368">
        <v>2007</v>
      </c>
      <c r="N293" s="367">
        <v>2008</v>
      </c>
      <c r="O293" s="369">
        <v>2009</v>
      </c>
      <c r="P293" s="369">
        <v>2010</v>
      </c>
      <c r="Q293" s="369">
        <v>2011</v>
      </c>
      <c r="R293" s="368">
        <v>2012</v>
      </c>
      <c r="S293" s="367">
        <f t="shared" ref="S293:W293" si="65">R293+1</f>
        <v>2013</v>
      </c>
      <c r="T293" s="369">
        <f t="shared" si="65"/>
        <v>2014</v>
      </c>
      <c r="U293" s="369">
        <f t="shared" si="65"/>
        <v>2015</v>
      </c>
      <c r="V293" s="369">
        <f t="shared" si="65"/>
        <v>2016</v>
      </c>
      <c r="W293" s="368">
        <f t="shared" si="65"/>
        <v>2017</v>
      </c>
    </row>
    <row r="294" spans="1:23" ht="12.75" hidden="1" customHeight="1" outlineLevel="1">
      <c r="A294" s="346" t="s">
        <v>2</v>
      </c>
      <c r="B294" s="379">
        <f>B285</f>
        <v>0</v>
      </c>
      <c r="C294" s="395">
        <f t="shared" ref="C294:W294" si="66">B297</f>
        <v>0</v>
      </c>
      <c r="D294" s="379">
        <f t="shared" si="66"/>
        <v>0</v>
      </c>
      <c r="E294" s="383">
        <f t="shared" si="66"/>
        <v>0</v>
      </c>
      <c r="F294" s="383">
        <f t="shared" si="66"/>
        <v>0</v>
      </c>
      <c r="G294" s="383">
        <f t="shared" si="66"/>
        <v>0</v>
      </c>
      <c r="H294" s="395">
        <f t="shared" si="66"/>
        <v>0</v>
      </c>
      <c r="I294" s="379">
        <f t="shared" si="66"/>
        <v>0.23940758567226023</v>
      </c>
      <c r="J294" s="383">
        <f t="shared" si="66"/>
        <v>0.617817057846894</v>
      </c>
      <c r="K294" s="383">
        <f t="shared" si="66"/>
        <v>1.5852191874988844</v>
      </c>
      <c r="L294" s="383">
        <f t="shared" si="66"/>
        <v>2.0984083206364681</v>
      </c>
      <c r="M294" s="395">
        <f t="shared" si="66"/>
        <v>2.3055140101630451</v>
      </c>
      <c r="N294" s="413">
        <f t="shared" si="66"/>
        <v>2.1326004594008166</v>
      </c>
      <c r="O294" s="383">
        <f t="shared" si="66"/>
        <v>1.9726554249457553</v>
      </c>
      <c r="P294" s="383">
        <f t="shared" si="66"/>
        <v>1.8247062680748236</v>
      </c>
      <c r="Q294" s="383">
        <f t="shared" si="66"/>
        <v>1.6878532979692118</v>
      </c>
      <c r="R294" s="395">
        <f t="shared" si="66"/>
        <v>1.561264300621521</v>
      </c>
      <c r="S294" s="413">
        <f t="shared" si="66"/>
        <v>1.4441694780749068</v>
      </c>
      <c r="T294" s="383">
        <f t="shared" si="66"/>
        <v>1.3358567672192887</v>
      </c>
      <c r="U294" s="383">
        <f t="shared" si="66"/>
        <v>1.235667509677842</v>
      </c>
      <c r="V294" s="383">
        <f t="shared" si="66"/>
        <v>1.1429924464520038</v>
      </c>
      <c r="W294" s="395">
        <f t="shared" si="66"/>
        <v>1.0572680129681036</v>
      </c>
    </row>
    <row r="295" spans="1:23" ht="12.75" hidden="1" customHeight="1" outlineLevel="1">
      <c r="A295" s="351" t="s">
        <v>156</v>
      </c>
      <c r="B295" s="379">
        <v>0</v>
      </c>
      <c r="C295" s="395">
        <v>0</v>
      </c>
      <c r="D295" s="379">
        <v>0</v>
      </c>
      <c r="E295" s="383">
        <v>0</v>
      </c>
      <c r="F295" s="383">
        <v>0</v>
      </c>
      <c r="G295" s="383">
        <v>0</v>
      </c>
      <c r="H295" s="395">
        <f>B291</f>
        <v>0.24873515394520543</v>
      </c>
      <c r="I295" s="379">
        <f>C291</f>
        <v>0.41180783490914619</v>
      </c>
      <c r="J295" s="383">
        <f>D291</f>
        <v>1.0532347106394881</v>
      </c>
      <c r="K295" s="383">
        <f>E291</f>
        <v>0.65670708799999999</v>
      </c>
      <c r="L295" s="383">
        <f>F291</f>
        <v>0.37868707903824655</v>
      </c>
      <c r="M295" s="395">
        <v>0</v>
      </c>
      <c r="N295" s="379">
        <v>0</v>
      </c>
      <c r="O295" s="383">
        <v>0</v>
      </c>
      <c r="P295" s="383">
        <v>0</v>
      </c>
      <c r="Q295" s="383">
        <v>0</v>
      </c>
      <c r="R295" s="395">
        <v>0</v>
      </c>
      <c r="S295" s="379">
        <v>0</v>
      </c>
      <c r="T295" s="383">
        <v>0</v>
      </c>
      <c r="U295" s="383">
        <v>0</v>
      </c>
      <c r="V295" s="383">
        <v>0</v>
      </c>
      <c r="W295" s="395">
        <v>0</v>
      </c>
    </row>
    <row r="296" spans="1:23" ht="12.75" hidden="1" customHeight="1" outlineLevel="1">
      <c r="A296" s="351" t="s">
        <v>157</v>
      </c>
      <c r="B296" s="375">
        <f>IF($B288=1,B295+B294,B295*$B288*0.5)</f>
        <v>0</v>
      </c>
      <c r="C296" s="375">
        <f t="shared" ref="C296:W296" si="67">IF($B288=1,C295+C294,(C294+C295*0.5)*$B288)</f>
        <v>0</v>
      </c>
      <c r="D296" s="396">
        <f t="shared" si="67"/>
        <v>0</v>
      </c>
      <c r="E296" s="375">
        <f t="shared" si="67"/>
        <v>0</v>
      </c>
      <c r="F296" s="375">
        <f t="shared" si="67"/>
        <v>0</v>
      </c>
      <c r="G296" s="375">
        <f t="shared" si="67"/>
        <v>0</v>
      </c>
      <c r="H296" s="397">
        <f t="shared" si="67"/>
        <v>9.3275682729452043E-3</v>
      </c>
      <c r="I296" s="396">
        <f t="shared" si="67"/>
        <v>3.3398362734512507E-2</v>
      </c>
      <c r="J296" s="375">
        <f t="shared" si="67"/>
        <v>8.5832580987497881E-2</v>
      </c>
      <c r="K296" s="375">
        <f t="shared" si="67"/>
        <v>0.14351795486241636</v>
      </c>
      <c r="L296" s="375">
        <f t="shared" si="67"/>
        <v>0.17158138951166937</v>
      </c>
      <c r="M296" s="397">
        <f t="shared" si="67"/>
        <v>0.17291355076222842</v>
      </c>
      <c r="N296" s="396">
        <f t="shared" si="67"/>
        <v>0.15994503445506125</v>
      </c>
      <c r="O296" s="375">
        <f t="shared" si="67"/>
        <v>0.14794915687093166</v>
      </c>
      <c r="P296" s="375">
        <f t="shared" si="67"/>
        <v>0.13685297010561179</v>
      </c>
      <c r="Q296" s="375">
        <f t="shared" si="67"/>
        <v>0.12658899734769091</v>
      </c>
      <c r="R296" s="397">
        <f t="shared" si="67"/>
        <v>0.11709482254661409</v>
      </c>
      <c r="S296" s="396">
        <f t="shared" si="67"/>
        <v>0.10831271085561803</v>
      </c>
      <c r="T296" s="375">
        <f t="shared" si="67"/>
        <v>0.10018925754144667</v>
      </c>
      <c r="U296" s="375">
        <f t="shared" si="67"/>
        <v>9.267506322583817E-2</v>
      </c>
      <c r="V296" s="375">
        <f t="shared" si="67"/>
        <v>8.5724433483900297E-2</v>
      </c>
      <c r="W296" s="397">
        <f t="shared" si="67"/>
        <v>7.9295100972607779E-2</v>
      </c>
    </row>
    <row r="297" spans="1:23" ht="12.75" hidden="1" customHeight="1" outlineLevel="1">
      <c r="A297" s="355" t="s">
        <v>113</v>
      </c>
      <c r="B297" s="382">
        <f t="shared" ref="B297:W297" si="68">B294+B295-B296</f>
        <v>0</v>
      </c>
      <c r="C297" s="398">
        <f t="shared" si="68"/>
        <v>0</v>
      </c>
      <c r="D297" s="382">
        <f t="shared" si="68"/>
        <v>0</v>
      </c>
      <c r="E297" s="399">
        <f t="shared" si="68"/>
        <v>0</v>
      </c>
      <c r="F297" s="399">
        <f t="shared" si="68"/>
        <v>0</v>
      </c>
      <c r="G297" s="399">
        <f t="shared" si="68"/>
        <v>0</v>
      </c>
      <c r="H297" s="398">
        <f t="shared" si="68"/>
        <v>0.23940758567226023</v>
      </c>
      <c r="I297" s="382">
        <f t="shared" si="68"/>
        <v>0.617817057846894</v>
      </c>
      <c r="J297" s="399">
        <f t="shared" si="68"/>
        <v>1.5852191874988844</v>
      </c>
      <c r="K297" s="399">
        <f t="shared" si="68"/>
        <v>2.0984083206364681</v>
      </c>
      <c r="L297" s="399">
        <f t="shared" si="68"/>
        <v>2.3055140101630451</v>
      </c>
      <c r="M297" s="398">
        <f t="shared" si="68"/>
        <v>2.1326004594008166</v>
      </c>
      <c r="N297" s="382">
        <f t="shared" si="68"/>
        <v>1.9726554249457553</v>
      </c>
      <c r="O297" s="399">
        <f t="shared" si="68"/>
        <v>1.8247062680748236</v>
      </c>
      <c r="P297" s="399">
        <f t="shared" si="68"/>
        <v>1.6878532979692118</v>
      </c>
      <c r="Q297" s="399">
        <f t="shared" si="68"/>
        <v>1.561264300621521</v>
      </c>
      <c r="R297" s="398">
        <f t="shared" si="68"/>
        <v>1.4441694780749068</v>
      </c>
      <c r="S297" s="382">
        <f t="shared" si="68"/>
        <v>1.3358567672192887</v>
      </c>
      <c r="T297" s="399">
        <f t="shared" si="68"/>
        <v>1.235667509677842</v>
      </c>
      <c r="U297" s="399">
        <f t="shared" si="68"/>
        <v>1.1429924464520038</v>
      </c>
      <c r="V297" s="399">
        <f t="shared" si="68"/>
        <v>1.0572680129681036</v>
      </c>
      <c r="W297" s="398">
        <f t="shared" si="68"/>
        <v>0.97797291199549585</v>
      </c>
    </row>
    <row r="298" spans="1:23" ht="12.75" hidden="1" customHeight="1" outlineLevel="1"/>
    <row r="299" spans="1:23" ht="12.75" hidden="1" customHeight="1" outlineLevel="1">
      <c r="A299" s="360" t="str">
        <f>A276</f>
        <v>Meters</v>
      </c>
    </row>
    <row r="300" spans="1:23" ht="12.75" hidden="1" customHeight="1" outlineLevel="1">
      <c r="A300" s="385" t="s">
        <v>145</v>
      </c>
      <c r="B300" s="377">
        <f>B276</f>
        <v>0</v>
      </c>
      <c r="C300" s="350"/>
      <c r="D300" s="366"/>
      <c r="E300" s="366"/>
    </row>
    <row r="301" spans="1:23" ht="12.75" hidden="1" customHeight="1" outlineLevel="1">
      <c r="A301" s="386" t="s">
        <v>146</v>
      </c>
      <c r="B301" s="379">
        <f>C276</f>
        <v>4</v>
      </c>
      <c r="C301" s="354"/>
      <c r="D301" s="366"/>
      <c r="E301" s="366"/>
    </row>
    <row r="302" spans="1:23" ht="12.75" hidden="1" customHeight="1" outlineLevel="1">
      <c r="A302" s="386" t="s">
        <v>147</v>
      </c>
      <c r="B302" s="379" t="str">
        <f>D276</f>
        <v>Declining Balance</v>
      </c>
      <c r="C302" s="354"/>
      <c r="D302" s="366"/>
      <c r="E302" s="366"/>
    </row>
    <row r="303" spans="1:23" ht="12.75" hidden="1" customHeight="1" outlineLevel="1">
      <c r="A303" s="364" t="s">
        <v>148</v>
      </c>
      <c r="B303" s="365">
        <f>IF(AND(B301=0,B302=""),0,IF(B302="Straight Line",1/B301,IF(B302="Declining Balance",1/B301*1.5,1)))</f>
        <v>0.375</v>
      </c>
      <c r="C303" s="358"/>
      <c r="D303" s="366"/>
      <c r="E303" s="366"/>
    </row>
    <row r="304" spans="1:23" ht="12.75" hidden="1" customHeight="1" outlineLevel="1">
      <c r="A304" s="366"/>
      <c r="B304" s="383"/>
      <c r="C304" s="366"/>
      <c r="D304" s="366"/>
      <c r="E304" s="366"/>
    </row>
    <row r="305" spans="1:23" ht="12.75" hidden="1" customHeight="1" outlineLevel="1">
      <c r="A305" s="366" t="s">
        <v>154</v>
      </c>
      <c r="B305" s="403" t="s">
        <v>164</v>
      </c>
      <c r="C305" s="404" t="s">
        <v>168</v>
      </c>
      <c r="D305" s="405" t="s">
        <v>169</v>
      </c>
      <c r="E305" s="404" t="s">
        <v>170</v>
      </c>
      <c r="F305" s="406" t="s">
        <v>171</v>
      </c>
      <c r="G305" s="407"/>
      <c r="H305" s="408"/>
      <c r="I305" s="408"/>
      <c r="J305" s="408"/>
      <c r="K305" s="408"/>
      <c r="L305" s="408"/>
    </row>
    <row r="306" spans="1:23" ht="12.75" hidden="1" customHeight="1" outlineLevel="1">
      <c r="A306" s="391" t="s">
        <v>155</v>
      </c>
      <c r="B306" s="392">
        <v>0.16248246523516235</v>
      </c>
      <c r="C306" s="409">
        <v>0.43961616509085361</v>
      </c>
      <c r="D306" s="409">
        <v>0.51208900699999993</v>
      </c>
      <c r="E306" s="409">
        <v>0.46993769199999996</v>
      </c>
      <c r="F306" s="394">
        <v>0.20653941696175337</v>
      </c>
      <c r="G306" s="410"/>
      <c r="H306" s="383"/>
      <c r="I306" s="383"/>
      <c r="J306" s="383"/>
      <c r="K306" s="383"/>
      <c r="L306" s="411"/>
      <c r="M306" s="412"/>
    </row>
    <row r="307" spans="1:23" ht="12.75" hidden="1" customHeight="1" outlineLevel="1">
      <c r="A307" s="366"/>
      <c r="B307" s="383"/>
      <c r="C307" s="366"/>
    </row>
    <row r="308" spans="1:23" ht="12.75" hidden="1" customHeight="1" outlineLevel="1">
      <c r="B308" s="367">
        <v>1996</v>
      </c>
      <c r="C308" s="368">
        <v>1997</v>
      </c>
      <c r="D308" s="367">
        <v>1998</v>
      </c>
      <c r="E308" s="369">
        <v>1999</v>
      </c>
      <c r="F308" s="369">
        <v>2000</v>
      </c>
      <c r="G308" s="369">
        <v>2001</v>
      </c>
      <c r="H308" s="368">
        <v>2002</v>
      </c>
      <c r="I308" s="367">
        <v>2003</v>
      </c>
      <c r="J308" s="369">
        <v>2004</v>
      </c>
      <c r="K308" s="369">
        <v>2005</v>
      </c>
      <c r="L308" s="369">
        <v>2006</v>
      </c>
      <c r="M308" s="368">
        <v>2007</v>
      </c>
      <c r="N308" s="367">
        <v>2008</v>
      </c>
      <c r="O308" s="369">
        <v>2009</v>
      </c>
      <c r="P308" s="369">
        <v>2010</v>
      </c>
      <c r="Q308" s="369">
        <v>2011</v>
      </c>
      <c r="R308" s="368">
        <v>2012</v>
      </c>
      <c r="S308" s="367">
        <f t="shared" ref="S308:W308" si="69">R308+1</f>
        <v>2013</v>
      </c>
      <c r="T308" s="369">
        <f t="shared" si="69"/>
        <v>2014</v>
      </c>
      <c r="U308" s="369">
        <f t="shared" si="69"/>
        <v>2015</v>
      </c>
      <c r="V308" s="369">
        <f t="shared" si="69"/>
        <v>2016</v>
      </c>
      <c r="W308" s="368">
        <f t="shared" si="69"/>
        <v>2017</v>
      </c>
    </row>
    <row r="309" spans="1:23" ht="12.75" hidden="1" customHeight="1" outlineLevel="1">
      <c r="A309" s="346" t="s">
        <v>2</v>
      </c>
      <c r="B309" s="379">
        <f>B300</f>
        <v>0</v>
      </c>
      <c r="C309" s="395">
        <f t="shared" ref="C309:W309" si="70">B312</f>
        <v>0</v>
      </c>
      <c r="D309" s="379">
        <f t="shared" si="70"/>
        <v>0</v>
      </c>
      <c r="E309" s="383">
        <f t="shared" si="70"/>
        <v>0</v>
      </c>
      <c r="F309" s="383">
        <f t="shared" si="70"/>
        <v>0</v>
      </c>
      <c r="G309" s="383">
        <f t="shared" si="70"/>
        <v>0</v>
      </c>
      <c r="H309" s="395">
        <f t="shared" si="70"/>
        <v>0</v>
      </c>
      <c r="I309" s="379">
        <f t="shared" si="70"/>
        <v>0.13201700300356942</v>
      </c>
      <c r="J309" s="383">
        <f t="shared" si="70"/>
        <v>0.43969876101354943</v>
      </c>
      <c r="K309" s="383">
        <f t="shared" si="70"/>
        <v>0.69088404382096835</v>
      </c>
      <c r="L309" s="383">
        <f t="shared" si="70"/>
        <v>0.81362690213810507</v>
      </c>
      <c r="M309" s="395">
        <f t="shared" si="70"/>
        <v>0.67633009011774026</v>
      </c>
      <c r="N309" s="413">
        <f t="shared" si="70"/>
        <v>0.42270630632358763</v>
      </c>
      <c r="O309" s="383">
        <f t="shared" si="70"/>
        <v>0.26419144145224227</v>
      </c>
      <c r="P309" s="383">
        <f t="shared" si="70"/>
        <v>0.16511965090765141</v>
      </c>
      <c r="Q309" s="383">
        <f t="shared" si="70"/>
        <v>0.10319978181728212</v>
      </c>
      <c r="R309" s="395">
        <f t="shared" si="70"/>
        <v>6.4499863635801319E-2</v>
      </c>
      <c r="S309" s="413">
        <f t="shared" si="70"/>
        <v>4.0312414772375821E-2</v>
      </c>
      <c r="T309" s="383">
        <f t="shared" si="70"/>
        <v>2.5195259232734888E-2</v>
      </c>
      <c r="U309" s="383">
        <f t="shared" si="70"/>
        <v>1.5747037020459306E-2</v>
      </c>
      <c r="V309" s="383">
        <f t="shared" si="70"/>
        <v>9.8418981377870664E-3</v>
      </c>
      <c r="W309" s="395">
        <f t="shared" si="70"/>
        <v>6.1511863361169167E-3</v>
      </c>
    </row>
    <row r="310" spans="1:23" ht="12.75" hidden="1" customHeight="1" outlineLevel="1">
      <c r="A310" s="351" t="s">
        <v>156</v>
      </c>
      <c r="B310" s="379">
        <v>0</v>
      </c>
      <c r="C310" s="395">
        <v>0</v>
      </c>
      <c r="D310" s="379">
        <v>0</v>
      </c>
      <c r="E310" s="383">
        <v>0</v>
      </c>
      <c r="F310" s="383">
        <v>0</v>
      </c>
      <c r="G310" s="383">
        <v>0</v>
      </c>
      <c r="H310" s="395">
        <f>B306</f>
        <v>0.16248246523516235</v>
      </c>
      <c r="I310" s="379">
        <f>C306</f>
        <v>0.43961616509085361</v>
      </c>
      <c r="J310" s="383">
        <f>D306</f>
        <v>0.51208900699999993</v>
      </c>
      <c r="K310" s="383">
        <f>E306</f>
        <v>0.46993769199999996</v>
      </c>
      <c r="L310" s="383">
        <f>F306</f>
        <v>0.20653941696175337</v>
      </c>
      <c r="M310" s="395">
        <v>0</v>
      </c>
      <c r="N310" s="379">
        <v>0</v>
      </c>
      <c r="O310" s="383">
        <v>0</v>
      </c>
      <c r="P310" s="383">
        <v>0</v>
      </c>
      <c r="Q310" s="383">
        <v>0</v>
      </c>
      <c r="R310" s="395">
        <v>0</v>
      </c>
      <c r="S310" s="379">
        <v>0</v>
      </c>
      <c r="T310" s="383">
        <v>0</v>
      </c>
      <c r="U310" s="383">
        <v>0</v>
      </c>
      <c r="V310" s="383">
        <v>0</v>
      </c>
      <c r="W310" s="395">
        <v>0</v>
      </c>
    </row>
    <row r="311" spans="1:23" ht="12.75" hidden="1" customHeight="1" outlineLevel="1">
      <c r="A311" s="351" t="s">
        <v>157</v>
      </c>
      <c r="B311" s="375">
        <f>IF($B303=1,B310+B309,B310*$B303*0.5)</f>
        <v>0</v>
      </c>
      <c r="C311" s="375">
        <f t="shared" ref="C311:W311" si="71">IF($B303=1,C310+C309,(C309+C310*0.5)*$B303)</f>
        <v>0</v>
      </c>
      <c r="D311" s="396">
        <f t="shared" si="71"/>
        <v>0</v>
      </c>
      <c r="E311" s="375">
        <f t="shared" si="71"/>
        <v>0</v>
      </c>
      <c r="F311" s="375">
        <f t="shared" si="71"/>
        <v>0</v>
      </c>
      <c r="G311" s="375">
        <f t="shared" si="71"/>
        <v>0</v>
      </c>
      <c r="H311" s="397">
        <f t="shared" si="71"/>
        <v>3.0465462231592941E-2</v>
      </c>
      <c r="I311" s="396">
        <f t="shared" si="71"/>
        <v>0.13193440708087359</v>
      </c>
      <c r="J311" s="375">
        <f t="shared" si="71"/>
        <v>0.26090372419258101</v>
      </c>
      <c r="K311" s="375">
        <f t="shared" si="71"/>
        <v>0.34719483368286314</v>
      </c>
      <c r="L311" s="375">
        <f t="shared" si="71"/>
        <v>0.34383622898211819</v>
      </c>
      <c r="M311" s="397">
        <f t="shared" si="71"/>
        <v>0.25362378379415262</v>
      </c>
      <c r="N311" s="396">
        <f t="shared" si="71"/>
        <v>0.15851486487134536</v>
      </c>
      <c r="O311" s="375">
        <f t="shared" si="71"/>
        <v>9.9071790544590851E-2</v>
      </c>
      <c r="P311" s="375">
        <f t="shared" si="71"/>
        <v>6.1919869090369277E-2</v>
      </c>
      <c r="Q311" s="375">
        <f t="shared" si="71"/>
        <v>3.8699918181480795E-2</v>
      </c>
      <c r="R311" s="397">
        <f t="shared" si="71"/>
        <v>2.4187448863425495E-2</v>
      </c>
      <c r="S311" s="396">
        <f t="shared" si="71"/>
        <v>1.5117155539640933E-2</v>
      </c>
      <c r="T311" s="375">
        <f t="shared" si="71"/>
        <v>9.4482222122755834E-3</v>
      </c>
      <c r="U311" s="375">
        <f t="shared" si="71"/>
        <v>5.9051388826722399E-3</v>
      </c>
      <c r="V311" s="375">
        <f t="shared" si="71"/>
        <v>3.6907118016701497E-3</v>
      </c>
      <c r="W311" s="397">
        <f t="shared" si="71"/>
        <v>2.306694876043844E-3</v>
      </c>
    </row>
    <row r="312" spans="1:23" ht="12.75" hidden="1" customHeight="1" outlineLevel="1">
      <c r="A312" s="355" t="s">
        <v>113</v>
      </c>
      <c r="B312" s="382">
        <f t="shared" ref="B312:W312" si="72">B309+B310-B311</f>
        <v>0</v>
      </c>
      <c r="C312" s="398">
        <f t="shared" si="72"/>
        <v>0</v>
      </c>
      <c r="D312" s="382">
        <f t="shared" si="72"/>
        <v>0</v>
      </c>
      <c r="E312" s="399">
        <f t="shared" si="72"/>
        <v>0</v>
      </c>
      <c r="F312" s="399">
        <f t="shared" si="72"/>
        <v>0</v>
      </c>
      <c r="G312" s="399">
        <f t="shared" si="72"/>
        <v>0</v>
      </c>
      <c r="H312" s="398">
        <f t="shared" si="72"/>
        <v>0.13201700300356942</v>
      </c>
      <c r="I312" s="382">
        <f t="shared" si="72"/>
        <v>0.43969876101354943</v>
      </c>
      <c r="J312" s="399">
        <f t="shared" si="72"/>
        <v>0.69088404382096835</v>
      </c>
      <c r="K312" s="399">
        <f t="shared" si="72"/>
        <v>0.81362690213810507</v>
      </c>
      <c r="L312" s="399">
        <f t="shared" si="72"/>
        <v>0.67633009011774026</v>
      </c>
      <c r="M312" s="398">
        <f t="shared" si="72"/>
        <v>0.42270630632358763</v>
      </c>
      <c r="N312" s="382">
        <f t="shared" si="72"/>
        <v>0.26419144145224227</v>
      </c>
      <c r="O312" s="399">
        <f t="shared" si="72"/>
        <v>0.16511965090765141</v>
      </c>
      <c r="P312" s="399">
        <f t="shared" si="72"/>
        <v>0.10319978181728212</v>
      </c>
      <c r="Q312" s="399">
        <f t="shared" si="72"/>
        <v>6.4499863635801319E-2</v>
      </c>
      <c r="R312" s="398">
        <f t="shared" si="72"/>
        <v>4.0312414772375821E-2</v>
      </c>
      <c r="S312" s="382">
        <f t="shared" si="72"/>
        <v>2.5195259232734888E-2</v>
      </c>
      <c r="T312" s="399">
        <f t="shared" si="72"/>
        <v>1.5747037020459306E-2</v>
      </c>
      <c r="U312" s="399">
        <f t="shared" si="72"/>
        <v>9.8418981377870664E-3</v>
      </c>
      <c r="V312" s="399">
        <f t="shared" si="72"/>
        <v>6.1511863361169167E-3</v>
      </c>
      <c r="W312" s="398">
        <f t="shared" si="72"/>
        <v>3.8444914600730727E-3</v>
      </c>
    </row>
    <row r="313" spans="1:23" ht="12.75" hidden="1" customHeight="1" outlineLevel="1"/>
    <row r="314" spans="1:23" ht="12.75" hidden="1" customHeight="1" outlineLevel="1">
      <c r="A314" s="360" t="str">
        <f>A277</f>
        <v>Land &amp; Buildings</v>
      </c>
    </row>
    <row r="315" spans="1:23" ht="12.75" hidden="1" customHeight="1" outlineLevel="1">
      <c r="A315" s="385" t="s">
        <v>145</v>
      </c>
      <c r="B315" s="377">
        <f>B277</f>
        <v>0</v>
      </c>
      <c r="C315" s="350"/>
      <c r="D315" s="366"/>
      <c r="E315" s="366"/>
    </row>
    <row r="316" spans="1:23" ht="12.75" hidden="1" customHeight="1" outlineLevel="1">
      <c r="A316" s="386" t="s">
        <v>146</v>
      </c>
      <c r="B316" s="379">
        <f>C277</f>
        <v>40</v>
      </c>
      <c r="C316" s="354"/>
      <c r="D316" s="366"/>
      <c r="E316" s="366"/>
    </row>
    <row r="317" spans="1:23" ht="12.75" hidden="1" customHeight="1" outlineLevel="1">
      <c r="A317" s="386" t="s">
        <v>147</v>
      </c>
      <c r="B317" s="379" t="str">
        <f>D277</f>
        <v>Straight Line</v>
      </c>
      <c r="C317" s="354"/>
      <c r="D317" s="366"/>
      <c r="E317" s="366"/>
    </row>
    <row r="318" spans="1:23" ht="12.75" hidden="1" customHeight="1" outlineLevel="1">
      <c r="A318" s="364" t="s">
        <v>148</v>
      </c>
      <c r="B318" s="365">
        <f>IF(AND(B316=0,B317=""),0,IF(B317="Straight Line",1/B316,IF(B317="Declining Balance",1/B316*1.5,1)))</f>
        <v>2.5000000000000001E-2</v>
      </c>
      <c r="C318" s="358"/>
      <c r="D318" s="366"/>
      <c r="E318" s="366"/>
    </row>
    <row r="319" spans="1:23" ht="12.75" hidden="1" customHeight="1" outlineLevel="1">
      <c r="A319" s="366"/>
      <c r="B319" s="383"/>
      <c r="C319" s="366"/>
      <c r="D319" s="366"/>
      <c r="E319" s="366"/>
    </row>
    <row r="320" spans="1:23" ht="12.75" hidden="1" customHeight="1" outlineLevel="1">
      <c r="A320" s="366" t="s">
        <v>154</v>
      </c>
      <c r="B320" s="403" t="s">
        <v>164</v>
      </c>
      <c r="C320" s="404" t="s">
        <v>168</v>
      </c>
      <c r="D320" s="405" t="s">
        <v>169</v>
      </c>
      <c r="E320" s="404" t="s">
        <v>170</v>
      </c>
      <c r="F320" s="406" t="s">
        <v>171</v>
      </c>
      <c r="G320" s="407"/>
      <c r="H320" s="408"/>
      <c r="I320" s="408"/>
      <c r="J320" s="408"/>
      <c r="K320" s="408"/>
      <c r="L320" s="408"/>
    </row>
    <row r="321" spans="1:23" ht="12.75" hidden="1" customHeight="1" outlineLevel="1">
      <c r="A321" s="391" t="s">
        <v>155</v>
      </c>
      <c r="B321" s="392">
        <v>0</v>
      </c>
      <c r="C321" s="409">
        <v>0</v>
      </c>
      <c r="D321" s="409">
        <v>0</v>
      </c>
      <c r="E321" s="409">
        <v>0</v>
      </c>
      <c r="F321" s="394">
        <v>0</v>
      </c>
      <c r="G321" s="410"/>
      <c r="H321" s="383"/>
      <c r="I321" s="383"/>
      <c r="J321" s="383"/>
      <c r="K321" s="383"/>
      <c r="L321" s="411"/>
      <c r="M321" s="412"/>
    </row>
    <row r="322" spans="1:23" ht="12.75" hidden="1" customHeight="1" outlineLevel="1">
      <c r="A322" s="366"/>
      <c r="B322" s="383"/>
      <c r="C322" s="366"/>
    </row>
    <row r="323" spans="1:23" ht="12.75" hidden="1" customHeight="1" outlineLevel="1">
      <c r="B323" s="367">
        <v>1996</v>
      </c>
      <c r="C323" s="368">
        <v>1997</v>
      </c>
      <c r="D323" s="367">
        <v>1998</v>
      </c>
      <c r="E323" s="369">
        <v>1999</v>
      </c>
      <c r="F323" s="369">
        <v>2000</v>
      </c>
      <c r="G323" s="369">
        <v>2001</v>
      </c>
      <c r="H323" s="368">
        <v>2002</v>
      </c>
      <c r="I323" s="367">
        <v>2003</v>
      </c>
      <c r="J323" s="369">
        <v>2004</v>
      </c>
      <c r="K323" s="369">
        <v>2005</v>
      </c>
      <c r="L323" s="369">
        <v>2006</v>
      </c>
      <c r="M323" s="368">
        <v>2007</v>
      </c>
      <c r="N323" s="367">
        <v>2008</v>
      </c>
      <c r="O323" s="369">
        <v>2009</v>
      </c>
      <c r="P323" s="369">
        <v>2010</v>
      </c>
      <c r="Q323" s="369">
        <v>2011</v>
      </c>
      <c r="R323" s="368">
        <v>2012</v>
      </c>
      <c r="S323" s="367">
        <f t="shared" ref="S323:W323" si="73">R323+1</f>
        <v>2013</v>
      </c>
      <c r="T323" s="369">
        <f t="shared" si="73"/>
        <v>2014</v>
      </c>
      <c r="U323" s="369">
        <f t="shared" si="73"/>
        <v>2015</v>
      </c>
      <c r="V323" s="369">
        <f t="shared" si="73"/>
        <v>2016</v>
      </c>
      <c r="W323" s="368">
        <f t="shared" si="73"/>
        <v>2017</v>
      </c>
    </row>
    <row r="324" spans="1:23" ht="12.75" hidden="1" customHeight="1" outlineLevel="1">
      <c r="A324" s="346" t="s">
        <v>2</v>
      </c>
      <c r="B324" s="379">
        <f>B315</f>
        <v>0</v>
      </c>
      <c r="C324" s="395">
        <f t="shared" ref="C324:W324" si="74">B327</f>
        <v>0</v>
      </c>
      <c r="D324" s="379">
        <f t="shared" si="74"/>
        <v>0</v>
      </c>
      <c r="E324" s="383">
        <f t="shared" si="74"/>
        <v>0</v>
      </c>
      <c r="F324" s="383">
        <f t="shared" si="74"/>
        <v>0</v>
      </c>
      <c r="G324" s="383">
        <f t="shared" si="74"/>
        <v>0</v>
      </c>
      <c r="H324" s="395">
        <f t="shared" si="74"/>
        <v>0</v>
      </c>
      <c r="I324" s="379">
        <f t="shared" si="74"/>
        <v>0</v>
      </c>
      <c r="J324" s="383">
        <f t="shared" si="74"/>
        <v>0</v>
      </c>
      <c r="K324" s="383">
        <f t="shared" si="74"/>
        <v>0</v>
      </c>
      <c r="L324" s="383">
        <f t="shared" si="74"/>
        <v>0</v>
      </c>
      <c r="M324" s="395">
        <f t="shared" si="74"/>
        <v>0</v>
      </c>
      <c r="N324" s="413">
        <f t="shared" si="74"/>
        <v>0</v>
      </c>
      <c r="O324" s="383">
        <f t="shared" si="74"/>
        <v>0</v>
      </c>
      <c r="P324" s="383">
        <f t="shared" si="74"/>
        <v>0</v>
      </c>
      <c r="Q324" s="383">
        <f t="shared" si="74"/>
        <v>0</v>
      </c>
      <c r="R324" s="395">
        <f t="shared" si="74"/>
        <v>0</v>
      </c>
      <c r="S324" s="413">
        <f t="shared" si="74"/>
        <v>0</v>
      </c>
      <c r="T324" s="383">
        <f t="shared" si="74"/>
        <v>0</v>
      </c>
      <c r="U324" s="383">
        <f t="shared" si="74"/>
        <v>0</v>
      </c>
      <c r="V324" s="383">
        <f t="shared" si="74"/>
        <v>0</v>
      </c>
      <c r="W324" s="395">
        <f t="shared" si="74"/>
        <v>0</v>
      </c>
    </row>
    <row r="325" spans="1:23" ht="12.75" hidden="1" customHeight="1" outlineLevel="1">
      <c r="A325" s="351" t="s">
        <v>156</v>
      </c>
      <c r="B325" s="379">
        <v>0</v>
      </c>
      <c r="C325" s="395">
        <v>0</v>
      </c>
      <c r="D325" s="379">
        <v>0</v>
      </c>
      <c r="E325" s="383">
        <v>0</v>
      </c>
      <c r="F325" s="383">
        <v>0</v>
      </c>
      <c r="G325" s="383">
        <v>0</v>
      </c>
      <c r="H325" s="395">
        <f>B321</f>
        <v>0</v>
      </c>
      <c r="I325" s="379">
        <f>C321</f>
        <v>0</v>
      </c>
      <c r="J325" s="383">
        <f>D321</f>
        <v>0</v>
      </c>
      <c r="K325" s="383">
        <f>E321</f>
        <v>0</v>
      </c>
      <c r="L325" s="383">
        <f>F321</f>
        <v>0</v>
      </c>
      <c r="M325" s="395">
        <v>0</v>
      </c>
      <c r="N325" s="379">
        <v>0</v>
      </c>
      <c r="O325" s="383">
        <v>0</v>
      </c>
      <c r="P325" s="383">
        <v>0</v>
      </c>
      <c r="Q325" s="383">
        <v>0</v>
      </c>
      <c r="R325" s="395">
        <v>0</v>
      </c>
      <c r="S325" s="379">
        <v>0</v>
      </c>
      <c r="T325" s="383">
        <v>0</v>
      </c>
      <c r="U325" s="383">
        <v>0</v>
      </c>
      <c r="V325" s="383">
        <v>0</v>
      </c>
      <c r="W325" s="395">
        <v>0</v>
      </c>
    </row>
    <row r="326" spans="1:23" ht="12.75" hidden="1" customHeight="1" outlineLevel="1">
      <c r="A326" s="351" t="s">
        <v>157</v>
      </c>
      <c r="B326" s="379">
        <f>B325*$B318*0.5</f>
        <v>0</v>
      </c>
      <c r="C326" s="395">
        <f>(SUM($B325:B325)+C325*0.5)*$B318</f>
        <v>0</v>
      </c>
      <c r="D326" s="379">
        <f>(SUM($B325:C325)+D325*0.5)*$B318</f>
        <v>0</v>
      </c>
      <c r="E326" s="383">
        <f>(SUM($B325:D325)+E325*0.5)*$B318</f>
        <v>0</v>
      </c>
      <c r="F326" s="383">
        <f>(SUM($B325:E325)+F325*0.5)*$B318</f>
        <v>0</v>
      </c>
      <c r="G326" s="383">
        <f>(SUM($B325:F325)+G325*0.5)*$B318</f>
        <v>0</v>
      </c>
      <c r="H326" s="395">
        <f>(SUM($B325:G325)+H325*0.5)*$B318</f>
        <v>0</v>
      </c>
      <c r="I326" s="379">
        <f>(SUM($B325:H325)+I325*0.5)*$B318</f>
        <v>0</v>
      </c>
      <c r="J326" s="383">
        <f>(SUM($B325:I325)+J325*0.5)*$B318</f>
        <v>0</v>
      </c>
      <c r="K326" s="383">
        <f>(SUM($B325:J325)+K325*0.5)*$B318</f>
        <v>0</v>
      </c>
      <c r="L326" s="383">
        <f>(SUM($B325:K325)+L325*0.5)*$B318</f>
        <v>0</v>
      </c>
      <c r="M326" s="395">
        <f>(SUM($B325:L325)+M325*0.5)*$B318</f>
        <v>0</v>
      </c>
      <c r="N326" s="379">
        <f>(SUM($B325:M325)+N325*0.5)*$B318</f>
        <v>0</v>
      </c>
      <c r="O326" s="383">
        <f>(SUM($B325:N325)+O325*0.5)*$B318</f>
        <v>0</v>
      </c>
      <c r="P326" s="383">
        <f>(SUM($B325:O325)+P325*0.5)*$B318</f>
        <v>0</v>
      </c>
      <c r="Q326" s="383">
        <f>(SUM($B325:P325)+Q325*0.5)*$B318</f>
        <v>0</v>
      </c>
      <c r="R326" s="395">
        <f>(SUM($B325:Q325)+R325*0.5)*$B318</f>
        <v>0</v>
      </c>
      <c r="S326" s="379">
        <f>(SUM($B325:R325)+S325*0.5)*$B318</f>
        <v>0</v>
      </c>
      <c r="T326" s="383">
        <f>(SUM($B325:S325)+T325*0.5)*$B318</f>
        <v>0</v>
      </c>
      <c r="U326" s="383">
        <f>(SUM($B325:T325)+U325*0.5)*$B318</f>
        <v>0</v>
      </c>
      <c r="V326" s="383">
        <f>(SUM($B325:U325)+V325*0.5)*$B318</f>
        <v>0</v>
      </c>
      <c r="W326" s="395">
        <f>(SUM($B325:V325)+W325*0.5)*$B318</f>
        <v>0</v>
      </c>
    </row>
    <row r="327" spans="1:23" ht="12.75" hidden="1" customHeight="1" outlineLevel="1">
      <c r="A327" s="355" t="s">
        <v>113</v>
      </c>
      <c r="B327" s="382">
        <f t="shared" ref="B327:W327" si="75">B324+B325-B326</f>
        <v>0</v>
      </c>
      <c r="C327" s="398">
        <f t="shared" si="75"/>
        <v>0</v>
      </c>
      <c r="D327" s="382">
        <f t="shared" si="75"/>
        <v>0</v>
      </c>
      <c r="E327" s="399">
        <f t="shared" si="75"/>
        <v>0</v>
      </c>
      <c r="F327" s="399">
        <f t="shared" si="75"/>
        <v>0</v>
      </c>
      <c r="G327" s="399">
        <f t="shared" si="75"/>
        <v>0</v>
      </c>
      <c r="H327" s="398">
        <f t="shared" si="75"/>
        <v>0</v>
      </c>
      <c r="I327" s="382">
        <f t="shared" si="75"/>
        <v>0</v>
      </c>
      <c r="J327" s="399">
        <f t="shared" si="75"/>
        <v>0</v>
      </c>
      <c r="K327" s="399">
        <f t="shared" si="75"/>
        <v>0</v>
      </c>
      <c r="L327" s="399">
        <f t="shared" si="75"/>
        <v>0</v>
      </c>
      <c r="M327" s="398">
        <f t="shared" si="75"/>
        <v>0</v>
      </c>
      <c r="N327" s="382">
        <f t="shared" si="75"/>
        <v>0</v>
      </c>
      <c r="O327" s="399">
        <f t="shared" si="75"/>
        <v>0</v>
      </c>
      <c r="P327" s="399">
        <f t="shared" si="75"/>
        <v>0</v>
      </c>
      <c r="Q327" s="399">
        <f t="shared" si="75"/>
        <v>0</v>
      </c>
      <c r="R327" s="398">
        <f t="shared" si="75"/>
        <v>0</v>
      </c>
      <c r="S327" s="382">
        <f t="shared" si="75"/>
        <v>0</v>
      </c>
      <c r="T327" s="399">
        <f t="shared" si="75"/>
        <v>0</v>
      </c>
      <c r="U327" s="399">
        <f t="shared" si="75"/>
        <v>0</v>
      </c>
      <c r="V327" s="399">
        <f t="shared" si="75"/>
        <v>0</v>
      </c>
      <c r="W327" s="398">
        <f t="shared" si="75"/>
        <v>0</v>
      </c>
    </row>
    <row r="328" spans="1:23" ht="12.75" hidden="1" customHeight="1" outlineLevel="1">
      <c r="M328" s="401"/>
    </row>
    <row r="329" spans="1:23" ht="12.75" hidden="1" customHeight="1" outlineLevel="1">
      <c r="A329" s="360" t="str">
        <f>A278</f>
        <v>Other Assets</v>
      </c>
    </row>
    <row r="330" spans="1:23" ht="12.75" hidden="1" customHeight="1" outlineLevel="1">
      <c r="A330" s="385" t="s">
        <v>145</v>
      </c>
      <c r="B330" s="377">
        <f>B278</f>
        <v>0</v>
      </c>
      <c r="C330" s="350"/>
      <c r="D330" s="366"/>
      <c r="E330" s="366"/>
    </row>
    <row r="331" spans="1:23" ht="12.75" hidden="1" customHeight="1" outlineLevel="1">
      <c r="A331" s="386" t="s">
        <v>146</v>
      </c>
      <c r="B331" s="379">
        <f>C278</f>
        <v>10</v>
      </c>
      <c r="C331" s="354"/>
      <c r="D331" s="366"/>
      <c r="E331" s="366"/>
    </row>
    <row r="332" spans="1:23" ht="12.75" hidden="1" customHeight="1" outlineLevel="1">
      <c r="A332" s="386" t="s">
        <v>147</v>
      </c>
      <c r="B332" s="379" t="str">
        <f>D278</f>
        <v>Declining Balance</v>
      </c>
      <c r="C332" s="354"/>
      <c r="D332" s="366"/>
      <c r="E332" s="366"/>
    </row>
    <row r="333" spans="1:23" ht="12.75" hidden="1" customHeight="1" outlineLevel="1">
      <c r="A333" s="364" t="s">
        <v>148</v>
      </c>
      <c r="B333" s="365">
        <f>IF(AND(B331=0,B332=""),0,IF(B332="Straight Line",1/B331,IF(B332="Declining Balance",1/B331*1.5,1)))</f>
        <v>0.15000000000000002</v>
      </c>
      <c r="C333" s="358"/>
      <c r="D333" s="366"/>
      <c r="E333" s="366"/>
    </row>
    <row r="334" spans="1:23" ht="12.75" hidden="1" customHeight="1" outlineLevel="1">
      <c r="A334" s="366"/>
      <c r="B334" s="383"/>
      <c r="C334" s="366"/>
      <c r="D334" s="366"/>
      <c r="E334" s="366"/>
    </row>
    <row r="335" spans="1:23" ht="12.75" hidden="1" customHeight="1" outlineLevel="1">
      <c r="A335" s="366" t="s">
        <v>154</v>
      </c>
      <c r="B335" s="403" t="s">
        <v>164</v>
      </c>
      <c r="C335" s="404" t="s">
        <v>168</v>
      </c>
      <c r="D335" s="405" t="s">
        <v>169</v>
      </c>
      <c r="E335" s="404" t="s">
        <v>170</v>
      </c>
      <c r="F335" s="406" t="s">
        <v>171</v>
      </c>
      <c r="G335" s="407"/>
      <c r="H335" s="408"/>
      <c r="I335" s="408"/>
      <c r="J335" s="408"/>
      <c r="K335" s="408"/>
      <c r="L335" s="408"/>
    </row>
    <row r="336" spans="1:23" ht="12.75" hidden="1" customHeight="1" outlineLevel="1">
      <c r="A336" s="391" t="s">
        <v>155</v>
      </c>
      <c r="B336" s="392">
        <v>7.3247972602739717E-3</v>
      </c>
      <c r="C336" s="409">
        <v>3.9869000000000002E-2</v>
      </c>
      <c r="D336" s="409">
        <v>-0.147782</v>
      </c>
      <c r="E336" s="409">
        <v>5.9804219999999998E-2</v>
      </c>
      <c r="F336" s="394">
        <v>-1.6503776438356165E-2</v>
      </c>
      <c r="G336" s="410"/>
      <c r="H336" s="383"/>
      <c r="I336" s="383"/>
      <c r="J336" s="383"/>
      <c r="K336" s="383"/>
      <c r="L336" s="411"/>
      <c r="M336" s="412"/>
    </row>
    <row r="337" spans="1:23" ht="12.75" hidden="1" customHeight="1" outlineLevel="1">
      <c r="A337" s="366"/>
      <c r="B337" s="383"/>
      <c r="C337" s="366"/>
    </row>
    <row r="338" spans="1:23" ht="12.75" hidden="1" customHeight="1" outlineLevel="1">
      <c r="B338" s="367">
        <v>1996</v>
      </c>
      <c r="C338" s="368">
        <v>1997</v>
      </c>
      <c r="D338" s="367">
        <v>1998</v>
      </c>
      <c r="E338" s="369">
        <v>1999</v>
      </c>
      <c r="F338" s="369">
        <v>2000</v>
      </c>
      <c r="G338" s="369">
        <v>2001</v>
      </c>
      <c r="H338" s="368">
        <v>2002</v>
      </c>
      <c r="I338" s="367">
        <v>2003</v>
      </c>
      <c r="J338" s="369">
        <v>2004</v>
      </c>
      <c r="K338" s="369">
        <v>2005</v>
      </c>
      <c r="L338" s="369">
        <v>2006</v>
      </c>
      <c r="M338" s="368">
        <v>2007</v>
      </c>
      <c r="N338" s="367">
        <v>2008</v>
      </c>
      <c r="O338" s="369">
        <v>2009</v>
      </c>
      <c r="P338" s="369">
        <v>2010</v>
      </c>
      <c r="Q338" s="369">
        <v>2011</v>
      </c>
      <c r="R338" s="368">
        <v>2012</v>
      </c>
      <c r="S338" s="367">
        <f t="shared" ref="S338:W338" si="76">R338+1</f>
        <v>2013</v>
      </c>
      <c r="T338" s="369">
        <f t="shared" si="76"/>
        <v>2014</v>
      </c>
      <c r="U338" s="369">
        <f t="shared" si="76"/>
        <v>2015</v>
      </c>
      <c r="V338" s="369">
        <f t="shared" si="76"/>
        <v>2016</v>
      </c>
      <c r="W338" s="368">
        <f t="shared" si="76"/>
        <v>2017</v>
      </c>
    </row>
    <row r="339" spans="1:23" ht="12.75" hidden="1" customHeight="1" outlineLevel="1">
      <c r="A339" s="346" t="s">
        <v>2</v>
      </c>
      <c r="B339" s="379">
        <f>B330</f>
        <v>0</v>
      </c>
      <c r="C339" s="395">
        <f t="shared" ref="C339:W339" si="77">B342</f>
        <v>0</v>
      </c>
      <c r="D339" s="379">
        <f t="shared" si="77"/>
        <v>0</v>
      </c>
      <c r="E339" s="383">
        <f t="shared" si="77"/>
        <v>0</v>
      </c>
      <c r="F339" s="383">
        <f t="shared" si="77"/>
        <v>0</v>
      </c>
      <c r="G339" s="383">
        <f t="shared" si="77"/>
        <v>0</v>
      </c>
      <c r="H339" s="395">
        <f t="shared" si="77"/>
        <v>0</v>
      </c>
      <c r="I339" s="379">
        <f t="shared" si="77"/>
        <v>6.7754374657534241E-3</v>
      </c>
      <c r="J339" s="383">
        <f t="shared" si="77"/>
        <v>4.2637946845890409E-2</v>
      </c>
      <c r="K339" s="383">
        <f t="shared" si="77"/>
        <v>-0.10045609518099315</v>
      </c>
      <c r="L339" s="383">
        <f t="shared" si="77"/>
        <v>-3.0068777403844171E-2</v>
      </c>
      <c r="M339" s="395">
        <f t="shared" si="77"/>
        <v>-4.0824453998746998E-2</v>
      </c>
      <c r="N339" s="413">
        <f t="shared" si="77"/>
        <v>-3.4700785898934945E-2</v>
      </c>
      <c r="O339" s="383">
        <f t="shared" si="77"/>
        <v>-2.9495668014094704E-2</v>
      </c>
      <c r="P339" s="383">
        <f t="shared" si="77"/>
        <v>-2.5071317811980499E-2</v>
      </c>
      <c r="Q339" s="383">
        <f t="shared" si="77"/>
        <v>-2.1310620140183423E-2</v>
      </c>
      <c r="R339" s="395">
        <f t="shared" si="77"/>
        <v>-1.8114027119155909E-2</v>
      </c>
      <c r="S339" s="413">
        <f t="shared" si="77"/>
        <v>-1.5396923051282521E-2</v>
      </c>
      <c r="T339" s="383">
        <f t="shared" si="77"/>
        <v>-1.3087384593590143E-2</v>
      </c>
      <c r="U339" s="383">
        <f t="shared" si="77"/>
        <v>-1.1124276904551622E-2</v>
      </c>
      <c r="V339" s="383">
        <f t="shared" si="77"/>
        <v>-9.4556353688688786E-3</v>
      </c>
      <c r="W339" s="395">
        <f t="shared" si="77"/>
        <v>-8.0372900635385467E-3</v>
      </c>
    </row>
    <row r="340" spans="1:23" ht="12.75" hidden="1" customHeight="1" outlineLevel="1">
      <c r="A340" s="351" t="s">
        <v>156</v>
      </c>
      <c r="B340" s="379">
        <v>0</v>
      </c>
      <c r="C340" s="395">
        <v>0</v>
      </c>
      <c r="D340" s="379">
        <v>0</v>
      </c>
      <c r="E340" s="383">
        <v>0</v>
      </c>
      <c r="F340" s="383">
        <v>0</v>
      </c>
      <c r="G340" s="383">
        <v>0</v>
      </c>
      <c r="H340" s="395">
        <f>B336</f>
        <v>7.3247972602739717E-3</v>
      </c>
      <c r="I340" s="379">
        <f>C336</f>
        <v>3.9869000000000002E-2</v>
      </c>
      <c r="J340" s="383">
        <f>D336</f>
        <v>-0.147782</v>
      </c>
      <c r="K340" s="383">
        <f>E336</f>
        <v>5.9804219999999998E-2</v>
      </c>
      <c r="L340" s="383">
        <f>F336</f>
        <v>-1.6503776438356165E-2</v>
      </c>
      <c r="M340" s="395">
        <v>0</v>
      </c>
      <c r="N340" s="379">
        <v>0</v>
      </c>
      <c r="O340" s="383">
        <v>0</v>
      </c>
      <c r="P340" s="383">
        <v>0</v>
      </c>
      <c r="Q340" s="383">
        <v>0</v>
      </c>
      <c r="R340" s="395">
        <v>0</v>
      </c>
      <c r="S340" s="379">
        <v>0</v>
      </c>
      <c r="T340" s="383">
        <v>0</v>
      </c>
      <c r="U340" s="383">
        <v>0</v>
      </c>
      <c r="V340" s="383">
        <v>0</v>
      </c>
      <c r="W340" s="395">
        <v>0</v>
      </c>
    </row>
    <row r="341" spans="1:23" ht="12.75" hidden="1" customHeight="1" outlineLevel="1">
      <c r="A341" s="351" t="s">
        <v>157</v>
      </c>
      <c r="B341" s="375">
        <f>IF($B333=1,B340+B339,B340*$B333*0.5)</f>
        <v>0</v>
      </c>
      <c r="C341" s="375">
        <f t="shared" ref="C341:W341" si="78">IF($B333=1,C340+C339,(C339+C340*0.5)*$B333)</f>
        <v>0</v>
      </c>
      <c r="D341" s="396">
        <f t="shared" si="78"/>
        <v>0</v>
      </c>
      <c r="E341" s="375">
        <f t="shared" si="78"/>
        <v>0</v>
      </c>
      <c r="F341" s="375">
        <f t="shared" si="78"/>
        <v>0</v>
      </c>
      <c r="G341" s="375">
        <f t="shared" si="78"/>
        <v>0</v>
      </c>
      <c r="H341" s="397">
        <f t="shared" si="78"/>
        <v>5.4935979452054801E-4</v>
      </c>
      <c r="I341" s="396">
        <f t="shared" si="78"/>
        <v>4.0064906198630139E-3</v>
      </c>
      <c r="J341" s="375">
        <f t="shared" si="78"/>
        <v>-4.6879579731164394E-3</v>
      </c>
      <c r="K341" s="375">
        <f t="shared" si="78"/>
        <v>-1.0583097777148975E-2</v>
      </c>
      <c r="L341" s="375">
        <f t="shared" si="78"/>
        <v>-5.7480998434533389E-3</v>
      </c>
      <c r="M341" s="397">
        <f t="shared" si="78"/>
        <v>-6.1236680998120506E-3</v>
      </c>
      <c r="N341" s="396">
        <f t="shared" si="78"/>
        <v>-5.2051178848402423E-3</v>
      </c>
      <c r="O341" s="375">
        <f t="shared" si="78"/>
        <v>-4.4243502021142061E-3</v>
      </c>
      <c r="P341" s="375">
        <f t="shared" si="78"/>
        <v>-3.7606976717970753E-3</v>
      </c>
      <c r="Q341" s="375">
        <f t="shared" si="78"/>
        <v>-3.1965930210275137E-3</v>
      </c>
      <c r="R341" s="397">
        <f t="shared" si="78"/>
        <v>-2.7171040678733867E-3</v>
      </c>
      <c r="S341" s="396">
        <f t="shared" si="78"/>
        <v>-2.3095384576923787E-3</v>
      </c>
      <c r="T341" s="375">
        <f t="shared" si="78"/>
        <v>-1.9631076890385215E-3</v>
      </c>
      <c r="U341" s="375">
        <f t="shared" si="78"/>
        <v>-1.6686415356827436E-3</v>
      </c>
      <c r="V341" s="375">
        <f t="shared" si="78"/>
        <v>-1.4183453053303321E-3</v>
      </c>
      <c r="W341" s="397">
        <f t="shared" si="78"/>
        <v>-1.2055935095307822E-3</v>
      </c>
    </row>
    <row r="342" spans="1:23" ht="12.75" hidden="1" customHeight="1" outlineLevel="1">
      <c r="A342" s="355" t="s">
        <v>113</v>
      </c>
      <c r="B342" s="382">
        <f t="shared" ref="B342:W342" si="79">B339+B340-B341</f>
        <v>0</v>
      </c>
      <c r="C342" s="398">
        <f t="shared" si="79"/>
        <v>0</v>
      </c>
      <c r="D342" s="382">
        <f t="shared" si="79"/>
        <v>0</v>
      </c>
      <c r="E342" s="399">
        <f t="shared" si="79"/>
        <v>0</v>
      </c>
      <c r="F342" s="399">
        <f t="shared" si="79"/>
        <v>0</v>
      </c>
      <c r="G342" s="399">
        <f t="shared" si="79"/>
        <v>0</v>
      </c>
      <c r="H342" s="398">
        <f t="shared" si="79"/>
        <v>6.7754374657534241E-3</v>
      </c>
      <c r="I342" s="382">
        <f t="shared" si="79"/>
        <v>4.2637946845890409E-2</v>
      </c>
      <c r="J342" s="399">
        <f t="shared" si="79"/>
        <v>-0.10045609518099315</v>
      </c>
      <c r="K342" s="399">
        <f t="shared" si="79"/>
        <v>-3.0068777403844171E-2</v>
      </c>
      <c r="L342" s="399">
        <f t="shared" si="79"/>
        <v>-4.0824453998746998E-2</v>
      </c>
      <c r="M342" s="398">
        <f t="shared" si="79"/>
        <v>-3.4700785898934945E-2</v>
      </c>
      <c r="N342" s="382">
        <f t="shared" si="79"/>
        <v>-2.9495668014094704E-2</v>
      </c>
      <c r="O342" s="399">
        <f t="shared" si="79"/>
        <v>-2.5071317811980499E-2</v>
      </c>
      <c r="P342" s="399">
        <f t="shared" si="79"/>
        <v>-2.1310620140183423E-2</v>
      </c>
      <c r="Q342" s="399">
        <f t="shared" si="79"/>
        <v>-1.8114027119155909E-2</v>
      </c>
      <c r="R342" s="398">
        <f t="shared" si="79"/>
        <v>-1.5396923051282521E-2</v>
      </c>
      <c r="S342" s="382">
        <f t="shared" si="79"/>
        <v>-1.3087384593590143E-2</v>
      </c>
      <c r="T342" s="399">
        <f t="shared" si="79"/>
        <v>-1.1124276904551622E-2</v>
      </c>
      <c r="U342" s="399">
        <f t="shared" si="79"/>
        <v>-9.4556353688688786E-3</v>
      </c>
      <c r="V342" s="399">
        <f t="shared" si="79"/>
        <v>-8.0372900635385467E-3</v>
      </c>
      <c r="W342" s="398">
        <f t="shared" si="79"/>
        <v>-6.831696554007765E-3</v>
      </c>
    </row>
    <row r="343" spans="1:23" ht="12.75" hidden="1" customHeight="1" outlineLevel="1"/>
    <row r="344" spans="1:23" ht="12.75" hidden="1" customHeight="1" outlineLevel="1"/>
    <row r="345" spans="1:23" ht="12.75" hidden="1" customHeight="1" outlineLevel="1">
      <c r="A345" s="360" t="str">
        <f>A279</f>
        <v>Repairs</v>
      </c>
    </row>
    <row r="346" spans="1:23" ht="12.75" hidden="1" customHeight="1" outlineLevel="1">
      <c r="A346" s="385" t="s">
        <v>145</v>
      </c>
      <c r="B346" s="377">
        <f>B279</f>
        <v>0</v>
      </c>
      <c r="C346" s="350"/>
      <c r="D346" s="366"/>
      <c r="E346" s="366"/>
    </row>
    <row r="347" spans="1:23" ht="12.75" hidden="1" customHeight="1" outlineLevel="1">
      <c r="A347" s="386" t="s">
        <v>146</v>
      </c>
      <c r="B347" s="379">
        <f>C279</f>
        <v>0</v>
      </c>
      <c r="C347" s="354"/>
      <c r="D347" s="366"/>
      <c r="E347" s="366"/>
    </row>
    <row r="348" spans="1:23" ht="12.75" hidden="1" customHeight="1" outlineLevel="1">
      <c r="A348" s="386" t="s">
        <v>147</v>
      </c>
      <c r="B348" s="379" t="str">
        <f>D279</f>
        <v>Fully Deductible</v>
      </c>
      <c r="C348" s="354"/>
      <c r="D348" s="366"/>
      <c r="E348" s="366"/>
    </row>
    <row r="349" spans="1:23" ht="12.75" hidden="1" customHeight="1" outlineLevel="1">
      <c r="A349" s="364" t="s">
        <v>148</v>
      </c>
      <c r="B349" s="365">
        <f>IF(AND(B347=0,B348=""),0,IF(B348="Straight Line",1/B347,IF(B348="Declining Balance",1/B347*1.5,1)))</f>
        <v>1</v>
      </c>
      <c r="C349" s="358"/>
      <c r="D349" s="366"/>
      <c r="E349" s="366"/>
    </row>
    <row r="350" spans="1:23" ht="12.75" hidden="1" customHeight="1" outlineLevel="1">
      <c r="A350" s="366"/>
      <c r="B350" s="383"/>
      <c r="C350" s="366"/>
      <c r="D350" s="366"/>
      <c r="E350" s="366"/>
    </row>
    <row r="351" spans="1:23" ht="12.75" hidden="1" customHeight="1" outlineLevel="1">
      <c r="A351" s="366" t="s">
        <v>154</v>
      </c>
      <c r="B351" s="403" t="s">
        <v>164</v>
      </c>
      <c r="C351" s="404" t="s">
        <v>168</v>
      </c>
      <c r="D351" s="405" t="s">
        <v>169</v>
      </c>
      <c r="E351" s="404" t="s">
        <v>170</v>
      </c>
      <c r="F351" s="406" t="s">
        <v>171</v>
      </c>
      <c r="G351" s="407"/>
      <c r="H351" s="408"/>
      <c r="I351" s="408"/>
      <c r="J351" s="408"/>
      <c r="K351" s="408"/>
      <c r="L351" s="408"/>
    </row>
    <row r="352" spans="1:23" ht="12.75" hidden="1" customHeight="1" outlineLevel="1">
      <c r="A352" s="391" t="s">
        <v>155</v>
      </c>
      <c r="B352" s="392">
        <v>1.8423320547945203E-2</v>
      </c>
      <c r="C352" s="409">
        <v>2.6216E-2</v>
      </c>
      <c r="D352" s="409">
        <v>4.7309999999999991E-3</v>
      </c>
      <c r="E352" s="409">
        <v>1.4551E-2</v>
      </c>
      <c r="F352" s="394">
        <v>4.3892427397260268E-4</v>
      </c>
      <c r="G352" s="410"/>
      <c r="H352" s="383"/>
      <c r="I352" s="383"/>
      <c r="J352" s="383"/>
      <c r="K352" s="383"/>
      <c r="L352" s="411"/>
      <c r="M352" s="412"/>
    </row>
    <row r="353" spans="1:23" ht="12.75" hidden="1" customHeight="1" outlineLevel="1">
      <c r="A353" s="366"/>
      <c r="B353" s="383"/>
      <c r="C353" s="366"/>
    </row>
    <row r="354" spans="1:23" ht="12.75" hidden="1" customHeight="1" outlineLevel="1">
      <c r="B354" s="367">
        <v>1996</v>
      </c>
      <c r="C354" s="368">
        <v>1997</v>
      </c>
      <c r="D354" s="367">
        <v>1998</v>
      </c>
      <c r="E354" s="369">
        <v>1999</v>
      </c>
      <c r="F354" s="369">
        <v>2000</v>
      </c>
      <c r="G354" s="369">
        <v>2001</v>
      </c>
      <c r="H354" s="368">
        <v>2002</v>
      </c>
      <c r="I354" s="367">
        <v>2003</v>
      </c>
      <c r="J354" s="369">
        <v>2004</v>
      </c>
      <c r="K354" s="369">
        <v>2005</v>
      </c>
      <c r="L354" s="369">
        <v>2006</v>
      </c>
      <c r="M354" s="368">
        <v>2007</v>
      </c>
      <c r="N354" s="367">
        <v>2008</v>
      </c>
      <c r="O354" s="369">
        <v>2009</v>
      </c>
      <c r="P354" s="369">
        <v>2010</v>
      </c>
      <c r="Q354" s="369">
        <v>2011</v>
      </c>
      <c r="R354" s="368">
        <v>2012</v>
      </c>
      <c r="S354" s="367">
        <f t="shared" ref="S354:W354" si="80">R354+1</f>
        <v>2013</v>
      </c>
      <c r="T354" s="369">
        <f t="shared" si="80"/>
        <v>2014</v>
      </c>
      <c r="U354" s="369">
        <f t="shared" si="80"/>
        <v>2015</v>
      </c>
      <c r="V354" s="369">
        <f t="shared" si="80"/>
        <v>2016</v>
      </c>
      <c r="W354" s="368">
        <f t="shared" si="80"/>
        <v>2017</v>
      </c>
    </row>
    <row r="355" spans="1:23" ht="12.75" hidden="1" customHeight="1" outlineLevel="1">
      <c r="A355" s="346" t="s">
        <v>2</v>
      </c>
      <c r="B355" s="379">
        <f>B346</f>
        <v>0</v>
      </c>
      <c r="C355" s="395">
        <f t="shared" ref="C355:W355" si="81">B358</f>
        <v>0</v>
      </c>
      <c r="D355" s="379">
        <f t="shared" si="81"/>
        <v>0</v>
      </c>
      <c r="E355" s="383">
        <f t="shared" si="81"/>
        <v>0</v>
      </c>
      <c r="F355" s="383">
        <f t="shared" si="81"/>
        <v>0</v>
      </c>
      <c r="G355" s="383">
        <f t="shared" si="81"/>
        <v>0</v>
      </c>
      <c r="H355" s="395">
        <f t="shared" si="81"/>
        <v>0</v>
      </c>
      <c r="I355" s="379">
        <f t="shared" si="81"/>
        <v>0</v>
      </c>
      <c r="J355" s="383">
        <f t="shared" si="81"/>
        <v>0</v>
      </c>
      <c r="K355" s="383">
        <f t="shared" si="81"/>
        <v>0</v>
      </c>
      <c r="L355" s="383">
        <f t="shared" si="81"/>
        <v>0</v>
      </c>
      <c r="M355" s="395">
        <f t="shared" si="81"/>
        <v>0</v>
      </c>
      <c r="N355" s="413">
        <f t="shared" si="81"/>
        <v>0</v>
      </c>
      <c r="O355" s="383">
        <f t="shared" si="81"/>
        <v>0</v>
      </c>
      <c r="P355" s="383">
        <f t="shared" si="81"/>
        <v>0</v>
      </c>
      <c r="Q355" s="383">
        <f t="shared" si="81"/>
        <v>0</v>
      </c>
      <c r="R355" s="395">
        <f t="shared" si="81"/>
        <v>0</v>
      </c>
      <c r="S355" s="413">
        <f t="shared" si="81"/>
        <v>0</v>
      </c>
      <c r="T355" s="383">
        <f t="shared" si="81"/>
        <v>0</v>
      </c>
      <c r="U355" s="383">
        <f t="shared" si="81"/>
        <v>0</v>
      </c>
      <c r="V355" s="383">
        <f t="shared" si="81"/>
        <v>0</v>
      </c>
      <c r="W355" s="395">
        <f t="shared" si="81"/>
        <v>0</v>
      </c>
    </row>
    <row r="356" spans="1:23" ht="12.75" hidden="1" customHeight="1" outlineLevel="1">
      <c r="A356" s="351" t="s">
        <v>156</v>
      </c>
      <c r="B356" s="379">
        <v>0</v>
      </c>
      <c r="C356" s="395">
        <v>0</v>
      </c>
      <c r="D356" s="379">
        <v>0</v>
      </c>
      <c r="E356" s="383">
        <v>0</v>
      </c>
      <c r="F356" s="383">
        <v>0</v>
      </c>
      <c r="G356" s="383">
        <v>0</v>
      </c>
      <c r="H356" s="395">
        <f>B352</f>
        <v>1.8423320547945203E-2</v>
      </c>
      <c r="I356" s="379">
        <f>C352</f>
        <v>2.6216E-2</v>
      </c>
      <c r="J356" s="383">
        <f>D352</f>
        <v>4.7309999999999991E-3</v>
      </c>
      <c r="K356" s="383">
        <f>E352</f>
        <v>1.4551E-2</v>
      </c>
      <c r="L356" s="383">
        <f>F352</f>
        <v>4.3892427397260268E-4</v>
      </c>
      <c r="M356" s="395">
        <v>0</v>
      </c>
      <c r="N356" s="379">
        <v>0</v>
      </c>
      <c r="O356" s="383">
        <v>0</v>
      </c>
      <c r="P356" s="383">
        <v>0</v>
      </c>
      <c r="Q356" s="383">
        <v>0</v>
      </c>
      <c r="R356" s="395">
        <v>0</v>
      </c>
      <c r="S356" s="379">
        <v>0</v>
      </c>
      <c r="T356" s="383">
        <v>0</v>
      </c>
      <c r="U356" s="383">
        <v>0</v>
      </c>
      <c r="V356" s="383">
        <v>0</v>
      </c>
      <c r="W356" s="395">
        <v>0</v>
      </c>
    </row>
    <row r="357" spans="1:23" ht="12.75" hidden="1" customHeight="1" outlineLevel="1">
      <c r="A357" s="351" t="s">
        <v>157</v>
      </c>
      <c r="B357" s="375">
        <f>IF($B349=1,B356+B355,B356*$B349*0.5)</f>
        <v>0</v>
      </c>
      <c r="C357" s="375">
        <f t="shared" ref="C357:W357" si="82">IF($B349=1,C356+C355,(C355+C356*0.5)*$B349)</f>
        <v>0</v>
      </c>
      <c r="D357" s="396">
        <f t="shared" si="82"/>
        <v>0</v>
      </c>
      <c r="E357" s="375">
        <f t="shared" si="82"/>
        <v>0</v>
      </c>
      <c r="F357" s="375">
        <f t="shared" si="82"/>
        <v>0</v>
      </c>
      <c r="G357" s="375">
        <f t="shared" si="82"/>
        <v>0</v>
      </c>
      <c r="H357" s="397">
        <f t="shared" si="82"/>
        <v>1.8423320547945203E-2</v>
      </c>
      <c r="I357" s="396">
        <f t="shared" si="82"/>
        <v>2.6216E-2</v>
      </c>
      <c r="J357" s="375">
        <f t="shared" si="82"/>
        <v>4.7309999999999991E-3</v>
      </c>
      <c r="K357" s="375">
        <f t="shared" si="82"/>
        <v>1.4551E-2</v>
      </c>
      <c r="L357" s="375">
        <f t="shared" si="82"/>
        <v>4.3892427397260268E-4</v>
      </c>
      <c r="M357" s="397">
        <f t="shared" si="82"/>
        <v>0</v>
      </c>
      <c r="N357" s="396">
        <f t="shared" si="82"/>
        <v>0</v>
      </c>
      <c r="O357" s="375">
        <f t="shared" si="82"/>
        <v>0</v>
      </c>
      <c r="P357" s="375">
        <f t="shared" si="82"/>
        <v>0</v>
      </c>
      <c r="Q357" s="375">
        <f t="shared" si="82"/>
        <v>0</v>
      </c>
      <c r="R357" s="397">
        <f t="shared" si="82"/>
        <v>0</v>
      </c>
      <c r="S357" s="396">
        <f t="shared" si="82"/>
        <v>0</v>
      </c>
      <c r="T357" s="375">
        <f t="shared" si="82"/>
        <v>0</v>
      </c>
      <c r="U357" s="375">
        <f t="shared" si="82"/>
        <v>0</v>
      </c>
      <c r="V357" s="375">
        <f t="shared" si="82"/>
        <v>0</v>
      </c>
      <c r="W357" s="397">
        <f t="shared" si="82"/>
        <v>0</v>
      </c>
    </row>
    <row r="358" spans="1:23" ht="12.75" hidden="1" customHeight="1" outlineLevel="1">
      <c r="A358" s="355" t="s">
        <v>113</v>
      </c>
      <c r="B358" s="382">
        <f t="shared" ref="B358:W358" si="83">B355+B356-B357</f>
        <v>0</v>
      </c>
      <c r="C358" s="398">
        <f t="shared" si="83"/>
        <v>0</v>
      </c>
      <c r="D358" s="382">
        <f t="shared" si="83"/>
        <v>0</v>
      </c>
      <c r="E358" s="399">
        <f t="shared" si="83"/>
        <v>0</v>
      </c>
      <c r="F358" s="399">
        <f t="shared" si="83"/>
        <v>0</v>
      </c>
      <c r="G358" s="399">
        <f t="shared" si="83"/>
        <v>0</v>
      </c>
      <c r="H358" s="398">
        <f t="shared" si="83"/>
        <v>0</v>
      </c>
      <c r="I358" s="382">
        <f t="shared" si="83"/>
        <v>0</v>
      </c>
      <c r="J358" s="399">
        <f t="shared" si="83"/>
        <v>0</v>
      </c>
      <c r="K358" s="399">
        <f t="shared" si="83"/>
        <v>0</v>
      </c>
      <c r="L358" s="399">
        <f t="shared" si="83"/>
        <v>0</v>
      </c>
      <c r="M358" s="398">
        <f t="shared" si="83"/>
        <v>0</v>
      </c>
      <c r="N358" s="382">
        <f t="shared" si="83"/>
        <v>0</v>
      </c>
      <c r="O358" s="399">
        <f t="shared" si="83"/>
        <v>0</v>
      </c>
      <c r="P358" s="399">
        <f t="shared" si="83"/>
        <v>0</v>
      </c>
      <c r="Q358" s="399">
        <f t="shared" si="83"/>
        <v>0</v>
      </c>
      <c r="R358" s="398">
        <f t="shared" si="83"/>
        <v>0</v>
      </c>
      <c r="S358" s="382">
        <f t="shared" si="83"/>
        <v>0</v>
      </c>
      <c r="T358" s="399">
        <f t="shared" si="83"/>
        <v>0</v>
      </c>
      <c r="U358" s="399">
        <f t="shared" si="83"/>
        <v>0</v>
      </c>
      <c r="V358" s="399">
        <f t="shared" si="83"/>
        <v>0</v>
      </c>
      <c r="W358" s="398">
        <f t="shared" si="83"/>
        <v>0</v>
      </c>
    </row>
    <row r="359" spans="1:23" ht="12.75" hidden="1" customHeight="1" outlineLevel="1"/>
    <row r="360" spans="1:23" ht="12.75" hidden="1" customHeight="1" outlineLevel="1"/>
    <row r="361" spans="1:23" ht="12.75" hidden="1" customHeight="1" outlineLevel="1">
      <c r="A361" s="360" t="s">
        <v>172</v>
      </c>
    </row>
    <row r="362" spans="1:23" ht="12.75" hidden="1" customHeight="1" outlineLevel="1">
      <c r="A362" s="360"/>
    </row>
    <row r="363" spans="1:23" ht="12.75" hidden="1" customHeight="1" outlineLevel="1">
      <c r="B363" s="367">
        <v>1996</v>
      </c>
      <c r="C363" s="368">
        <v>1997</v>
      </c>
      <c r="D363" s="367">
        <v>1998</v>
      </c>
      <c r="E363" s="369">
        <v>1999</v>
      </c>
      <c r="F363" s="369">
        <v>2000</v>
      </c>
      <c r="G363" s="369">
        <v>2001</v>
      </c>
      <c r="H363" s="368">
        <v>2002</v>
      </c>
      <c r="I363" s="367">
        <v>2003</v>
      </c>
      <c r="J363" s="369">
        <v>2004</v>
      </c>
      <c r="K363" s="369">
        <v>2005</v>
      </c>
      <c r="L363" s="369">
        <v>2006</v>
      </c>
      <c r="M363" s="368">
        <v>2007</v>
      </c>
      <c r="N363" s="367">
        <v>2008</v>
      </c>
      <c r="O363" s="369">
        <v>2009</v>
      </c>
      <c r="P363" s="369">
        <v>2010</v>
      </c>
      <c r="Q363" s="369">
        <v>2011</v>
      </c>
      <c r="R363" s="368">
        <v>2012</v>
      </c>
      <c r="S363" s="367">
        <f t="shared" ref="S363:W363" si="84">R363+1</f>
        <v>2013</v>
      </c>
      <c r="T363" s="369">
        <f t="shared" si="84"/>
        <v>2014</v>
      </c>
      <c r="U363" s="369">
        <f t="shared" si="84"/>
        <v>2015</v>
      </c>
      <c r="V363" s="369">
        <f t="shared" si="84"/>
        <v>2016</v>
      </c>
      <c r="W363" s="368">
        <f t="shared" si="84"/>
        <v>2017</v>
      </c>
    </row>
    <row r="364" spans="1:23" ht="12.75" hidden="1" customHeight="1" outlineLevel="1">
      <c r="A364" s="346" t="s">
        <v>2</v>
      </c>
      <c r="B364" s="353">
        <f t="shared" ref="B364:L365" si="85">B294+B309+B324+B339+B355</f>
        <v>0</v>
      </c>
      <c r="C364" s="370">
        <f t="shared" si="85"/>
        <v>0</v>
      </c>
      <c r="D364" s="353">
        <f t="shared" si="85"/>
        <v>0</v>
      </c>
      <c r="E364" s="363">
        <f t="shared" si="85"/>
        <v>0</v>
      </c>
      <c r="F364" s="363">
        <f t="shared" si="85"/>
        <v>0</v>
      </c>
      <c r="G364" s="363">
        <f t="shared" si="85"/>
        <v>0</v>
      </c>
      <c r="H364" s="370">
        <f t="shared" si="85"/>
        <v>0</v>
      </c>
      <c r="I364" s="353">
        <f t="shared" si="85"/>
        <v>0.37820002614158305</v>
      </c>
      <c r="J364" s="363">
        <f t="shared" si="85"/>
        <v>1.1001537657063338</v>
      </c>
      <c r="K364" s="363">
        <f t="shared" si="85"/>
        <v>2.1756471361388594</v>
      </c>
      <c r="L364" s="363">
        <f t="shared" si="85"/>
        <v>2.881966445370729</v>
      </c>
      <c r="M364" s="395">
        <f t="shared" ref="M364:W364" si="86">L367</f>
        <v>2.9410196462820384</v>
      </c>
      <c r="N364" s="413">
        <f t="shared" si="86"/>
        <v>2.5206059798254694</v>
      </c>
      <c r="O364" s="383">
        <f t="shared" si="86"/>
        <v>2.2073511983839031</v>
      </c>
      <c r="P364" s="383">
        <f t="shared" si="86"/>
        <v>1.9647546011704948</v>
      </c>
      <c r="Q364" s="383">
        <f t="shared" si="86"/>
        <v>1.7697424596463107</v>
      </c>
      <c r="R364" s="395">
        <f t="shared" si="86"/>
        <v>1.6076501371381666</v>
      </c>
      <c r="S364" s="413">
        <f t="shared" si="86"/>
        <v>1.4690849697960005</v>
      </c>
      <c r="T364" s="383">
        <f t="shared" si="86"/>
        <v>1.3479646418584339</v>
      </c>
      <c r="U364" s="383">
        <f t="shared" si="86"/>
        <v>1.2402902697937501</v>
      </c>
      <c r="V364" s="383">
        <f t="shared" si="86"/>
        <v>1.1433787092209224</v>
      </c>
      <c r="W364" s="395">
        <f t="shared" si="86"/>
        <v>1.0553819092406824</v>
      </c>
    </row>
    <row r="365" spans="1:23" ht="12.75" hidden="1" customHeight="1" outlineLevel="1">
      <c r="A365" s="351" t="s">
        <v>154</v>
      </c>
      <c r="B365" s="353">
        <f>B295+B310+B325+B340+B356</f>
        <v>0</v>
      </c>
      <c r="C365" s="370">
        <f t="shared" si="85"/>
        <v>0</v>
      </c>
      <c r="D365" s="353">
        <f t="shared" si="85"/>
        <v>0</v>
      </c>
      <c r="E365" s="363">
        <f t="shared" si="85"/>
        <v>0</v>
      </c>
      <c r="F365" s="363">
        <f t="shared" si="85"/>
        <v>0</v>
      </c>
      <c r="G365" s="363">
        <f t="shared" si="85"/>
        <v>0</v>
      </c>
      <c r="H365" s="370">
        <f t="shared" si="85"/>
        <v>0.43696573698858698</v>
      </c>
      <c r="I365" s="353">
        <f t="shared" si="85"/>
        <v>0.9175089999999998</v>
      </c>
      <c r="J365" s="363">
        <f t="shared" si="85"/>
        <v>1.422272717639488</v>
      </c>
      <c r="K365" s="363">
        <f t="shared" si="85"/>
        <v>1.2009999999999998</v>
      </c>
      <c r="L365" s="363">
        <f t="shared" si="85"/>
        <v>0.5691616438356164</v>
      </c>
      <c r="M365" s="395">
        <v>0</v>
      </c>
      <c r="N365" s="379">
        <v>0</v>
      </c>
      <c r="O365" s="383">
        <v>0</v>
      </c>
      <c r="P365" s="383">
        <v>0</v>
      </c>
      <c r="Q365" s="383">
        <v>0</v>
      </c>
      <c r="R365" s="395">
        <v>0</v>
      </c>
      <c r="S365" s="379">
        <v>0</v>
      </c>
      <c r="T365" s="383">
        <v>0</v>
      </c>
      <c r="U365" s="383">
        <v>0</v>
      </c>
      <c r="V365" s="383">
        <v>0</v>
      </c>
      <c r="W365" s="395">
        <v>0</v>
      </c>
    </row>
    <row r="366" spans="1:23" ht="12.75" hidden="1" customHeight="1" outlineLevel="1">
      <c r="A366" s="351" t="s">
        <v>149</v>
      </c>
      <c r="B366" s="353">
        <f t="shared" ref="B366:W366" si="87">B296+B311+B326+B341+B357</f>
        <v>0</v>
      </c>
      <c r="C366" s="370">
        <f t="shared" si="87"/>
        <v>0</v>
      </c>
      <c r="D366" s="353">
        <f t="shared" si="87"/>
        <v>0</v>
      </c>
      <c r="E366" s="363">
        <f t="shared" si="87"/>
        <v>0</v>
      </c>
      <c r="F366" s="363">
        <f t="shared" si="87"/>
        <v>0</v>
      </c>
      <c r="G366" s="363">
        <f t="shared" si="87"/>
        <v>0</v>
      </c>
      <c r="H366" s="370">
        <f t="shared" si="87"/>
        <v>5.8765710847003896E-2</v>
      </c>
      <c r="I366" s="353">
        <f t="shared" si="87"/>
        <v>0.1955552604352491</v>
      </c>
      <c r="J366" s="363">
        <f t="shared" si="87"/>
        <v>0.34677934720696246</v>
      </c>
      <c r="K366" s="363">
        <f t="shared" si="87"/>
        <v>0.49468069076813048</v>
      </c>
      <c r="L366" s="363">
        <f t="shared" si="87"/>
        <v>0.51010844292430679</v>
      </c>
      <c r="M366" s="370">
        <f t="shared" si="87"/>
        <v>0.42041366645656897</v>
      </c>
      <c r="N366" s="353">
        <f t="shared" si="87"/>
        <v>0.31325478144156638</v>
      </c>
      <c r="O366" s="363">
        <f t="shared" si="87"/>
        <v>0.24259659721340829</v>
      </c>
      <c r="P366" s="363">
        <f t="shared" si="87"/>
        <v>0.195012141524184</v>
      </c>
      <c r="Q366" s="363">
        <f t="shared" si="87"/>
        <v>0.1620923225081442</v>
      </c>
      <c r="R366" s="370">
        <f t="shared" si="87"/>
        <v>0.13856516734216617</v>
      </c>
      <c r="S366" s="353">
        <f t="shared" si="87"/>
        <v>0.12112032793756658</v>
      </c>
      <c r="T366" s="363">
        <f t="shared" si="87"/>
        <v>0.10767437206468372</v>
      </c>
      <c r="U366" s="363">
        <f t="shared" si="87"/>
        <v>9.6911560572827668E-2</v>
      </c>
      <c r="V366" s="363">
        <f t="shared" si="87"/>
        <v>8.7996799980240112E-2</v>
      </c>
      <c r="W366" s="370">
        <f t="shared" si="87"/>
        <v>8.0396202339120842E-2</v>
      </c>
    </row>
    <row r="367" spans="1:23" ht="12.75" hidden="1" customHeight="1" outlineLevel="1">
      <c r="A367" s="351" t="s">
        <v>113</v>
      </c>
      <c r="B367" s="357">
        <f t="shared" ref="B367:W367" si="88">B364+B365-B366</f>
        <v>0</v>
      </c>
      <c r="C367" s="371">
        <f t="shared" si="88"/>
        <v>0</v>
      </c>
      <c r="D367" s="357">
        <f t="shared" si="88"/>
        <v>0</v>
      </c>
      <c r="E367" s="372">
        <f t="shared" si="88"/>
        <v>0</v>
      </c>
      <c r="F367" s="372">
        <f t="shared" si="88"/>
        <v>0</v>
      </c>
      <c r="G367" s="372">
        <f t="shared" si="88"/>
        <v>0</v>
      </c>
      <c r="H367" s="371">
        <f t="shared" si="88"/>
        <v>0.3782000261415831</v>
      </c>
      <c r="I367" s="357">
        <f t="shared" si="88"/>
        <v>1.1001537657063338</v>
      </c>
      <c r="J367" s="372">
        <f t="shared" si="88"/>
        <v>2.1756471361388594</v>
      </c>
      <c r="K367" s="372">
        <f t="shared" si="88"/>
        <v>2.881966445370729</v>
      </c>
      <c r="L367" s="372">
        <f t="shared" si="88"/>
        <v>2.9410196462820384</v>
      </c>
      <c r="M367" s="414">
        <f t="shared" si="88"/>
        <v>2.5206059798254694</v>
      </c>
      <c r="N367" s="357">
        <f t="shared" si="88"/>
        <v>2.2073511983839031</v>
      </c>
      <c r="O367" s="372">
        <f t="shared" si="88"/>
        <v>1.9647546011704948</v>
      </c>
      <c r="P367" s="372">
        <f t="shared" si="88"/>
        <v>1.7697424596463107</v>
      </c>
      <c r="Q367" s="372">
        <f t="shared" si="88"/>
        <v>1.6076501371381666</v>
      </c>
      <c r="R367" s="371">
        <f t="shared" si="88"/>
        <v>1.4690849697960005</v>
      </c>
      <c r="S367" s="357">
        <f t="shared" si="88"/>
        <v>1.3479646418584339</v>
      </c>
      <c r="T367" s="372">
        <f t="shared" si="88"/>
        <v>1.2402902697937501</v>
      </c>
      <c r="U367" s="372">
        <f t="shared" si="88"/>
        <v>1.1433787092209224</v>
      </c>
      <c r="V367" s="372">
        <f t="shared" si="88"/>
        <v>1.0553819092406824</v>
      </c>
      <c r="W367" s="371">
        <f t="shared" si="88"/>
        <v>0.97498570690156161</v>
      </c>
    </row>
    <row r="368" spans="1:23" ht="12.75" hidden="1" customHeight="1" outlineLevel="1">
      <c r="A368" s="366"/>
      <c r="B368" s="363"/>
      <c r="C368" s="363"/>
      <c r="D368" s="363"/>
      <c r="E368" s="363"/>
      <c r="F368" s="363"/>
      <c r="G368" s="363"/>
      <c r="H368" s="363"/>
      <c r="I368" s="363"/>
      <c r="J368" s="363"/>
      <c r="K368" s="363"/>
      <c r="L368" s="363"/>
      <c r="M368" s="363"/>
      <c r="N368" s="363"/>
      <c r="O368" s="363"/>
      <c r="P368" s="363"/>
      <c r="Q368" s="363"/>
      <c r="R368" s="363"/>
    </row>
    <row r="369" spans="1:18" ht="12.75" hidden="1" customHeight="1" outlineLevel="1">
      <c r="A369" s="366"/>
      <c r="B369" s="363"/>
      <c r="C369" s="363"/>
      <c r="D369" s="363"/>
      <c r="E369" s="363"/>
      <c r="F369" s="363"/>
      <c r="G369" s="363"/>
      <c r="H369" s="363"/>
      <c r="I369" s="363"/>
      <c r="J369" s="363"/>
      <c r="K369" s="363"/>
      <c r="L369" s="363"/>
      <c r="M369" s="363"/>
      <c r="N369" s="363"/>
      <c r="O369" s="363"/>
      <c r="P369" s="363"/>
      <c r="Q369" s="363"/>
      <c r="R369" s="363"/>
    </row>
    <row r="370" spans="1:18" ht="12.75" hidden="1" customHeight="1" outlineLevel="1">
      <c r="A370" s="366"/>
      <c r="B370" s="363"/>
      <c r="C370" s="363"/>
      <c r="D370" s="363"/>
      <c r="E370" s="363"/>
      <c r="F370" s="363"/>
      <c r="G370" s="363"/>
      <c r="H370" s="363"/>
      <c r="I370" s="363"/>
      <c r="J370" s="363"/>
      <c r="K370" s="363"/>
      <c r="L370" s="363"/>
      <c r="M370" s="363"/>
      <c r="N370" s="363"/>
      <c r="O370" s="363"/>
      <c r="P370" s="363"/>
      <c r="Q370" s="363"/>
      <c r="R370" s="363"/>
    </row>
    <row r="371" spans="1:18" ht="12.75" hidden="1" customHeight="1" outlineLevel="1">
      <c r="A371" s="366"/>
      <c r="B371" s="363"/>
      <c r="C371" s="363"/>
      <c r="D371" s="363"/>
      <c r="E371" s="363"/>
      <c r="F371" s="363"/>
      <c r="G371" s="363"/>
      <c r="H371" s="363"/>
      <c r="I371" s="363"/>
      <c r="J371" s="363"/>
      <c r="K371" s="363"/>
      <c r="L371" s="363"/>
      <c r="M371" s="363"/>
      <c r="N371" s="363"/>
      <c r="O371" s="363"/>
      <c r="P371" s="363"/>
      <c r="Q371" s="363"/>
      <c r="R371" s="363"/>
    </row>
    <row r="372" spans="1:18" collapsed="1">
      <c r="A372" s="366"/>
      <c r="B372" s="363"/>
      <c r="C372" s="363"/>
      <c r="D372" s="363"/>
      <c r="E372" s="363"/>
      <c r="F372" s="363"/>
      <c r="G372" s="363"/>
      <c r="H372" s="363"/>
      <c r="I372" s="363"/>
      <c r="J372" s="363"/>
      <c r="K372" s="363"/>
      <c r="L372" s="363"/>
      <c r="M372" s="363"/>
      <c r="N372" s="363"/>
      <c r="O372" s="363"/>
      <c r="P372" s="363"/>
      <c r="Q372" s="363"/>
      <c r="R372" s="363"/>
    </row>
    <row r="373" spans="1:18">
      <c r="A373" s="343" t="s">
        <v>173</v>
      </c>
    </row>
    <row r="375" spans="1:18" ht="25.5" hidden="1" customHeight="1" outlineLevel="1">
      <c r="A375" s="344" t="s">
        <v>174</v>
      </c>
      <c r="B375" s="345" t="s">
        <v>137</v>
      </c>
      <c r="C375" s="345" t="s">
        <v>138</v>
      </c>
      <c r="D375" s="621" t="s">
        <v>139</v>
      </c>
      <c r="E375" s="621"/>
      <c r="H375" s="415" t="s">
        <v>175</v>
      </c>
      <c r="I375" s="416"/>
      <c r="J375" s="416"/>
      <c r="K375" s="416"/>
    </row>
    <row r="376" spans="1:18" ht="12.75" hidden="1" customHeight="1" outlineLevel="1">
      <c r="A376" s="346" t="s">
        <v>121</v>
      </c>
      <c r="B376" s="376">
        <v>0</v>
      </c>
      <c r="C376" s="377">
        <v>20</v>
      </c>
      <c r="D376" s="377" t="s">
        <v>140</v>
      </c>
      <c r="E376" s="350"/>
      <c r="H376" s="417" t="s">
        <v>121</v>
      </c>
      <c r="I376" s="418"/>
      <c r="J376" s="419">
        <v>3.4940000000000002</v>
      </c>
      <c r="K376" s="416"/>
    </row>
    <row r="377" spans="1:18" ht="12.75" hidden="1" customHeight="1" outlineLevel="1">
      <c r="A377" s="351" t="s">
        <v>122</v>
      </c>
      <c r="B377" s="378">
        <f>B376</f>
        <v>0</v>
      </c>
      <c r="C377" s="379">
        <v>4</v>
      </c>
      <c r="D377" s="379" t="s">
        <v>140</v>
      </c>
      <c r="E377" s="354"/>
      <c r="H377" s="420" t="s">
        <v>122</v>
      </c>
      <c r="I377" s="421"/>
      <c r="J377" s="422">
        <v>9.4E-2</v>
      </c>
      <c r="K377" s="416"/>
    </row>
    <row r="378" spans="1:18" ht="12.75" hidden="1" customHeight="1" outlineLevel="1">
      <c r="A378" s="351" t="s">
        <v>142</v>
      </c>
      <c r="B378" s="378">
        <f>B377</f>
        <v>0</v>
      </c>
      <c r="C378" s="379">
        <v>40</v>
      </c>
      <c r="D378" s="379" t="s">
        <v>143</v>
      </c>
      <c r="E378" s="354"/>
      <c r="H378" s="420" t="s">
        <v>142</v>
      </c>
      <c r="I378" s="421"/>
      <c r="J378" s="422"/>
      <c r="K378" s="416"/>
    </row>
    <row r="379" spans="1:18" ht="12.75" hidden="1" customHeight="1" outlineLevel="1">
      <c r="A379" s="351" t="s">
        <v>126</v>
      </c>
      <c r="B379" s="378">
        <f>B378</f>
        <v>0</v>
      </c>
      <c r="C379" s="379">
        <v>10</v>
      </c>
      <c r="D379" s="379" t="s">
        <v>140</v>
      </c>
      <c r="E379" s="354"/>
      <c r="H379" s="420" t="s">
        <v>126</v>
      </c>
      <c r="I379" s="421"/>
      <c r="J379" s="422">
        <v>6.6000000000000003E-2</v>
      </c>
      <c r="K379" s="416"/>
    </row>
    <row r="380" spans="1:18" ht="12.75" hidden="1" customHeight="1" outlineLevel="1">
      <c r="A380" s="351" t="s">
        <v>153</v>
      </c>
      <c r="B380" s="380">
        <f>B379</f>
        <v>0</v>
      </c>
      <c r="C380" s="381">
        <v>0</v>
      </c>
      <c r="D380" s="382" t="s">
        <v>141</v>
      </c>
      <c r="E380" s="358"/>
      <c r="H380" s="423" t="s">
        <v>153</v>
      </c>
      <c r="I380" s="424"/>
      <c r="J380" s="425"/>
      <c r="K380" s="416"/>
    </row>
    <row r="381" spans="1:18" ht="12.75" hidden="1" customHeight="1" outlineLevel="1">
      <c r="A381" s="366"/>
      <c r="B381" s="383">
        <f>SUM(B376:B380)</f>
        <v>0</v>
      </c>
      <c r="C381" s="384"/>
      <c r="D381" s="383"/>
      <c r="E381" s="366"/>
    </row>
    <row r="382" spans="1:18" ht="12.75" hidden="1" customHeight="1" outlineLevel="1"/>
    <row r="383" spans="1:18" ht="12.75" hidden="1" customHeight="1" outlineLevel="1">
      <c r="A383" s="360" t="s">
        <v>144</v>
      </c>
    </row>
    <row r="384" spans="1:18" ht="12.75" hidden="1" customHeight="1" outlineLevel="1"/>
    <row r="385" spans="1:23" ht="12.75" hidden="1" customHeight="1" outlineLevel="1">
      <c r="A385" s="360" t="str">
        <f>A376</f>
        <v>Mains &amp; Services</v>
      </c>
    </row>
    <row r="386" spans="1:23" ht="12.75" hidden="1" customHeight="1" outlineLevel="1">
      <c r="A386" s="385" t="s">
        <v>145</v>
      </c>
      <c r="B386" s="377">
        <f>B376</f>
        <v>0</v>
      </c>
      <c r="C386" s="350"/>
      <c r="D386" s="366"/>
      <c r="E386" s="366"/>
    </row>
    <row r="387" spans="1:23" ht="12.75" hidden="1" customHeight="1" outlineLevel="1">
      <c r="A387" s="386" t="s">
        <v>146</v>
      </c>
      <c r="B387" s="379">
        <f>C376</f>
        <v>20</v>
      </c>
      <c r="C387" s="354"/>
      <c r="D387" s="366"/>
      <c r="E387" s="366"/>
    </row>
    <row r="388" spans="1:23" ht="12.75" hidden="1" customHeight="1" outlineLevel="1">
      <c r="A388" s="386" t="s">
        <v>147</v>
      </c>
      <c r="B388" s="379" t="str">
        <f>D376</f>
        <v>Declining Balance</v>
      </c>
      <c r="C388" s="354"/>
      <c r="D388" s="366"/>
      <c r="E388" s="366"/>
    </row>
    <row r="389" spans="1:23" ht="12.75" hidden="1" customHeight="1" outlineLevel="1">
      <c r="A389" s="364" t="s">
        <v>148</v>
      </c>
      <c r="B389" s="365">
        <f>IF(B388="Straight Line",1/B387,IF(B388="Declining Balance",1/B387*2,1))</f>
        <v>0.1</v>
      </c>
      <c r="C389" s="358"/>
      <c r="D389" s="366"/>
      <c r="E389" s="366"/>
    </row>
    <row r="390" spans="1:23" ht="12.75" hidden="1" customHeight="1" outlineLevel="1">
      <c r="A390" s="366"/>
      <c r="B390" s="383"/>
      <c r="C390" s="366"/>
      <c r="D390" s="366"/>
      <c r="E390" s="366"/>
    </row>
    <row r="391" spans="1:23" ht="12.75" hidden="1" customHeight="1" outlineLevel="1">
      <c r="A391" s="366" t="s">
        <v>154</v>
      </c>
      <c r="B391" s="403" t="s">
        <v>171</v>
      </c>
      <c r="C391" s="426">
        <f t="shared" ref="C391:H391" si="89">B391+1</f>
        <v>2007</v>
      </c>
      <c r="D391" s="426">
        <f t="shared" si="89"/>
        <v>2008</v>
      </c>
      <c r="E391" s="426">
        <f t="shared" si="89"/>
        <v>2009</v>
      </c>
      <c r="F391" s="426">
        <f t="shared" si="89"/>
        <v>2010</v>
      </c>
      <c r="G391" s="426">
        <f t="shared" si="89"/>
        <v>2011</v>
      </c>
      <c r="H391" s="427">
        <f t="shared" si="89"/>
        <v>2012</v>
      </c>
      <c r="I391" s="428"/>
      <c r="J391" s="428"/>
      <c r="K391" s="428"/>
      <c r="L391" s="428"/>
    </row>
    <row r="392" spans="1:23" ht="12.75" hidden="1" customHeight="1" outlineLevel="1">
      <c r="A392" s="391" t="s">
        <v>155</v>
      </c>
      <c r="B392" s="392">
        <v>0.70116279478175336</v>
      </c>
      <c r="C392" s="429">
        <v>0.63900000000000001</v>
      </c>
      <c r="D392" s="392">
        <v>0</v>
      </c>
      <c r="E392" s="393">
        <v>0</v>
      </c>
      <c r="F392" s="393">
        <v>0</v>
      </c>
      <c r="G392" s="393">
        <v>0</v>
      </c>
      <c r="H392" s="394">
        <v>0</v>
      </c>
      <c r="I392" s="383"/>
      <c r="J392" s="383"/>
      <c r="K392" s="383"/>
      <c r="L392" s="411"/>
      <c r="M392" s="412"/>
    </row>
    <row r="393" spans="1:23" ht="12.75" hidden="1" customHeight="1" outlineLevel="1">
      <c r="A393" s="366"/>
      <c r="B393" s="383"/>
      <c r="C393" s="366"/>
    </row>
    <row r="394" spans="1:23" ht="12.75" hidden="1" customHeight="1" outlineLevel="1">
      <c r="B394" s="367">
        <v>1996</v>
      </c>
      <c r="C394" s="368">
        <v>1997</v>
      </c>
      <c r="D394" s="367">
        <v>1998</v>
      </c>
      <c r="E394" s="369">
        <v>1999</v>
      </c>
      <c r="F394" s="369">
        <v>2000</v>
      </c>
      <c r="G394" s="369">
        <v>2001</v>
      </c>
      <c r="H394" s="368">
        <v>2002</v>
      </c>
      <c r="I394" s="367">
        <v>2003</v>
      </c>
      <c r="J394" s="369">
        <v>2004</v>
      </c>
      <c r="K394" s="369">
        <v>2005</v>
      </c>
      <c r="L394" s="369">
        <v>2006</v>
      </c>
      <c r="M394" s="368">
        <v>2007</v>
      </c>
      <c r="N394" s="367">
        <v>2008</v>
      </c>
      <c r="O394" s="369">
        <v>2009</v>
      </c>
      <c r="P394" s="369">
        <v>2010</v>
      </c>
      <c r="Q394" s="369">
        <v>2011</v>
      </c>
      <c r="R394" s="368">
        <v>2012</v>
      </c>
      <c r="S394" s="367">
        <f t="shared" ref="S394:W394" si="90">R394+1</f>
        <v>2013</v>
      </c>
      <c r="T394" s="369">
        <f t="shared" si="90"/>
        <v>2014</v>
      </c>
      <c r="U394" s="369">
        <f t="shared" si="90"/>
        <v>2015</v>
      </c>
      <c r="V394" s="369">
        <f t="shared" si="90"/>
        <v>2016</v>
      </c>
      <c r="W394" s="368">
        <f t="shared" si="90"/>
        <v>2017</v>
      </c>
    </row>
    <row r="395" spans="1:23" ht="12.75" hidden="1" customHeight="1" outlineLevel="1">
      <c r="A395" s="346" t="s">
        <v>2</v>
      </c>
      <c r="B395" s="379">
        <f>B386</f>
        <v>0</v>
      </c>
      <c r="C395" s="395">
        <f t="shared" ref="C395:W395" si="91">B398</f>
        <v>0</v>
      </c>
      <c r="D395" s="379">
        <f t="shared" si="91"/>
        <v>0</v>
      </c>
      <c r="E395" s="383">
        <f t="shared" si="91"/>
        <v>0</v>
      </c>
      <c r="F395" s="383">
        <f t="shared" si="91"/>
        <v>0</v>
      </c>
      <c r="G395" s="383">
        <f t="shared" si="91"/>
        <v>0</v>
      </c>
      <c r="H395" s="395">
        <f t="shared" si="91"/>
        <v>0</v>
      </c>
      <c r="I395" s="379">
        <f t="shared" si="91"/>
        <v>0</v>
      </c>
      <c r="J395" s="383">
        <f t="shared" si="91"/>
        <v>0</v>
      </c>
      <c r="K395" s="383">
        <f t="shared" si="91"/>
        <v>0</v>
      </c>
      <c r="L395" s="383">
        <f t="shared" si="91"/>
        <v>0</v>
      </c>
      <c r="M395" s="395">
        <f t="shared" si="91"/>
        <v>0.66610465504266569</v>
      </c>
      <c r="N395" s="413">
        <f>M398</f>
        <v>1.206544189538399</v>
      </c>
      <c r="O395" s="383">
        <f t="shared" si="91"/>
        <v>1.0858897705845592</v>
      </c>
      <c r="P395" s="383">
        <f t="shared" si="91"/>
        <v>0.97730079352610322</v>
      </c>
      <c r="Q395" s="383">
        <f t="shared" si="91"/>
        <v>0.87957071417349286</v>
      </c>
      <c r="R395" s="395">
        <f t="shared" si="91"/>
        <v>0.79161364275614354</v>
      </c>
      <c r="S395" s="413">
        <f t="shared" si="91"/>
        <v>0.71245227848052917</v>
      </c>
      <c r="T395" s="383">
        <f t="shared" si="91"/>
        <v>0.64120705063247629</v>
      </c>
      <c r="U395" s="383">
        <f t="shared" si="91"/>
        <v>0.57708634556922866</v>
      </c>
      <c r="V395" s="383">
        <f t="shared" si="91"/>
        <v>0.51937771101230579</v>
      </c>
      <c r="W395" s="395">
        <f t="shared" si="91"/>
        <v>0.46743993991107519</v>
      </c>
    </row>
    <row r="396" spans="1:23" ht="12.75" hidden="1" customHeight="1" outlineLevel="1">
      <c r="A396" s="351" t="s">
        <v>156</v>
      </c>
      <c r="B396" s="379">
        <v>0</v>
      </c>
      <c r="C396" s="395">
        <v>0</v>
      </c>
      <c r="D396" s="379">
        <v>0</v>
      </c>
      <c r="E396" s="383">
        <v>0</v>
      </c>
      <c r="F396" s="383">
        <v>0</v>
      </c>
      <c r="G396" s="383">
        <v>0</v>
      </c>
      <c r="H396" s="395">
        <v>0</v>
      </c>
      <c r="I396" s="379">
        <v>0</v>
      </c>
      <c r="J396" s="383">
        <v>0</v>
      </c>
      <c r="K396" s="383">
        <v>0</v>
      </c>
      <c r="L396" s="383">
        <f>B392</f>
        <v>0.70116279478175336</v>
      </c>
      <c r="M396" s="395">
        <f t="shared" ref="M396:W396" si="92">C392</f>
        <v>0.63900000000000001</v>
      </c>
      <c r="N396" s="379">
        <f t="shared" si="92"/>
        <v>0</v>
      </c>
      <c r="O396" s="383">
        <f t="shared" si="92"/>
        <v>0</v>
      </c>
      <c r="P396" s="383">
        <f t="shared" si="92"/>
        <v>0</v>
      </c>
      <c r="Q396" s="383">
        <f t="shared" si="92"/>
        <v>0</v>
      </c>
      <c r="R396" s="395">
        <f t="shared" si="92"/>
        <v>0</v>
      </c>
      <c r="S396" s="379">
        <f t="shared" si="92"/>
        <v>0</v>
      </c>
      <c r="T396" s="383">
        <f t="shared" si="92"/>
        <v>0</v>
      </c>
      <c r="U396" s="383">
        <f t="shared" si="92"/>
        <v>0</v>
      </c>
      <c r="V396" s="383">
        <f t="shared" si="92"/>
        <v>0</v>
      </c>
      <c r="W396" s="395">
        <f t="shared" si="92"/>
        <v>0</v>
      </c>
    </row>
    <row r="397" spans="1:23" ht="12.75" hidden="1" customHeight="1" outlineLevel="1">
      <c r="A397" s="351" t="s">
        <v>157</v>
      </c>
      <c r="B397" s="375">
        <f>IF($B389=1,B396+B395,B396*$B389*0.5)</f>
        <v>0</v>
      </c>
      <c r="C397" s="375">
        <f t="shared" ref="C397:W397" si="93">IF($B389=1,C396+C395,(C395+C396*0.5)*$B389)</f>
        <v>0</v>
      </c>
      <c r="D397" s="396">
        <f t="shared" si="93"/>
        <v>0</v>
      </c>
      <c r="E397" s="375">
        <f t="shared" si="93"/>
        <v>0</v>
      </c>
      <c r="F397" s="375">
        <f t="shared" si="93"/>
        <v>0</v>
      </c>
      <c r="G397" s="375">
        <f t="shared" si="93"/>
        <v>0</v>
      </c>
      <c r="H397" s="397">
        <f t="shared" si="93"/>
        <v>0</v>
      </c>
      <c r="I397" s="396">
        <f t="shared" si="93"/>
        <v>0</v>
      </c>
      <c r="J397" s="375">
        <f t="shared" si="93"/>
        <v>0</v>
      </c>
      <c r="K397" s="375">
        <f t="shared" si="93"/>
        <v>0</v>
      </c>
      <c r="L397" s="375">
        <f t="shared" si="93"/>
        <v>3.5058139739087668E-2</v>
      </c>
      <c r="M397" s="397">
        <f t="shared" si="93"/>
        <v>9.8560465504266573E-2</v>
      </c>
      <c r="N397" s="396">
        <f t="shared" si="93"/>
        <v>0.12065441895383991</v>
      </c>
      <c r="O397" s="375">
        <f t="shared" si="93"/>
        <v>0.10858897705845592</v>
      </c>
      <c r="P397" s="375">
        <f t="shared" si="93"/>
        <v>9.7730079352610327E-2</v>
      </c>
      <c r="Q397" s="375">
        <f t="shared" si="93"/>
        <v>8.7957071417349292E-2</v>
      </c>
      <c r="R397" s="397">
        <f t="shared" si="93"/>
        <v>7.9161364275614363E-2</v>
      </c>
      <c r="S397" s="396">
        <f t="shared" si="93"/>
        <v>7.1245227848052914E-2</v>
      </c>
      <c r="T397" s="375">
        <f t="shared" si="93"/>
        <v>6.4120705063247629E-2</v>
      </c>
      <c r="U397" s="375">
        <f t="shared" si="93"/>
        <v>5.7708634556922871E-2</v>
      </c>
      <c r="V397" s="375">
        <f t="shared" si="93"/>
        <v>5.193777110123058E-2</v>
      </c>
      <c r="W397" s="397">
        <f t="shared" si="93"/>
        <v>4.674399399110752E-2</v>
      </c>
    </row>
    <row r="398" spans="1:23" ht="12.75" hidden="1" customHeight="1" outlineLevel="1">
      <c r="A398" s="355" t="s">
        <v>113</v>
      </c>
      <c r="B398" s="382">
        <f t="shared" ref="B398:W398" si="94">B395+B396-B397</f>
        <v>0</v>
      </c>
      <c r="C398" s="398">
        <f t="shared" si="94"/>
        <v>0</v>
      </c>
      <c r="D398" s="382">
        <f t="shared" si="94"/>
        <v>0</v>
      </c>
      <c r="E398" s="399">
        <f t="shared" si="94"/>
        <v>0</v>
      </c>
      <c r="F398" s="399">
        <f t="shared" si="94"/>
        <v>0</v>
      </c>
      <c r="G398" s="399">
        <f t="shared" si="94"/>
        <v>0</v>
      </c>
      <c r="H398" s="398">
        <f t="shared" si="94"/>
        <v>0</v>
      </c>
      <c r="I398" s="382">
        <f t="shared" si="94"/>
        <v>0</v>
      </c>
      <c r="J398" s="399">
        <f t="shared" si="94"/>
        <v>0</v>
      </c>
      <c r="K398" s="399">
        <f t="shared" si="94"/>
        <v>0</v>
      </c>
      <c r="L398" s="399">
        <f t="shared" si="94"/>
        <v>0.66610465504266569</v>
      </c>
      <c r="M398" s="398">
        <f t="shared" si="94"/>
        <v>1.206544189538399</v>
      </c>
      <c r="N398" s="382">
        <f t="shared" si="94"/>
        <v>1.0858897705845592</v>
      </c>
      <c r="O398" s="399">
        <f t="shared" si="94"/>
        <v>0.97730079352610322</v>
      </c>
      <c r="P398" s="399">
        <f t="shared" si="94"/>
        <v>0.87957071417349286</v>
      </c>
      <c r="Q398" s="399">
        <f t="shared" si="94"/>
        <v>0.79161364275614354</v>
      </c>
      <c r="R398" s="398">
        <f t="shared" si="94"/>
        <v>0.71245227848052917</v>
      </c>
      <c r="S398" s="382">
        <f t="shared" si="94"/>
        <v>0.64120705063247629</v>
      </c>
      <c r="T398" s="399">
        <f t="shared" si="94"/>
        <v>0.57708634556922866</v>
      </c>
      <c r="U398" s="399">
        <f t="shared" si="94"/>
        <v>0.51937771101230579</v>
      </c>
      <c r="V398" s="399">
        <f t="shared" si="94"/>
        <v>0.46743993991107519</v>
      </c>
      <c r="W398" s="398">
        <f t="shared" si="94"/>
        <v>0.42069594591996767</v>
      </c>
    </row>
    <row r="399" spans="1:23" ht="12.75" hidden="1" customHeight="1" outlineLevel="1"/>
    <row r="400" spans="1:23" ht="12.75" hidden="1" customHeight="1" outlineLevel="1">
      <c r="A400" s="360" t="str">
        <f>A377</f>
        <v>Meters</v>
      </c>
    </row>
    <row r="401" spans="1:23" ht="12.75" hidden="1" customHeight="1" outlineLevel="1">
      <c r="A401" s="385" t="s">
        <v>145</v>
      </c>
      <c r="B401" s="377">
        <f>B377</f>
        <v>0</v>
      </c>
      <c r="C401" s="350"/>
      <c r="D401" s="366"/>
      <c r="E401" s="366"/>
    </row>
    <row r="402" spans="1:23" ht="12.75" hidden="1" customHeight="1" outlineLevel="1">
      <c r="A402" s="386" t="s">
        <v>146</v>
      </c>
      <c r="B402" s="379">
        <f>C377</f>
        <v>4</v>
      </c>
      <c r="C402" s="354"/>
      <c r="D402" s="366"/>
      <c r="E402" s="366"/>
    </row>
    <row r="403" spans="1:23" ht="12.75" hidden="1" customHeight="1" outlineLevel="1">
      <c r="A403" s="386" t="s">
        <v>147</v>
      </c>
      <c r="B403" s="379" t="str">
        <f>D377</f>
        <v>Declining Balance</v>
      </c>
      <c r="C403" s="354"/>
      <c r="D403" s="366"/>
      <c r="E403" s="366"/>
    </row>
    <row r="404" spans="1:23" ht="12.75" hidden="1" customHeight="1" outlineLevel="1">
      <c r="A404" s="364" t="s">
        <v>148</v>
      </c>
      <c r="B404" s="365">
        <f>IF(B403="Straight Line",1/B402,IF(B403="Declining Balance",1/B402*1.5,1))</f>
        <v>0.375</v>
      </c>
      <c r="C404" s="358"/>
      <c r="D404" s="366"/>
      <c r="E404" s="366"/>
    </row>
    <row r="405" spans="1:23" ht="12.75" hidden="1" customHeight="1" outlineLevel="1">
      <c r="A405" s="366"/>
      <c r="B405" s="383"/>
      <c r="C405" s="366"/>
      <c r="D405" s="366"/>
      <c r="E405" s="366"/>
    </row>
    <row r="406" spans="1:23" ht="12.75" hidden="1" customHeight="1" outlineLevel="1">
      <c r="A406" s="366" t="s">
        <v>154</v>
      </c>
      <c r="B406" s="403" t="s">
        <v>171</v>
      </c>
      <c r="C406" s="426">
        <f t="shared" ref="C406:H406" si="95">B406+1</f>
        <v>2007</v>
      </c>
      <c r="D406" s="426">
        <f t="shared" si="95"/>
        <v>2008</v>
      </c>
      <c r="E406" s="426">
        <f t="shared" si="95"/>
        <v>2009</v>
      </c>
      <c r="F406" s="426">
        <f t="shared" si="95"/>
        <v>2010</v>
      </c>
      <c r="G406" s="426">
        <f t="shared" si="95"/>
        <v>2011</v>
      </c>
      <c r="H406" s="427">
        <f t="shared" si="95"/>
        <v>2012</v>
      </c>
      <c r="I406" s="408"/>
      <c r="J406" s="408"/>
      <c r="K406" s="408"/>
      <c r="L406" s="408"/>
    </row>
    <row r="407" spans="1:23" ht="12.75" hidden="1" customHeight="1" outlineLevel="1">
      <c r="A407" s="391" t="s">
        <v>155</v>
      </c>
      <c r="B407" s="392">
        <v>0.38242063921824648</v>
      </c>
      <c r="C407" s="429">
        <v>0.34300000000000003</v>
      </c>
      <c r="D407" s="392">
        <v>0</v>
      </c>
      <c r="E407" s="393">
        <v>0</v>
      </c>
      <c r="F407" s="393">
        <v>0</v>
      </c>
      <c r="G407" s="393">
        <v>0</v>
      </c>
      <c r="H407" s="394">
        <v>0</v>
      </c>
      <c r="I407" s="383"/>
      <c r="J407" s="383"/>
      <c r="K407" s="383"/>
      <c r="L407" s="411"/>
    </row>
    <row r="408" spans="1:23" ht="12.75" hidden="1" customHeight="1" outlineLevel="1">
      <c r="A408" s="366"/>
      <c r="B408" s="383"/>
      <c r="C408" s="366"/>
    </row>
    <row r="409" spans="1:23" ht="12.75" hidden="1" customHeight="1" outlineLevel="1">
      <c r="B409" s="367">
        <v>1996</v>
      </c>
      <c r="C409" s="368">
        <v>1997</v>
      </c>
      <c r="D409" s="367">
        <v>1998</v>
      </c>
      <c r="E409" s="369">
        <v>1999</v>
      </c>
      <c r="F409" s="369">
        <v>2000</v>
      </c>
      <c r="G409" s="369">
        <v>2001</v>
      </c>
      <c r="H409" s="368">
        <v>2002</v>
      </c>
      <c r="I409" s="367">
        <v>2003</v>
      </c>
      <c r="J409" s="369">
        <v>2004</v>
      </c>
      <c r="K409" s="369">
        <v>2005</v>
      </c>
      <c r="L409" s="369">
        <v>2006</v>
      </c>
      <c r="M409" s="368">
        <v>2007</v>
      </c>
      <c r="N409" s="367">
        <v>2008</v>
      </c>
      <c r="O409" s="369">
        <v>2009</v>
      </c>
      <c r="P409" s="369">
        <v>2010</v>
      </c>
      <c r="Q409" s="369">
        <v>2011</v>
      </c>
      <c r="R409" s="368">
        <v>2012</v>
      </c>
      <c r="S409" s="367">
        <f t="shared" ref="S409:W409" si="96">R409+1</f>
        <v>2013</v>
      </c>
      <c r="T409" s="369">
        <f t="shared" si="96"/>
        <v>2014</v>
      </c>
      <c r="U409" s="369">
        <f t="shared" si="96"/>
        <v>2015</v>
      </c>
      <c r="V409" s="369">
        <f t="shared" si="96"/>
        <v>2016</v>
      </c>
      <c r="W409" s="368">
        <f t="shared" si="96"/>
        <v>2017</v>
      </c>
    </row>
    <row r="410" spans="1:23" ht="12.75" hidden="1" customHeight="1" outlineLevel="1">
      <c r="A410" s="346" t="s">
        <v>2</v>
      </c>
      <c r="B410" s="379">
        <f>B401</f>
        <v>0</v>
      </c>
      <c r="C410" s="395">
        <f t="shared" ref="C410:W410" si="97">B413</f>
        <v>0</v>
      </c>
      <c r="D410" s="379">
        <f t="shared" si="97"/>
        <v>0</v>
      </c>
      <c r="E410" s="383">
        <f t="shared" si="97"/>
        <v>0</v>
      </c>
      <c r="F410" s="383">
        <f t="shared" si="97"/>
        <v>0</v>
      </c>
      <c r="G410" s="383">
        <f t="shared" si="97"/>
        <v>0</v>
      </c>
      <c r="H410" s="395">
        <f t="shared" si="97"/>
        <v>0</v>
      </c>
      <c r="I410" s="379">
        <f t="shared" si="97"/>
        <v>0</v>
      </c>
      <c r="J410" s="383">
        <f t="shared" si="97"/>
        <v>0</v>
      </c>
      <c r="K410" s="383">
        <f t="shared" si="97"/>
        <v>0</v>
      </c>
      <c r="L410" s="383">
        <f t="shared" si="97"/>
        <v>0</v>
      </c>
      <c r="M410" s="395">
        <f t="shared" si="97"/>
        <v>0.31071676936482528</v>
      </c>
      <c r="N410" s="413">
        <f>M413</f>
        <v>0.4728854808530159</v>
      </c>
      <c r="O410" s="383">
        <f t="shared" si="97"/>
        <v>0.29555342553313491</v>
      </c>
      <c r="P410" s="383">
        <f t="shared" si="97"/>
        <v>0.18472089095820932</v>
      </c>
      <c r="Q410" s="383">
        <f t="shared" si="97"/>
        <v>0.11545055684888082</v>
      </c>
      <c r="R410" s="395">
        <f t="shared" si="97"/>
        <v>7.2156598030550523E-2</v>
      </c>
      <c r="S410" s="413">
        <f t="shared" si="97"/>
        <v>4.5097873769094077E-2</v>
      </c>
      <c r="T410" s="383">
        <f t="shared" si="97"/>
        <v>2.8186171105683798E-2</v>
      </c>
      <c r="U410" s="383">
        <f t="shared" si="97"/>
        <v>1.7616356941052375E-2</v>
      </c>
      <c r="V410" s="383">
        <f t="shared" si="97"/>
        <v>1.1010223088157734E-2</v>
      </c>
      <c r="W410" s="395">
        <f t="shared" si="97"/>
        <v>6.8813894300985834E-3</v>
      </c>
    </row>
    <row r="411" spans="1:23" ht="12.75" hidden="1" customHeight="1" outlineLevel="1">
      <c r="A411" s="351" t="s">
        <v>156</v>
      </c>
      <c r="B411" s="379">
        <v>0</v>
      </c>
      <c r="C411" s="395">
        <v>0</v>
      </c>
      <c r="D411" s="379">
        <v>0</v>
      </c>
      <c r="E411" s="383">
        <v>0</v>
      </c>
      <c r="F411" s="383">
        <v>0</v>
      </c>
      <c r="G411" s="383">
        <v>0</v>
      </c>
      <c r="H411" s="395">
        <v>0</v>
      </c>
      <c r="I411" s="379">
        <v>0</v>
      </c>
      <c r="J411" s="383">
        <v>0</v>
      </c>
      <c r="K411" s="383">
        <v>0</v>
      </c>
      <c r="L411" s="383">
        <f t="shared" ref="L411:W411" si="98">B407</f>
        <v>0.38242063921824648</v>
      </c>
      <c r="M411" s="395">
        <f t="shared" si="98"/>
        <v>0.34300000000000003</v>
      </c>
      <c r="N411" s="379">
        <f t="shared" si="98"/>
        <v>0</v>
      </c>
      <c r="O411" s="383">
        <f t="shared" si="98"/>
        <v>0</v>
      </c>
      <c r="P411" s="383">
        <f t="shared" si="98"/>
        <v>0</v>
      </c>
      <c r="Q411" s="383">
        <f t="shared" si="98"/>
        <v>0</v>
      </c>
      <c r="R411" s="395">
        <f t="shared" si="98"/>
        <v>0</v>
      </c>
      <c r="S411" s="379">
        <f t="shared" si="98"/>
        <v>0</v>
      </c>
      <c r="T411" s="383">
        <f t="shared" si="98"/>
        <v>0</v>
      </c>
      <c r="U411" s="383">
        <f t="shared" si="98"/>
        <v>0</v>
      </c>
      <c r="V411" s="383">
        <f t="shared" si="98"/>
        <v>0</v>
      </c>
      <c r="W411" s="395">
        <f t="shared" si="98"/>
        <v>0</v>
      </c>
    </row>
    <row r="412" spans="1:23" ht="12.75" hidden="1" customHeight="1" outlineLevel="1">
      <c r="A412" s="351" t="s">
        <v>157</v>
      </c>
      <c r="B412" s="375">
        <f>IF($B404=1,B411+B410,B411*$B404*0.5)</f>
        <v>0</v>
      </c>
      <c r="C412" s="375">
        <f t="shared" ref="C412:W412" si="99">IF($B404=1,C411+C410,(C410+C411*0.5)*$B404)</f>
        <v>0</v>
      </c>
      <c r="D412" s="396">
        <f t="shared" si="99"/>
        <v>0</v>
      </c>
      <c r="E412" s="375">
        <f t="shared" si="99"/>
        <v>0</v>
      </c>
      <c r="F412" s="375">
        <f t="shared" si="99"/>
        <v>0</v>
      </c>
      <c r="G412" s="375">
        <f t="shared" si="99"/>
        <v>0</v>
      </c>
      <c r="H412" s="397">
        <f t="shared" si="99"/>
        <v>0</v>
      </c>
      <c r="I412" s="396">
        <f t="shared" si="99"/>
        <v>0</v>
      </c>
      <c r="J412" s="375">
        <f t="shared" si="99"/>
        <v>0</v>
      </c>
      <c r="K412" s="375">
        <f t="shared" si="99"/>
        <v>0</v>
      </c>
      <c r="L412" s="375">
        <f t="shared" si="99"/>
        <v>7.1703869853421212E-2</v>
      </c>
      <c r="M412" s="397">
        <f t="shared" si="99"/>
        <v>0.18083128851180946</v>
      </c>
      <c r="N412" s="396">
        <f t="shared" si="99"/>
        <v>0.17733205531988097</v>
      </c>
      <c r="O412" s="375">
        <f t="shared" si="99"/>
        <v>0.11083253457492559</v>
      </c>
      <c r="P412" s="375">
        <f t="shared" si="99"/>
        <v>6.9270334109328494E-2</v>
      </c>
      <c r="Q412" s="375">
        <f t="shared" si="99"/>
        <v>4.3293958818330307E-2</v>
      </c>
      <c r="R412" s="397">
        <f t="shared" si="99"/>
        <v>2.7058724261456446E-2</v>
      </c>
      <c r="S412" s="396">
        <f t="shared" si="99"/>
        <v>1.6911702663410279E-2</v>
      </c>
      <c r="T412" s="375">
        <f t="shared" si="99"/>
        <v>1.0569814164631423E-2</v>
      </c>
      <c r="U412" s="375">
        <f t="shared" si="99"/>
        <v>6.6061338528946405E-3</v>
      </c>
      <c r="V412" s="375">
        <f t="shared" si="99"/>
        <v>4.1288336580591507E-3</v>
      </c>
      <c r="W412" s="397">
        <f t="shared" si="99"/>
        <v>2.5805210362869688E-3</v>
      </c>
    </row>
    <row r="413" spans="1:23" ht="12.75" hidden="1" customHeight="1" outlineLevel="1">
      <c r="A413" s="355" t="s">
        <v>113</v>
      </c>
      <c r="B413" s="382">
        <f t="shared" ref="B413:W413" si="100">B410+B411-B412</f>
        <v>0</v>
      </c>
      <c r="C413" s="398">
        <f t="shared" si="100"/>
        <v>0</v>
      </c>
      <c r="D413" s="382">
        <f t="shared" si="100"/>
        <v>0</v>
      </c>
      <c r="E413" s="399">
        <f t="shared" si="100"/>
        <v>0</v>
      </c>
      <c r="F413" s="399">
        <f t="shared" si="100"/>
        <v>0</v>
      </c>
      <c r="G413" s="399">
        <f t="shared" si="100"/>
        <v>0</v>
      </c>
      <c r="H413" s="398">
        <f t="shared" si="100"/>
        <v>0</v>
      </c>
      <c r="I413" s="382">
        <f t="shared" si="100"/>
        <v>0</v>
      </c>
      <c r="J413" s="399">
        <f t="shared" si="100"/>
        <v>0</v>
      </c>
      <c r="K413" s="399">
        <f t="shared" si="100"/>
        <v>0</v>
      </c>
      <c r="L413" s="399">
        <f t="shared" si="100"/>
        <v>0.31071676936482528</v>
      </c>
      <c r="M413" s="398">
        <f t="shared" si="100"/>
        <v>0.4728854808530159</v>
      </c>
      <c r="N413" s="382">
        <f t="shared" si="100"/>
        <v>0.29555342553313491</v>
      </c>
      <c r="O413" s="399">
        <f t="shared" si="100"/>
        <v>0.18472089095820932</v>
      </c>
      <c r="P413" s="399">
        <f t="shared" si="100"/>
        <v>0.11545055684888082</v>
      </c>
      <c r="Q413" s="399">
        <f t="shared" si="100"/>
        <v>7.2156598030550523E-2</v>
      </c>
      <c r="R413" s="398">
        <f t="shared" si="100"/>
        <v>4.5097873769094077E-2</v>
      </c>
      <c r="S413" s="382">
        <f t="shared" si="100"/>
        <v>2.8186171105683798E-2</v>
      </c>
      <c r="T413" s="399">
        <f t="shared" si="100"/>
        <v>1.7616356941052375E-2</v>
      </c>
      <c r="U413" s="399">
        <f t="shared" si="100"/>
        <v>1.1010223088157734E-2</v>
      </c>
      <c r="V413" s="399">
        <f t="shared" si="100"/>
        <v>6.8813894300985834E-3</v>
      </c>
      <c r="W413" s="398">
        <f t="shared" si="100"/>
        <v>4.3008683938116146E-3</v>
      </c>
    </row>
    <row r="414" spans="1:23" ht="12.75" hidden="1" customHeight="1" outlineLevel="1"/>
    <row r="415" spans="1:23" ht="12.75" hidden="1" customHeight="1" outlineLevel="1">
      <c r="A415" s="360" t="str">
        <f>A378</f>
        <v>Land &amp; Buildings</v>
      </c>
    </row>
    <row r="416" spans="1:23" ht="12.75" hidden="1" customHeight="1" outlineLevel="1">
      <c r="A416" s="385" t="s">
        <v>145</v>
      </c>
      <c r="B416" s="377">
        <f>B378</f>
        <v>0</v>
      </c>
      <c r="C416" s="350"/>
      <c r="D416" s="366"/>
      <c r="E416" s="366"/>
    </row>
    <row r="417" spans="1:23" ht="12.75" hidden="1" customHeight="1" outlineLevel="1">
      <c r="A417" s="386" t="s">
        <v>146</v>
      </c>
      <c r="B417" s="379">
        <f>C378</f>
        <v>40</v>
      </c>
      <c r="C417" s="354"/>
      <c r="D417" s="366"/>
      <c r="E417" s="366"/>
    </row>
    <row r="418" spans="1:23" ht="12.75" hidden="1" customHeight="1" outlineLevel="1">
      <c r="A418" s="386" t="s">
        <v>147</v>
      </c>
      <c r="B418" s="379" t="str">
        <f>D378</f>
        <v>Straight Line</v>
      </c>
      <c r="C418" s="354"/>
      <c r="D418" s="366"/>
      <c r="E418" s="366"/>
    </row>
    <row r="419" spans="1:23" ht="12.75" hidden="1" customHeight="1" outlineLevel="1">
      <c r="A419" s="364" t="s">
        <v>148</v>
      </c>
      <c r="B419" s="365">
        <f>IF(B418="Straight Line",1/B417,IF(B418="Declining Balance",1/B417*2,1))</f>
        <v>2.5000000000000001E-2</v>
      </c>
      <c r="C419" s="358"/>
      <c r="D419" s="366"/>
      <c r="E419" s="366"/>
    </row>
    <row r="420" spans="1:23" ht="12.75" hidden="1" customHeight="1" outlineLevel="1">
      <c r="A420" s="366"/>
      <c r="B420" s="383"/>
      <c r="C420" s="366"/>
      <c r="D420" s="366"/>
      <c r="E420" s="366"/>
    </row>
    <row r="421" spans="1:23" ht="12.75" hidden="1" customHeight="1" outlineLevel="1">
      <c r="A421" s="366" t="s">
        <v>154</v>
      </c>
      <c r="B421" s="403" t="s">
        <v>171</v>
      </c>
      <c r="C421" s="426">
        <f t="shared" ref="C421:H421" si="101">B421+1</f>
        <v>2007</v>
      </c>
      <c r="D421" s="426">
        <f t="shared" si="101"/>
        <v>2008</v>
      </c>
      <c r="E421" s="426">
        <f t="shared" si="101"/>
        <v>2009</v>
      </c>
      <c r="F421" s="426">
        <f t="shared" si="101"/>
        <v>2010</v>
      </c>
      <c r="G421" s="426">
        <f t="shared" si="101"/>
        <v>2011</v>
      </c>
      <c r="H421" s="427">
        <f t="shared" si="101"/>
        <v>2012</v>
      </c>
      <c r="I421" s="408"/>
      <c r="J421" s="408"/>
      <c r="K421" s="408"/>
      <c r="L421" s="408"/>
    </row>
    <row r="422" spans="1:23" ht="12.75" hidden="1" customHeight="1" outlineLevel="1">
      <c r="A422" s="391" t="s">
        <v>155</v>
      </c>
      <c r="B422" s="392">
        <v>0</v>
      </c>
      <c r="C422" s="430">
        <v>0</v>
      </c>
      <c r="D422" s="392">
        <v>0</v>
      </c>
      <c r="E422" s="393">
        <v>0</v>
      </c>
      <c r="F422" s="393">
        <v>0</v>
      </c>
      <c r="G422" s="393">
        <v>0</v>
      </c>
      <c r="H422" s="394">
        <v>0</v>
      </c>
      <c r="I422" s="384"/>
      <c r="J422" s="384"/>
      <c r="K422" s="384"/>
      <c r="L422" s="412"/>
    </row>
    <row r="423" spans="1:23" ht="12.75" hidden="1" customHeight="1" outlineLevel="1">
      <c r="A423" s="366"/>
      <c r="B423" s="383"/>
      <c r="C423" s="366"/>
    </row>
    <row r="424" spans="1:23" ht="12.75" hidden="1" customHeight="1" outlineLevel="1">
      <c r="B424" s="367">
        <v>1996</v>
      </c>
      <c r="C424" s="368">
        <v>1997</v>
      </c>
      <c r="D424" s="367">
        <v>1998</v>
      </c>
      <c r="E424" s="369">
        <v>1999</v>
      </c>
      <c r="F424" s="369">
        <v>2000</v>
      </c>
      <c r="G424" s="369">
        <v>2001</v>
      </c>
      <c r="H424" s="368">
        <v>2002</v>
      </c>
      <c r="I424" s="367">
        <v>2003</v>
      </c>
      <c r="J424" s="369">
        <v>2004</v>
      </c>
      <c r="K424" s="369">
        <v>2005</v>
      </c>
      <c r="L424" s="369">
        <v>2006</v>
      </c>
      <c r="M424" s="368">
        <v>2007</v>
      </c>
      <c r="N424" s="367">
        <v>2008</v>
      </c>
      <c r="O424" s="369">
        <v>2009</v>
      </c>
      <c r="P424" s="369">
        <v>2010</v>
      </c>
      <c r="Q424" s="369">
        <v>2011</v>
      </c>
      <c r="R424" s="368">
        <v>2012</v>
      </c>
      <c r="S424" s="367">
        <f t="shared" ref="S424:W424" si="102">R424+1</f>
        <v>2013</v>
      </c>
      <c r="T424" s="369">
        <f t="shared" si="102"/>
        <v>2014</v>
      </c>
      <c r="U424" s="369">
        <f t="shared" si="102"/>
        <v>2015</v>
      </c>
      <c r="V424" s="369">
        <f t="shared" si="102"/>
        <v>2016</v>
      </c>
      <c r="W424" s="368">
        <f t="shared" si="102"/>
        <v>2017</v>
      </c>
    </row>
    <row r="425" spans="1:23" ht="12.75" hidden="1" customHeight="1" outlineLevel="1">
      <c r="A425" s="346" t="s">
        <v>2</v>
      </c>
      <c r="B425" s="379">
        <f>B416</f>
        <v>0</v>
      </c>
      <c r="C425" s="395">
        <f t="shared" ref="C425:W425" si="103">B428</f>
        <v>0</v>
      </c>
      <c r="D425" s="379">
        <f t="shared" si="103"/>
        <v>0</v>
      </c>
      <c r="E425" s="383">
        <f t="shared" si="103"/>
        <v>0</v>
      </c>
      <c r="F425" s="383">
        <f t="shared" si="103"/>
        <v>0</v>
      </c>
      <c r="G425" s="383">
        <f t="shared" si="103"/>
        <v>0</v>
      </c>
      <c r="H425" s="395">
        <f t="shared" si="103"/>
        <v>0</v>
      </c>
      <c r="I425" s="379">
        <f t="shared" si="103"/>
        <v>0</v>
      </c>
      <c r="J425" s="383">
        <f t="shared" si="103"/>
        <v>0</v>
      </c>
      <c r="K425" s="383">
        <f t="shared" si="103"/>
        <v>0</v>
      </c>
      <c r="L425" s="383">
        <f t="shared" si="103"/>
        <v>0</v>
      </c>
      <c r="M425" s="395">
        <f t="shared" si="103"/>
        <v>0</v>
      </c>
      <c r="N425" s="413">
        <f>M428</f>
        <v>0</v>
      </c>
      <c r="O425" s="383">
        <f t="shared" si="103"/>
        <v>0</v>
      </c>
      <c r="P425" s="383">
        <f t="shared" si="103"/>
        <v>0</v>
      </c>
      <c r="Q425" s="383">
        <f t="shared" si="103"/>
        <v>0</v>
      </c>
      <c r="R425" s="395">
        <f t="shared" si="103"/>
        <v>0</v>
      </c>
      <c r="S425" s="413">
        <f t="shared" si="103"/>
        <v>0</v>
      </c>
      <c r="T425" s="383">
        <f t="shared" si="103"/>
        <v>0</v>
      </c>
      <c r="U425" s="383">
        <f t="shared" si="103"/>
        <v>0</v>
      </c>
      <c r="V425" s="383">
        <f t="shared" si="103"/>
        <v>0</v>
      </c>
      <c r="W425" s="395">
        <f t="shared" si="103"/>
        <v>0</v>
      </c>
    </row>
    <row r="426" spans="1:23" ht="12.75" hidden="1" customHeight="1" outlineLevel="1">
      <c r="A426" s="351" t="s">
        <v>156</v>
      </c>
      <c r="B426" s="379">
        <v>0</v>
      </c>
      <c r="C426" s="395">
        <v>0</v>
      </c>
      <c r="D426" s="379">
        <v>0</v>
      </c>
      <c r="E426" s="383">
        <v>0</v>
      </c>
      <c r="F426" s="383">
        <v>0</v>
      </c>
      <c r="G426" s="383">
        <v>0</v>
      </c>
      <c r="H426" s="395">
        <v>0</v>
      </c>
      <c r="I426" s="379">
        <v>0</v>
      </c>
      <c r="J426" s="383">
        <v>0</v>
      </c>
      <c r="K426" s="383">
        <v>0</v>
      </c>
      <c r="L426" s="383">
        <f t="shared" ref="L426:W426" si="104">B422</f>
        <v>0</v>
      </c>
      <c r="M426" s="395">
        <f t="shared" si="104"/>
        <v>0</v>
      </c>
      <c r="N426" s="379">
        <f t="shared" si="104"/>
        <v>0</v>
      </c>
      <c r="O426" s="383">
        <f t="shared" si="104"/>
        <v>0</v>
      </c>
      <c r="P426" s="383">
        <f t="shared" si="104"/>
        <v>0</v>
      </c>
      <c r="Q426" s="383">
        <f t="shared" si="104"/>
        <v>0</v>
      </c>
      <c r="R426" s="395">
        <f t="shared" si="104"/>
        <v>0</v>
      </c>
      <c r="S426" s="379">
        <f t="shared" si="104"/>
        <v>0</v>
      </c>
      <c r="T426" s="383">
        <f t="shared" si="104"/>
        <v>0</v>
      </c>
      <c r="U426" s="383">
        <f t="shared" si="104"/>
        <v>0</v>
      </c>
      <c r="V426" s="383">
        <f t="shared" si="104"/>
        <v>0</v>
      </c>
      <c r="W426" s="395">
        <f t="shared" si="104"/>
        <v>0</v>
      </c>
    </row>
    <row r="427" spans="1:23" ht="12.75" hidden="1" customHeight="1" outlineLevel="1">
      <c r="A427" s="351" t="s">
        <v>157</v>
      </c>
      <c r="B427" s="379">
        <f>B426*$B419*0.5</f>
        <v>0</v>
      </c>
      <c r="C427" s="395">
        <f>(SUM($B426:B426)+C426*0.5)*$B419</f>
        <v>0</v>
      </c>
      <c r="D427" s="379">
        <f>(SUM($B426:C426)+D426*0.5)*$B419</f>
        <v>0</v>
      </c>
      <c r="E427" s="383">
        <f>(SUM($B426:D426)+E426*0.5)*$B419</f>
        <v>0</v>
      </c>
      <c r="F427" s="383">
        <f>(SUM($B426:E426)+F426*0.5)*$B419</f>
        <v>0</v>
      </c>
      <c r="G427" s="383">
        <f>(SUM($B426:F426)+G426*0.5)*$B419</f>
        <v>0</v>
      </c>
      <c r="H427" s="395">
        <f>(SUM($B426:G426)+H426*0.5)*$B419</f>
        <v>0</v>
      </c>
      <c r="I427" s="379">
        <f>(SUM($B426:H426)+I426*0.5)*$B419</f>
        <v>0</v>
      </c>
      <c r="J427" s="383">
        <f>(SUM($B426:I426)+J426*0.5)*$B419</f>
        <v>0</v>
      </c>
      <c r="K427" s="383">
        <f>(SUM($B426:J426)+K426*0.5)*$B419</f>
        <v>0</v>
      </c>
      <c r="L427" s="383">
        <f>(SUM($B426:K426)+L426*0.5)*$B419</f>
        <v>0</v>
      </c>
      <c r="M427" s="395">
        <f>(SUM($B426:L426)+M426*0.5)*$B419</f>
        <v>0</v>
      </c>
      <c r="N427" s="379">
        <f>(SUM($B426:M426)+N426*0.5)*$B419</f>
        <v>0</v>
      </c>
      <c r="O427" s="383">
        <f>(SUM($B426:N426)+O426*0.5)*$B419</f>
        <v>0</v>
      </c>
      <c r="P427" s="383">
        <f>(SUM($B426:O426)+P426*0.5)*$B419</f>
        <v>0</v>
      </c>
      <c r="Q427" s="383">
        <f>(SUM($B426:P426)+Q426*0.5)*$B419</f>
        <v>0</v>
      </c>
      <c r="R427" s="395">
        <f>(SUM($B426:Q426)+R426*0.5)*$B419</f>
        <v>0</v>
      </c>
      <c r="S427" s="379">
        <f>(SUM($B426:R426)+S426*0.5)*$B419</f>
        <v>0</v>
      </c>
      <c r="T427" s="383">
        <f>(SUM($B426:S426)+T426*0.5)*$B419</f>
        <v>0</v>
      </c>
      <c r="U427" s="383">
        <f>(SUM($B426:T426)+U426*0.5)*$B419</f>
        <v>0</v>
      </c>
      <c r="V427" s="383">
        <f>(SUM($B426:U426)+V426*0.5)*$B419</f>
        <v>0</v>
      </c>
      <c r="W427" s="395">
        <f>(SUM($B426:V426)+W426*0.5)*$B419</f>
        <v>0</v>
      </c>
    </row>
    <row r="428" spans="1:23" ht="12.75" hidden="1" customHeight="1" outlineLevel="1">
      <c r="A428" s="355" t="s">
        <v>113</v>
      </c>
      <c r="B428" s="382">
        <f t="shared" ref="B428:W428" si="105">B425+B426-B427</f>
        <v>0</v>
      </c>
      <c r="C428" s="398">
        <f t="shared" si="105"/>
        <v>0</v>
      </c>
      <c r="D428" s="382">
        <f t="shared" si="105"/>
        <v>0</v>
      </c>
      <c r="E428" s="399">
        <f t="shared" si="105"/>
        <v>0</v>
      </c>
      <c r="F428" s="399">
        <f t="shared" si="105"/>
        <v>0</v>
      </c>
      <c r="G428" s="399">
        <f t="shared" si="105"/>
        <v>0</v>
      </c>
      <c r="H428" s="398">
        <f t="shared" si="105"/>
        <v>0</v>
      </c>
      <c r="I428" s="382">
        <f t="shared" si="105"/>
        <v>0</v>
      </c>
      <c r="J428" s="399">
        <f t="shared" si="105"/>
        <v>0</v>
      </c>
      <c r="K428" s="399">
        <f t="shared" si="105"/>
        <v>0</v>
      </c>
      <c r="L428" s="399">
        <f t="shared" si="105"/>
        <v>0</v>
      </c>
      <c r="M428" s="398">
        <f t="shared" si="105"/>
        <v>0</v>
      </c>
      <c r="N428" s="382">
        <f t="shared" si="105"/>
        <v>0</v>
      </c>
      <c r="O428" s="399">
        <f t="shared" si="105"/>
        <v>0</v>
      </c>
      <c r="P428" s="399">
        <f t="shared" si="105"/>
        <v>0</v>
      </c>
      <c r="Q428" s="399">
        <f t="shared" si="105"/>
        <v>0</v>
      </c>
      <c r="R428" s="398">
        <f t="shared" si="105"/>
        <v>0</v>
      </c>
      <c r="S428" s="382">
        <f t="shared" si="105"/>
        <v>0</v>
      </c>
      <c r="T428" s="399">
        <f t="shared" si="105"/>
        <v>0</v>
      </c>
      <c r="U428" s="399">
        <f t="shared" si="105"/>
        <v>0</v>
      </c>
      <c r="V428" s="399">
        <f t="shared" si="105"/>
        <v>0</v>
      </c>
      <c r="W428" s="398">
        <f t="shared" si="105"/>
        <v>0</v>
      </c>
    </row>
    <row r="429" spans="1:23" ht="12.75" hidden="1" customHeight="1" outlineLevel="1">
      <c r="M429" s="401"/>
    </row>
    <row r="430" spans="1:23" ht="12.75" hidden="1" customHeight="1" outlineLevel="1">
      <c r="A430" s="360" t="str">
        <f>A379</f>
        <v>Other Assets</v>
      </c>
    </row>
    <row r="431" spans="1:23" ht="12.75" hidden="1" customHeight="1" outlineLevel="1">
      <c r="A431" s="385" t="s">
        <v>145</v>
      </c>
      <c r="B431" s="377">
        <f>B379</f>
        <v>0</v>
      </c>
      <c r="C431" s="350"/>
      <c r="D431" s="366"/>
      <c r="E431" s="366"/>
    </row>
    <row r="432" spans="1:23" ht="12.75" hidden="1" customHeight="1" outlineLevel="1">
      <c r="A432" s="386" t="s">
        <v>146</v>
      </c>
      <c r="B432" s="379">
        <f>C379</f>
        <v>10</v>
      </c>
      <c r="C432" s="354"/>
      <c r="D432" s="366"/>
      <c r="E432" s="366"/>
    </row>
    <row r="433" spans="1:23" ht="12.75" hidden="1" customHeight="1" outlineLevel="1">
      <c r="A433" s="386" t="s">
        <v>147</v>
      </c>
      <c r="B433" s="379" t="str">
        <f>D379</f>
        <v>Declining Balance</v>
      </c>
      <c r="C433" s="354"/>
      <c r="D433" s="366"/>
      <c r="E433" s="366"/>
    </row>
    <row r="434" spans="1:23" ht="12.75" hidden="1" customHeight="1" outlineLevel="1">
      <c r="A434" s="364" t="s">
        <v>148</v>
      </c>
      <c r="B434" s="365">
        <f>IF(B433="Straight Line",1/B432,IF(B433="Declining Balance",1/B432*2,1))</f>
        <v>0.2</v>
      </c>
      <c r="C434" s="358"/>
      <c r="D434" s="366"/>
      <c r="E434" s="366"/>
    </row>
    <row r="435" spans="1:23" ht="12.75" hidden="1" customHeight="1" outlineLevel="1">
      <c r="A435" s="366"/>
      <c r="B435" s="383"/>
      <c r="C435" s="366"/>
      <c r="D435" s="366"/>
      <c r="E435" s="366"/>
    </row>
    <row r="436" spans="1:23" ht="12.75" hidden="1" customHeight="1" outlineLevel="1">
      <c r="A436" s="366" t="s">
        <v>154</v>
      </c>
      <c r="B436" s="403" t="s">
        <v>171</v>
      </c>
      <c r="C436" s="426">
        <f t="shared" ref="C436:H436" si="106">B436+1</f>
        <v>2007</v>
      </c>
      <c r="D436" s="426">
        <f t="shared" si="106"/>
        <v>2008</v>
      </c>
      <c r="E436" s="426">
        <f t="shared" si="106"/>
        <v>2009</v>
      </c>
      <c r="F436" s="426">
        <f t="shared" si="106"/>
        <v>2010</v>
      </c>
      <c r="G436" s="426">
        <f t="shared" si="106"/>
        <v>2011</v>
      </c>
      <c r="H436" s="427">
        <f t="shared" si="106"/>
        <v>2012</v>
      </c>
      <c r="I436" s="408"/>
      <c r="J436" s="408"/>
      <c r="K436" s="408"/>
      <c r="L436" s="408"/>
    </row>
    <row r="437" spans="1:23" ht="12.75" hidden="1" customHeight="1" outlineLevel="1">
      <c r="A437" s="391" t="s">
        <v>155</v>
      </c>
      <c r="B437" s="392">
        <v>-3.0557773561643835E-2</v>
      </c>
      <c r="C437" s="429">
        <v>0</v>
      </c>
      <c r="D437" s="392">
        <v>0</v>
      </c>
      <c r="E437" s="393">
        <v>0</v>
      </c>
      <c r="F437" s="393">
        <v>0</v>
      </c>
      <c r="G437" s="393">
        <v>0</v>
      </c>
      <c r="H437" s="394">
        <v>0</v>
      </c>
      <c r="I437" s="384"/>
      <c r="J437" s="384"/>
      <c r="K437" s="384"/>
      <c r="L437" s="412"/>
    </row>
    <row r="438" spans="1:23" ht="12.75" hidden="1" customHeight="1" outlineLevel="1">
      <c r="A438" s="366"/>
      <c r="B438" s="383"/>
      <c r="C438" s="366"/>
    </row>
    <row r="439" spans="1:23" ht="12.75" hidden="1" customHeight="1" outlineLevel="1">
      <c r="B439" s="367">
        <v>1996</v>
      </c>
      <c r="C439" s="368">
        <v>1997</v>
      </c>
      <c r="D439" s="367">
        <v>1998</v>
      </c>
      <c r="E439" s="369">
        <v>1999</v>
      </c>
      <c r="F439" s="369">
        <v>2000</v>
      </c>
      <c r="G439" s="369">
        <v>2001</v>
      </c>
      <c r="H439" s="368">
        <v>2002</v>
      </c>
      <c r="I439" s="367">
        <v>2003</v>
      </c>
      <c r="J439" s="369">
        <v>2004</v>
      </c>
      <c r="K439" s="369">
        <v>2005</v>
      </c>
      <c r="L439" s="369">
        <v>2006</v>
      </c>
      <c r="M439" s="368">
        <v>2007</v>
      </c>
      <c r="N439" s="367">
        <v>2008</v>
      </c>
      <c r="O439" s="369">
        <v>2009</v>
      </c>
      <c r="P439" s="369">
        <v>2010</v>
      </c>
      <c r="Q439" s="369">
        <v>2011</v>
      </c>
      <c r="R439" s="368">
        <v>2012</v>
      </c>
      <c r="S439" s="367">
        <f t="shared" ref="S439:W439" si="107">R439+1</f>
        <v>2013</v>
      </c>
      <c r="T439" s="369">
        <f t="shared" si="107"/>
        <v>2014</v>
      </c>
      <c r="U439" s="369">
        <f t="shared" si="107"/>
        <v>2015</v>
      </c>
      <c r="V439" s="369">
        <f t="shared" si="107"/>
        <v>2016</v>
      </c>
      <c r="W439" s="368">
        <f t="shared" si="107"/>
        <v>2017</v>
      </c>
    </row>
    <row r="440" spans="1:23" ht="12.75" hidden="1" customHeight="1" outlineLevel="1">
      <c r="A440" s="346" t="s">
        <v>2</v>
      </c>
      <c r="B440" s="379">
        <f>B431</f>
        <v>0</v>
      </c>
      <c r="C440" s="395">
        <f t="shared" ref="C440:W440" si="108">B443</f>
        <v>0</v>
      </c>
      <c r="D440" s="379">
        <f t="shared" si="108"/>
        <v>0</v>
      </c>
      <c r="E440" s="383">
        <f t="shared" si="108"/>
        <v>0</v>
      </c>
      <c r="F440" s="383">
        <f t="shared" si="108"/>
        <v>0</v>
      </c>
      <c r="G440" s="383">
        <f t="shared" si="108"/>
        <v>0</v>
      </c>
      <c r="H440" s="395">
        <f t="shared" si="108"/>
        <v>0</v>
      </c>
      <c r="I440" s="379">
        <f t="shared" si="108"/>
        <v>0</v>
      </c>
      <c r="J440" s="383">
        <f t="shared" si="108"/>
        <v>0</v>
      </c>
      <c r="K440" s="383">
        <f t="shared" si="108"/>
        <v>0</v>
      </c>
      <c r="L440" s="383">
        <f t="shared" si="108"/>
        <v>0</v>
      </c>
      <c r="M440" s="395">
        <f t="shared" si="108"/>
        <v>-2.7501996205479454E-2</v>
      </c>
      <c r="N440" s="413">
        <f>M443</f>
        <v>-2.2001596964383564E-2</v>
      </c>
      <c r="O440" s="383">
        <f t="shared" si="108"/>
        <v>-1.7601277571506851E-2</v>
      </c>
      <c r="P440" s="383">
        <f t="shared" si="108"/>
        <v>-1.408102205720548E-2</v>
      </c>
      <c r="Q440" s="383">
        <f t="shared" si="108"/>
        <v>-1.1264817645764385E-2</v>
      </c>
      <c r="R440" s="395">
        <f t="shared" si="108"/>
        <v>-9.0118541166115083E-3</v>
      </c>
      <c r="S440" s="413">
        <f t="shared" si="108"/>
        <v>-7.2094832932892063E-3</v>
      </c>
      <c r="T440" s="383">
        <f t="shared" si="108"/>
        <v>-5.7675866346313647E-3</v>
      </c>
      <c r="U440" s="383">
        <f t="shared" si="108"/>
        <v>-4.6140693077050916E-3</v>
      </c>
      <c r="V440" s="383">
        <f t="shared" si="108"/>
        <v>-3.6912554461640732E-3</v>
      </c>
      <c r="W440" s="395">
        <f t="shared" si="108"/>
        <v>-2.9530043569312584E-3</v>
      </c>
    </row>
    <row r="441" spans="1:23" ht="12.75" hidden="1" customHeight="1" outlineLevel="1">
      <c r="A441" s="351" t="s">
        <v>156</v>
      </c>
      <c r="B441" s="379">
        <v>0</v>
      </c>
      <c r="C441" s="395">
        <v>0</v>
      </c>
      <c r="D441" s="379">
        <v>0</v>
      </c>
      <c r="E441" s="383">
        <v>0</v>
      </c>
      <c r="F441" s="383">
        <v>0</v>
      </c>
      <c r="G441" s="383">
        <v>0</v>
      </c>
      <c r="H441" s="395">
        <v>0</v>
      </c>
      <c r="I441" s="379">
        <v>0</v>
      </c>
      <c r="J441" s="383">
        <v>0</v>
      </c>
      <c r="K441" s="383">
        <v>0</v>
      </c>
      <c r="L441" s="383">
        <f t="shared" ref="L441:W441" si="109">B437</f>
        <v>-3.0557773561643835E-2</v>
      </c>
      <c r="M441" s="395">
        <f t="shared" si="109"/>
        <v>0</v>
      </c>
      <c r="N441" s="379">
        <f t="shared" si="109"/>
        <v>0</v>
      </c>
      <c r="O441" s="383">
        <f t="shared" si="109"/>
        <v>0</v>
      </c>
      <c r="P441" s="383">
        <f t="shared" si="109"/>
        <v>0</v>
      </c>
      <c r="Q441" s="383">
        <f t="shared" si="109"/>
        <v>0</v>
      </c>
      <c r="R441" s="395">
        <f t="shared" si="109"/>
        <v>0</v>
      </c>
      <c r="S441" s="379">
        <f t="shared" si="109"/>
        <v>0</v>
      </c>
      <c r="T441" s="383">
        <f t="shared" si="109"/>
        <v>0</v>
      </c>
      <c r="U441" s="383">
        <f t="shared" si="109"/>
        <v>0</v>
      </c>
      <c r="V441" s="383">
        <f t="shared" si="109"/>
        <v>0</v>
      </c>
      <c r="W441" s="395">
        <f t="shared" si="109"/>
        <v>0</v>
      </c>
    </row>
    <row r="442" spans="1:23" ht="12.75" hidden="1" customHeight="1" outlineLevel="1">
      <c r="A442" s="351" t="s">
        <v>157</v>
      </c>
      <c r="B442" s="375">
        <f>IF($B434=1,B441+B440,B441*$B434*0.5)</f>
        <v>0</v>
      </c>
      <c r="C442" s="375">
        <f t="shared" ref="C442:W442" si="110">IF($B434=1,C441+C440,(C440+C441*0.5)*$B434)</f>
        <v>0</v>
      </c>
      <c r="D442" s="396">
        <f t="shared" si="110"/>
        <v>0</v>
      </c>
      <c r="E442" s="375">
        <f t="shared" si="110"/>
        <v>0</v>
      </c>
      <c r="F442" s="375">
        <f t="shared" si="110"/>
        <v>0</v>
      </c>
      <c r="G442" s="375">
        <f t="shared" si="110"/>
        <v>0</v>
      </c>
      <c r="H442" s="397">
        <f t="shared" si="110"/>
        <v>0</v>
      </c>
      <c r="I442" s="396">
        <f t="shared" si="110"/>
        <v>0</v>
      </c>
      <c r="J442" s="375">
        <f t="shared" si="110"/>
        <v>0</v>
      </c>
      <c r="K442" s="375">
        <f t="shared" si="110"/>
        <v>0</v>
      </c>
      <c r="L442" s="375">
        <f t="shared" si="110"/>
        <v>-3.0557773561643835E-3</v>
      </c>
      <c r="M442" s="397">
        <f t="shared" si="110"/>
        <v>-5.5003992410958911E-3</v>
      </c>
      <c r="N442" s="396">
        <f t="shared" si="110"/>
        <v>-4.4003193928767127E-3</v>
      </c>
      <c r="O442" s="375">
        <f t="shared" si="110"/>
        <v>-3.5202555143013705E-3</v>
      </c>
      <c r="P442" s="375">
        <f t="shared" si="110"/>
        <v>-2.8162044114410961E-3</v>
      </c>
      <c r="Q442" s="375">
        <f t="shared" si="110"/>
        <v>-2.2529635291528771E-3</v>
      </c>
      <c r="R442" s="397">
        <f t="shared" si="110"/>
        <v>-1.8023708233223018E-3</v>
      </c>
      <c r="S442" s="396">
        <f t="shared" si="110"/>
        <v>-1.4418966586578414E-3</v>
      </c>
      <c r="T442" s="375">
        <f t="shared" si="110"/>
        <v>-1.1535173269262729E-3</v>
      </c>
      <c r="U442" s="375">
        <f t="shared" si="110"/>
        <v>-9.2281386154101841E-4</v>
      </c>
      <c r="V442" s="375">
        <f t="shared" si="110"/>
        <v>-7.382510892328147E-4</v>
      </c>
      <c r="W442" s="397">
        <f t="shared" si="110"/>
        <v>-5.9060087138625172E-4</v>
      </c>
    </row>
    <row r="443" spans="1:23" ht="12.75" hidden="1" customHeight="1" outlineLevel="1">
      <c r="A443" s="355" t="s">
        <v>113</v>
      </c>
      <c r="B443" s="382">
        <f t="shared" ref="B443:W443" si="111">B440+B441-B442</f>
        <v>0</v>
      </c>
      <c r="C443" s="398">
        <f t="shared" si="111"/>
        <v>0</v>
      </c>
      <c r="D443" s="382">
        <f t="shared" si="111"/>
        <v>0</v>
      </c>
      <c r="E443" s="399">
        <f t="shared" si="111"/>
        <v>0</v>
      </c>
      <c r="F443" s="399">
        <f t="shared" si="111"/>
        <v>0</v>
      </c>
      <c r="G443" s="399">
        <f t="shared" si="111"/>
        <v>0</v>
      </c>
      <c r="H443" s="398">
        <f t="shared" si="111"/>
        <v>0</v>
      </c>
      <c r="I443" s="382">
        <f t="shared" si="111"/>
        <v>0</v>
      </c>
      <c r="J443" s="399">
        <f t="shared" si="111"/>
        <v>0</v>
      </c>
      <c r="K443" s="399">
        <f t="shared" si="111"/>
        <v>0</v>
      </c>
      <c r="L443" s="399">
        <f t="shared" si="111"/>
        <v>-2.7501996205479454E-2</v>
      </c>
      <c r="M443" s="398">
        <f t="shared" si="111"/>
        <v>-2.2001596964383564E-2</v>
      </c>
      <c r="N443" s="382">
        <f t="shared" si="111"/>
        <v>-1.7601277571506851E-2</v>
      </c>
      <c r="O443" s="399">
        <f t="shared" si="111"/>
        <v>-1.408102205720548E-2</v>
      </c>
      <c r="P443" s="399">
        <f t="shared" si="111"/>
        <v>-1.1264817645764385E-2</v>
      </c>
      <c r="Q443" s="399">
        <f t="shared" si="111"/>
        <v>-9.0118541166115083E-3</v>
      </c>
      <c r="R443" s="398">
        <f t="shared" si="111"/>
        <v>-7.2094832932892063E-3</v>
      </c>
      <c r="S443" s="382">
        <f t="shared" si="111"/>
        <v>-5.7675866346313647E-3</v>
      </c>
      <c r="T443" s="399">
        <f t="shared" si="111"/>
        <v>-4.6140693077050916E-3</v>
      </c>
      <c r="U443" s="399">
        <f t="shared" si="111"/>
        <v>-3.6912554461640732E-3</v>
      </c>
      <c r="V443" s="399">
        <f t="shared" si="111"/>
        <v>-2.9530043569312584E-3</v>
      </c>
      <c r="W443" s="398">
        <f t="shared" si="111"/>
        <v>-2.3624034855450069E-3</v>
      </c>
    </row>
    <row r="444" spans="1:23" ht="12.75" hidden="1" customHeight="1" outlineLevel="1"/>
    <row r="445" spans="1:23" ht="12.75" hidden="1" customHeight="1" outlineLevel="1"/>
    <row r="446" spans="1:23" ht="12.75" hidden="1" customHeight="1" outlineLevel="1">
      <c r="A446" s="360" t="str">
        <f>A380</f>
        <v>Repairs</v>
      </c>
    </row>
    <row r="447" spans="1:23" ht="12.75" hidden="1" customHeight="1" outlineLevel="1">
      <c r="A447" s="385" t="s">
        <v>145</v>
      </c>
      <c r="B447" s="377">
        <f>B380</f>
        <v>0</v>
      </c>
      <c r="C447" s="350"/>
      <c r="D447" s="366"/>
      <c r="E447" s="366"/>
    </row>
    <row r="448" spans="1:23" ht="12.75" hidden="1" customHeight="1" outlineLevel="1">
      <c r="A448" s="386" t="s">
        <v>146</v>
      </c>
      <c r="B448" s="379">
        <f>C380</f>
        <v>0</v>
      </c>
      <c r="C448" s="354"/>
      <c r="D448" s="366"/>
      <c r="E448" s="366"/>
    </row>
    <row r="449" spans="1:23" ht="12.75" hidden="1" customHeight="1" outlineLevel="1">
      <c r="A449" s="386" t="s">
        <v>147</v>
      </c>
      <c r="B449" s="379" t="str">
        <f>D380</f>
        <v>Fully Deductible</v>
      </c>
      <c r="C449" s="354"/>
      <c r="D449" s="366"/>
      <c r="E449" s="366"/>
    </row>
    <row r="450" spans="1:23" ht="12.75" hidden="1" customHeight="1" outlineLevel="1">
      <c r="A450" s="364" t="s">
        <v>148</v>
      </c>
      <c r="B450" s="365">
        <f>IF(B449="Straight Line",1/B448,IF(B449="Declining Balance",1/B448*2,1))</f>
        <v>1</v>
      </c>
      <c r="C450" s="358"/>
      <c r="D450" s="366"/>
      <c r="E450" s="366"/>
    </row>
    <row r="451" spans="1:23" ht="12.75" hidden="1" customHeight="1" outlineLevel="1">
      <c r="A451" s="366"/>
      <c r="B451" s="383"/>
      <c r="C451" s="366"/>
      <c r="D451" s="366"/>
      <c r="E451" s="366"/>
    </row>
    <row r="452" spans="1:23" ht="12.75" hidden="1" customHeight="1" outlineLevel="1">
      <c r="A452" s="366" t="s">
        <v>154</v>
      </c>
      <c r="B452" s="403" t="s">
        <v>171</v>
      </c>
      <c r="C452" s="426">
        <f t="shared" ref="C452:H452" si="112">B452+1</f>
        <v>2007</v>
      </c>
      <c r="D452" s="426">
        <f t="shared" si="112"/>
        <v>2008</v>
      </c>
      <c r="E452" s="426">
        <f t="shared" si="112"/>
        <v>2009</v>
      </c>
      <c r="F452" s="426">
        <f t="shared" si="112"/>
        <v>2010</v>
      </c>
      <c r="G452" s="426">
        <f t="shared" si="112"/>
        <v>2011</v>
      </c>
      <c r="H452" s="427">
        <f t="shared" si="112"/>
        <v>2012</v>
      </c>
      <c r="I452" s="408"/>
      <c r="J452" s="408"/>
      <c r="K452" s="408"/>
      <c r="L452" s="408"/>
    </row>
    <row r="453" spans="1:23" ht="12.75" hidden="1" customHeight="1" outlineLevel="1">
      <c r="A453" s="391" t="s">
        <v>155</v>
      </c>
      <c r="B453" s="392">
        <v>8.1269572602739716E-4</v>
      </c>
      <c r="C453" s="431">
        <v>0</v>
      </c>
      <c r="D453" s="392">
        <v>0</v>
      </c>
      <c r="E453" s="393">
        <v>0</v>
      </c>
      <c r="F453" s="393">
        <v>0</v>
      </c>
      <c r="G453" s="393">
        <v>0</v>
      </c>
      <c r="H453" s="394">
        <v>0</v>
      </c>
      <c r="I453" s="384"/>
      <c r="J453" s="384"/>
      <c r="K453" s="384"/>
      <c r="L453" s="412"/>
    </row>
    <row r="454" spans="1:23" ht="12.75" hidden="1" customHeight="1" outlineLevel="1">
      <c r="A454" s="366"/>
      <c r="B454" s="383"/>
      <c r="C454" s="366"/>
    </row>
    <row r="455" spans="1:23" ht="12.75" hidden="1" customHeight="1" outlineLevel="1">
      <c r="B455" s="367">
        <v>1996</v>
      </c>
      <c r="C455" s="368">
        <v>1997</v>
      </c>
      <c r="D455" s="367">
        <v>1998</v>
      </c>
      <c r="E455" s="369">
        <v>1999</v>
      </c>
      <c r="F455" s="369">
        <v>2000</v>
      </c>
      <c r="G455" s="369">
        <v>2001</v>
      </c>
      <c r="H455" s="368">
        <v>2002</v>
      </c>
      <c r="I455" s="367">
        <v>2003</v>
      </c>
      <c r="J455" s="369">
        <v>2004</v>
      </c>
      <c r="K455" s="369">
        <v>2005</v>
      </c>
      <c r="L455" s="369">
        <v>2006</v>
      </c>
      <c r="M455" s="368">
        <v>2007</v>
      </c>
      <c r="N455" s="367">
        <v>2008</v>
      </c>
      <c r="O455" s="369">
        <v>2009</v>
      </c>
      <c r="P455" s="369">
        <v>2010</v>
      </c>
      <c r="Q455" s="369">
        <v>2011</v>
      </c>
      <c r="R455" s="368">
        <v>2012</v>
      </c>
      <c r="S455" s="367">
        <f t="shared" ref="S455:W455" si="113">R455+1</f>
        <v>2013</v>
      </c>
      <c r="T455" s="369">
        <f t="shared" si="113"/>
        <v>2014</v>
      </c>
      <c r="U455" s="369">
        <f t="shared" si="113"/>
        <v>2015</v>
      </c>
      <c r="V455" s="369">
        <f t="shared" si="113"/>
        <v>2016</v>
      </c>
      <c r="W455" s="368">
        <f t="shared" si="113"/>
        <v>2017</v>
      </c>
    </row>
    <row r="456" spans="1:23" ht="12.75" hidden="1" customHeight="1" outlineLevel="1">
      <c r="A456" s="346" t="s">
        <v>2</v>
      </c>
      <c r="B456" s="379">
        <f>B447</f>
        <v>0</v>
      </c>
      <c r="C456" s="395">
        <f t="shared" ref="C456:W456" si="114">B459</f>
        <v>0</v>
      </c>
      <c r="D456" s="379">
        <f t="shared" si="114"/>
        <v>0</v>
      </c>
      <c r="E456" s="383">
        <f t="shared" si="114"/>
        <v>0</v>
      </c>
      <c r="F456" s="383">
        <f t="shared" si="114"/>
        <v>0</v>
      </c>
      <c r="G456" s="383">
        <f t="shared" si="114"/>
        <v>0</v>
      </c>
      <c r="H456" s="395">
        <f t="shared" si="114"/>
        <v>0</v>
      </c>
      <c r="I456" s="379">
        <f t="shared" si="114"/>
        <v>0</v>
      </c>
      <c r="J456" s="383">
        <f t="shared" si="114"/>
        <v>0</v>
      </c>
      <c r="K456" s="383">
        <f t="shared" si="114"/>
        <v>0</v>
      </c>
      <c r="L456" s="383">
        <f t="shared" si="114"/>
        <v>0</v>
      </c>
      <c r="M456" s="395">
        <f t="shared" si="114"/>
        <v>0</v>
      </c>
      <c r="N456" s="413">
        <f>M459</f>
        <v>0</v>
      </c>
      <c r="O456" s="383">
        <f t="shared" si="114"/>
        <v>0</v>
      </c>
      <c r="P456" s="383">
        <f t="shared" si="114"/>
        <v>0</v>
      </c>
      <c r="Q456" s="383">
        <f t="shared" si="114"/>
        <v>0</v>
      </c>
      <c r="R456" s="395">
        <f t="shared" si="114"/>
        <v>0</v>
      </c>
      <c r="S456" s="413">
        <f t="shared" si="114"/>
        <v>0</v>
      </c>
      <c r="T456" s="383">
        <f t="shared" si="114"/>
        <v>0</v>
      </c>
      <c r="U456" s="383">
        <f t="shared" si="114"/>
        <v>0</v>
      </c>
      <c r="V456" s="383">
        <f t="shared" si="114"/>
        <v>0</v>
      </c>
      <c r="W456" s="395">
        <f t="shared" si="114"/>
        <v>0</v>
      </c>
    </row>
    <row r="457" spans="1:23" ht="12.75" hidden="1" customHeight="1" outlineLevel="1">
      <c r="A457" s="351" t="s">
        <v>156</v>
      </c>
      <c r="B457" s="379">
        <v>0</v>
      </c>
      <c r="C457" s="395">
        <v>0</v>
      </c>
      <c r="D457" s="379">
        <v>0</v>
      </c>
      <c r="E457" s="383">
        <v>0</v>
      </c>
      <c r="F457" s="383">
        <v>0</v>
      </c>
      <c r="G457" s="383">
        <v>0</v>
      </c>
      <c r="H457" s="395">
        <v>0</v>
      </c>
      <c r="I457" s="379">
        <v>0</v>
      </c>
      <c r="J457" s="383">
        <v>0</v>
      </c>
      <c r="K457" s="383">
        <v>0</v>
      </c>
      <c r="L457" s="383">
        <f t="shared" ref="L457:W457" si="115">B453</f>
        <v>8.1269572602739716E-4</v>
      </c>
      <c r="M457" s="395">
        <f t="shared" si="115"/>
        <v>0</v>
      </c>
      <c r="N457" s="379">
        <f t="shared" si="115"/>
        <v>0</v>
      </c>
      <c r="O457" s="383">
        <f t="shared" si="115"/>
        <v>0</v>
      </c>
      <c r="P457" s="383">
        <f t="shared" si="115"/>
        <v>0</v>
      </c>
      <c r="Q457" s="383">
        <f t="shared" si="115"/>
        <v>0</v>
      </c>
      <c r="R457" s="395">
        <f t="shared" si="115"/>
        <v>0</v>
      </c>
      <c r="S457" s="379">
        <f t="shared" si="115"/>
        <v>0</v>
      </c>
      <c r="T457" s="383">
        <f t="shared" si="115"/>
        <v>0</v>
      </c>
      <c r="U457" s="383">
        <f t="shared" si="115"/>
        <v>0</v>
      </c>
      <c r="V457" s="383">
        <f t="shared" si="115"/>
        <v>0</v>
      </c>
      <c r="W457" s="395">
        <f t="shared" si="115"/>
        <v>0</v>
      </c>
    </row>
    <row r="458" spans="1:23" ht="12.75" hidden="1" customHeight="1" outlineLevel="1">
      <c r="A458" s="351" t="s">
        <v>157</v>
      </c>
      <c r="B458" s="375">
        <f>IF($B450=1,B457+B456,B457*$B450*0.5)</f>
        <v>0</v>
      </c>
      <c r="C458" s="375">
        <f t="shared" ref="C458:W458" si="116">IF($B450=1,C457+C456,(C456+C457*0.5)*$B450)</f>
        <v>0</v>
      </c>
      <c r="D458" s="396">
        <f t="shared" si="116"/>
        <v>0</v>
      </c>
      <c r="E458" s="375">
        <f t="shared" si="116"/>
        <v>0</v>
      </c>
      <c r="F458" s="375">
        <f t="shared" si="116"/>
        <v>0</v>
      </c>
      <c r="G458" s="375">
        <f t="shared" si="116"/>
        <v>0</v>
      </c>
      <c r="H458" s="397">
        <f t="shared" si="116"/>
        <v>0</v>
      </c>
      <c r="I458" s="396">
        <f t="shared" si="116"/>
        <v>0</v>
      </c>
      <c r="J458" s="375">
        <f t="shared" si="116"/>
        <v>0</v>
      </c>
      <c r="K458" s="375">
        <f t="shared" si="116"/>
        <v>0</v>
      </c>
      <c r="L458" s="375">
        <f t="shared" si="116"/>
        <v>8.1269572602739716E-4</v>
      </c>
      <c r="M458" s="397">
        <f t="shared" si="116"/>
        <v>0</v>
      </c>
      <c r="N458" s="396">
        <f t="shared" si="116"/>
        <v>0</v>
      </c>
      <c r="O458" s="375">
        <f t="shared" si="116"/>
        <v>0</v>
      </c>
      <c r="P458" s="375">
        <f t="shared" si="116"/>
        <v>0</v>
      </c>
      <c r="Q458" s="375">
        <f t="shared" si="116"/>
        <v>0</v>
      </c>
      <c r="R458" s="397">
        <f t="shared" si="116"/>
        <v>0</v>
      </c>
      <c r="S458" s="396">
        <f t="shared" si="116"/>
        <v>0</v>
      </c>
      <c r="T458" s="375">
        <f t="shared" si="116"/>
        <v>0</v>
      </c>
      <c r="U458" s="375">
        <f t="shared" si="116"/>
        <v>0</v>
      </c>
      <c r="V458" s="375">
        <f t="shared" si="116"/>
        <v>0</v>
      </c>
      <c r="W458" s="397">
        <f t="shared" si="116"/>
        <v>0</v>
      </c>
    </row>
    <row r="459" spans="1:23" ht="12.75" hidden="1" customHeight="1" outlineLevel="1">
      <c r="A459" s="355" t="s">
        <v>113</v>
      </c>
      <c r="B459" s="382">
        <f t="shared" ref="B459:W459" si="117">B456+B457-B458</f>
        <v>0</v>
      </c>
      <c r="C459" s="398">
        <f t="shared" si="117"/>
        <v>0</v>
      </c>
      <c r="D459" s="382">
        <f t="shared" si="117"/>
        <v>0</v>
      </c>
      <c r="E459" s="399">
        <f t="shared" si="117"/>
        <v>0</v>
      </c>
      <c r="F459" s="399">
        <f t="shared" si="117"/>
        <v>0</v>
      </c>
      <c r="G459" s="399">
        <f t="shared" si="117"/>
        <v>0</v>
      </c>
      <c r="H459" s="398">
        <f t="shared" si="117"/>
        <v>0</v>
      </c>
      <c r="I459" s="382">
        <f t="shared" si="117"/>
        <v>0</v>
      </c>
      <c r="J459" s="399">
        <f t="shared" si="117"/>
        <v>0</v>
      </c>
      <c r="K459" s="399">
        <f t="shared" si="117"/>
        <v>0</v>
      </c>
      <c r="L459" s="399">
        <f t="shared" si="117"/>
        <v>0</v>
      </c>
      <c r="M459" s="398">
        <f t="shared" si="117"/>
        <v>0</v>
      </c>
      <c r="N459" s="382">
        <f t="shared" si="117"/>
        <v>0</v>
      </c>
      <c r="O459" s="399">
        <f t="shared" si="117"/>
        <v>0</v>
      </c>
      <c r="P459" s="399">
        <f t="shared" si="117"/>
        <v>0</v>
      </c>
      <c r="Q459" s="399">
        <f t="shared" si="117"/>
        <v>0</v>
      </c>
      <c r="R459" s="398">
        <f t="shared" si="117"/>
        <v>0</v>
      </c>
      <c r="S459" s="382">
        <f t="shared" si="117"/>
        <v>0</v>
      </c>
      <c r="T459" s="399">
        <f t="shared" si="117"/>
        <v>0</v>
      </c>
      <c r="U459" s="399">
        <f t="shared" si="117"/>
        <v>0</v>
      </c>
      <c r="V459" s="399">
        <f t="shared" si="117"/>
        <v>0</v>
      </c>
      <c r="W459" s="398">
        <f t="shared" si="117"/>
        <v>0</v>
      </c>
    </row>
    <row r="460" spans="1:23" ht="12.75" hidden="1" customHeight="1" outlineLevel="1"/>
    <row r="461" spans="1:23" ht="12.75" hidden="1" customHeight="1" outlineLevel="1"/>
    <row r="462" spans="1:23" ht="12.75" hidden="1" customHeight="1" outlineLevel="1">
      <c r="A462" s="360" t="s">
        <v>176</v>
      </c>
    </row>
    <row r="463" spans="1:23" ht="12.75" hidden="1" customHeight="1" outlineLevel="1">
      <c r="A463" s="360"/>
    </row>
    <row r="464" spans="1:23" ht="12.75" hidden="1" customHeight="1" outlineLevel="1">
      <c r="B464" s="367">
        <v>1996</v>
      </c>
      <c r="C464" s="368">
        <v>1997</v>
      </c>
      <c r="D464" s="367">
        <v>1998</v>
      </c>
      <c r="E464" s="369">
        <v>1999</v>
      </c>
      <c r="F464" s="369">
        <v>2000</v>
      </c>
      <c r="G464" s="369">
        <v>2001</v>
      </c>
      <c r="H464" s="368">
        <v>2002</v>
      </c>
      <c r="I464" s="367">
        <v>2003</v>
      </c>
      <c r="J464" s="369">
        <v>2004</v>
      </c>
      <c r="K464" s="369">
        <v>2005</v>
      </c>
      <c r="L464" s="369">
        <v>2006</v>
      </c>
      <c r="M464" s="368">
        <v>2007</v>
      </c>
      <c r="N464" s="367">
        <v>2008</v>
      </c>
      <c r="O464" s="369">
        <v>2009</v>
      </c>
      <c r="P464" s="369">
        <v>2010</v>
      </c>
      <c r="Q464" s="369">
        <v>2011</v>
      </c>
      <c r="R464" s="368">
        <v>2012</v>
      </c>
      <c r="S464" s="367">
        <f t="shared" ref="S464:W464" si="118">R464+1</f>
        <v>2013</v>
      </c>
      <c r="T464" s="369">
        <f t="shared" si="118"/>
        <v>2014</v>
      </c>
      <c r="U464" s="369">
        <f t="shared" si="118"/>
        <v>2015</v>
      </c>
      <c r="V464" s="369">
        <f t="shared" si="118"/>
        <v>2016</v>
      </c>
      <c r="W464" s="368">
        <f t="shared" si="118"/>
        <v>2017</v>
      </c>
    </row>
    <row r="465" spans="1:23" ht="12.75" hidden="1" customHeight="1" outlineLevel="1">
      <c r="A465" s="346" t="s">
        <v>2</v>
      </c>
      <c r="B465" s="353">
        <f t="shared" ref="B465:W467" si="119">B395+B410+B425+B440+B456</f>
        <v>0</v>
      </c>
      <c r="C465" s="370">
        <f t="shared" si="119"/>
        <v>0</v>
      </c>
      <c r="D465" s="353">
        <f t="shared" si="119"/>
        <v>0</v>
      </c>
      <c r="E465" s="363">
        <f t="shared" si="119"/>
        <v>0</v>
      </c>
      <c r="F465" s="363">
        <f t="shared" si="119"/>
        <v>0</v>
      </c>
      <c r="G465" s="363">
        <f t="shared" si="119"/>
        <v>0</v>
      </c>
      <c r="H465" s="370">
        <f t="shared" si="119"/>
        <v>0</v>
      </c>
      <c r="I465" s="353">
        <f t="shared" si="119"/>
        <v>0</v>
      </c>
      <c r="J465" s="363">
        <f t="shared" si="119"/>
        <v>0</v>
      </c>
      <c r="K465" s="363">
        <f t="shared" si="119"/>
        <v>0</v>
      </c>
      <c r="L465" s="363">
        <f t="shared" si="119"/>
        <v>0</v>
      </c>
      <c r="M465" s="370">
        <f t="shared" si="119"/>
        <v>0.94931942820201154</v>
      </c>
      <c r="N465" s="413">
        <f t="shared" si="119"/>
        <v>1.6574280734270312</v>
      </c>
      <c r="O465" s="363">
        <f t="shared" si="119"/>
        <v>1.3638419185461872</v>
      </c>
      <c r="P465" s="363">
        <f t="shared" si="119"/>
        <v>1.1479406624271071</v>
      </c>
      <c r="Q465" s="363">
        <f t="shared" si="119"/>
        <v>0.98375645337660933</v>
      </c>
      <c r="R465" s="370">
        <f t="shared" si="119"/>
        <v>0.85475838667008253</v>
      </c>
      <c r="S465" s="413">
        <f t="shared" si="119"/>
        <v>0.75034066895633411</v>
      </c>
      <c r="T465" s="363">
        <f t="shared" si="119"/>
        <v>0.66362563510352868</v>
      </c>
      <c r="U465" s="363">
        <f t="shared" si="119"/>
        <v>0.59008863320257587</v>
      </c>
      <c r="V465" s="363">
        <f t="shared" si="119"/>
        <v>0.52669667865429937</v>
      </c>
      <c r="W465" s="370">
        <f t="shared" si="119"/>
        <v>0.47136832498424253</v>
      </c>
    </row>
    <row r="466" spans="1:23" ht="12.75" hidden="1" customHeight="1" outlineLevel="1">
      <c r="A466" s="351" t="s">
        <v>154</v>
      </c>
      <c r="B466" s="353">
        <f>B396+B411+B426+B441+B457</f>
        <v>0</v>
      </c>
      <c r="C466" s="370">
        <f t="shared" si="119"/>
        <v>0</v>
      </c>
      <c r="D466" s="353">
        <f t="shared" si="119"/>
        <v>0</v>
      </c>
      <c r="E466" s="363">
        <f t="shared" si="119"/>
        <v>0</v>
      </c>
      <c r="F466" s="363">
        <f t="shared" si="119"/>
        <v>0</v>
      </c>
      <c r="G466" s="363">
        <f t="shared" si="119"/>
        <v>0</v>
      </c>
      <c r="H466" s="370">
        <f t="shared" si="119"/>
        <v>0</v>
      </c>
      <c r="I466" s="353">
        <f t="shared" si="119"/>
        <v>0</v>
      </c>
      <c r="J466" s="363">
        <f t="shared" si="119"/>
        <v>0</v>
      </c>
      <c r="K466" s="363">
        <f t="shared" si="119"/>
        <v>0</v>
      </c>
      <c r="L466" s="363">
        <f t="shared" si="119"/>
        <v>1.0538383561643836</v>
      </c>
      <c r="M466" s="370">
        <f t="shared" si="119"/>
        <v>0.98199999999999998</v>
      </c>
      <c r="N466" s="353">
        <f t="shared" si="119"/>
        <v>0</v>
      </c>
      <c r="O466" s="363">
        <f t="shared" si="119"/>
        <v>0</v>
      </c>
      <c r="P466" s="363">
        <f t="shared" si="119"/>
        <v>0</v>
      </c>
      <c r="Q466" s="363">
        <f t="shared" si="119"/>
        <v>0</v>
      </c>
      <c r="R466" s="370">
        <f t="shared" si="119"/>
        <v>0</v>
      </c>
      <c r="S466" s="353">
        <f t="shared" si="119"/>
        <v>0</v>
      </c>
      <c r="T466" s="363">
        <f t="shared" si="119"/>
        <v>0</v>
      </c>
      <c r="U466" s="363">
        <f t="shared" si="119"/>
        <v>0</v>
      </c>
      <c r="V466" s="363">
        <f t="shared" si="119"/>
        <v>0</v>
      </c>
      <c r="W466" s="370">
        <f t="shared" si="119"/>
        <v>0</v>
      </c>
    </row>
    <row r="467" spans="1:23" ht="12.75" hidden="1" customHeight="1" outlineLevel="1">
      <c r="A467" s="351" t="s">
        <v>149</v>
      </c>
      <c r="B467" s="353">
        <f t="shared" ref="B467:R467" si="120">B397+B412+B427+B442+B458</f>
        <v>0</v>
      </c>
      <c r="C467" s="370">
        <f t="shared" si="120"/>
        <v>0</v>
      </c>
      <c r="D467" s="353">
        <f t="shared" si="120"/>
        <v>0</v>
      </c>
      <c r="E467" s="363">
        <f t="shared" si="120"/>
        <v>0</v>
      </c>
      <c r="F467" s="363">
        <f t="shared" si="120"/>
        <v>0</v>
      </c>
      <c r="G467" s="363">
        <f t="shared" si="120"/>
        <v>0</v>
      </c>
      <c r="H467" s="370">
        <f t="shared" si="120"/>
        <v>0</v>
      </c>
      <c r="I467" s="353">
        <f t="shared" si="120"/>
        <v>0</v>
      </c>
      <c r="J467" s="363">
        <f t="shared" si="120"/>
        <v>0</v>
      </c>
      <c r="K467" s="363">
        <f t="shared" si="120"/>
        <v>0</v>
      </c>
      <c r="L467" s="363">
        <f t="shared" si="120"/>
        <v>0.10451892796237189</v>
      </c>
      <c r="M467" s="370">
        <f t="shared" si="120"/>
        <v>0.27389135477498011</v>
      </c>
      <c r="N467" s="353">
        <f t="shared" si="120"/>
        <v>0.29358615488084416</v>
      </c>
      <c r="O467" s="363">
        <f t="shared" si="120"/>
        <v>0.21590125611908015</v>
      </c>
      <c r="P467" s="363">
        <f t="shared" si="120"/>
        <v>0.16418420905049774</v>
      </c>
      <c r="Q467" s="363">
        <f t="shared" si="120"/>
        <v>0.12899806670652672</v>
      </c>
      <c r="R467" s="370">
        <f t="shared" si="120"/>
        <v>0.10441771771374851</v>
      </c>
      <c r="S467" s="353">
        <f t="shared" si="119"/>
        <v>8.6715033852805365E-2</v>
      </c>
      <c r="T467" s="363">
        <f t="shared" si="119"/>
        <v>7.3537001900952789E-2</v>
      </c>
      <c r="U467" s="363">
        <f t="shared" si="119"/>
        <v>6.3391954548276494E-2</v>
      </c>
      <c r="V467" s="363">
        <f t="shared" si="119"/>
        <v>5.5328353670056916E-2</v>
      </c>
      <c r="W467" s="370">
        <f t="shared" si="119"/>
        <v>4.8733914156008237E-2</v>
      </c>
    </row>
    <row r="468" spans="1:23" ht="12.75" hidden="1" customHeight="1" outlineLevel="1">
      <c r="A468" s="351" t="s">
        <v>113</v>
      </c>
      <c r="B468" s="357">
        <f t="shared" ref="B468:W468" si="121">B465+B466-B467</f>
        <v>0</v>
      </c>
      <c r="C468" s="371">
        <f t="shared" si="121"/>
        <v>0</v>
      </c>
      <c r="D468" s="357">
        <f t="shared" si="121"/>
        <v>0</v>
      </c>
      <c r="E468" s="372">
        <f t="shared" si="121"/>
        <v>0</v>
      </c>
      <c r="F468" s="372">
        <f t="shared" si="121"/>
        <v>0</v>
      </c>
      <c r="G468" s="372">
        <f t="shared" si="121"/>
        <v>0</v>
      </c>
      <c r="H468" s="371">
        <f t="shared" si="121"/>
        <v>0</v>
      </c>
      <c r="I468" s="357">
        <f t="shared" si="121"/>
        <v>0</v>
      </c>
      <c r="J468" s="372">
        <f t="shared" si="121"/>
        <v>0</v>
      </c>
      <c r="K468" s="372">
        <f t="shared" si="121"/>
        <v>0</v>
      </c>
      <c r="L468" s="372">
        <f t="shared" si="121"/>
        <v>0.94931942820201165</v>
      </c>
      <c r="M468" s="414">
        <f t="shared" si="121"/>
        <v>1.6574280734270312</v>
      </c>
      <c r="N468" s="357">
        <f t="shared" si="121"/>
        <v>1.363841918546187</v>
      </c>
      <c r="O468" s="372">
        <f t="shared" si="121"/>
        <v>1.1479406624271071</v>
      </c>
      <c r="P468" s="372">
        <f t="shared" si="121"/>
        <v>0.98375645337660944</v>
      </c>
      <c r="Q468" s="372">
        <f t="shared" si="121"/>
        <v>0.85475838667008264</v>
      </c>
      <c r="R468" s="371">
        <f t="shared" si="121"/>
        <v>0.750340668956334</v>
      </c>
      <c r="S468" s="357">
        <f t="shared" si="121"/>
        <v>0.66362563510352879</v>
      </c>
      <c r="T468" s="372">
        <f t="shared" si="121"/>
        <v>0.59008863320257587</v>
      </c>
      <c r="U468" s="372">
        <f t="shared" si="121"/>
        <v>0.52669667865429937</v>
      </c>
      <c r="V468" s="372">
        <f t="shared" si="121"/>
        <v>0.47136832498424247</v>
      </c>
      <c r="W468" s="371">
        <f t="shared" si="121"/>
        <v>0.42263441082823427</v>
      </c>
    </row>
    <row r="469" spans="1:23" ht="12.75" hidden="1" customHeight="1" outlineLevel="1">
      <c r="A469" s="366"/>
      <c r="B469" s="366"/>
      <c r="C469" s="366"/>
      <c r="D469" s="366"/>
      <c r="E469" s="366"/>
      <c r="F469" s="366"/>
      <c r="G469" s="366"/>
      <c r="H469" s="366"/>
      <c r="I469" s="366"/>
      <c r="J469" s="366"/>
      <c r="K469" s="366"/>
      <c r="L469" s="366"/>
      <c r="M469" s="432"/>
      <c r="N469" s="366"/>
      <c r="O469" s="366"/>
      <c r="P469" s="366"/>
      <c r="Q469" s="366"/>
      <c r="R469" s="366"/>
    </row>
    <row r="470" spans="1:23" ht="12.75" hidden="1" customHeight="1" outlineLevel="1">
      <c r="A470" s="433"/>
      <c r="B470" s="434"/>
      <c r="C470" s="434"/>
      <c r="D470" s="434"/>
      <c r="E470" s="434"/>
      <c r="F470" s="434"/>
      <c r="G470" s="434"/>
      <c r="H470" s="434"/>
      <c r="I470" s="434"/>
      <c r="J470" s="434"/>
      <c r="K470" s="434"/>
      <c r="L470" s="434"/>
      <c r="M470" s="435"/>
      <c r="N470" s="366"/>
      <c r="O470" s="366"/>
      <c r="P470" s="366"/>
      <c r="Q470" s="366"/>
      <c r="R470" s="366"/>
    </row>
    <row r="471" spans="1:23" ht="12.75" hidden="1" customHeight="1" outlineLevel="1">
      <c r="A471" s="433"/>
      <c r="B471" s="434"/>
      <c r="C471" s="434"/>
      <c r="D471" s="434"/>
      <c r="E471" s="434"/>
      <c r="F471" s="434"/>
      <c r="G471" s="434"/>
      <c r="H471" s="434"/>
      <c r="I471" s="434"/>
      <c r="J471" s="434"/>
      <c r="K471" s="434"/>
      <c r="L471" s="434"/>
      <c r="M471" s="435"/>
      <c r="N471" s="366"/>
      <c r="O471" s="366"/>
      <c r="P471" s="366"/>
      <c r="Q471" s="366"/>
      <c r="R471" s="435"/>
    </row>
    <row r="472" spans="1:23" collapsed="1">
      <c r="A472" s="433"/>
      <c r="B472" s="434"/>
      <c r="C472" s="434"/>
      <c r="D472" s="434"/>
      <c r="E472" s="434"/>
      <c r="F472" s="434"/>
      <c r="G472" s="434"/>
      <c r="H472" s="434"/>
      <c r="I472" s="434"/>
      <c r="J472" s="434"/>
      <c r="K472" s="434"/>
      <c r="L472" s="434"/>
      <c r="M472" s="435"/>
      <c r="N472" s="366"/>
      <c r="O472" s="366"/>
      <c r="P472" s="366"/>
      <c r="Q472" s="366"/>
      <c r="R472" s="366"/>
    </row>
    <row r="473" spans="1:23">
      <c r="A473" s="343" t="s">
        <v>177</v>
      </c>
    </row>
    <row r="475" spans="1:23" ht="25.5" customHeight="1" outlineLevel="1">
      <c r="A475" s="344" t="s">
        <v>178</v>
      </c>
      <c r="B475" s="345" t="s">
        <v>137</v>
      </c>
      <c r="C475" s="345" t="s">
        <v>138</v>
      </c>
      <c r="D475" s="621" t="s">
        <v>139</v>
      </c>
      <c r="E475" s="621"/>
    </row>
    <row r="476" spans="1:23" ht="12.75" customHeight="1" outlineLevel="1">
      <c r="A476" s="346" t="s">
        <v>121</v>
      </c>
      <c r="B476" s="376">
        <v>0</v>
      </c>
      <c r="C476" s="377">
        <v>20</v>
      </c>
      <c r="D476" s="377" t="s">
        <v>140</v>
      </c>
      <c r="E476" s="350"/>
    </row>
    <row r="477" spans="1:23" ht="12.75" customHeight="1" outlineLevel="1">
      <c r="A477" s="351" t="s">
        <v>179</v>
      </c>
      <c r="B477" s="378">
        <f>B476</f>
        <v>0</v>
      </c>
      <c r="C477" s="379">
        <v>4</v>
      </c>
      <c r="D477" s="379" t="s">
        <v>140</v>
      </c>
      <c r="E477" s="354"/>
    </row>
    <row r="478" spans="1:23" ht="12.75" customHeight="1" outlineLevel="1">
      <c r="A478" s="351" t="s">
        <v>180</v>
      </c>
      <c r="B478" s="378">
        <f>B477</f>
        <v>0</v>
      </c>
      <c r="C478" s="379">
        <v>15</v>
      </c>
      <c r="D478" s="379" t="s">
        <v>140</v>
      </c>
      <c r="E478" s="354"/>
    </row>
    <row r="479" spans="1:23" ht="12.75" customHeight="1" outlineLevel="1">
      <c r="A479" s="351" t="s">
        <v>142</v>
      </c>
      <c r="B479" s="378">
        <f>B478</f>
        <v>0</v>
      </c>
      <c r="C479" s="379">
        <v>40</v>
      </c>
      <c r="D479" s="379" t="s">
        <v>143</v>
      </c>
      <c r="E479" s="354"/>
    </row>
    <row r="480" spans="1:23" ht="12.75" customHeight="1" outlineLevel="1">
      <c r="A480" s="351" t="s">
        <v>126</v>
      </c>
      <c r="B480" s="378">
        <f>B479</f>
        <v>0</v>
      </c>
      <c r="C480" s="379">
        <v>10</v>
      </c>
      <c r="D480" s="379" t="s">
        <v>140</v>
      </c>
      <c r="E480" s="354"/>
    </row>
    <row r="481" spans="1:23" ht="12.75" customHeight="1" outlineLevel="1">
      <c r="A481" s="351" t="s">
        <v>153</v>
      </c>
      <c r="B481" s="380">
        <f>B479</f>
        <v>0</v>
      </c>
      <c r="C481" s="381">
        <v>0</v>
      </c>
      <c r="D481" s="382" t="s">
        <v>141</v>
      </c>
      <c r="E481" s="358"/>
    </row>
    <row r="482" spans="1:23" ht="12.75" customHeight="1" outlineLevel="1">
      <c r="A482" s="366"/>
      <c r="B482" s="383">
        <f>SUM(B476:B481)</f>
        <v>0</v>
      </c>
      <c r="C482" s="384"/>
      <c r="D482" s="383"/>
      <c r="E482" s="366"/>
    </row>
    <row r="483" spans="1:23" ht="12.75" customHeight="1" outlineLevel="1"/>
    <row r="484" spans="1:23" ht="12.75" customHeight="1" outlineLevel="1">
      <c r="A484" s="360" t="s">
        <v>144</v>
      </c>
    </row>
    <row r="485" spans="1:23" ht="12.75" customHeight="1" outlineLevel="1"/>
    <row r="486" spans="1:23" ht="12.75" customHeight="1" outlineLevel="1">
      <c r="A486" s="360" t="str">
        <f>A476</f>
        <v>Mains &amp; Services</v>
      </c>
    </row>
    <row r="487" spans="1:23" ht="12.75" customHeight="1" outlineLevel="1">
      <c r="A487" s="385" t="s">
        <v>145</v>
      </c>
      <c r="B487" s="377">
        <f>B476</f>
        <v>0</v>
      </c>
      <c r="C487" s="350"/>
      <c r="D487" s="366"/>
      <c r="E487" s="366"/>
    </row>
    <row r="488" spans="1:23" ht="12.75" customHeight="1" outlineLevel="1">
      <c r="A488" s="386" t="s">
        <v>146</v>
      </c>
      <c r="B488" s="379">
        <f>C476</f>
        <v>20</v>
      </c>
      <c r="C488" s="354"/>
      <c r="D488" s="366"/>
      <c r="E488" s="366"/>
    </row>
    <row r="489" spans="1:23" ht="12.75" customHeight="1" outlineLevel="1">
      <c r="A489" s="386" t="s">
        <v>147</v>
      </c>
      <c r="B489" s="379" t="str">
        <f>D476</f>
        <v>Declining Balance</v>
      </c>
      <c r="C489" s="354"/>
      <c r="D489" s="366"/>
      <c r="E489" s="366"/>
    </row>
    <row r="490" spans="1:23" ht="12.75" customHeight="1" outlineLevel="1">
      <c r="A490" s="364" t="s">
        <v>148</v>
      </c>
      <c r="B490" s="365">
        <f>IF(B489="Straight Line",1/B488,IF(B489="Declining Balance",1/B488*2,1))</f>
        <v>0.1</v>
      </c>
      <c r="C490" s="358"/>
      <c r="D490" s="366"/>
      <c r="E490" s="366"/>
    </row>
    <row r="491" spans="1:23" ht="12.75" customHeight="1" outlineLevel="1">
      <c r="A491" s="366"/>
      <c r="B491" s="383"/>
      <c r="C491" s="366"/>
      <c r="D491" s="366"/>
      <c r="E491" s="366"/>
    </row>
    <row r="492" spans="1:23" ht="12.75" customHeight="1" outlineLevel="1">
      <c r="A492" s="366" t="s">
        <v>154</v>
      </c>
      <c r="B492" s="403" t="s">
        <v>171</v>
      </c>
      <c r="C492" s="426">
        <f t="shared" ref="C492:M492" si="122">B492+1</f>
        <v>2007</v>
      </c>
      <c r="D492" s="426">
        <f t="shared" si="122"/>
        <v>2008</v>
      </c>
      <c r="E492" s="426">
        <f t="shared" si="122"/>
        <v>2009</v>
      </c>
      <c r="F492" s="426">
        <f t="shared" si="122"/>
        <v>2010</v>
      </c>
      <c r="G492" s="426">
        <f t="shared" si="122"/>
        <v>2011</v>
      </c>
      <c r="H492" s="427">
        <f t="shared" si="122"/>
        <v>2012</v>
      </c>
      <c r="I492" s="426">
        <f t="shared" si="122"/>
        <v>2013</v>
      </c>
      <c r="J492" s="426">
        <f t="shared" si="122"/>
        <v>2014</v>
      </c>
      <c r="K492" s="426">
        <f t="shared" si="122"/>
        <v>2015</v>
      </c>
      <c r="L492" s="426">
        <f t="shared" si="122"/>
        <v>2016</v>
      </c>
      <c r="M492" s="427">
        <f t="shared" si="122"/>
        <v>2017</v>
      </c>
    </row>
    <row r="493" spans="1:23" ht="12.75" customHeight="1" outlineLevel="1">
      <c r="A493" s="391" t="s">
        <v>155</v>
      </c>
      <c r="B493" s="392">
        <v>0</v>
      </c>
      <c r="C493" s="393">
        <v>0</v>
      </c>
      <c r="D493" s="436">
        <v>0.78600000000000003</v>
      </c>
      <c r="E493" s="437">
        <v>0.86</v>
      </c>
      <c r="F493" s="437">
        <v>0.56899999999999995</v>
      </c>
      <c r="G493" s="437">
        <v>0.82800000000000007</v>
      </c>
      <c r="H493" s="597">
        <v>0.96700000000000008</v>
      </c>
      <c r="I493" s="392"/>
      <c r="J493" s="393"/>
      <c r="K493" s="393"/>
      <c r="L493" s="393"/>
      <c r="M493" s="394"/>
    </row>
    <row r="494" spans="1:23" ht="12.75" customHeight="1" outlineLevel="1">
      <c r="A494" s="366"/>
      <c r="B494" s="383"/>
      <c r="C494" s="366"/>
    </row>
    <row r="495" spans="1:23" ht="12.75" customHeight="1" outlineLevel="1">
      <c r="B495" s="367">
        <v>1996</v>
      </c>
      <c r="C495" s="368">
        <v>1997</v>
      </c>
      <c r="D495" s="367">
        <v>1998</v>
      </c>
      <c r="E495" s="369">
        <v>1999</v>
      </c>
      <c r="F495" s="369">
        <v>2000</v>
      </c>
      <c r="G495" s="369">
        <v>2001</v>
      </c>
      <c r="H495" s="368">
        <v>2002</v>
      </c>
      <c r="I495" s="367">
        <v>2003</v>
      </c>
      <c r="J495" s="369">
        <v>2004</v>
      </c>
      <c r="K495" s="369">
        <v>2005</v>
      </c>
      <c r="L495" s="369">
        <v>2006</v>
      </c>
      <c r="M495" s="368">
        <v>2007</v>
      </c>
      <c r="N495" s="367">
        <v>2008</v>
      </c>
      <c r="O495" s="369">
        <v>2009</v>
      </c>
      <c r="P495" s="369">
        <v>2010</v>
      </c>
      <c r="Q495" s="369">
        <v>2011</v>
      </c>
      <c r="R495" s="368">
        <v>2012</v>
      </c>
      <c r="S495" s="367">
        <f t="shared" ref="S495:W495" si="123">R495+1</f>
        <v>2013</v>
      </c>
      <c r="T495" s="369">
        <f t="shared" si="123"/>
        <v>2014</v>
      </c>
      <c r="U495" s="369">
        <f t="shared" si="123"/>
        <v>2015</v>
      </c>
      <c r="V495" s="369">
        <f t="shared" si="123"/>
        <v>2016</v>
      </c>
      <c r="W495" s="368">
        <f t="shared" si="123"/>
        <v>2017</v>
      </c>
    </row>
    <row r="496" spans="1:23" ht="12.75" customHeight="1" outlineLevel="1">
      <c r="A496" s="346" t="s">
        <v>2</v>
      </c>
      <c r="B496" s="379">
        <f>B487</f>
        <v>0</v>
      </c>
      <c r="C496" s="395">
        <f t="shared" ref="C496:W496" si="124">B499</f>
        <v>0</v>
      </c>
      <c r="D496" s="379">
        <f t="shared" si="124"/>
        <v>0</v>
      </c>
      <c r="E496" s="383">
        <f t="shared" si="124"/>
        <v>0</v>
      </c>
      <c r="F496" s="383">
        <f t="shared" si="124"/>
        <v>0</v>
      </c>
      <c r="G496" s="383">
        <f t="shared" si="124"/>
        <v>0</v>
      </c>
      <c r="H496" s="395">
        <f t="shared" si="124"/>
        <v>0</v>
      </c>
      <c r="I496" s="379">
        <f t="shared" si="124"/>
        <v>0</v>
      </c>
      <c r="J496" s="383">
        <f t="shared" si="124"/>
        <v>0</v>
      </c>
      <c r="K496" s="383">
        <f t="shared" si="124"/>
        <v>0</v>
      </c>
      <c r="L496" s="383">
        <f t="shared" si="124"/>
        <v>0</v>
      </c>
      <c r="M496" s="395">
        <f t="shared" si="124"/>
        <v>0</v>
      </c>
      <c r="N496" s="413">
        <f t="shared" si="124"/>
        <v>0</v>
      </c>
      <c r="O496" s="383">
        <f t="shared" si="124"/>
        <v>0.74670000000000003</v>
      </c>
      <c r="P496" s="383">
        <f t="shared" si="124"/>
        <v>1.4890300000000001</v>
      </c>
      <c r="Q496" s="383">
        <f t="shared" si="124"/>
        <v>1.8806769999999999</v>
      </c>
      <c r="R496" s="395">
        <f t="shared" si="124"/>
        <v>2.4792092999999999</v>
      </c>
      <c r="S496" s="413">
        <f t="shared" si="124"/>
        <v>3.1499383700000001</v>
      </c>
      <c r="T496" s="383">
        <f t="shared" si="124"/>
        <v>2.8349445329999998</v>
      </c>
      <c r="U496" s="383">
        <f t="shared" si="124"/>
        <v>2.5514500796999999</v>
      </c>
      <c r="V496" s="383">
        <f t="shared" si="124"/>
        <v>2.29630507173</v>
      </c>
      <c r="W496" s="395">
        <f t="shared" si="124"/>
        <v>2.0666745645570002</v>
      </c>
    </row>
    <row r="497" spans="1:23" ht="12.75" customHeight="1" outlineLevel="1">
      <c r="A497" s="351" t="s">
        <v>156</v>
      </c>
      <c r="B497" s="379">
        <v>0</v>
      </c>
      <c r="C497" s="395">
        <v>0</v>
      </c>
      <c r="D497" s="379">
        <v>0</v>
      </c>
      <c r="E497" s="383">
        <v>0</v>
      </c>
      <c r="F497" s="383">
        <v>0</v>
      </c>
      <c r="G497" s="383">
        <v>0</v>
      </c>
      <c r="H497" s="395">
        <v>0</v>
      </c>
      <c r="I497" s="379">
        <v>0</v>
      </c>
      <c r="J497" s="383">
        <v>0</v>
      </c>
      <c r="K497" s="383">
        <v>0</v>
      </c>
      <c r="L497" s="383">
        <f t="shared" ref="L497:W497" si="125">B493</f>
        <v>0</v>
      </c>
      <c r="M497" s="395">
        <f t="shared" si="125"/>
        <v>0</v>
      </c>
      <c r="N497" s="379">
        <f t="shared" si="125"/>
        <v>0.78600000000000003</v>
      </c>
      <c r="O497" s="383">
        <f t="shared" si="125"/>
        <v>0.86</v>
      </c>
      <c r="P497" s="383">
        <f t="shared" si="125"/>
        <v>0.56899999999999995</v>
      </c>
      <c r="Q497" s="383">
        <f t="shared" si="125"/>
        <v>0.82800000000000007</v>
      </c>
      <c r="R497" s="395">
        <f t="shared" si="125"/>
        <v>0.96700000000000008</v>
      </c>
      <c r="S497" s="379">
        <f t="shared" si="125"/>
        <v>0</v>
      </c>
      <c r="T497" s="383">
        <f t="shared" si="125"/>
        <v>0</v>
      </c>
      <c r="U497" s="383">
        <f t="shared" si="125"/>
        <v>0</v>
      </c>
      <c r="V497" s="383">
        <f t="shared" si="125"/>
        <v>0</v>
      </c>
      <c r="W497" s="395">
        <f t="shared" si="125"/>
        <v>0</v>
      </c>
    </row>
    <row r="498" spans="1:23" ht="12.75" customHeight="1" outlineLevel="1">
      <c r="A498" s="351" t="s">
        <v>157</v>
      </c>
      <c r="B498" s="375">
        <f>IF($B490=1,B497+B496,B497*$B490*0.5)</f>
        <v>0</v>
      </c>
      <c r="C498" s="375">
        <f t="shared" ref="C498:W498" si="126">IF($B490=1,C497+C496,(C496+C497*0.5)*$B490)</f>
        <v>0</v>
      </c>
      <c r="D498" s="396">
        <f t="shared" si="126"/>
        <v>0</v>
      </c>
      <c r="E498" s="375">
        <f t="shared" si="126"/>
        <v>0</v>
      </c>
      <c r="F498" s="375">
        <f t="shared" si="126"/>
        <v>0</v>
      </c>
      <c r="G498" s="375">
        <f t="shared" si="126"/>
        <v>0</v>
      </c>
      <c r="H498" s="397">
        <f t="shared" si="126"/>
        <v>0</v>
      </c>
      <c r="I498" s="396">
        <f t="shared" si="126"/>
        <v>0</v>
      </c>
      <c r="J498" s="375">
        <f t="shared" si="126"/>
        <v>0</v>
      </c>
      <c r="K498" s="375">
        <f t="shared" si="126"/>
        <v>0</v>
      </c>
      <c r="L498" s="375">
        <f t="shared" si="126"/>
        <v>0</v>
      </c>
      <c r="M498" s="397">
        <f t="shared" si="126"/>
        <v>0</v>
      </c>
      <c r="N498" s="396">
        <f t="shared" si="126"/>
        <v>3.9300000000000002E-2</v>
      </c>
      <c r="O498" s="375">
        <f t="shared" si="126"/>
        <v>0.11767000000000001</v>
      </c>
      <c r="P498" s="375">
        <f t="shared" si="126"/>
        <v>0.17735300000000001</v>
      </c>
      <c r="Q498" s="375">
        <f t="shared" si="126"/>
        <v>0.22946770000000002</v>
      </c>
      <c r="R498" s="397">
        <f t="shared" si="126"/>
        <v>0.29627093000000004</v>
      </c>
      <c r="S498" s="396">
        <f t="shared" si="126"/>
        <v>0.31499383700000005</v>
      </c>
      <c r="T498" s="375">
        <f t="shared" si="126"/>
        <v>0.2834944533</v>
      </c>
      <c r="U498" s="375">
        <f t="shared" si="126"/>
        <v>0.25514500797</v>
      </c>
      <c r="V498" s="375">
        <f t="shared" si="126"/>
        <v>0.22963050717300001</v>
      </c>
      <c r="W498" s="397">
        <f t="shared" si="126"/>
        <v>0.20666745645570003</v>
      </c>
    </row>
    <row r="499" spans="1:23" ht="12.75" customHeight="1" outlineLevel="1">
      <c r="A499" s="355" t="s">
        <v>113</v>
      </c>
      <c r="B499" s="382">
        <f t="shared" ref="B499:W499" si="127">B496+B497-B498</f>
        <v>0</v>
      </c>
      <c r="C499" s="398">
        <f t="shared" si="127"/>
        <v>0</v>
      </c>
      <c r="D499" s="382">
        <f t="shared" si="127"/>
        <v>0</v>
      </c>
      <c r="E499" s="399">
        <f t="shared" si="127"/>
        <v>0</v>
      </c>
      <c r="F499" s="399">
        <f t="shared" si="127"/>
        <v>0</v>
      </c>
      <c r="G499" s="399">
        <f t="shared" si="127"/>
        <v>0</v>
      </c>
      <c r="H499" s="398">
        <f t="shared" si="127"/>
        <v>0</v>
      </c>
      <c r="I499" s="382">
        <f t="shared" si="127"/>
        <v>0</v>
      </c>
      <c r="J499" s="399">
        <f t="shared" si="127"/>
        <v>0</v>
      </c>
      <c r="K499" s="399">
        <f t="shared" si="127"/>
        <v>0</v>
      </c>
      <c r="L499" s="399">
        <f t="shared" si="127"/>
        <v>0</v>
      </c>
      <c r="M499" s="398">
        <f t="shared" si="127"/>
        <v>0</v>
      </c>
      <c r="N499" s="382">
        <f t="shared" si="127"/>
        <v>0.74670000000000003</v>
      </c>
      <c r="O499" s="399">
        <f t="shared" si="127"/>
        <v>1.4890300000000001</v>
      </c>
      <c r="P499" s="399">
        <f t="shared" si="127"/>
        <v>1.8806769999999999</v>
      </c>
      <c r="Q499" s="399">
        <f t="shared" si="127"/>
        <v>2.4792092999999999</v>
      </c>
      <c r="R499" s="398">
        <f t="shared" si="127"/>
        <v>3.1499383700000001</v>
      </c>
      <c r="S499" s="382">
        <f t="shared" si="127"/>
        <v>2.8349445329999998</v>
      </c>
      <c r="T499" s="399">
        <f t="shared" si="127"/>
        <v>2.5514500796999999</v>
      </c>
      <c r="U499" s="399">
        <f t="shared" si="127"/>
        <v>2.29630507173</v>
      </c>
      <c r="V499" s="399">
        <f t="shared" si="127"/>
        <v>2.0666745645570002</v>
      </c>
      <c r="W499" s="398">
        <f t="shared" si="127"/>
        <v>1.8600071081013001</v>
      </c>
    </row>
    <row r="500" spans="1:23" ht="12.75" customHeight="1" outlineLevel="1"/>
    <row r="501" spans="1:23" ht="12.75" customHeight="1" outlineLevel="1">
      <c r="A501" s="360" t="str">
        <f>A477</f>
        <v>Meters Domestic</v>
      </c>
    </row>
    <row r="502" spans="1:23" ht="12.75" customHeight="1" outlineLevel="1">
      <c r="A502" s="385" t="s">
        <v>145</v>
      </c>
      <c r="B502" s="377">
        <f>B477</f>
        <v>0</v>
      </c>
      <c r="C502" s="350"/>
      <c r="D502" s="366"/>
      <c r="E502" s="366"/>
    </row>
    <row r="503" spans="1:23" ht="12.75" customHeight="1" outlineLevel="1">
      <c r="A503" s="386" t="s">
        <v>146</v>
      </c>
      <c r="B503" s="379">
        <f>C477</f>
        <v>4</v>
      </c>
      <c r="C503" s="354"/>
      <c r="D503" s="366"/>
      <c r="E503" s="366"/>
    </row>
    <row r="504" spans="1:23" ht="12.75" customHeight="1" outlineLevel="1">
      <c r="A504" s="386" t="s">
        <v>147</v>
      </c>
      <c r="B504" s="379" t="str">
        <f>D477</f>
        <v>Declining Balance</v>
      </c>
      <c r="C504" s="354"/>
      <c r="D504" s="366"/>
      <c r="E504" s="366"/>
    </row>
    <row r="505" spans="1:23" ht="12.75" customHeight="1" outlineLevel="1">
      <c r="A505" s="364" t="s">
        <v>148</v>
      </c>
      <c r="B505" s="365">
        <f>IF(B504="Straight Line",1/B503,IF(B504="Declining Balance",1/B503*1.5,1))</f>
        <v>0.375</v>
      </c>
      <c r="C505" s="358"/>
      <c r="D505" s="366"/>
      <c r="E505" s="366"/>
    </row>
    <row r="506" spans="1:23" ht="12.75" customHeight="1" outlineLevel="1">
      <c r="A506" s="366"/>
      <c r="B506" s="383"/>
      <c r="C506" s="366"/>
      <c r="D506" s="366"/>
      <c r="E506" s="366"/>
    </row>
    <row r="507" spans="1:23" ht="12.75" customHeight="1" outlineLevel="1">
      <c r="A507" s="366" t="s">
        <v>154</v>
      </c>
      <c r="B507" s="403" t="s">
        <v>171</v>
      </c>
      <c r="C507" s="426">
        <f t="shared" ref="C507:M507" si="128">B507+1</f>
        <v>2007</v>
      </c>
      <c r="D507" s="426">
        <f t="shared" si="128"/>
        <v>2008</v>
      </c>
      <c r="E507" s="426">
        <f t="shared" si="128"/>
        <v>2009</v>
      </c>
      <c r="F507" s="426">
        <f t="shared" si="128"/>
        <v>2010</v>
      </c>
      <c r="G507" s="426">
        <f t="shared" si="128"/>
        <v>2011</v>
      </c>
      <c r="H507" s="427">
        <f t="shared" si="128"/>
        <v>2012</v>
      </c>
      <c r="I507" s="426">
        <f t="shared" si="128"/>
        <v>2013</v>
      </c>
      <c r="J507" s="426">
        <f t="shared" si="128"/>
        <v>2014</v>
      </c>
      <c r="K507" s="426">
        <f t="shared" si="128"/>
        <v>2015</v>
      </c>
      <c r="L507" s="426">
        <f t="shared" si="128"/>
        <v>2016</v>
      </c>
      <c r="M507" s="427">
        <f t="shared" si="128"/>
        <v>2017</v>
      </c>
    </row>
    <row r="508" spans="1:23" ht="12.75" customHeight="1" outlineLevel="1">
      <c r="A508" s="391" t="s">
        <v>155</v>
      </c>
      <c r="B508" s="392">
        <v>0</v>
      </c>
      <c r="C508" s="393">
        <v>0</v>
      </c>
      <c r="D508" s="436">
        <v>0.38769428319031279</v>
      </c>
      <c r="E508" s="393">
        <v>0.26616541977425906</v>
      </c>
      <c r="F508" s="393">
        <v>0.20264279456745846</v>
      </c>
      <c r="G508" s="437">
        <v>5.8000000000000003E-2</v>
      </c>
      <c r="H508" s="597">
        <v>0.375</v>
      </c>
      <c r="I508" s="392"/>
      <c r="J508" s="393"/>
      <c r="K508" s="393"/>
      <c r="L508" s="393"/>
      <c r="M508" s="394"/>
    </row>
    <row r="509" spans="1:23" ht="12.75" customHeight="1" outlineLevel="1">
      <c r="A509" s="366"/>
      <c r="B509" s="383"/>
      <c r="C509" s="366"/>
    </row>
    <row r="510" spans="1:23" ht="12.75" customHeight="1" outlineLevel="1">
      <c r="B510" s="367">
        <v>1996</v>
      </c>
      <c r="C510" s="368">
        <v>1997</v>
      </c>
      <c r="D510" s="367">
        <v>1998</v>
      </c>
      <c r="E510" s="369">
        <v>1999</v>
      </c>
      <c r="F510" s="369">
        <v>2000</v>
      </c>
      <c r="G510" s="369">
        <v>2001</v>
      </c>
      <c r="H510" s="368">
        <v>2002</v>
      </c>
      <c r="I510" s="367">
        <v>2003</v>
      </c>
      <c r="J510" s="369">
        <v>2004</v>
      </c>
      <c r="K510" s="369">
        <v>2005</v>
      </c>
      <c r="L510" s="369">
        <v>2006</v>
      </c>
      <c r="M510" s="368">
        <v>2007</v>
      </c>
      <c r="N510" s="367">
        <v>2008</v>
      </c>
      <c r="O510" s="369">
        <v>2009</v>
      </c>
      <c r="P510" s="369">
        <v>2010</v>
      </c>
      <c r="Q510" s="369">
        <v>2011</v>
      </c>
      <c r="R510" s="368">
        <v>2012</v>
      </c>
      <c r="S510" s="367">
        <f t="shared" ref="S510:W510" si="129">R510+1</f>
        <v>2013</v>
      </c>
      <c r="T510" s="369">
        <f t="shared" si="129"/>
        <v>2014</v>
      </c>
      <c r="U510" s="369">
        <f t="shared" si="129"/>
        <v>2015</v>
      </c>
      <c r="V510" s="369">
        <f t="shared" si="129"/>
        <v>2016</v>
      </c>
      <c r="W510" s="368">
        <f t="shared" si="129"/>
        <v>2017</v>
      </c>
    </row>
    <row r="511" spans="1:23" ht="12.75" customHeight="1" outlineLevel="1">
      <c r="A511" s="346" t="s">
        <v>2</v>
      </c>
      <c r="B511" s="379">
        <f>B502</f>
        <v>0</v>
      </c>
      <c r="C511" s="395">
        <f t="shared" ref="C511:W511" si="130">B514</f>
        <v>0</v>
      </c>
      <c r="D511" s="379">
        <f t="shared" si="130"/>
        <v>0</v>
      </c>
      <c r="E511" s="383">
        <f t="shared" si="130"/>
        <v>0</v>
      </c>
      <c r="F511" s="383">
        <f t="shared" si="130"/>
        <v>0</v>
      </c>
      <c r="G511" s="383">
        <f t="shared" si="130"/>
        <v>0</v>
      </c>
      <c r="H511" s="395">
        <f t="shared" si="130"/>
        <v>0</v>
      </c>
      <c r="I511" s="379">
        <f t="shared" si="130"/>
        <v>0</v>
      </c>
      <c r="J511" s="383">
        <f t="shared" si="130"/>
        <v>0</v>
      </c>
      <c r="K511" s="383">
        <f t="shared" si="130"/>
        <v>0</v>
      </c>
      <c r="L511" s="383">
        <f t="shared" si="130"/>
        <v>0</v>
      </c>
      <c r="M511" s="395">
        <f t="shared" si="130"/>
        <v>0</v>
      </c>
      <c r="N511" s="413">
        <f t="shared" si="130"/>
        <v>0</v>
      </c>
      <c r="O511" s="383">
        <f t="shared" si="130"/>
        <v>0.31500160509212916</v>
      </c>
      <c r="P511" s="383">
        <f t="shared" si="130"/>
        <v>0.41313540674916627</v>
      </c>
      <c r="Q511" s="383">
        <f t="shared" si="130"/>
        <v>0.42285689980428892</v>
      </c>
      <c r="R511" s="395">
        <f t="shared" si="130"/>
        <v>0.31141056237768056</v>
      </c>
      <c r="S511" s="413">
        <f t="shared" si="130"/>
        <v>0.49931910148605041</v>
      </c>
      <c r="T511" s="383">
        <f t="shared" si="130"/>
        <v>0.31207443842878152</v>
      </c>
      <c r="U511" s="383">
        <f t="shared" si="130"/>
        <v>0.19504652401798844</v>
      </c>
      <c r="V511" s="383">
        <f t="shared" si="130"/>
        <v>0.12190407751124277</v>
      </c>
      <c r="W511" s="395">
        <f t="shared" si="130"/>
        <v>7.6190048444526731E-2</v>
      </c>
    </row>
    <row r="512" spans="1:23" ht="12.75" customHeight="1" outlineLevel="1">
      <c r="A512" s="351" t="s">
        <v>156</v>
      </c>
      <c r="B512" s="379">
        <v>0</v>
      </c>
      <c r="C512" s="395">
        <v>0</v>
      </c>
      <c r="D512" s="379">
        <v>0</v>
      </c>
      <c r="E512" s="383">
        <v>0</v>
      </c>
      <c r="F512" s="383">
        <v>0</v>
      </c>
      <c r="G512" s="383">
        <v>0</v>
      </c>
      <c r="H512" s="395">
        <v>0</v>
      </c>
      <c r="I512" s="379">
        <v>0</v>
      </c>
      <c r="J512" s="383">
        <v>0</v>
      </c>
      <c r="K512" s="383">
        <v>0</v>
      </c>
      <c r="L512" s="383">
        <f t="shared" ref="L512:W512" si="131">B508</f>
        <v>0</v>
      </c>
      <c r="M512" s="395">
        <f t="shared" si="131"/>
        <v>0</v>
      </c>
      <c r="N512" s="379">
        <f t="shared" si="131"/>
        <v>0.38769428319031279</v>
      </c>
      <c r="O512" s="383">
        <f t="shared" si="131"/>
        <v>0.26616541977425906</v>
      </c>
      <c r="P512" s="383">
        <f t="shared" si="131"/>
        <v>0.20264279456745846</v>
      </c>
      <c r="Q512" s="383">
        <f t="shared" si="131"/>
        <v>5.8000000000000003E-2</v>
      </c>
      <c r="R512" s="395">
        <f t="shared" si="131"/>
        <v>0.375</v>
      </c>
      <c r="S512" s="379">
        <f t="shared" si="131"/>
        <v>0</v>
      </c>
      <c r="T512" s="383">
        <f t="shared" si="131"/>
        <v>0</v>
      </c>
      <c r="U512" s="383">
        <f t="shared" si="131"/>
        <v>0</v>
      </c>
      <c r="V512" s="383">
        <f t="shared" si="131"/>
        <v>0</v>
      </c>
      <c r="W512" s="395">
        <f t="shared" si="131"/>
        <v>0</v>
      </c>
    </row>
    <row r="513" spans="1:23" ht="12.75" customHeight="1" outlineLevel="1">
      <c r="A513" s="351" t="s">
        <v>157</v>
      </c>
      <c r="B513" s="375">
        <f>IF($B505=1,B512+B511,B512*$B505*0.5)</f>
        <v>0</v>
      </c>
      <c r="C513" s="375">
        <f t="shared" ref="C513:W513" si="132">IF($B505=1,C512+C511,(C511+C512*0.5)*$B505)</f>
        <v>0</v>
      </c>
      <c r="D513" s="396">
        <f t="shared" si="132"/>
        <v>0</v>
      </c>
      <c r="E513" s="375">
        <f t="shared" si="132"/>
        <v>0</v>
      </c>
      <c r="F513" s="375">
        <f t="shared" si="132"/>
        <v>0</v>
      </c>
      <c r="G513" s="375">
        <f t="shared" si="132"/>
        <v>0</v>
      </c>
      <c r="H513" s="397">
        <f t="shared" si="132"/>
        <v>0</v>
      </c>
      <c r="I513" s="396">
        <f t="shared" si="132"/>
        <v>0</v>
      </c>
      <c r="J513" s="375">
        <f t="shared" si="132"/>
        <v>0</v>
      </c>
      <c r="K513" s="375">
        <f t="shared" si="132"/>
        <v>0</v>
      </c>
      <c r="L513" s="375">
        <f t="shared" si="132"/>
        <v>0</v>
      </c>
      <c r="M513" s="397">
        <f t="shared" si="132"/>
        <v>0</v>
      </c>
      <c r="N513" s="396">
        <f t="shared" si="132"/>
        <v>7.2692678098183652E-2</v>
      </c>
      <c r="O513" s="375">
        <f t="shared" si="132"/>
        <v>0.168031618117222</v>
      </c>
      <c r="P513" s="375">
        <f t="shared" si="132"/>
        <v>0.19292130151233583</v>
      </c>
      <c r="Q513" s="375">
        <f t="shared" si="132"/>
        <v>0.16944633742660836</v>
      </c>
      <c r="R513" s="397">
        <f t="shared" si="132"/>
        <v>0.1870914608916302</v>
      </c>
      <c r="S513" s="396">
        <f t="shared" si="132"/>
        <v>0.18724466305726889</v>
      </c>
      <c r="T513" s="375">
        <f t="shared" si="132"/>
        <v>0.11702791441079308</v>
      </c>
      <c r="U513" s="375">
        <f t="shared" si="132"/>
        <v>7.3142446506745673E-2</v>
      </c>
      <c r="V513" s="375">
        <f t="shared" si="132"/>
        <v>4.5714029066716039E-2</v>
      </c>
      <c r="W513" s="397">
        <f t="shared" si="132"/>
        <v>2.8571268166697524E-2</v>
      </c>
    </row>
    <row r="514" spans="1:23" ht="12.75" customHeight="1" outlineLevel="1">
      <c r="A514" s="355" t="s">
        <v>113</v>
      </c>
      <c r="B514" s="382">
        <f t="shared" ref="B514:W514" si="133">B511+B512-B513</f>
        <v>0</v>
      </c>
      <c r="C514" s="398">
        <f t="shared" si="133"/>
        <v>0</v>
      </c>
      <c r="D514" s="382">
        <f t="shared" si="133"/>
        <v>0</v>
      </c>
      <c r="E514" s="399">
        <f t="shared" si="133"/>
        <v>0</v>
      </c>
      <c r="F514" s="399">
        <f t="shared" si="133"/>
        <v>0</v>
      </c>
      <c r="G514" s="399">
        <f t="shared" si="133"/>
        <v>0</v>
      </c>
      <c r="H514" s="398">
        <f t="shared" si="133"/>
        <v>0</v>
      </c>
      <c r="I514" s="382">
        <f t="shared" si="133"/>
        <v>0</v>
      </c>
      <c r="J514" s="399">
        <f t="shared" si="133"/>
        <v>0</v>
      </c>
      <c r="K514" s="399">
        <f t="shared" si="133"/>
        <v>0</v>
      </c>
      <c r="L514" s="399">
        <f t="shared" si="133"/>
        <v>0</v>
      </c>
      <c r="M514" s="398">
        <f t="shared" si="133"/>
        <v>0</v>
      </c>
      <c r="N514" s="382">
        <f t="shared" si="133"/>
        <v>0.31500160509212916</v>
      </c>
      <c r="O514" s="399">
        <f t="shared" si="133"/>
        <v>0.41313540674916627</v>
      </c>
      <c r="P514" s="399">
        <f t="shared" si="133"/>
        <v>0.42285689980428892</v>
      </c>
      <c r="Q514" s="399">
        <f t="shared" si="133"/>
        <v>0.31141056237768056</v>
      </c>
      <c r="R514" s="398">
        <f t="shared" si="133"/>
        <v>0.49931910148605041</v>
      </c>
      <c r="S514" s="382">
        <f t="shared" si="133"/>
        <v>0.31207443842878152</v>
      </c>
      <c r="T514" s="399">
        <f t="shared" si="133"/>
        <v>0.19504652401798844</v>
      </c>
      <c r="U514" s="399">
        <f t="shared" si="133"/>
        <v>0.12190407751124277</v>
      </c>
      <c r="V514" s="399">
        <f t="shared" si="133"/>
        <v>7.6190048444526731E-2</v>
      </c>
      <c r="W514" s="398">
        <f t="shared" si="133"/>
        <v>4.7618780277829204E-2</v>
      </c>
    </row>
    <row r="515" spans="1:23" ht="12.75" customHeight="1" outlineLevel="1"/>
    <row r="516" spans="1:23" ht="12.75" customHeight="1" outlineLevel="1">
      <c r="A516" s="360" t="str">
        <f>A478</f>
        <v>Meters Industrial &amp; Commercial</v>
      </c>
    </row>
    <row r="517" spans="1:23" ht="12.75" customHeight="1" outlineLevel="1">
      <c r="A517" s="385" t="s">
        <v>145</v>
      </c>
      <c r="B517" s="377">
        <f>B478</f>
        <v>0</v>
      </c>
      <c r="C517" s="350"/>
      <c r="D517" s="366"/>
      <c r="E517" s="366"/>
    </row>
    <row r="518" spans="1:23" ht="12.75" customHeight="1" outlineLevel="1">
      <c r="A518" s="386" t="s">
        <v>146</v>
      </c>
      <c r="B518" s="379">
        <f>C478</f>
        <v>15</v>
      </c>
      <c r="C518" s="354"/>
      <c r="D518" s="366"/>
      <c r="E518" s="366"/>
    </row>
    <row r="519" spans="1:23" ht="12.75" customHeight="1" outlineLevel="1">
      <c r="A519" s="386" t="s">
        <v>147</v>
      </c>
      <c r="B519" s="379" t="str">
        <f>D478</f>
        <v>Declining Balance</v>
      </c>
      <c r="C519" s="354"/>
      <c r="D519" s="366"/>
      <c r="E519" s="366"/>
    </row>
    <row r="520" spans="1:23" ht="12.75" customHeight="1" outlineLevel="1">
      <c r="A520" s="364" t="s">
        <v>148</v>
      </c>
      <c r="B520" s="365">
        <f>IF(B519="Straight Line",1/B518,IF(B519="Declining Balance",1/B518*2,1))</f>
        <v>0.13333333333333333</v>
      </c>
      <c r="C520" s="358"/>
      <c r="D520" s="366"/>
      <c r="E520" s="366"/>
    </row>
    <row r="521" spans="1:23" ht="12.75" customHeight="1" outlineLevel="1">
      <c r="A521" s="366"/>
      <c r="B521" s="383"/>
      <c r="C521" s="366"/>
      <c r="D521" s="366"/>
      <c r="E521" s="366"/>
    </row>
    <row r="522" spans="1:23" ht="12.75" customHeight="1" outlineLevel="1">
      <c r="A522" s="366" t="s">
        <v>154</v>
      </c>
      <c r="B522" s="403" t="s">
        <v>171</v>
      </c>
      <c r="C522" s="426">
        <f t="shared" ref="C522:M522" si="134">B522+1</f>
        <v>2007</v>
      </c>
      <c r="D522" s="426">
        <f t="shared" si="134"/>
        <v>2008</v>
      </c>
      <c r="E522" s="426">
        <f t="shared" si="134"/>
        <v>2009</v>
      </c>
      <c r="F522" s="426">
        <f t="shared" si="134"/>
        <v>2010</v>
      </c>
      <c r="G522" s="426">
        <f t="shared" si="134"/>
        <v>2011</v>
      </c>
      <c r="H522" s="427">
        <f t="shared" si="134"/>
        <v>2012</v>
      </c>
      <c r="I522" s="426">
        <f t="shared" si="134"/>
        <v>2013</v>
      </c>
      <c r="J522" s="426">
        <f t="shared" si="134"/>
        <v>2014</v>
      </c>
      <c r="K522" s="426">
        <f t="shared" si="134"/>
        <v>2015</v>
      </c>
      <c r="L522" s="426">
        <f t="shared" si="134"/>
        <v>2016</v>
      </c>
      <c r="M522" s="427">
        <f t="shared" si="134"/>
        <v>2017</v>
      </c>
    </row>
    <row r="523" spans="1:23" ht="12.75" customHeight="1" outlineLevel="1">
      <c r="A523" s="391" t="s">
        <v>155</v>
      </c>
      <c r="B523" s="392">
        <v>0</v>
      </c>
      <c r="C523" s="393">
        <v>0</v>
      </c>
      <c r="D523" s="392">
        <v>0.16930571680968726</v>
      </c>
      <c r="E523" s="393">
        <v>0.10683458022574094</v>
      </c>
      <c r="F523" s="393">
        <v>7.4357205432541568E-2</v>
      </c>
      <c r="G523" s="437">
        <v>0.128</v>
      </c>
      <c r="H523" s="597">
        <v>1.7999999999999999E-2</v>
      </c>
      <c r="I523" s="392"/>
      <c r="J523" s="393"/>
      <c r="K523" s="393"/>
      <c r="L523" s="393"/>
      <c r="M523" s="394"/>
    </row>
    <row r="524" spans="1:23" ht="12.75" customHeight="1" outlineLevel="1">
      <c r="A524" s="366"/>
      <c r="B524" s="383"/>
      <c r="C524" s="366"/>
    </row>
    <row r="525" spans="1:23" ht="12.75" customHeight="1" outlineLevel="1">
      <c r="B525" s="367">
        <v>1996</v>
      </c>
      <c r="C525" s="368">
        <v>1997</v>
      </c>
      <c r="D525" s="367">
        <v>1998</v>
      </c>
      <c r="E525" s="369">
        <v>1999</v>
      </c>
      <c r="F525" s="369">
        <v>2000</v>
      </c>
      <c r="G525" s="369">
        <v>2001</v>
      </c>
      <c r="H525" s="368">
        <v>2002</v>
      </c>
      <c r="I525" s="367">
        <v>2003</v>
      </c>
      <c r="J525" s="369">
        <v>2004</v>
      </c>
      <c r="K525" s="369">
        <v>2005</v>
      </c>
      <c r="L525" s="369">
        <v>2006</v>
      </c>
      <c r="M525" s="368">
        <v>2007</v>
      </c>
      <c r="N525" s="367">
        <v>2008</v>
      </c>
      <c r="O525" s="369">
        <v>2009</v>
      </c>
      <c r="P525" s="369">
        <v>2010</v>
      </c>
      <c r="Q525" s="369">
        <v>2011</v>
      </c>
      <c r="R525" s="368">
        <v>2012</v>
      </c>
      <c r="S525" s="367">
        <f t="shared" ref="S525:W525" si="135">R525+1</f>
        <v>2013</v>
      </c>
      <c r="T525" s="369">
        <f t="shared" si="135"/>
        <v>2014</v>
      </c>
      <c r="U525" s="369">
        <f t="shared" si="135"/>
        <v>2015</v>
      </c>
      <c r="V525" s="369">
        <f t="shared" si="135"/>
        <v>2016</v>
      </c>
      <c r="W525" s="368">
        <f t="shared" si="135"/>
        <v>2017</v>
      </c>
    </row>
    <row r="526" spans="1:23" ht="12.75" customHeight="1" outlineLevel="1">
      <c r="A526" s="346" t="s">
        <v>2</v>
      </c>
      <c r="B526" s="379">
        <f>B517</f>
        <v>0</v>
      </c>
      <c r="C526" s="395">
        <f t="shared" ref="C526:W526" si="136">B529</f>
        <v>0</v>
      </c>
      <c r="D526" s="379">
        <f t="shared" si="136"/>
        <v>0</v>
      </c>
      <c r="E526" s="383">
        <f t="shared" si="136"/>
        <v>0</v>
      </c>
      <c r="F526" s="383">
        <f t="shared" si="136"/>
        <v>0</v>
      </c>
      <c r="G526" s="383">
        <f t="shared" si="136"/>
        <v>0</v>
      </c>
      <c r="H526" s="395">
        <f t="shared" si="136"/>
        <v>0</v>
      </c>
      <c r="I526" s="379">
        <f t="shared" si="136"/>
        <v>0</v>
      </c>
      <c r="J526" s="383">
        <f t="shared" si="136"/>
        <v>0</v>
      </c>
      <c r="K526" s="383">
        <f t="shared" si="136"/>
        <v>0</v>
      </c>
      <c r="L526" s="383">
        <f t="shared" si="136"/>
        <v>0</v>
      </c>
      <c r="M526" s="395">
        <f t="shared" si="136"/>
        <v>0</v>
      </c>
      <c r="N526" s="413">
        <f t="shared" si="136"/>
        <v>0</v>
      </c>
      <c r="O526" s="383">
        <f t="shared" si="136"/>
        <v>0.15801866902237477</v>
      </c>
      <c r="P526" s="383">
        <f t="shared" si="136"/>
        <v>0.236661788030083</v>
      </c>
      <c r="Q526" s="383">
        <f t="shared" si="136"/>
        <v>0.27450694136311071</v>
      </c>
      <c r="R526" s="395">
        <f t="shared" si="136"/>
        <v>0.35737268251469595</v>
      </c>
      <c r="S526" s="413">
        <f t="shared" si="136"/>
        <v>0.3265229915127365</v>
      </c>
      <c r="T526" s="383">
        <f t="shared" si="136"/>
        <v>0.28298659264437165</v>
      </c>
      <c r="U526" s="383">
        <f t="shared" si="136"/>
        <v>0.24525504695845543</v>
      </c>
      <c r="V526" s="383">
        <f t="shared" si="136"/>
        <v>0.21255437403066138</v>
      </c>
      <c r="W526" s="395">
        <f t="shared" si="136"/>
        <v>0.18421379082657319</v>
      </c>
    </row>
    <row r="527" spans="1:23" ht="12.75" customHeight="1" outlineLevel="1">
      <c r="A527" s="351" t="s">
        <v>156</v>
      </c>
      <c r="B527" s="379">
        <v>0</v>
      </c>
      <c r="C527" s="395">
        <v>0</v>
      </c>
      <c r="D527" s="379">
        <v>0</v>
      </c>
      <c r="E527" s="383">
        <v>0</v>
      </c>
      <c r="F527" s="383">
        <v>0</v>
      </c>
      <c r="G527" s="383">
        <v>0</v>
      </c>
      <c r="H527" s="395">
        <v>0</v>
      </c>
      <c r="I527" s="379">
        <v>0</v>
      </c>
      <c r="J527" s="383">
        <v>0</v>
      </c>
      <c r="K527" s="383">
        <v>0</v>
      </c>
      <c r="L527" s="383">
        <f t="shared" ref="L527:W527" si="137">B523</f>
        <v>0</v>
      </c>
      <c r="M527" s="395">
        <f t="shared" si="137"/>
        <v>0</v>
      </c>
      <c r="N527" s="379">
        <f t="shared" si="137"/>
        <v>0.16930571680968726</v>
      </c>
      <c r="O527" s="383">
        <f t="shared" si="137"/>
        <v>0.10683458022574094</v>
      </c>
      <c r="P527" s="383">
        <f t="shared" si="137"/>
        <v>7.4357205432541568E-2</v>
      </c>
      <c r="Q527" s="383">
        <f t="shared" si="137"/>
        <v>0.128</v>
      </c>
      <c r="R527" s="395">
        <f t="shared" si="137"/>
        <v>1.7999999999999999E-2</v>
      </c>
      <c r="S527" s="379">
        <f t="shared" si="137"/>
        <v>0</v>
      </c>
      <c r="T527" s="383">
        <f t="shared" si="137"/>
        <v>0</v>
      </c>
      <c r="U527" s="383">
        <f t="shared" si="137"/>
        <v>0</v>
      </c>
      <c r="V527" s="383">
        <f t="shared" si="137"/>
        <v>0</v>
      </c>
      <c r="W527" s="395">
        <f t="shared" si="137"/>
        <v>0</v>
      </c>
    </row>
    <row r="528" spans="1:23" ht="12.75" customHeight="1" outlineLevel="1">
      <c r="A528" s="351" t="s">
        <v>157</v>
      </c>
      <c r="B528" s="439">
        <f>IF($B520=1,B527+B526,B527*$B520*0.5)</f>
        <v>0</v>
      </c>
      <c r="C528" s="440">
        <f>IF($B520=1,C527+C526,(C526+C527*0.5)*$B520)</f>
        <v>0</v>
      </c>
      <c r="D528" s="400">
        <f t="shared" ref="D528:W528" si="138">IF($B520=1,D527+D526,(D526+D527*0.5)*$B520)</f>
        <v>0</v>
      </c>
      <c r="E528" s="400">
        <f t="shared" si="138"/>
        <v>0</v>
      </c>
      <c r="F528" s="400">
        <f t="shared" si="138"/>
        <v>0</v>
      </c>
      <c r="G528" s="400">
        <f t="shared" si="138"/>
        <v>0</v>
      </c>
      <c r="H528" s="440">
        <f t="shared" si="138"/>
        <v>0</v>
      </c>
      <c r="I528" s="400">
        <f t="shared" si="138"/>
        <v>0</v>
      </c>
      <c r="J528" s="400">
        <f t="shared" si="138"/>
        <v>0</v>
      </c>
      <c r="K528" s="400">
        <f t="shared" si="138"/>
        <v>0</v>
      </c>
      <c r="L528" s="400">
        <f t="shared" si="138"/>
        <v>0</v>
      </c>
      <c r="M528" s="440">
        <f t="shared" si="138"/>
        <v>0</v>
      </c>
      <c r="N528" s="400">
        <f t="shared" si="138"/>
        <v>1.1287047787312484E-2</v>
      </c>
      <c r="O528" s="400">
        <f t="shared" si="138"/>
        <v>2.8191461218032697E-2</v>
      </c>
      <c r="P528" s="400">
        <f t="shared" si="138"/>
        <v>3.6512052099513838E-2</v>
      </c>
      <c r="Q528" s="400">
        <f t="shared" si="138"/>
        <v>4.5134258848414759E-2</v>
      </c>
      <c r="R528" s="440">
        <f t="shared" si="138"/>
        <v>4.8849691001959461E-2</v>
      </c>
      <c r="S528" s="400">
        <f t="shared" si="138"/>
        <v>4.353639886836487E-2</v>
      </c>
      <c r="T528" s="400">
        <f t="shared" si="138"/>
        <v>3.7731545685916218E-2</v>
      </c>
      <c r="U528" s="400">
        <f t="shared" si="138"/>
        <v>3.2700672927794057E-2</v>
      </c>
      <c r="V528" s="400">
        <f t="shared" si="138"/>
        <v>2.8340583204088183E-2</v>
      </c>
      <c r="W528" s="440">
        <f t="shared" si="138"/>
        <v>2.4561838776876423E-2</v>
      </c>
    </row>
    <row r="529" spans="1:23" ht="12.75" customHeight="1" outlineLevel="1">
      <c r="A529" s="355" t="s">
        <v>113</v>
      </c>
      <c r="B529" s="382">
        <f t="shared" ref="B529:W529" si="139">B526+B527-B528</f>
        <v>0</v>
      </c>
      <c r="C529" s="398">
        <f t="shared" si="139"/>
        <v>0</v>
      </c>
      <c r="D529" s="382">
        <f t="shared" si="139"/>
        <v>0</v>
      </c>
      <c r="E529" s="399">
        <f t="shared" si="139"/>
        <v>0</v>
      </c>
      <c r="F529" s="399">
        <f t="shared" si="139"/>
        <v>0</v>
      </c>
      <c r="G529" s="399">
        <f t="shared" si="139"/>
        <v>0</v>
      </c>
      <c r="H529" s="398">
        <f t="shared" si="139"/>
        <v>0</v>
      </c>
      <c r="I529" s="382">
        <f t="shared" si="139"/>
        <v>0</v>
      </c>
      <c r="J529" s="399">
        <f t="shared" si="139"/>
        <v>0</v>
      </c>
      <c r="K529" s="399">
        <f t="shared" si="139"/>
        <v>0</v>
      </c>
      <c r="L529" s="399">
        <f t="shared" si="139"/>
        <v>0</v>
      </c>
      <c r="M529" s="398">
        <f t="shared" si="139"/>
        <v>0</v>
      </c>
      <c r="N529" s="382">
        <f t="shared" si="139"/>
        <v>0.15801866902237477</v>
      </c>
      <c r="O529" s="399">
        <f t="shared" si="139"/>
        <v>0.236661788030083</v>
      </c>
      <c r="P529" s="399">
        <f t="shared" si="139"/>
        <v>0.27450694136311071</v>
      </c>
      <c r="Q529" s="399">
        <f t="shared" si="139"/>
        <v>0.35737268251469595</v>
      </c>
      <c r="R529" s="398">
        <f t="shared" si="139"/>
        <v>0.3265229915127365</v>
      </c>
      <c r="S529" s="382">
        <f t="shared" si="139"/>
        <v>0.28298659264437165</v>
      </c>
      <c r="T529" s="399">
        <f t="shared" si="139"/>
        <v>0.24525504695845543</v>
      </c>
      <c r="U529" s="399">
        <f t="shared" si="139"/>
        <v>0.21255437403066138</v>
      </c>
      <c r="V529" s="399">
        <f t="shared" si="139"/>
        <v>0.18421379082657319</v>
      </c>
      <c r="W529" s="398">
        <f t="shared" si="139"/>
        <v>0.15965195204969676</v>
      </c>
    </row>
    <row r="530" spans="1:23" ht="12.75" customHeight="1" outlineLevel="1">
      <c r="M530" s="401"/>
    </row>
    <row r="531" spans="1:23" ht="12.75" customHeight="1" outlineLevel="1">
      <c r="A531" s="360" t="str">
        <f>A479</f>
        <v>Land &amp; Buildings</v>
      </c>
    </row>
    <row r="532" spans="1:23" ht="12.75" customHeight="1" outlineLevel="1">
      <c r="A532" s="385" t="s">
        <v>145</v>
      </c>
      <c r="B532" s="377">
        <f>B479</f>
        <v>0</v>
      </c>
      <c r="C532" s="350"/>
      <c r="D532" s="366"/>
      <c r="E532" s="366"/>
    </row>
    <row r="533" spans="1:23" ht="12.75" customHeight="1" outlineLevel="1">
      <c r="A533" s="386" t="s">
        <v>146</v>
      </c>
      <c r="B533" s="379">
        <f>C479</f>
        <v>40</v>
      </c>
      <c r="C533" s="354"/>
      <c r="D533" s="366"/>
      <c r="E533" s="366"/>
    </row>
    <row r="534" spans="1:23" ht="12.75" customHeight="1" outlineLevel="1">
      <c r="A534" s="386" t="s">
        <v>147</v>
      </c>
      <c r="B534" s="379" t="str">
        <f>D479</f>
        <v>Straight Line</v>
      </c>
      <c r="C534" s="354"/>
      <c r="D534" s="366"/>
      <c r="E534" s="366"/>
    </row>
    <row r="535" spans="1:23" ht="12.75" customHeight="1" outlineLevel="1">
      <c r="A535" s="364" t="s">
        <v>148</v>
      </c>
      <c r="B535" s="365">
        <f>IF(B534="Straight Line",1/B533,IF(B534="Declining Balance",1/B533*2,1))</f>
        <v>2.5000000000000001E-2</v>
      </c>
      <c r="C535" s="358"/>
      <c r="D535" s="366"/>
      <c r="E535" s="366"/>
    </row>
    <row r="536" spans="1:23" ht="12.75" customHeight="1" outlineLevel="1">
      <c r="A536" s="366"/>
      <c r="B536" s="383"/>
      <c r="C536" s="366"/>
      <c r="D536" s="366"/>
      <c r="E536" s="366"/>
    </row>
    <row r="537" spans="1:23" ht="12.75" customHeight="1" outlineLevel="1">
      <c r="A537" s="366" t="s">
        <v>154</v>
      </c>
      <c r="B537" s="403" t="s">
        <v>171</v>
      </c>
      <c r="C537" s="426">
        <f t="shared" ref="C537:M537" si="140">B537+1</f>
        <v>2007</v>
      </c>
      <c r="D537" s="426">
        <f t="shared" si="140"/>
        <v>2008</v>
      </c>
      <c r="E537" s="426">
        <f t="shared" si="140"/>
        <v>2009</v>
      </c>
      <c r="F537" s="426">
        <f t="shared" si="140"/>
        <v>2010</v>
      </c>
      <c r="G537" s="426">
        <f t="shared" si="140"/>
        <v>2011</v>
      </c>
      <c r="H537" s="427">
        <f t="shared" si="140"/>
        <v>2012</v>
      </c>
      <c r="I537" s="426">
        <f t="shared" si="140"/>
        <v>2013</v>
      </c>
      <c r="J537" s="426">
        <f t="shared" si="140"/>
        <v>2014</v>
      </c>
      <c r="K537" s="426">
        <f t="shared" si="140"/>
        <v>2015</v>
      </c>
      <c r="L537" s="426">
        <f t="shared" si="140"/>
        <v>2016</v>
      </c>
      <c r="M537" s="427">
        <f t="shared" si="140"/>
        <v>2017</v>
      </c>
    </row>
    <row r="538" spans="1:23" ht="12.75" customHeight="1" outlineLevel="1">
      <c r="A538" s="391" t="s">
        <v>155</v>
      </c>
      <c r="B538" s="392">
        <v>0</v>
      </c>
      <c r="C538" s="393">
        <v>0</v>
      </c>
      <c r="D538" s="436">
        <v>0</v>
      </c>
      <c r="E538" s="393">
        <v>0</v>
      </c>
      <c r="F538" s="393">
        <v>0</v>
      </c>
      <c r="G538" s="393">
        <v>0</v>
      </c>
      <c r="H538" s="394">
        <v>0</v>
      </c>
      <c r="I538" s="392"/>
      <c r="J538" s="393"/>
      <c r="K538" s="393"/>
      <c r="L538" s="393"/>
      <c r="M538" s="394"/>
    </row>
    <row r="539" spans="1:23" ht="12.75" customHeight="1" outlineLevel="1">
      <c r="A539" s="366"/>
      <c r="B539" s="383"/>
      <c r="C539" s="366"/>
    </row>
    <row r="540" spans="1:23" ht="12.75" customHeight="1" outlineLevel="1">
      <c r="B540" s="367">
        <v>1996</v>
      </c>
      <c r="C540" s="368">
        <v>1997</v>
      </c>
      <c r="D540" s="367">
        <v>1998</v>
      </c>
      <c r="E540" s="369">
        <v>1999</v>
      </c>
      <c r="F540" s="369">
        <v>2000</v>
      </c>
      <c r="G540" s="369">
        <v>2001</v>
      </c>
      <c r="H540" s="368">
        <v>2002</v>
      </c>
      <c r="I540" s="367">
        <v>2003</v>
      </c>
      <c r="J540" s="369">
        <v>2004</v>
      </c>
      <c r="K540" s="369">
        <v>2005</v>
      </c>
      <c r="L540" s="369">
        <v>2006</v>
      </c>
      <c r="M540" s="368">
        <v>2007</v>
      </c>
      <c r="N540" s="367">
        <v>2008</v>
      </c>
      <c r="O540" s="369">
        <v>2009</v>
      </c>
      <c r="P540" s="369">
        <v>2010</v>
      </c>
      <c r="Q540" s="369">
        <v>2011</v>
      </c>
      <c r="R540" s="368">
        <v>2012</v>
      </c>
      <c r="S540" s="367">
        <f t="shared" ref="S540:W540" si="141">R540+1</f>
        <v>2013</v>
      </c>
      <c r="T540" s="369">
        <f t="shared" si="141"/>
        <v>2014</v>
      </c>
      <c r="U540" s="369">
        <f t="shared" si="141"/>
        <v>2015</v>
      </c>
      <c r="V540" s="369">
        <f t="shared" si="141"/>
        <v>2016</v>
      </c>
      <c r="W540" s="368">
        <f t="shared" si="141"/>
        <v>2017</v>
      </c>
    </row>
    <row r="541" spans="1:23" ht="12.75" customHeight="1" outlineLevel="1">
      <c r="A541" s="346" t="s">
        <v>2</v>
      </c>
      <c r="B541" s="379">
        <f>B532</f>
        <v>0</v>
      </c>
      <c r="C541" s="395">
        <f t="shared" ref="C541:W541" si="142">B544</f>
        <v>0</v>
      </c>
      <c r="D541" s="379">
        <f t="shared" si="142"/>
        <v>0</v>
      </c>
      <c r="E541" s="383">
        <f t="shared" si="142"/>
        <v>0</v>
      </c>
      <c r="F541" s="383">
        <f t="shared" si="142"/>
        <v>0</v>
      </c>
      <c r="G541" s="383">
        <f t="shared" si="142"/>
        <v>0</v>
      </c>
      <c r="H541" s="395">
        <f t="shared" si="142"/>
        <v>0</v>
      </c>
      <c r="I541" s="379">
        <f t="shared" si="142"/>
        <v>0</v>
      </c>
      <c r="J541" s="383">
        <f t="shared" si="142"/>
        <v>0</v>
      </c>
      <c r="K541" s="383">
        <f t="shared" si="142"/>
        <v>0</v>
      </c>
      <c r="L541" s="383">
        <f t="shared" si="142"/>
        <v>0</v>
      </c>
      <c r="M541" s="395">
        <f t="shared" si="142"/>
        <v>0</v>
      </c>
      <c r="N541" s="413">
        <f t="shared" si="142"/>
        <v>0</v>
      </c>
      <c r="O541" s="383">
        <f t="shared" si="142"/>
        <v>0</v>
      </c>
      <c r="P541" s="383">
        <f t="shared" si="142"/>
        <v>0</v>
      </c>
      <c r="Q541" s="383">
        <f t="shared" si="142"/>
        <v>0</v>
      </c>
      <c r="R541" s="395">
        <f t="shared" si="142"/>
        <v>0</v>
      </c>
      <c r="S541" s="413">
        <f t="shared" si="142"/>
        <v>0</v>
      </c>
      <c r="T541" s="383">
        <f t="shared" si="142"/>
        <v>0</v>
      </c>
      <c r="U541" s="383">
        <f t="shared" si="142"/>
        <v>0</v>
      </c>
      <c r="V541" s="383">
        <f t="shared" si="142"/>
        <v>0</v>
      </c>
      <c r="W541" s="395">
        <f t="shared" si="142"/>
        <v>0</v>
      </c>
    </row>
    <row r="542" spans="1:23" ht="12.75" customHeight="1" outlineLevel="1">
      <c r="A542" s="351" t="s">
        <v>156</v>
      </c>
      <c r="B542" s="379">
        <v>0</v>
      </c>
      <c r="C542" s="395">
        <v>0</v>
      </c>
      <c r="D542" s="379">
        <v>0</v>
      </c>
      <c r="E542" s="383">
        <v>0</v>
      </c>
      <c r="F542" s="383">
        <v>0</v>
      </c>
      <c r="G542" s="383">
        <v>0</v>
      </c>
      <c r="H542" s="395">
        <v>0</v>
      </c>
      <c r="I542" s="379">
        <v>0</v>
      </c>
      <c r="J542" s="383">
        <v>0</v>
      </c>
      <c r="K542" s="383">
        <v>0</v>
      </c>
      <c r="L542" s="383">
        <f t="shared" ref="L542:W542" si="143">B538</f>
        <v>0</v>
      </c>
      <c r="M542" s="395">
        <f t="shared" si="143"/>
        <v>0</v>
      </c>
      <c r="N542" s="379">
        <f t="shared" si="143"/>
        <v>0</v>
      </c>
      <c r="O542" s="383">
        <f t="shared" si="143"/>
        <v>0</v>
      </c>
      <c r="P542" s="383">
        <f t="shared" si="143"/>
        <v>0</v>
      </c>
      <c r="Q542" s="383">
        <f t="shared" si="143"/>
        <v>0</v>
      </c>
      <c r="R542" s="395">
        <f t="shared" si="143"/>
        <v>0</v>
      </c>
      <c r="S542" s="379">
        <f t="shared" si="143"/>
        <v>0</v>
      </c>
      <c r="T542" s="383">
        <f t="shared" si="143"/>
        <v>0</v>
      </c>
      <c r="U542" s="383">
        <f t="shared" si="143"/>
        <v>0</v>
      </c>
      <c r="V542" s="383">
        <f t="shared" si="143"/>
        <v>0</v>
      </c>
      <c r="W542" s="395">
        <f t="shared" si="143"/>
        <v>0</v>
      </c>
    </row>
    <row r="543" spans="1:23" ht="12.75" customHeight="1" outlineLevel="1">
      <c r="A543" s="351" t="s">
        <v>157</v>
      </c>
      <c r="B543" s="441">
        <f>B542*$B535*0.5</f>
        <v>0</v>
      </c>
      <c r="C543" s="441">
        <f>(SUM($B542:B542)+C542*0.5)*$B535</f>
        <v>0</v>
      </c>
      <c r="D543" s="442">
        <f>(SUM($B542:C542)+D542*0.5)*$B535</f>
        <v>0</v>
      </c>
      <c r="E543" s="441">
        <f>(SUM($B542:D542)+E542*0.5)*$B535</f>
        <v>0</v>
      </c>
      <c r="F543" s="441">
        <f>(SUM($B542:E542)+F542*0.5)*$B535</f>
        <v>0</v>
      </c>
      <c r="G543" s="441">
        <f>(SUM($B542:F542)+G542*0.5)*$B535</f>
        <v>0</v>
      </c>
      <c r="H543" s="443">
        <f>(SUM($B542:G542)+H542*0.5)*$B535</f>
        <v>0</v>
      </c>
      <c r="I543" s="442">
        <f>(SUM($B542:H542)+I542*0.5)*$B535</f>
        <v>0</v>
      </c>
      <c r="J543" s="441">
        <f>(SUM($B542:I542)+J542*0.5)*$B535</f>
        <v>0</v>
      </c>
      <c r="K543" s="441">
        <f>(SUM($B542:J542)+K542*0.5)*$B535</f>
        <v>0</v>
      </c>
      <c r="L543" s="441">
        <f>(SUM($B542:K542)+L542*0.5)*$B535</f>
        <v>0</v>
      </c>
      <c r="M543" s="443">
        <f>(SUM($B542:L542)+M542*0.5)*$B535</f>
        <v>0</v>
      </c>
      <c r="N543" s="442">
        <f>(SUM($B542:M542)+N542*0.5)*$B535</f>
        <v>0</v>
      </c>
      <c r="O543" s="441">
        <f>(SUM($B542:N542)+O542*0.5)*$B535</f>
        <v>0</v>
      </c>
      <c r="P543" s="441">
        <f>(SUM($B542:O542)+P542*0.5)*$B535</f>
        <v>0</v>
      </c>
      <c r="Q543" s="441">
        <f>(SUM($B542:P542)+Q542*0.5)*$B535</f>
        <v>0</v>
      </c>
      <c r="R543" s="443">
        <f>(SUM($B542:Q542)+R542*0.5)*$B535</f>
        <v>0</v>
      </c>
      <c r="S543" s="442">
        <f>(SUM($B542:R542)+S542*0.5)*$B535</f>
        <v>0</v>
      </c>
      <c r="T543" s="441">
        <f>(SUM($B542:S542)+T542*0.5)*$B535</f>
        <v>0</v>
      </c>
      <c r="U543" s="441">
        <f>(SUM($B542:T542)+U542*0.5)*$B535</f>
        <v>0</v>
      </c>
      <c r="V543" s="441">
        <f>(SUM($B542:U542)+V542*0.5)*$B535</f>
        <v>0</v>
      </c>
      <c r="W543" s="443">
        <f>(SUM($B542:V542)+W542*0.5)*$B535</f>
        <v>0</v>
      </c>
    </row>
    <row r="544" spans="1:23" ht="12.75" customHeight="1" outlineLevel="1">
      <c r="A544" s="355" t="s">
        <v>113</v>
      </c>
      <c r="B544" s="382">
        <f t="shared" ref="B544:W544" si="144">B541+B542-B543</f>
        <v>0</v>
      </c>
      <c r="C544" s="398">
        <f t="shared" si="144"/>
        <v>0</v>
      </c>
      <c r="D544" s="382">
        <f t="shared" si="144"/>
        <v>0</v>
      </c>
      <c r="E544" s="399">
        <f t="shared" si="144"/>
        <v>0</v>
      </c>
      <c r="F544" s="399">
        <f t="shared" si="144"/>
        <v>0</v>
      </c>
      <c r="G544" s="399">
        <f t="shared" si="144"/>
        <v>0</v>
      </c>
      <c r="H544" s="398">
        <f t="shared" si="144"/>
        <v>0</v>
      </c>
      <c r="I544" s="382">
        <f t="shared" si="144"/>
        <v>0</v>
      </c>
      <c r="J544" s="399">
        <f t="shared" si="144"/>
        <v>0</v>
      </c>
      <c r="K544" s="399">
        <f t="shared" si="144"/>
        <v>0</v>
      </c>
      <c r="L544" s="399">
        <f t="shared" si="144"/>
        <v>0</v>
      </c>
      <c r="M544" s="398">
        <f t="shared" si="144"/>
        <v>0</v>
      </c>
      <c r="N544" s="382">
        <f t="shared" si="144"/>
        <v>0</v>
      </c>
      <c r="O544" s="399">
        <f t="shared" si="144"/>
        <v>0</v>
      </c>
      <c r="P544" s="399">
        <f t="shared" si="144"/>
        <v>0</v>
      </c>
      <c r="Q544" s="399">
        <f t="shared" si="144"/>
        <v>0</v>
      </c>
      <c r="R544" s="398">
        <f t="shared" si="144"/>
        <v>0</v>
      </c>
      <c r="S544" s="382">
        <f t="shared" si="144"/>
        <v>0</v>
      </c>
      <c r="T544" s="399">
        <f t="shared" si="144"/>
        <v>0</v>
      </c>
      <c r="U544" s="399">
        <f t="shared" si="144"/>
        <v>0</v>
      </c>
      <c r="V544" s="399">
        <f t="shared" si="144"/>
        <v>0</v>
      </c>
      <c r="W544" s="398">
        <f t="shared" si="144"/>
        <v>0</v>
      </c>
    </row>
    <row r="545" spans="1:23" ht="12.75" customHeight="1" outlineLevel="1">
      <c r="M545" s="401"/>
    </row>
    <row r="546" spans="1:23" ht="12.75" customHeight="1" outlineLevel="1">
      <c r="A546" s="360" t="str">
        <f>A480</f>
        <v>Other Assets</v>
      </c>
    </row>
    <row r="547" spans="1:23" ht="12.75" customHeight="1" outlineLevel="1">
      <c r="A547" s="385" t="s">
        <v>145</v>
      </c>
      <c r="B547" s="377">
        <f>B480</f>
        <v>0</v>
      </c>
      <c r="C547" s="350"/>
      <c r="D547" s="366"/>
      <c r="E547" s="366"/>
    </row>
    <row r="548" spans="1:23" ht="12.75" customHeight="1" outlineLevel="1">
      <c r="A548" s="386" t="s">
        <v>146</v>
      </c>
      <c r="B548" s="379">
        <f>C480</f>
        <v>10</v>
      </c>
      <c r="C548" s="354"/>
      <c r="D548" s="366"/>
      <c r="E548" s="366"/>
    </row>
    <row r="549" spans="1:23" ht="12.75" customHeight="1" outlineLevel="1">
      <c r="A549" s="386" t="s">
        <v>147</v>
      </c>
      <c r="B549" s="379" t="str">
        <f>D480</f>
        <v>Declining Balance</v>
      </c>
      <c r="C549" s="354"/>
      <c r="D549" s="366"/>
      <c r="E549" s="366"/>
    </row>
    <row r="550" spans="1:23" ht="12.75" customHeight="1" outlineLevel="1">
      <c r="A550" s="364" t="s">
        <v>148</v>
      </c>
      <c r="B550" s="365">
        <f>IF(B549="Straight Line",1/B548,IF(B549="Declining Balance",1/B548*2,1))</f>
        <v>0.2</v>
      </c>
      <c r="C550" s="358"/>
      <c r="D550" s="366"/>
      <c r="E550" s="366"/>
    </row>
    <row r="551" spans="1:23" ht="12.75" customHeight="1" outlineLevel="1">
      <c r="A551" s="366"/>
      <c r="B551" s="383"/>
      <c r="C551" s="366"/>
      <c r="D551" s="366"/>
      <c r="E551" s="366"/>
    </row>
    <row r="552" spans="1:23" ht="12.75" customHeight="1" outlineLevel="1">
      <c r="A552" s="366" t="s">
        <v>154</v>
      </c>
      <c r="B552" s="403" t="s">
        <v>171</v>
      </c>
      <c r="C552" s="426">
        <f t="shared" ref="C552:M552" si="145">B552+1</f>
        <v>2007</v>
      </c>
      <c r="D552" s="426">
        <f t="shared" si="145"/>
        <v>2008</v>
      </c>
      <c r="E552" s="426">
        <f t="shared" si="145"/>
        <v>2009</v>
      </c>
      <c r="F552" s="426">
        <f t="shared" si="145"/>
        <v>2010</v>
      </c>
      <c r="G552" s="426">
        <f t="shared" si="145"/>
        <v>2011</v>
      </c>
      <c r="H552" s="427">
        <f t="shared" si="145"/>
        <v>2012</v>
      </c>
      <c r="I552" s="426">
        <f t="shared" si="145"/>
        <v>2013</v>
      </c>
      <c r="J552" s="426">
        <f t="shared" si="145"/>
        <v>2014</v>
      </c>
      <c r="K552" s="426">
        <f t="shared" si="145"/>
        <v>2015</v>
      </c>
      <c r="L552" s="426">
        <f t="shared" si="145"/>
        <v>2016</v>
      </c>
      <c r="M552" s="427">
        <f t="shared" si="145"/>
        <v>2017</v>
      </c>
    </row>
    <row r="553" spans="1:23" ht="12.75" customHeight="1" outlineLevel="1">
      <c r="A553" s="391" t="s">
        <v>155</v>
      </c>
      <c r="B553" s="392">
        <v>0</v>
      </c>
      <c r="C553" s="393">
        <v>0</v>
      </c>
      <c r="D553" s="436">
        <v>0</v>
      </c>
      <c r="E553" s="437">
        <v>0</v>
      </c>
      <c r="F553" s="393">
        <v>0.35499999999999998</v>
      </c>
      <c r="G553" s="437">
        <v>1E-3</v>
      </c>
      <c r="H553" s="597">
        <v>0.02</v>
      </c>
      <c r="I553" s="392"/>
      <c r="J553" s="393"/>
      <c r="K553" s="393"/>
      <c r="L553" s="393"/>
      <c r="M553" s="394"/>
    </row>
    <row r="554" spans="1:23" ht="12.75" customHeight="1" outlineLevel="1">
      <c r="A554" s="366"/>
      <c r="B554" s="383"/>
      <c r="C554" s="366"/>
    </row>
    <row r="555" spans="1:23" ht="12.75" customHeight="1" outlineLevel="1">
      <c r="B555" s="367">
        <v>1996</v>
      </c>
      <c r="C555" s="368">
        <v>1997</v>
      </c>
      <c r="D555" s="367">
        <v>1998</v>
      </c>
      <c r="E555" s="369">
        <v>1999</v>
      </c>
      <c r="F555" s="369">
        <v>2000</v>
      </c>
      <c r="G555" s="369">
        <v>2001</v>
      </c>
      <c r="H555" s="368">
        <v>2002</v>
      </c>
      <c r="I555" s="367">
        <v>2003</v>
      </c>
      <c r="J555" s="369">
        <v>2004</v>
      </c>
      <c r="K555" s="369">
        <v>2005</v>
      </c>
      <c r="L555" s="369">
        <v>2006</v>
      </c>
      <c r="M555" s="368">
        <v>2007</v>
      </c>
      <c r="N555" s="367">
        <v>2008</v>
      </c>
      <c r="O555" s="369">
        <v>2009</v>
      </c>
      <c r="P555" s="369">
        <v>2010</v>
      </c>
      <c r="Q555" s="369">
        <v>2011</v>
      </c>
      <c r="R555" s="368">
        <v>2012</v>
      </c>
      <c r="S555" s="367">
        <f t="shared" ref="S555:W555" si="146">R555+1</f>
        <v>2013</v>
      </c>
      <c r="T555" s="369">
        <f t="shared" si="146"/>
        <v>2014</v>
      </c>
      <c r="U555" s="369">
        <f t="shared" si="146"/>
        <v>2015</v>
      </c>
      <c r="V555" s="369">
        <f t="shared" si="146"/>
        <v>2016</v>
      </c>
      <c r="W555" s="368">
        <f t="shared" si="146"/>
        <v>2017</v>
      </c>
    </row>
    <row r="556" spans="1:23" ht="12.75" customHeight="1" outlineLevel="1">
      <c r="A556" s="346" t="s">
        <v>2</v>
      </c>
      <c r="B556" s="379">
        <f>B547</f>
        <v>0</v>
      </c>
      <c r="C556" s="395">
        <f t="shared" ref="C556:W556" si="147">B559</f>
        <v>0</v>
      </c>
      <c r="D556" s="379">
        <f t="shared" si="147"/>
        <v>0</v>
      </c>
      <c r="E556" s="383">
        <f t="shared" si="147"/>
        <v>0</v>
      </c>
      <c r="F556" s="383">
        <f t="shared" si="147"/>
        <v>0</v>
      </c>
      <c r="G556" s="383">
        <f t="shared" si="147"/>
        <v>0</v>
      </c>
      <c r="H556" s="395">
        <f t="shared" si="147"/>
        <v>0</v>
      </c>
      <c r="I556" s="379">
        <f t="shared" si="147"/>
        <v>0</v>
      </c>
      <c r="J556" s="383">
        <f t="shared" si="147"/>
        <v>0</v>
      </c>
      <c r="K556" s="383">
        <f t="shared" si="147"/>
        <v>0</v>
      </c>
      <c r="L556" s="383">
        <f t="shared" si="147"/>
        <v>0</v>
      </c>
      <c r="M556" s="395">
        <f t="shared" si="147"/>
        <v>0</v>
      </c>
      <c r="N556" s="413">
        <f t="shared" si="147"/>
        <v>0</v>
      </c>
      <c r="O556" s="383">
        <f t="shared" si="147"/>
        <v>0</v>
      </c>
      <c r="P556" s="383">
        <f t="shared" si="147"/>
        <v>0</v>
      </c>
      <c r="Q556" s="383">
        <f t="shared" si="147"/>
        <v>0.31950000000000001</v>
      </c>
      <c r="R556" s="395">
        <f t="shared" si="147"/>
        <v>0.25650000000000001</v>
      </c>
      <c r="S556" s="413">
        <f t="shared" si="147"/>
        <v>0.22320000000000001</v>
      </c>
      <c r="T556" s="383">
        <f t="shared" si="147"/>
        <v>0.17856</v>
      </c>
      <c r="U556" s="383">
        <f t="shared" si="147"/>
        <v>0.142848</v>
      </c>
      <c r="V556" s="383">
        <f t="shared" si="147"/>
        <v>0.1142784</v>
      </c>
      <c r="W556" s="395">
        <f t="shared" si="147"/>
        <v>9.1422719999999999E-2</v>
      </c>
    </row>
    <row r="557" spans="1:23" ht="12.75" customHeight="1" outlineLevel="1">
      <c r="A557" s="351" t="s">
        <v>156</v>
      </c>
      <c r="B557" s="379">
        <v>0</v>
      </c>
      <c r="C557" s="395">
        <v>0</v>
      </c>
      <c r="D557" s="379">
        <v>0</v>
      </c>
      <c r="E557" s="383">
        <v>0</v>
      </c>
      <c r="F557" s="383">
        <v>0</v>
      </c>
      <c r="G557" s="383">
        <v>0</v>
      </c>
      <c r="H557" s="395">
        <v>0</v>
      </c>
      <c r="I557" s="379">
        <v>0</v>
      </c>
      <c r="J557" s="383">
        <v>0</v>
      </c>
      <c r="K557" s="383">
        <v>0</v>
      </c>
      <c r="L557" s="383">
        <f t="shared" ref="L557:W557" si="148">B553</f>
        <v>0</v>
      </c>
      <c r="M557" s="395">
        <f t="shared" si="148"/>
        <v>0</v>
      </c>
      <c r="N557" s="379">
        <f t="shared" si="148"/>
        <v>0</v>
      </c>
      <c r="O557" s="383">
        <f t="shared" si="148"/>
        <v>0</v>
      </c>
      <c r="P557" s="383">
        <f t="shared" si="148"/>
        <v>0.35499999999999998</v>
      </c>
      <c r="Q557" s="383">
        <f t="shared" si="148"/>
        <v>1E-3</v>
      </c>
      <c r="R557" s="395">
        <f t="shared" si="148"/>
        <v>0.02</v>
      </c>
      <c r="S557" s="379">
        <f t="shared" si="148"/>
        <v>0</v>
      </c>
      <c r="T557" s="383">
        <f t="shared" si="148"/>
        <v>0</v>
      </c>
      <c r="U557" s="383">
        <f t="shared" si="148"/>
        <v>0</v>
      </c>
      <c r="V557" s="383">
        <f t="shared" si="148"/>
        <v>0</v>
      </c>
      <c r="W557" s="395">
        <f t="shared" si="148"/>
        <v>0</v>
      </c>
    </row>
    <row r="558" spans="1:23" ht="12.75" customHeight="1" outlineLevel="1">
      <c r="A558" s="351" t="s">
        <v>157</v>
      </c>
      <c r="B558" s="375">
        <f>IF($B550=1,B557+B556,B557*$B550*0.5)</f>
        <v>0</v>
      </c>
      <c r="C558" s="375">
        <f t="shared" ref="C558:W558" si="149">IF($B550=1,C557+C556,(C556+C557*0.5)*$B550)</f>
        <v>0</v>
      </c>
      <c r="D558" s="396">
        <f t="shared" si="149"/>
        <v>0</v>
      </c>
      <c r="E558" s="375">
        <f t="shared" si="149"/>
        <v>0</v>
      </c>
      <c r="F558" s="375">
        <f t="shared" si="149"/>
        <v>0</v>
      </c>
      <c r="G558" s="375">
        <f t="shared" si="149"/>
        <v>0</v>
      </c>
      <c r="H558" s="397">
        <f t="shared" si="149"/>
        <v>0</v>
      </c>
      <c r="I558" s="396">
        <f t="shared" si="149"/>
        <v>0</v>
      </c>
      <c r="J558" s="375">
        <f t="shared" si="149"/>
        <v>0</v>
      </c>
      <c r="K558" s="375">
        <f t="shared" si="149"/>
        <v>0</v>
      </c>
      <c r="L558" s="375">
        <f t="shared" si="149"/>
        <v>0</v>
      </c>
      <c r="M558" s="397">
        <f t="shared" si="149"/>
        <v>0</v>
      </c>
      <c r="N558" s="396">
        <f t="shared" si="149"/>
        <v>0</v>
      </c>
      <c r="O558" s="375">
        <f t="shared" si="149"/>
        <v>0</v>
      </c>
      <c r="P558" s="375">
        <f t="shared" si="149"/>
        <v>3.5499999999999997E-2</v>
      </c>
      <c r="Q558" s="375">
        <f t="shared" si="149"/>
        <v>6.4000000000000001E-2</v>
      </c>
      <c r="R558" s="397">
        <f t="shared" si="149"/>
        <v>5.3300000000000007E-2</v>
      </c>
      <c r="S558" s="396">
        <f t="shared" si="149"/>
        <v>4.4640000000000006E-2</v>
      </c>
      <c r="T558" s="375">
        <f t="shared" si="149"/>
        <v>3.5712000000000001E-2</v>
      </c>
      <c r="U558" s="375">
        <f t="shared" si="149"/>
        <v>2.8569600000000001E-2</v>
      </c>
      <c r="V558" s="375">
        <f t="shared" si="149"/>
        <v>2.2855680000000003E-2</v>
      </c>
      <c r="W558" s="397">
        <f t="shared" si="149"/>
        <v>1.8284544E-2</v>
      </c>
    </row>
    <row r="559" spans="1:23" ht="12.75" customHeight="1" outlineLevel="1">
      <c r="A559" s="355" t="s">
        <v>113</v>
      </c>
      <c r="B559" s="382">
        <f t="shared" ref="B559:W559" si="150">B556+B557-B558</f>
        <v>0</v>
      </c>
      <c r="C559" s="398">
        <f t="shared" si="150"/>
        <v>0</v>
      </c>
      <c r="D559" s="382">
        <f t="shared" si="150"/>
        <v>0</v>
      </c>
      <c r="E559" s="399">
        <f t="shared" si="150"/>
        <v>0</v>
      </c>
      <c r="F559" s="399">
        <f t="shared" si="150"/>
        <v>0</v>
      </c>
      <c r="G559" s="399">
        <f t="shared" si="150"/>
        <v>0</v>
      </c>
      <c r="H559" s="398">
        <f t="shared" si="150"/>
        <v>0</v>
      </c>
      <c r="I559" s="382">
        <f t="shared" si="150"/>
        <v>0</v>
      </c>
      <c r="J559" s="399">
        <f t="shared" si="150"/>
        <v>0</v>
      </c>
      <c r="K559" s="399">
        <f t="shared" si="150"/>
        <v>0</v>
      </c>
      <c r="L559" s="399">
        <f t="shared" si="150"/>
        <v>0</v>
      </c>
      <c r="M559" s="398">
        <f t="shared" si="150"/>
        <v>0</v>
      </c>
      <c r="N559" s="382">
        <f t="shared" si="150"/>
        <v>0</v>
      </c>
      <c r="O559" s="399">
        <f t="shared" si="150"/>
        <v>0</v>
      </c>
      <c r="P559" s="399">
        <f t="shared" si="150"/>
        <v>0.31950000000000001</v>
      </c>
      <c r="Q559" s="399">
        <f t="shared" si="150"/>
        <v>0.25650000000000001</v>
      </c>
      <c r="R559" s="398">
        <f t="shared" si="150"/>
        <v>0.22320000000000001</v>
      </c>
      <c r="S559" s="382">
        <f t="shared" si="150"/>
        <v>0.17856</v>
      </c>
      <c r="T559" s="399">
        <f t="shared" si="150"/>
        <v>0.142848</v>
      </c>
      <c r="U559" s="399">
        <f t="shared" si="150"/>
        <v>0.1142784</v>
      </c>
      <c r="V559" s="399">
        <f t="shared" si="150"/>
        <v>9.1422719999999999E-2</v>
      </c>
      <c r="W559" s="398">
        <f t="shared" si="150"/>
        <v>7.3138175999999999E-2</v>
      </c>
    </row>
    <row r="560" spans="1:23" ht="12.75" customHeight="1" outlineLevel="1">
      <c r="A560" s="366"/>
      <c r="B560" s="383"/>
      <c r="C560" s="383"/>
      <c r="D560" s="383"/>
      <c r="E560" s="383"/>
      <c r="F560" s="383"/>
      <c r="G560" s="383"/>
      <c r="H560" s="383"/>
      <c r="I560" s="383"/>
      <c r="J560" s="383"/>
      <c r="K560" s="383"/>
      <c r="L560" s="383"/>
      <c r="M560" s="383"/>
      <c r="N560" s="383"/>
      <c r="O560" s="383"/>
      <c r="P560" s="383"/>
      <c r="Q560" s="383"/>
      <c r="R560" s="383"/>
      <c r="S560" s="383"/>
      <c r="T560" s="383"/>
      <c r="U560" s="383"/>
      <c r="V560" s="383"/>
      <c r="W560" s="383"/>
    </row>
    <row r="561" spans="1:23" ht="12.75" customHeight="1" outlineLevel="1">
      <c r="A561" s="360" t="str">
        <f>A481</f>
        <v>Repairs</v>
      </c>
    </row>
    <row r="562" spans="1:23" ht="12.75" customHeight="1" outlineLevel="1">
      <c r="A562" s="385" t="s">
        <v>145</v>
      </c>
      <c r="B562" s="377">
        <f>B481</f>
        <v>0</v>
      </c>
      <c r="C562" s="350"/>
      <c r="D562" s="366"/>
      <c r="E562" s="366"/>
    </row>
    <row r="563" spans="1:23" ht="12.75" customHeight="1" outlineLevel="1">
      <c r="A563" s="386" t="s">
        <v>146</v>
      </c>
      <c r="B563" s="379">
        <f>C481</f>
        <v>0</v>
      </c>
      <c r="C563" s="354"/>
      <c r="D563" s="366"/>
      <c r="E563" s="366"/>
    </row>
    <row r="564" spans="1:23" ht="12.75" customHeight="1" outlineLevel="1">
      <c r="A564" s="386" t="s">
        <v>147</v>
      </c>
      <c r="B564" s="379" t="str">
        <f>D481</f>
        <v>Fully Deductible</v>
      </c>
      <c r="C564" s="354"/>
      <c r="D564" s="366"/>
      <c r="E564" s="366"/>
    </row>
    <row r="565" spans="1:23" ht="12.75" customHeight="1" outlineLevel="1">
      <c r="A565" s="364" t="s">
        <v>148</v>
      </c>
      <c r="B565" s="365">
        <f>IF(B564="Straight Line",1/B563,IF(B564="Declining Balance",1/B563*2,1))</f>
        <v>1</v>
      </c>
      <c r="C565" s="358"/>
      <c r="D565" s="366"/>
      <c r="E565" s="366"/>
    </row>
    <row r="566" spans="1:23" ht="12.75" customHeight="1" outlineLevel="1">
      <c r="A566" s="366"/>
      <c r="B566" s="383"/>
      <c r="C566" s="366"/>
      <c r="D566" s="366"/>
      <c r="E566" s="366"/>
    </row>
    <row r="567" spans="1:23" ht="12.75" customHeight="1" outlineLevel="1">
      <c r="A567" s="366" t="s">
        <v>154</v>
      </c>
      <c r="B567" s="403" t="s">
        <v>171</v>
      </c>
      <c r="C567" s="426">
        <f t="shared" ref="C567:M567" si="151">B567+1</f>
        <v>2007</v>
      </c>
      <c r="D567" s="426">
        <f t="shared" si="151"/>
        <v>2008</v>
      </c>
      <c r="E567" s="426">
        <f t="shared" si="151"/>
        <v>2009</v>
      </c>
      <c r="F567" s="426">
        <f t="shared" si="151"/>
        <v>2010</v>
      </c>
      <c r="G567" s="426">
        <f t="shared" si="151"/>
        <v>2011</v>
      </c>
      <c r="H567" s="427">
        <f t="shared" si="151"/>
        <v>2012</v>
      </c>
      <c r="I567" s="426">
        <f t="shared" si="151"/>
        <v>2013</v>
      </c>
      <c r="J567" s="426">
        <f t="shared" si="151"/>
        <v>2014</v>
      </c>
      <c r="K567" s="426">
        <f t="shared" si="151"/>
        <v>2015</v>
      </c>
      <c r="L567" s="426">
        <f t="shared" si="151"/>
        <v>2016</v>
      </c>
      <c r="M567" s="427">
        <f t="shared" si="151"/>
        <v>2017</v>
      </c>
    </row>
    <row r="568" spans="1:23" ht="12.75" customHeight="1" outlineLevel="1">
      <c r="A568" s="391" t="s">
        <v>155</v>
      </c>
      <c r="B568" s="392">
        <v>0</v>
      </c>
      <c r="C568" s="393">
        <v>0</v>
      </c>
      <c r="D568" s="392">
        <v>0</v>
      </c>
      <c r="E568" s="393">
        <v>0</v>
      </c>
      <c r="F568" s="393">
        <v>0</v>
      </c>
      <c r="G568" s="393">
        <v>0</v>
      </c>
      <c r="H568" s="597">
        <v>0</v>
      </c>
      <c r="I568" s="392">
        <v>0</v>
      </c>
      <c r="J568" s="393">
        <v>0</v>
      </c>
      <c r="K568" s="393">
        <v>0</v>
      </c>
      <c r="L568" s="393">
        <v>0</v>
      </c>
      <c r="M568" s="394">
        <v>0</v>
      </c>
    </row>
    <row r="569" spans="1:23" ht="12.75" customHeight="1" outlineLevel="1">
      <c r="A569" s="366"/>
      <c r="B569" s="383"/>
      <c r="C569" s="366"/>
    </row>
    <row r="570" spans="1:23" ht="12.75" customHeight="1" outlineLevel="1">
      <c r="B570" s="367">
        <v>1996</v>
      </c>
      <c r="C570" s="368">
        <v>1997</v>
      </c>
      <c r="D570" s="367">
        <v>1998</v>
      </c>
      <c r="E570" s="369">
        <v>1999</v>
      </c>
      <c r="F570" s="369">
        <v>2000</v>
      </c>
      <c r="G570" s="369">
        <v>2001</v>
      </c>
      <c r="H570" s="368">
        <v>2002</v>
      </c>
      <c r="I570" s="367">
        <v>2003</v>
      </c>
      <c r="J570" s="369">
        <v>2004</v>
      </c>
      <c r="K570" s="369">
        <v>2005</v>
      </c>
      <c r="L570" s="369">
        <v>2006</v>
      </c>
      <c r="M570" s="368">
        <v>2007</v>
      </c>
      <c r="N570" s="367">
        <v>2008</v>
      </c>
      <c r="O570" s="369">
        <v>2009</v>
      </c>
      <c r="P570" s="369">
        <v>2010</v>
      </c>
      <c r="Q570" s="369">
        <v>2011</v>
      </c>
      <c r="R570" s="368">
        <v>2012</v>
      </c>
      <c r="S570" s="367">
        <f t="shared" ref="S570:W570" si="152">R570+1</f>
        <v>2013</v>
      </c>
      <c r="T570" s="369">
        <f t="shared" si="152"/>
        <v>2014</v>
      </c>
      <c r="U570" s="369">
        <f t="shared" si="152"/>
        <v>2015</v>
      </c>
      <c r="V570" s="369">
        <f t="shared" si="152"/>
        <v>2016</v>
      </c>
      <c r="W570" s="368">
        <f t="shared" si="152"/>
        <v>2017</v>
      </c>
    </row>
    <row r="571" spans="1:23" ht="12.75" customHeight="1" outlineLevel="1">
      <c r="A571" s="346" t="s">
        <v>2</v>
      </c>
      <c r="B571" s="379">
        <f>B562</f>
        <v>0</v>
      </c>
      <c r="C571" s="395">
        <f t="shared" ref="C571:W571" si="153">B574</f>
        <v>0</v>
      </c>
      <c r="D571" s="379">
        <f t="shared" si="153"/>
        <v>0</v>
      </c>
      <c r="E571" s="383">
        <f t="shared" si="153"/>
        <v>0</v>
      </c>
      <c r="F571" s="383">
        <f t="shared" si="153"/>
        <v>0</v>
      </c>
      <c r="G571" s="383">
        <f t="shared" si="153"/>
        <v>0</v>
      </c>
      <c r="H571" s="395">
        <f t="shared" si="153"/>
        <v>0</v>
      </c>
      <c r="I571" s="379">
        <f t="shared" si="153"/>
        <v>0</v>
      </c>
      <c r="J571" s="383">
        <f t="shared" si="153"/>
        <v>0</v>
      </c>
      <c r="K571" s="383">
        <f t="shared" si="153"/>
        <v>0</v>
      </c>
      <c r="L571" s="383">
        <f t="shared" si="153"/>
        <v>0</v>
      </c>
      <c r="M571" s="395">
        <f t="shared" si="153"/>
        <v>0</v>
      </c>
      <c r="N571" s="413">
        <f t="shared" si="153"/>
        <v>0</v>
      </c>
      <c r="O571" s="383">
        <f t="shared" si="153"/>
        <v>0</v>
      </c>
      <c r="P571" s="383">
        <f t="shared" si="153"/>
        <v>0</v>
      </c>
      <c r="Q571" s="383">
        <f t="shared" si="153"/>
        <v>0</v>
      </c>
      <c r="R571" s="395">
        <f t="shared" si="153"/>
        <v>0</v>
      </c>
      <c r="S571" s="413">
        <f t="shared" si="153"/>
        <v>0</v>
      </c>
      <c r="T571" s="383">
        <f t="shared" si="153"/>
        <v>0</v>
      </c>
      <c r="U571" s="383">
        <f t="shared" si="153"/>
        <v>0</v>
      </c>
      <c r="V571" s="383">
        <f t="shared" si="153"/>
        <v>0</v>
      </c>
      <c r="W571" s="395">
        <f t="shared" si="153"/>
        <v>0</v>
      </c>
    </row>
    <row r="572" spans="1:23" ht="12.75" customHeight="1" outlineLevel="1">
      <c r="A572" s="351" t="s">
        <v>156</v>
      </c>
      <c r="B572" s="379">
        <v>0</v>
      </c>
      <c r="C572" s="395">
        <v>0</v>
      </c>
      <c r="D572" s="379">
        <v>0</v>
      </c>
      <c r="E572" s="383">
        <v>0</v>
      </c>
      <c r="F572" s="383">
        <v>0</v>
      </c>
      <c r="G572" s="383">
        <v>0</v>
      </c>
      <c r="H572" s="395">
        <v>0</v>
      </c>
      <c r="I572" s="379">
        <v>0</v>
      </c>
      <c r="J572" s="383">
        <v>0</v>
      </c>
      <c r="K572" s="383">
        <v>0</v>
      </c>
      <c r="L572" s="383">
        <f t="shared" ref="L572:W572" si="154">B568</f>
        <v>0</v>
      </c>
      <c r="M572" s="395">
        <f t="shared" si="154"/>
        <v>0</v>
      </c>
      <c r="N572" s="379">
        <f t="shared" si="154"/>
        <v>0</v>
      </c>
      <c r="O572" s="383">
        <f t="shared" si="154"/>
        <v>0</v>
      </c>
      <c r="P572" s="383">
        <f t="shared" si="154"/>
        <v>0</v>
      </c>
      <c r="Q572" s="383">
        <f t="shared" si="154"/>
        <v>0</v>
      </c>
      <c r="R572" s="395">
        <f t="shared" si="154"/>
        <v>0</v>
      </c>
      <c r="S572" s="379">
        <f t="shared" si="154"/>
        <v>0</v>
      </c>
      <c r="T572" s="383">
        <f t="shared" si="154"/>
        <v>0</v>
      </c>
      <c r="U572" s="383">
        <f t="shared" si="154"/>
        <v>0</v>
      </c>
      <c r="V572" s="383">
        <f t="shared" si="154"/>
        <v>0</v>
      </c>
      <c r="W572" s="395">
        <f t="shared" si="154"/>
        <v>0</v>
      </c>
    </row>
    <row r="573" spans="1:23" ht="12.75" customHeight="1" outlineLevel="1">
      <c r="A573" s="351" t="s">
        <v>157</v>
      </c>
      <c r="B573" s="375">
        <f>IF($B565=1,B572+B571,B572*$B565*0.5)</f>
        <v>0</v>
      </c>
      <c r="C573" s="375">
        <f t="shared" ref="C573:W573" si="155">IF($B565=1,C572+C571,(C571+C572*0.5)*$B565)</f>
        <v>0</v>
      </c>
      <c r="D573" s="396">
        <f t="shared" si="155"/>
        <v>0</v>
      </c>
      <c r="E573" s="375">
        <f t="shared" si="155"/>
        <v>0</v>
      </c>
      <c r="F573" s="375">
        <f t="shared" si="155"/>
        <v>0</v>
      </c>
      <c r="G573" s="375">
        <f t="shared" si="155"/>
        <v>0</v>
      </c>
      <c r="H573" s="397">
        <f t="shared" si="155"/>
        <v>0</v>
      </c>
      <c r="I573" s="396">
        <f t="shared" si="155"/>
        <v>0</v>
      </c>
      <c r="J573" s="375">
        <f t="shared" si="155"/>
        <v>0</v>
      </c>
      <c r="K573" s="375">
        <f t="shared" si="155"/>
        <v>0</v>
      </c>
      <c r="L573" s="375">
        <f t="shared" si="155"/>
        <v>0</v>
      </c>
      <c r="M573" s="397">
        <f t="shared" si="155"/>
        <v>0</v>
      </c>
      <c r="N573" s="396">
        <f t="shared" si="155"/>
        <v>0</v>
      </c>
      <c r="O573" s="375">
        <f t="shared" si="155"/>
        <v>0</v>
      </c>
      <c r="P573" s="375">
        <f t="shared" si="155"/>
        <v>0</v>
      </c>
      <c r="Q573" s="375">
        <f t="shared" si="155"/>
        <v>0</v>
      </c>
      <c r="R573" s="397">
        <f t="shared" si="155"/>
        <v>0</v>
      </c>
      <c r="S573" s="396">
        <f t="shared" si="155"/>
        <v>0</v>
      </c>
      <c r="T573" s="375">
        <f t="shared" si="155"/>
        <v>0</v>
      </c>
      <c r="U573" s="375">
        <f t="shared" si="155"/>
        <v>0</v>
      </c>
      <c r="V573" s="375">
        <f t="shared" si="155"/>
        <v>0</v>
      </c>
      <c r="W573" s="397">
        <f t="shared" si="155"/>
        <v>0</v>
      </c>
    </row>
    <row r="574" spans="1:23" ht="12.75" customHeight="1" outlineLevel="1">
      <c r="A574" s="355" t="s">
        <v>113</v>
      </c>
      <c r="B574" s="382">
        <f t="shared" ref="B574:W574" si="156">B571+B572-B573</f>
        <v>0</v>
      </c>
      <c r="C574" s="398">
        <f t="shared" si="156"/>
        <v>0</v>
      </c>
      <c r="D574" s="382">
        <f t="shared" si="156"/>
        <v>0</v>
      </c>
      <c r="E574" s="399">
        <f t="shared" si="156"/>
        <v>0</v>
      </c>
      <c r="F574" s="399">
        <f t="shared" si="156"/>
        <v>0</v>
      </c>
      <c r="G574" s="399">
        <f t="shared" si="156"/>
        <v>0</v>
      </c>
      <c r="H574" s="398">
        <f t="shared" si="156"/>
        <v>0</v>
      </c>
      <c r="I574" s="382">
        <f t="shared" si="156"/>
        <v>0</v>
      </c>
      <c r="J574" s="399">
        <f t="shared" si="156"/>
        <v>0</v>
      </c>
      <c r="K574" s="399">
        <f t="shared" si="156"/>
        <v>0</v>
      </c>
      <c r="L574" s="399">
        <f t="shared" si="156"/>
        <v>0</v>
      </c>
      <c r="M574" s="398">
        <f t="shared" si="156"/>
        <v>0</v>
      </c>
      <c r="N574" s="382">
        <f t="shared" si="156"/>
        <v>0</v>
      </c>
      <c r="O574" s="399">
        <f t="shared" si="156"/>
        <v>0</v>
      </c>
      <c r="P574" s="399">
        <f t="shared" si="156"/>
        <v>0</v>
      </c>
      <c r="Q574" s="399">
        <f t="shared" si="156"/>
        <v>0</v>
      </c>
      <c r="R574" s="398">
        <f t="shared" si="156"/>
        <v>0</v>
      </c>
      <c r="S574" s="382">
        <f t="shared" si="156"/>
        <v>0</v>
      </c>
      <c r="T574" s="399">
        <f t="shared" si="156"/>
        <v>0</v>
      </c>
      <c r="U574" s="399">
        <f t="shared" si="156"/>
        <v>0</v>
      </c>
      <c r="V574" s="399">
        <f t="shared" si="156"/>
        <v>0</v>
      </c>
      <c r="W574" s="398">
        <f t="shared" si="156"/>
        <v>0</v>
      </c>
    </row>
    <row r="575" spans="1:23" ht="12.75" customHeight="1" outlineLevel="1"/>
    <row r="576" spans="1:23" ht="12.75" customHeight="1" outlineLevel="1"/>
    <row r="577" spans="1:23" ht="12.75" customHeight="1" outlineLevel="1">
      <c r="A577" s="360" t="s">
        <v>181</v>
      </c>
    </row>
    <row r="578" spans="1:23" ht="12.75" customHeight="1" outlineLevel="1">
      <c r="A578" s="360"/>
    </row>
    <row r="579" spans="1:23" ht="12.75" customHeight="1" outlineLevel="1">
      <c r="B579" s="367">
        <v>1996</v>
      </c>
      <c r="C579" s="368">
        <v>1997</v>
      </c>
      <c r="D579" s="367">
        <v>1998</v>
      </c>
      <c r="E579" s="369">
        <v>1999</v>
      </c>
      <c r="F579" s="369">
        <v>2000</v>
      </c>
      <c r="G579" s="369">
        <v>2001</v>
      </c>
      <c r="H579" s="368">
        <v>2002</v>
      </c>
      <c r="I579" s="367">
        <v>2003</v>
      </c>
      <c r="J579" s="369">
        <v>2004</v>
      </c>
      <c r="K579" s="369">
        <v>2005</v>
      </c>
      <c r="L579" s="369">
        <v>2006</v>
      </c>
      <c r="M579" s="368">
        <v>2007</v>
      </c>
      <c r="N579" s="367">
        <v>2008</v>
      </c>
      <c r="O579" s="369">
        <v>2009</v>
      </c>
      <c r="P579" s="369">
        <v>2010</v>
      </c>
      <c r="Q579" s="369">
        <v>2011</v>
      </c>
      <c r="R579" s="368">
        <v>2012</v>
      </c>
      <c r="S579" s="367">
        <f t="shared" ref="S579:W579" si="157">R579+1</f>
        <v>2013</v>
      </c>
      <c r="T579" s="369">
        <f t="shared" si="157"/>
        <v>2014</v>
      </c>
      <c r="U579" s="369">
        <f t="shared" si="157"/>
        <v>2015</v>
      </c>
      <c r="V579" s="369">
        <f t="shared" si="157"/>
        <v>2016</v>
      </c>
      <c r="W579" s="368">
        <f t="shared" si="157"/>
        <v>2017</v>
      </c>
    </row>
    <row r="580" spans="1:23" ht="12.75" customHeight="1" outlineLevel="1">
      <c r="A580" s="346" t="s">
        <v>2</v>
      </c>
      <c r="B580" s="353">
        <f>B496+B511+B526+B541+B556+B571</f>
        <v>0</v>
      </c>
      <c r="C580" s="370">
        <f t="shared" ref="C580:W583" si="158">C496+C511+C526+C541+C556+C571</f>
        <v>0</v>
      </c>
      <c r="D580" s="353">
        <f t="shared" si="158"/>
        <v>0</v>
      </c>
      <c r="E580" s="363">
        <f t="shared" si="158"/>
        <v>0</v>
      </c>
      <c r="F580" s="363">
        <f t="shared" si="158"/>
        <v>0</v>
      </c>
      <c r="G580" s="363">
        <f t="shared" si="158"/>
        <v>0</v>
      </c>
      <c r="H580" s="370">
        <f t="shared" si="158"/>
        <v>0</v>
      </c>
      <c r="I580" s="353">
        <f t="shared" si="158"/>
        <v>0</v>
      </c>
      <c r="J580" s="363">
        <f t="shared" si="158"/>
        <v>0</v>
      </c>
      <c r="K580" s="363">
        <f t="shared" si="158"/>
        <v>0</v>
      </c>
      <c r="L580" s="363">
        <f t="shared" si="158"/>
        <v>0</v>
      </c>
      <c r="M580" s="370">
        <f t="shared" si="158"/>
        <v>0</v>
      </c>
      <c r="N580" s="413">
        <f t="shared" si="158"/>
        <v>0</v>
      </c>
      <c r="O580" s="363">
        <f t="shared" si="158"/>
        <v>1.2197202741145039</v>
      </c>
      <c r="P580" s="363">
        <f t="shared" si="158"/>
        <v>2.1388271947792497</v>
      </c>
      <c r="Q580" s="363">
        <f t="shared" si="158"/>
        <v>2.8975408411673995</v>
      </c>
      <c r="R580" s="370">
        <f t="shared" si="158"/>
        <v>3.4044925448923764</v>
      </c>
      <c r="S580" s="413">
        <f t="shared" si="158"/>
        <v>4.1989804629987875</v>
      </c>
      <c r="T580" s="363">
        <f t="shared" si="158"/>
        <v>3.6085655640731531</v>
      </c>
      <c r="U580" s="363">
        <f t="shared" si="158"/>
        <v>3.134599650676444</v>
      </c>
      <c r="V580" s="363">
        <f t="shared" si="158"/>
        <v>2.7450419232719039</v>
      </c>
      <c r="W580" s="370">
        <f t="shared" si="158"/>
        <v>2.4185011238281002</v>
      </c>
    </row>
    <row r="581" spans="1:23" ht="12.75" customHeight="1" outlineLevel="1">
      <c r="A581" s="351" t="s">
        <v>154</v>
      </c>
      <c r="B581" s="353">
        <f t="shared" ref="B581:R583" si="159">B497+B512+B527+B542+B557+B572</f>
        <v>0</v>
      </c>
      <c r="C581" s="370">
        <f t="shared" si="159"/>
        <v>0</v>
      </c>
      <c r="D581" s="353">
        <f t="shared" si="159"/>
        <v>0</v>
      </c>
      <c r="E581" s="363">
        <f t="shared" si="159"/>
        <v>0</v>
      </c>
      <c r="F581" s="363">
        <f t="shared" si="159"/>
        <v>0</v>
      </c>
      <c r="G581" s="363">
        <f t="shared" si="159"/>
        <v>0</v>
      </c>
      <c r="H581" s="370">
        <f t="shared" si="159"/>
        <v>0</v>
      </c>
      <c r="I581" s="353">
        <f t="shared" si="159"/>
        <v>0</v>
      </c>
      <c r="J581" s="363">
        <f t="shared" si="159"/>
        <v>0</v>
      </c>
      <c r="K581" s="363">
        <f t="shared" si="159"/>
        <v>0</v>
      </c>
      <c r="L581" s="363">
        <f t="shared" si="159"/>
        <v>0</v>
      </c>
      <c r="M581" s="370">
        <f t="shared" si="159"/>
        <v>0</v>
      </c>
      <c r="N581" s="353">
        <f t="shared" si="159"/>
        <v>1.343</v>
      </c>
      <c r="O581" s="363">
        <f t="shared" si="159"/>
        <v>1.2329999999999999</v>
      </c>
      <c r="P581" s="363">
        <f t="shared" si="159"/>
        <v>1.2010000000000001</v>
      </c>
      <c r="Q581" s="363">
        <f t="shared" si="159"/>
        <v>1.0150000000000001</v>
      </c>
      <c r="R581" s="370">
        <f t="shared" si="159"/>
        <v>1.3800000000000001</v>
      </c>
      <c r="S581" s="353">
        <f t="shared" si="158"/>
        <v>0</v>
      </c>
      <c r="T581" s="363">
        <f t="shared" si="158"/>
        <v>0</v>
      </c>
      <c r="U581" s="363">
        <f t="shared" si="158"/>
        <v>0</v>
      </c>
      <c r="V581" s="363">
        <f t="shared" si="158"/>
        <v>0</v>
      </c>
      <c r="W581" s="370">
        <f t="shared" si="158"/>
        <v>0</v>
      </c>
    </row>
    <row r="582" spans="1:23" ht="12.75" customHeight="1" outlineLevel="1">
      <c r="A582" s="351" t="s">
        <v>149</v>
      </c>
      <c r="B582" s="353">
        <f t="shared" si="159"/>
        <v>0</v>
      </c>
      <c r="C582" s="370">
        <f t="shared" si="159"/>
        <v>0</v>
      </c>
      <c r="D582" s="353">
        <f t="shared" si="159"/>
        <v>0</v>
      </c>
      <c r="E582" s="363">
        <f t="shared" si="159"/>
        <v>0</v>
      </c>
      <c r="F582" s="363">
        <f t="shared" si="159"/>
        <v>0</v>
      </c>
      <c r="G582" s="363">
        <f t="shared" si="159"/>
        <v>0</v>
      </c>
      <c r="H582" s="370">
        <f t="shared" si="159"/>
        <v>0</v>
      </c>
      <c r="I582" s="353">
        <f t="shared" si="159"/>
        <v>0</v>
      </c>
      <c r="J582" s="363">
        <f t="shared" si="159"/>
        <v>0</v>
      </c>
      <c r="K582" s="363">
        <f t="shared" si="159"/>
        <v>0</v>
      </c>
      <c r="L582" s="363">
        <f t="shared" si="159"/>
        <v>0</v>
      </c>
      <c r="M582" s="370">
        <f t="shared" si="159"/>
        <v>0</v>
      </c>
      <c r="N582" s="353">
        <f t="shared" si="159"/>
        <v>0.12327972588549614</v>
      </c>
      <c r="O582" s="363">
        <f t="shared" si="159"/>
        <v>0.31389307933525468</v>
      </c>
      <c r="P582" s="363">
        <f t="shared" si="159"/>
        <v>0.4422863536118497</v>
      </c>
      <c r="Q582" s="363">
        <f t="shared" si="159"/>
        <v>0.50804829627502313</v>
      </c>
      <c r="R582" s="370">
        <f t="shared" si="159"/>
        <v>0.58551208189358972</v>
      </c>
      <c r="S582" s="353">
        <f t="shared" si="158"/>
        <v>0.59041489892563381</v>
      </c>
      <c r="T582" s="363">
        <f t="shared" si="158"/>
        <v>0.47396591339670929</v>
      </c>
      <c r="U582" s="363">
        <f t="shared" si="158"/>
        <v>0.38955772740453976</v>
      </c>
      <c r="V582" s="363">
        <f t="shared" si="158"/>
        <v>0.32654079944380421</v>
      </c>
      <c r="W582" s="370">
        <f t="shared" si="158"/>
        <v>0.278085107399274</v>
      </c>
    </row>
    <row r="583" spans="1:23" ht="12.75" customHeight="1" outlineLevel="1">
      <c r="A583" s="351" t="s">
        <v>113</v>
      </c>
      <c r="B583" s="357">
        <f t="shared" si="159"/>
        <v>0</v>
      </c>
      <c r="C583" s="371">
        <f t="shared" si="159"/>
        <v>0</v>
      </c>
      <c r="D583" s="357">
        <f t="shared" si="159"/>
        <v>0</v>
      </c>
      <c r="E583" s="372">
        <f t="shared" si="159"/>
        <v>0</v>
      </c>
      <c r="F583" s="372">
        <f t="shared" si="159"/>
        <v>0</v>
      </c>
      <c r="G583" s="372">
        <f t="shared" si="159"/>
        <v>0</v>
      </c>
      <c r="H583" s="371">
        <f t="shared" si="159"/>
        <v>0</v>
      </c>
      <c r="I583" s="357">
        <f t="shared" si="159"/>
        <v>0</v>
      </c>
      <c r="J583" s="372">
        <f t="shared" si="159"/>
        <v>0</v>
      </c>
      <c r="K583" s="372">
        <f t="shared" si="159"/>
        <v>0</v>
      </c>
      <c r="L583" s="372">
        <f t="shared" si="159"/>
        <v>0</v>
      </c>
      <c r="M583" s="414">
        <f t="shared" si="159"/>
        <v>0</v>
      </c>
      <c r="N583" s="357">
        <f t="shared" si="159"/>
        <v>1.2197202741145039</v>
      </c>
      <c r="O583" s="372">
        <f t="shared" si="159"/>
        <v>2.1388271947792497</v>
      </c>
      <c r="P583" s="372">
        <f t="shared" si="159"/>
        <v>2.8975408411673995</v>
      </c>
      <c r="Q583" s="372">
        <f t="shared" si="159"/>
        <v>3.4044925448923764</v>
      </c>
      <c r="R583" s="371">
        <f t="shared" si="159"/>
        <v>4.1989804629987875</v>
      </c>
      <c r="S583" s="357">
        <f t="shared" si="158"/>
        <v>3.6085655640731531</v>
      </c>
      <c r="T583" s="372">
        <f t="shared" si="158"/>
        <v>3.134599650676444</v>
      </c>
      <c r="U583" s="372">
        <f t="shared" si="158"/>
        <v>2.7450419232719039</v>
      </c>
      <c r="V583" s="372">
        <f t="shared" si="158"/>
        <v>2.4185011238281002</v>
      </c>
      <c r="W583" s="371">
        <f t="shared" si="158"/>
        <v>2.140416016428826</v>
      </c>
    </row>
    <row r="584" spans="1:23" ht="12.75" customHeight="1" outlineLevel="1">
      <c r="A584" s="366"/>
      <c r="B584" s="366"/>
      <c r="C584" s="366"/>
      <c r="D584" s="366"/>
      <c r="E584" s="366"/>
      <c r="F584" s="366"/>
      <c r="G584" s="366"/>
      <c r="H584" s="366"/>
      <c r="I584" s="366"/>
      <c r="J584" s="366"/>
      <c r="K584" s="366"/>
      <c r="L584" s="366"/>
      <c r="M584" s="432"/>
      <c r="N584" s="366"/>
      <c r="O584" s="366"/>
      <c r="P584" s="366"/>
      <c r="Q584" s="366"/>
      <c r="R584" s="366"/>
    </row>
    <row r="585" spans="1:23" ht="12.75" customHeight="1" outlineLevel="1">
      <c r="A585" s="433"/>
      <c r="B585" s="434"/>
      <c r="C585" s="434"/>
      <c r="D585" s="434"/>
      <c r="E585" s="434"/>
      <c r="F585" s="434"/>
      <c r="G585" s="434"/>
      <c r="H585" s="434"/>
      <c r="I585" s="434"/>
      <c r="J585" s="434"/>
      <c r="K585" s="434"/>
      <c r="L585" s="434"/>
      <c r="M585" s="435"/>
      <c r="N585" s="366"/>
      <c r="O585" s="366"/>
      <c r="P585" s="366"/>
      <c r="Q585" s="366"/>
      <c r="R585" s="366"/>
    </row>
    <row r="586" spans="1:23" ht="12.75" customHeight="1" outlineLevel="1">
      <c r="A586" s="433"/>
      <c r="B586" s="434"/>
      <c r="C586" s="434"/>
      <c r="D586" s="434"/>
      <c r="E586" s="434"/>
      <c r="F586" s="434"/>
      <c r="G586" s="434"/>
      <c r="H586" s="434"/>
      <c r="I586" s="434"/>
      <c r="J586" s="434"/>
      <c r="K586" s="434"/>
      <c r="L586" s="434"/>
      <c r="M586" s="435"/>
      <c r="N586" s="366"/>
      <c r="O586" s="366"/>
      <c r="P586" s="366"/>
      <c r="Q586" s="366"/>
      <c r="R586" s="366"/>
    </row>
    <row r="587" spans="1:23">
      <c r="A587" s="433"/>
      <c r="B587" s="434"/>
      <c r="C587" s="434"/>
      <c r="D587" s="434"/>
      <c r="E587" s="434"/>
      <c r="F587" s="434"/>
      <c r="G587" s="434"/>
      <c r="H587" s="434"/>
      <c r="I587" s="434"/>
      <c r="J587" s="434"/>
      <c r="K587" s="434"/>
      <c r="L587" s="434"/>
      <c r="M587" s="435"/>
      <c r="N587" s="366"/>
      <c r="O587" s="366"/>
      <c r="P587" s="366"/>
      <c r="Q587" s="366"/>
      <c r="R587" s="366"/>
    </row>
    <row r="588" spans="1:23">
      <c r="A588" s="343" t="s">
        <v>182</v>
      </c>
    </row>
    <row r="590" spans="1:23" ht="25.5" customHeight="1" outlineLevel="1">
      <c r="A590" s="344" t="s">
        <v>183</v>
      </c>
      <c r="B590" s="345" t="s">
        <v>137</v>
      </c>
      <c r="C590" s="345" t="s">
        <v>138</v>
      </c>
      <c r="D590" s="621" t="s">
        <v>139</v>
      </c>
      <c r="E590" s="621"/>
    </row>
    <row r="591" spans="1:23" ht="12.75" customHeight="1" outlineLevel="1">
      <c r="A591" s="346" t="s">
        <v>121</v>
      </c>
      <c r="B591" s="376">
        <v>0</v>
      </c>
      <c r="C591" s="377">
        <v>20</v>
      </c>
      <c r="D591" s="377" t="s">
        <v>143</v>
      </c>
      <c r="E591" s="350"/>
    </row>
    <row r="592" spans="1:23" ht="12.75" customHeight="1" outlineLevel="1">
      <c r="A592" s="351" t="s">
        <v>179</v>
      </c>
      <c r="B592" s="378">
        <f>B591</f>
        <v>0</v>
      </c>
      <c r="C592" s="379">
        <v>15</v>
      </c>
      <c r="D592" s="379" t="s">
        <v>143</v>
      </c>
      <c r="E592" s="354"/>
    </row>
    <row r="593" spans="1:13" ht="12.75" customHeight="1" outlineLevel="1">
      <c r="A593" s="351" t="s">
        <v>180</v>
      </c>
      <c r="B593" s="378">
        <f>B592</f>
        <v>0</v>
      </c>
      <c r="C593" s="379">
        <v>15</v>
      </c>
      <c r="D593" s="379" t="s">
        <v>143</v>
      </c>
      <c r="E593" s="354"/>
    </row>
    <row r="594" spans="1:13" ht="12.75" customHeight="1" outlineLevel="1">
      <c r="A594" s="422" t="s">
        <v>123</v>
      </c>
      <c r="B594" s="445">
        <f>B593</f>
        <v>0</v>
      </c>
      <c r="C594" s="439">
        <v>40</v>
      </c>
      <c r="D594" s="439" t="s">
        <v>143</v>
      </c>
      <c r="E594" s="421"/>
    </row>
    <row r="595" spans="1:13" ht="12.75" customHeight="1" outlineLevel="1">
      <c r="A595" s="422" t="s">
        <v>128</v>
      </c>
      <c r="B595" s="445"/>
      <c r="C595" s="439" t="s">
        <v>134</v>
      </c>
      <c r="D595" s="439" t="s">
        <v>134</v>
      </c>
      <c r="E595" s="421"/>
    </row>
    <row r="596" spans="1:13" ht="12.75" customHeight="1" outlineLevel="1">
      <c r="A596" s="351" t="s">
        <v>126</v>
      </c>
      <c r="B596" s="378">
        <f>B594</f>
        <v>0</v>
      </c>
      <c r="C596" s="379">
        <v>10</v>
      </c>
      <c r="D596" s="379" t="s">
        <v>143</v>
      </c>
      <c r="E596" s="354"/>
    </row>
    <row r="597" spans="1:13" ht="12.75" customHeight="1" outlineLevel="1">
      <c r="A597" s="351" t="s">
        <v>153</v>
      </c>
      <c r="B597" s="380">
        <f>B594</f>
        <v>0</v>
      </c>
      <c r="C597" s="381">
        <v>0</v>
      </c>
      <c r="D597" s="382" t="s">
        <v>141</v>
      </c>
      <c r="E597" s="358"/>
    </row>
    <row r="598" spans="1:13" ht="12.75" customHeight="1" outlineLevel="1">
      <c r="A598" s="366"/>
      <c r="B598" s="383">
        <f>SUM(B591:B597)</f>
        <v>0</v>
      </c>
      <c r="C598" s="384"/>
      <c r="D598" s="383"/>
      <c r="E598" s="366"/>
    </row>
    <row r="599" spans="1:13" ht="12.75" customHeight="1" outlineLevel="1"/>
    <row r="600" spans="1:13" ht="12.75" customHeight="1" outlineLevel="1">
      <c r="A600" s="360" t="s">
        <v>144</v>
      </c>
    </row>
    <row r="601" spans="1:13" ht="12.75" customHeight="1" outlineLevel="1"/>
    <row r="602" spans="1:13" ht="12.75" customHeight="1" outlineLevel="1">
      <c r="A602" s="360" t="str">
        <f>A591</f>
        <v>Mains &amp; Services</v>
      </c>
    </row>
    <row r="603" spans="1:13" ht="12.75" customHeight="1" outlineLevel="1">
      <c r="A603" s="385" t="s">
        <v>145</v>
      </c>
      <c r="B603" s="377">
        <f>B591</f>
        <v>0</v>
      </c>
      <c r="C603" s="350"/>
      <c r="D603" s="366"/>
      <c r="E603" s="366"/>
    </row>
    <row r="604" spans="1:13" ht="12.75" customHeight="1" outlineLevel="1">
      <c r="A604" s="386" t="s">
        <v>146</v>
      </c>
      <c r="B604" s="379">
        <f>C591</f>
        <v>20</v>
      </c>
      <c r="C604" s="354"/>
      <c r="D604" s="366"/>
      <c r="E604" s="366"/>
    </row>
    <row r="605" spans="1:13" ht="12.75" customHeight="1" outlineLevel="1">
      <c r="A605" s="386" t="s">
        <v>147</v>
      </c>
      <c r="B605" s="379" t="str">
        <f>D591</f>
        <v>Straight Line</v>
      </c>
      <c r="C605" s="354"/>
      <c r="D605" s="366"/>
      <c r="E605" s="366"/>
    </row>
    <row r="606" spans="1:13" ht="12.75" customHeight="1" outlineLevel="1">
      <c r="A606" s="364" t="s">
        <v>148</v>
      </c>
      <c r="B606" s="365">
        <f>IF(B605="Straight Line",1/B604,IF(B605="Declining Balance",1/B604*2,1))</f>
        <v>0.05</v>
      </c>
      <c r="C606" s="358"/>
      <c r="D606" s="366"/>
      <c r="E606" s="366"/>
    </row>
    <row r="607" spans="1:13" ht="12.75" customHeight="1" outlineLevel="1">
      <c r="A607" s="366"/>
      <c r="B607" s="383"/>
      <c r="C607" s="366"/>
      <c r="D607" s="366"/>
      <c r="E607" s="366"/>
    </row>
    <row r="608" spans="1:13" ht="12.75" customHeight="1" outlineLevel="1">
      <c r="A608" s="366" t="s">
        <v>154</v>
      </c>
      <c r="B608" s="403" t="s">
        <v>184</v>
      </c>
      <c r="C608" s="426">
        <f t="shared" ref="C608:H608" si="160">B608+1</f>
        <v>2012</v>
      </c>
      <c r="D608" s="426">
        <f t="shared" si="160"/>
        <v>2013</v>
      </c>
      <c r="E608" s="426">
        <f t="shared" si="160"/>
        <v>2014</v>
      </c>
      <c r="F608" s="426">
        <f t="shared" si="160"/>
        <v>2015</v>
      </c>
      <c r="G608" s="426">
        <f t="shared" si="160"/>
        <v>2016</v>
      </c>
      <c r="H608" s="427">
        <f t="shared" si="160"/>
        <v>2017</v>
      </c>
      <c r="I608" s="426">
        <v>2018</v>
      </c>
      <c r="J608" s="426">
        <v>2019</v>
      </c>
      <c r="K608" s="426">
        <v>2020</v>
      </c>
      <c r="L608" s="426">
        <v>2021</v>
      </c>
      <c r="M608" s="427">
        <v>2022</v>
      </c>
    </row>
    <row r="609" spans="1:23" ht="12.75" customHeight="1" outlineLevel="1">
      <c r="A609" s="391" t="s">
        <v>155</v>
      </c>
      <c r="B609" s="392">
        <v>0</v>
      </c>
      <c r="C609" s="393">
        <v>0</v>
      </c>
      <c r="D609" s="598">
        <f>(Input!H41-Input!H75)</f>
        <v>0.89560293710519634</v>
      </c>
      <c r="E609" s="599">
        <f>(Input!I41-Input!I75)</f>
        <v>0.83243921386986719</v>
      </c>
      <c r="F609" s="599">
        <f>(Input!J41-Input!J75)</f>
        <v>0.97938226486233637</v>
      </c>
      <c r="G609" s="599">
        <f>(Input!K41-Input!K75)</f>
        <v>1.2008945690647885</v>
      </c>
      <c r="H609" s="597">
        <f>(Input!L41-Input!L75)</f>
        <v>1.2071615015395565</v>
      </c>
      <c r="I609" s="436"/>
      <c r="J609" s="437"/>
      <c r="K609" s="437"/>
      <c r="L609" s="437"/>
      <c r="M609" s="438"/>
    </row>
    <row r="610" spans="1:23" ht="12.75" customHeight="1" outlineLevel="1">
      <c r="A610" s="366"/>
      <c r="B610" s="383"/>
      <c r="C610" s="366"/>
    </row>
    <row r="611" spans="1:23" ht="12.75" customHeight="1" outlineLevel="1">
      <c r="B611" s="367">
        <v>1996</v>
      </c>
      <c r="C611" s="368">
        <v>1997</v>
      </c>
      <c r="D611" s="367">
        <v>1998</v>
      </c>
      <c r="E611" s="369">
        <v>1999</v>
      </c>
      <c r="F611" s="369">
        <v>2000</v>
      </c>
      <c r="G611" s="369">
        <v>2001</v>
      </c>
      <c r="H611" s="368">
        <v>2002</v>
      </c>
      <c r="I611" s="367">
        <v>2003</v>
      </c>
      <c r="J611" s="369">
        <v>2004</v>
      </c>
      <c r="K611" s="369">
        <v>2005</v>
      </c>
      <c r="L611" s="369">
        <v>2006</v>
      </c>
      <c r="M611" s="368">
        <v>2007</v>
      </c>
      <c r="N611" s="367">
        <v>2008</v>
      </c>
      <c r="O611" s="369">
        <v>2009</v>
      </c>
      <c r="P611" s="369">
        <v>2010</v>
      </c>
      <c r="Q611" s="369">
        <v>2011</v>
      </c>
      <c r="R611" s="368">
        <v>2012</v>
      </c>
      <c r="S611" s="367">
        <f t="shared" ref="S611:W611" si="161">R611+1</f>
        <v>2013</v>
      </c>
      <c r="T611" s="369">
        <f t="shared" si="161"/>
        <v>2014</v>
      </c>
      <c r="U611" s="369">
        <f t="shared" si="161"/>
        <v>2015</v>
      </c>
      <c r="V611" s="369">
        <f t="shared" si="161"/>
        <v>2016</v>
      </c>
      <c r="W611" s="368">
        <f t="shared" si="161"/>
        <v>2017</v>
      </c>
    </row>
    <row r="612" spans="1:23" ht="12.75" customHeight="1" outlineLevel="1">
      <c r="A612" s="346" t="s">
        <v>2</v>
      </c>
      <c r="B612" s="379">
        <f>B603</f>
        <v>0</v>
      </c>
      <c r="C612" s="395">
        <f t="shared" ref="C612:W612" si="162">B615</f>
        <v>0</v>
      </c>
      <c r="D612" s="379">
        <f t="shared" si="162"/>
        <v>0</v>
      </c>
      <c r="E612" s="383">
        <f t="shared" si="162"/>
        <v>0</v>
      </c>
      <c r="F612" s="383">
        <f t="shared" si="162"/>
        <v>0</v>
      </c>
      <c r="G612" s="383">
        <f t="shared" si="162"/>
        <v>0</v>
      </c>
      <c r="H612" s="395">
        <f t="shared" si="162"/>
        <v>0</v>
      </c>
      <c r="I612" s="379">
        <f t="shared" si="162"/>
        <v>0</v>
      </c>
      <c r="J612" s="383">
        <f t="shared" si="162"/>
        <v>0</v>
      </c>
      <c r="K612" s="383">
        <f t="shared" si="162"/>
        <v>0</v>
      </c>
      <c r="L612" s="383">
        <f t="shared" si="162"/>
        <v>0</v>
      </c>
      <c r="M612" s="395">
        <f t="shared" si="162"/>
        <v>0</v>
      </c>
      <c r="N612" s="413">
        <f t="shared" si="162"/>
        <v>0</v>
      </c>
      <c r="O612" s="383">
        <f t="shared" si="162"/>
        <v>0</v>
      </c>
      <c r="P612" s="383">
        <f t="shared" si="162"/>
        <v>0</v>
      </c>
      <c r="Q612" s="383">
        <f t="shared" si="162"/>
        <v>0</v>
      </c>
      <c r="R612" s="395">
        <f t="shared" si="162"/>
        <v>0</v>
      </c>
      <c r="S612" s="413">
        <f t="shared" si="162"/>
        <v>0</v>
      </c>
      <c r="T612" s="383">
        <f t="shared" si="162"/>
        <v>0.87321286367756645</v>
      </c>
      <c r="U612" s="383">
        <f t="shared" si="162"/>
        <v>1.6400609503454271</v>
      </c>
      <c r="V612" s="383">
        <f t="shared" si="162"/>
        <v>2.5085565510374521</v>
      </c>
      <c r="W612" s="395">
        <f t="shared" si="162"/>
        <v>3.5440575350837511</v>
      </c>
    </row>
    <row r="613" spans="1:23" ht="12.75" customHeight="1" outlineLevel="1">
      <c r="A613" s="351" t="s">
        <v>156</v>
      </c>
      <c r="B613" s="379">
        <v>0</v>
      </c>
      <c r="C613" s="395">
        <v>0</v>
      </c>
      <c r="D613" s="379">
        <v>0</v>
      </c>
      <c r="E613" s="383">
        <v>0</v>
      </c>
      <c r="F613" s="383">
        <v>0</v>
      </c>
      <c r="G613" s="383">
        <v>0</v>
      </c>
      <c r="H613" s="395">
        <v>0</v>
      </c>
      <c r="I613" s="379">
        <v>0</v>
      </c>
      <c r="J613" s="383">
        <v>0</v>
      </c>
      <c r="K613" s="383">
        <v>0</v>
      </c>
      <c r="L613" s="383">
        <v>0</v>
      </c>
      <c r="M613" s="395">
        <v>0</v>
      </c>
      <c r="N613" s="379">
        <v>0</v>
      </c>
      <c r="O613" s="383">
        <v>0</v>
      </c>
      <c r="P613" s="383">
        <v>0</v>
      </c>
      <c r="Q613" s="383">
        <f t="shared" ref="Q613:W613" si="163">B609</f>
        <v>0</v>
      </c>
      <c r="R613" s="395">
        <f t="shared" si="163"/>
        <v>0</v>
      </c>
      <c r="S613" s="379">
        <f t="shared" si="163"/>
        <v>0.89560293710519634</v>
      </c>
      <c r="T613" s="383">
        <f t="shared" si="163"/>
        <v>0.83243921386986719</v>
      </c>
      <c r="U613" s="383">
        <f t="shared" si="163"/>
        <v>0.97938226486233637</v>
      </c>
      <c r="V613" s="383">
        <f t="shared" si="163"/>
        <v>1.2008945690647885</v>
      </c>
      <c r="W613" s="395">
        <f t="shared" si="163"/>
        <v>1.2071615015395565</v>
      </c>
    </row>
    <row r="614" spans="1:23" ht="12.75" customHeight="1" outlineLevel="1">
      <c r="A614" s="351" t="s">
        <v>157</v>
      </c>
      <c r="B614" s="375">
        <f>IF($B606=1,B613+B612,B613*$B606*0.5)</f>
        <v>0</v>
      </c>
      <c r="C614" s="375">
        <f t="shared" ref="C614:R614" si="164">IF($B606=1,C613+C612,(C612+C613*0.5)*$B606)</f>
        <v>0</v>
      </c>
      <c r="D614" s="396">
        <f t="shared" si="164"/>
        <v>0</v>
      </c>
      <c r="E614" s="375">
        <f t="shared" si="164"/>
        <v>0</v>
      </c>
      <c r="F614" s="375">
        <f t="shared" si="164"/>
        <v>0</v>
      </c>
      <c r="G614" s="375">
        <f t="shared" si="164"/>
        <v>0</v>
      </c>
      <c r="H614" s="397">
        <f t="shared" si="164"/>
        <v>0</v>
      </c>
      <c r="I614" s="396">
        <f t="shared" si="164"/>
        <v>0</v>
      </c>
      <c r="J614" s="375">
        <f t="shared" si="164"/>
        <v>0</v>
      </c>
      <c r="K614" s="375">
        <f t="shared" si="164"/>
        <v>0</v>
      </c>
      <c r="L614" s="375">
        <f t="shared" si="164"/>
        <v>0</v>
      </c>
      <c r="M614" s="397">
        <f t="shared" si="164"/>
        <v>0</v>
      </c>
      <c r="N614" s="396">
        <f t="shared" si="164"/>
        <v>0</v>
      </c>
      <c r="O614" s="375">
        <f t="shared" si="164"/>
        <v>0</v>
      </c>
      <c r="P614" s="375">
        <f t="shared" si="164"/>
        <v>0</v>
      </c>
      <c r="Q614" s="375">
        <f t="shared" si="164"/>
        <v>0</v>
      </c>
      <c r="R614" s="397">
        <f t="shared" si="164"/>
        <v>0</v>
      </c>
      <c r="S614" s="446">
        <f>(SUM(S613*0.5)*$B$606)</f>
        <v>2.2390073427629911E-2</v>
      </c>
      <c r="T614" s="447">
        <f>(SUM($S613:S613)+T613*0.5)*$B$606</f>
        <v>6.5591127202006494E-2</v>
      </c>
      <c r="U614" s="447">
        <f>(SUM($S613:T613)+U613*0.5)*$B$606</f>
        <v>0.11088666417031159</v>
      </c>
      <c r="V614" s="447">
        <f>(SUM($S613:U613)+V613*0.5)*$B$606</f>
        <v>0.16539358501848969</v>
      </c>
      <c r="W614" s="447">
        <f>(SUM($S613:V613)+W613*0.5)*$B$606</f>
        <v>0.22559498678359835</v>
      </c>
    </row>
    <row r="615" spans="1:23" ht="12.75" customHeight="1" outlineLevel="1">
      <c r="A615" s="355" t="s">
        <v>113</v>
      </c>
      <c r="B615" s="382">
        <f t="shared" ref="B615:W615" si="165">B612+B613-B614</f>
        <v>0</v>
      </c>
      <c r="C615" s="398">
        <f t="shared" si="165"/>
        <v>0</v>
      </c>
      <c r="D615" s="382">
        <f t="shared" si="165"/>
        <v>0</v>
      </c>
      <c r="E615" s="399">
        <f t="shared" si="165"/>
        <v>0</v>
      </c>
      <c r="F615" s="399">
        <f t="shared" si="165"/>
        <v>0</v>
      </c>
      <c r="G615" s="399">
        <f t="shared" si="165"/>
        <v>0</v>
      </c>
      <c r="H615" s="398">
        <f t="shared" si="165"/>
        <v>0</v>
      </c>
      <c r="I615" s="382">
        <f t="shared" si="165"/>
        <v>0</v>
      </c>
      <c r="J615" s="399">
        <f t="shared" si="165"/>
        <v>0</v>
      </c>
      <c r="K615" s="399">
        <f t="shared" si="165"/>
        <v>0</v>
      </c>
      <c r="L615" s="399">
        <f t="shared" si="165"/>
        <v>0</v>
      </c>
      <c r="M615" s="398">
        <f t="shared" si="165"/>
        <v>0</v>
      </c>
      <c r="N615" s="382">
        <f t="shared" si="165"/>
        <v>0</v>
      </c>
      <c r="O615" s="399">
        <f t="shared" si="165"/>
        <v>0</v>
      </c>
      <c r="P615" s="399">
        <f t="shared" si="165"/>
        <v>0</v>
      </c>
      <c r="Q615" s="399">
        <f t="shared" si="165"/>
        <v>0</v>
      </c>
      <c r="R615" s="398">
        <f t="shared" si="165"/>
        <v>0</v>
      </c>
      <c r="S615" s="382">
        <f t="shared" si="165"/>
        <v>0.87321286367756645</v>
      </c>
      <c r="T615" s="399">
        <f t="shared" si="165"/>
        <v>1.6400609503454271</v>
      </c>
      <c r="U615" s="399">
        <f t="shared" si="165"/>
        <v>2.5085565510374521</v>
      </c>
      <c r="V615" s="399">
        <f t="shared" si="165"/>
        <v>3.5440575350837511</v>
      </c>
      <c r="W615" s="398">
        <f t="shared" si="165"/>
        <v>4.5256240498397098</v>
      </c>
    </row>
    <row r="616" spans="1:23" ht="12.75" customHeight="1" outlineLevel="1"/>
    <row r="617" spans="1:23" ht="12.75" customHeight="1" outlineLevel="1">
      <c r="A617" s="360" t="str">
        <f>A592</f>
        <v>Meters Domestic</v>
      </c>
    </row>
    <row r="618" spans="1:23" ht="12.75" customHeight="1" outlineLevel="1">
      <c r="A618" s="385" t="s">
        <v>145</v>
      </c>
      <c r="B618" s="377">
        <f>B592</f>
        <v>0</v>
      </c>
      <c r="C618" s="350"/>
      <c r="D618" s="366"/>
      <c r="E618" s="366"/>
    </row>
    <row r="619" spans="1:23" ht="12.75" customHeight="1" outlineLevel="1">
      <c r="A619" s="386" t="s">
        <v>146</v>
      </c>
      <c r="B619" s="379">
        <f>C592</f>
        <v>15</v>
      </c>
      <c r="C619" s="354"/>
      <c r="D619" s="366"/>
      <c r="E619" s="366"/>
    </row>
    <row r="620" spans="1:23" ht="12.75" customHeight="1" outlineLevel="1">
      <c r="A620" s="386" t="s">
        <v>147</v>
      </c>
      <c r="B620" s="379" t="str">
        <f>D592</f>
        <v>Straight Line</v>
      </c>
      <c r="C620" s="354"/>
      <c r="D620" s="366"/>
      <c r="E620" s="366"/>
    </row>
    <row r="621" spans="1:23" ht="12.75" customHeight="1" outlineLevel="1">
      <c r="A621" s="364" t="s">
        <v>148</v>
      </c>
      <c r="B621" s="365">
        <f>IF(B620="Straight Line",1/B619,IF(B620="Declining Balance",1/B619*1.5,1))</f>
        <v>6.6666666666666666E-2</v>
      </c>
      <c r="C621" s="358"/>
      <c r="D621" s="366"/>
      <c r="E621" s="366"/>
    </row>
    <row r="622" spans="1:23" ht="12.75" customHeight="1" outlineLevel="1">
      <c r="A622" s="366"/>
      <c r="B622" s="383"/>
      <c r="C622" s="366"/>
      <c r="D622" s="366"/>
      <c r="E622" s="366"/>
    </row>
    <row r="623" spans="1:23" ht="12.75" customHeight="1" outlineLevel="1">
      <c r="A623" s="366" t="s">
        <v>154</v>
      </c>
      <c r="B623" s="403" t="s">
        <v>184</v>
      </c>
      <c r="C623" s="426">
        <f t="shared" ref="C623:H623" si="166">B623+1</f>
        <v>2012</v>
      </c>
      <c r="D623" s="426">
        <f t="shared" si="166"/>
        <v>2013</v>
      </c>
      <c r="E623" s="426">
        <f t="shared" si="166"/>
        <v>2014</v>
      </c>
      <c r="F623" s="426">
        <f t="shared" si="166"/>
        <v>2015</v>
      </c>
      <c r="G623" s="426">
        <f t="shared" si="166"/>
        <v>2016</v>
      </c>
      <c r="H623" s="427">
        <f t="shared" si="166"/>
        <v>2017</v>
      </c>
      <c r="I623" s="426">
        <v>2018</v>
      </c>
      <c r="J623" s="426">
        <v>2019</v>
      </c>
      <c r="K623" s="426">
        <v>2020</v>
      </c>
      <c r="L623" s="426">
        <v>2021</v>
      </c>
      <c r="M623" s="427">
        <v>2022</v>
      </c>
    </row>
    <row r="624" spans="1:23" ht="12.75" customHeight="1" outlineLevel="1">
      <c r="A624" s="391" t="s">
        <v>155</v>
      </c>
      <c r="B624" s="392">
        <v>0</v>
      </c>
      <c r="C624" s="393">
        <v>0</v>
      </c>
      <c r="D624" s="598">
        <f>(Input!H42-Input!H76)-'Tax Depn'!D639</f>
        <v>0.15846360349644134</v>
      </c>
      <c r="E624" s="599">
        <f>(Input!I42-Input!I76)-'Tax Depn'!E639</f>
        <v>0.11091002308969677</v>
      </c>
      <c r="F624" s="599">
        <f>(Input!J42-Input!J76)-'Tax Depn'!F639</f>
        <v>0.11108061251791991</v>
      </c>
      <c r="G624" s="599">
        <f>(Input!K42-Input!K76)-'Tax Depn'!G639</f>
        <v>0.43142128678515246</v>
      </c>
      <c r="H624" s="597">
        <f>(Input!L42-Input!L76)-'Tax Depn'!H639</f>
        <v>0.43194813008077942</v>
      </c>
      <c r="I624" s="436"/>
      <c r="J624" s="437"/>
      <c r="K624" s="437"/>
      <c r="L624" s="437"/>
      <c r="M624" s="438"/>
    </row>
    <row r="625" spans="1:23" ht="12.75" customHeight="1" outlineLevel="1">
      <c r="A625" s="366"/>
      <c r="B625" s="383"/>
      <c r="C625" s="366"/>
    </row>
    <row r="626" spans="1:23" ht="12.75" customHeight="1" outlineLevel="1">
      <c r="B626" s="367">
        <v>1996</v>
      </c>
      <c r="C626" s="368">
        <v>1997</v>
      </c>
      <c r="D626" s="367">
        <v>1998</v>
      </c>
      <c r="E626" s="369">
        <v>1999</v>
      </c>
      <c r="F626" s="369">
        <v>2000</v>
      </c>
      <c r="G626" s="369">
        <v>2001</v>
      </c>
      <c r="H626" s="368">
        <v>2002</v>
      </c>
      <c r="I626" s="367">
        <v>2003</v>
      </c>
      <c r="J626" s="369">
        <v>2004</v>
      </c>
      <c r="K626" s="369">
        <v>2005</v>
      </c>
      <c r="L626" s="369">
        <v>2006</v>
      </c>
      <c r="M626" s="368">
        <v>2007</v>
      </c>
      <c r="N626" s="367">
        <v>2008</v>
      </c>
      <c r="O626" s="369">
        <v>2009</v>
      </c>
      <c r="P626" s="369">
        <v>2010</v>
      </c>
      <c r="Q626" s="369">
        <v>2011</v>
      </c>
      <c r="R626" s="368">
        <v>2012</v>
      </c>
      <c r="S626" s="367">
        <f t="shared" ref="S626:W626" si="167">R626+1</f>
        <v>2013</v>
      </c>
      <c r="T626" s="369">
        <f t="shared" si="167"/>
        <v>2014</v>
      </c>
      <c r="U626" s="369">
        <f t="shared" si="167"/>
        <v>2015</v>
      </c>
      <c r="V626" s="369">
        <f t="shared" si="167"/>
        <v>2016</v>
      </c>
      <c r="W626" s="368">
        <f t="shared" si="167"/>
        <v>2017</v>
      </c>
    </row>
    <row r="627" spans="1:23" ht="12.75" customHeight="1" outlineLevel="1">
      <c r="A627" s="346" t="s">
        <v>2</v>
      </c>
      <c r="B627" s="379">
        <f>B618</f>
        <v>0</v>
      </c>
      <c r="C627" s="395">
        <f t="shared" ref="C627:W627" si="168">B630</f>
        <v>0</v>
      </c>
      <c r="D627" s="379">
        <f t="shared" si="168"/>
        <v>0</v>
      </c>
      <c r="E627" s="383">
        <f t="shared" si="168"/>
        <v>0</v>
      </c>
      <c r="F627" s="383">
        <f t="shared" si="168"/>
        <v>0</v>
      </c>
      <c r="G627" s="383">
        <f t="shared" si="168"/>
        <v>0</v>
      </c>
      <c r="H627" s="395">
        <f t="shared" si="168"/>
        <v>0</v>
      </c>
      <c r="I627" s="379">
        <f t="shared" si="168"/>
        <v>0</v>
      </c>
      <c r="J627" s="383">
        <f t="shared" si="168"/>
        <v>0</v>
      </c>
      <c r="K627" s="383">
        <f t="shared" si="168"/>
        <v>0</v>
      </c>
      <c r="L627" s="383">
        <f t="shared" si="168"/>
        <v>0</v>
      </c>
      <c r="M627" s="395">
        <f t="shared" si="168"/>
        <v>0</v>
      </c>
      <c r="N627" s="413">
        <f t="shared" si="168"/>
        <v>0</v>
      </c>
      <c r="O627" s="383">
        <f t="shared" si="168"/>
        <v>0</v>
      </c>
      <c r="P627" s="383">
        <f t="shared" si="168"/>
        <v>0</v>
      </c>
      <c r="Q627" s="383">
        <f t="shared" si="168"/>
        <v>0</v>
      </c>
      <c r="R627" s="395">
        <f t="shared" si="168"/>
        <v>0</v>
      </c>
      <c r="S627" s="413">
        <f t="shared" si="168"/>
        <v>0</v>
      </c>
      <c r="T627" s="383">
        <f t="shared" si="168"/>
        <v>0.15318148337989329</v>
      </c>
      <c r="U627" s="383">
        <f t="shared" si="168"/>
        <v>0.24983026546683743</v>
      </c>
      <c r="V627" s="383">
        <f t="shared" si="168"/>
        <v>0.33924994912841749</v>
      </c>
      <c r="W627" s="395">
        <f t="shared" si="168"/>
        <v>0.73092691041379432</v>
      </c>
    </row>
    <row r="628" spans="1:23" ht="12.75" customHeight="1" outlineLevel="1">
      <c r="A628" s="351" t="s">
        <v>156</v>
      </c>
      <c r="B628" s="379">
        <v>0</v>
      </c>
      <c r="C628" s="395">
        <v>0</v>
      </c>
      <c r="D628" s="379">
        <v>0</v>
      </c>
      <c r="E628" s="383">
        <v>0</v>
      </c>
      <c r="F628" s="383">
        <v>0</v>
      </c>
      <c r="G628" s="383">
        <v>0</v>
      </c>
      <c r="H628" s="395">
        <v>0</v>
      </c>
      <c r="I628" s="379">
        <v>0</v>
      </c>
      <c r="J628" s="383">
        <v>0</v>
      </c>
      <c r="K628" s="383">
        <v>0</v>
      </c>
      <c r="L628" s="383">
        <f>B624</f>
        <v>0</v>
      </c>
      <c r="M628" s="395">
        <f>C624</f>
        <v>0</v>
      </c>
      <c r="N628" s="379">
        <v>0</v>
      </c>
      <c r="O628" s="383">
        <v>0</v>
      </c>
      <c r="P628" s="383">
        <v>0</v>
      </c>
      <c r="Q628" s="383">
        <f t="shared" ref="Q628:W628" si="169">B624</f>
        <v>0</v>
      </c>
      <c r="R628" s="395">
        <f t="shared" si="169"/>
        <v>0</v>
      </c>
      <c r="S628" s="379">
        <f t="shared" si="169"/>
        <v>0.15846360349644134</v>
      </c>
      <c r="T628" s="383">
        <f t="shared" si="169"/>
        <v>0.11091002308969677</v>
      </c>
      <c r="U628" s="383">
        <f t="shared" si="169"/>
        <v>0.11108061251791991</v>
      </c>
      <c r="V628" s="383">
        <f t="shared" si="169"/>
        <v>0.43142128678515246</v>
      </c>
      <c r="W628" s="395">
        <f t="shared" si="169"/>
        <v>0.43194813008077942</v>
      </c>
    </row>
    <row r="629" spans="1:23" ht="12.75" customHeight="1" outlineLevel="1">
      <c r="A629" s="351" t="s">
        <v>157</v>
      </c>
      <c r="B629" s="375">
        <f>IF($B621=1,B628+B627,B628*$B621*0.5)</f>
        <v>0</v>
      </c>
      <c r="C629" s="375">
        <f t="shared" ref="C629:R629" si="170">IF($B621=1,C628+C627,(C627+C628*0.5)*$B621)</f>
        <v>0</v>
      </c>
      <c r="D629" s="396">
        <f t="shared" si="170"/>
        <v>0</v>
      </c>
      <c r="E629" s="375">
        <f t="shared" si="170"/>
        <v>0</v>
      </c>
      <c r="F629" s="375">
        <f t="shared" si="170"/>
        <v>0</v>
      </c>
      <c r="G629" s="375">
        <f t="shared" si="170"/>
        <v>0</v>
      </c>
      <c r="H629" s="397">
        <f t="shared" si="170"/>
        <v>0</v>
      </c>
      <c r="I629" s="396">
        <f t="shared" si="170"/>
        <v>0</v>
      </c>
      <c r="J629" s="375">
        <f t="shared" si="170"/>
        <v>0</v>
      </c>
      <c r="K629" s="375">
        <f t="shared" si="170"/>
        <v>0</v>
      </c>
      <c r="L629" s="375">
        <f t="shared" si="170"/>
        <v>0</v>
      </c>
      <c r="M629" s="397">
        <f t="shared" si="170"/>
        <v>0</v>
      </c>
      <c r="N629" s="396">
        <f t="shared" si="170"/>
        <v>0</v>
      </c>
      <c r="O629" s="375">
        <f t="shared" si="170"/>
        <v>0</v>
      </c>
      <c r="P629" s="375">
        <f t="shared" si="170"/>
        <v>0</v>
      </c>
      <c r="Q629" s="375">
        <f t="shared" si="170"/>
        <v>0</v>
      </c>
      <c r="R629" s="397">
        <f t="shared" si="170"/>
        <v>0</v>
      </c>
      <c r="S629" s="442">
        <f>(SUM(S628*0.5)*$B$621)</f>
        <v>5.282120116548045E-3</v>
      </c>
      <c r="T629" s="444">
        <f>(SUM($S628:S628)+T628*0.5)*$B$621</f>
        <v>1.4261241002752648E-2</v>
      </c>
      <c r="U629" s="444">
        <f>(SUM($S628:T628)+U628*0.5)*$B$621</f>
        <v>2.166092885633987E-2</v>
      </c>
      <c r="V629" s="444">
        <f>(SUM($S628:U628)+V628*0.5)*$B$621</f>
        <v>3.9744325499775614E-2</v>
      </c>
      <c r="W629" s="444">
        <f>(SUM($S628:V628)+W628*0.5)*$B$621</f>
        <v>6.8523306061973349E-2</v>
      </c>
    </row>
    <row r="630" spans="1:23" ht="12.75" customHeight="1" outlineLevel="1">
      <c r="A630" s="355" t="s">
        <v>113</v>
      </c>
      <c r="B630" s="382">
        <f t="shared" ref="B630:W630" si="171">B627+B628-B629</f>
        <v>0</v>
      </c>
      <c r="C630" s="398">
        <f t="shared" si="171"/>
        <v>0</v>
      </c>
      <c r="D630" s="382">
        <f t="shared" si="171"/>
        <v>0</v>
      </c>
      <c r="E630" s="399">
        <f t="shared" si="171"/>
        <v>0</v>
      </c>
      <c r="F630" s="399">
        <f t="shared" si="171"/>
        <v>0</v>
      </c>
      <c r="G630" s="399">
        <f t="shared" si="171"/>
        <v>0</v>
      </c>
      <c r="H630" s="398">
        <f t="shared" si="171"/>
        <v>0</v>
      </c>
      <c r="I630" s="382">
        <f t="shared" si="171"/>
        <v>0</v>
      </c>
      <c r="J630" s="399">
        <f t="shared" si="171"/>
        <v>0</v>
      </c>
      <c r="K630" s="399">
        <f t="shared" si="171"/>
        <v>0</v>
      </c>
      <c r="L630" s="399">
        <f t="shared" si="171"/>
        <v>0</v>
      </c>
      <c r="M630" s="398">
        <f t="shared" si="171"/>
        <v>0</v>
      </c>
      <c r="N630" s="382">
        <f t="shared" si="171"/>
        <v>0</v>
      </c>
      <c r="O630" s="399">
        <f t="shared" si="171"/>
        <v>0</v>
      </c>
      <c r="P630" s="399">
        <f t="shared" si="171"/>
        <v>0</v>
      </c>
      <c r="Q630" s="399">
        <f t="shared" si="171"/>
        <v>0</v>
      </c>
      <c r="R630" s="398">
        <f t="shared" si="171"/>
        <v>0</v>
      </c>
      <c r="S630" s="382">
        <f t="shared" si="171"/>
        <v>0.15318148337989329</v>
      </c>
      <c r="T630" s="399">
        <f t="shared" si="171"/>
        <v>0.24983026546683743</v>
      </c>
      <c r="U630" s="399">
        <f t="shared" si="171"/>
        <v>0.33924994912841749</v>
      </c>
      <c r="V630" s="399">
        <f t="shared" si="171"/>
        <v>0.73092691041379432</v>
      </c>
      <c r="W630" s="398">
        <f t="shared" si="171"/>
        <v>1.0943517344326004</v>
      </c>
    </row>
    <row r="631" spans="1:23" ht="12.75" customHeight="1" outlineLevel="1"/>
    <row r="632" spans="1:23" ht="12.75" customHeight="1" outlineLevel="1">
      <c r="A632" s="360" t="str">
        <f>A593</f>
        <v>Meters Industrial &amp; Commercial</v>
      </c>
    </row>
    <row r="633" spans="1:23" ht="12.75" customHeight="1" outlineLevel="1">
      <c r="A633" s="385" t="s">
        <v>145</v>
      </c>
      <c r="B633" s="377">
        <f>B593</f>
        <v>0</v>
      </c>
      <c r="C633" s="350"/>
      <c r="D633" s="366"/>
      <c r="E633" s="366"/>
    </row>
    <row r="634" spans="1:23" ht="12.75" customHeight="1" outlineLevel="1">
      <c r="A634" s="386" t="s">
        <v>146</v>
      </c>
      <c r="B634" s="379">
        <f>C593</f>
        <v>15</v>
      </c>
      <c r="C634" s="354"/>
      <c r="D634" s="366"/>
      <c r="E634" s="366"/>
    </row>
    <row r="635" spans="1:23" ht="12.75" customHeight="1" outlineLevel="1">
      <c r="A635" s="386" t="s">
        <v>147</v>
      </c>
      <c r="B635" s="379" t="str">
        <f>D593</f>
        <v>Straight Line</v>
      </c>
      <c r="C635" s="354"/>
      <c r="D635" s="366"/>
      <c r="E635" s="366"/>
    </row>
    <row r="636" spans="1:23" ht="12.75" customHeight="1" outlineLevel="1">
      <c r="A636" s="364" t="s">
        <v>148</v>
      </c>
      <c r="B636" s="365">
        <f>IF(B635="Straight Line",1/B634,IF(B635="Declining Balance",1/B634*2,1))</f>
        <v>6.6666666666666666E-2</v>
      </c>
      <c r="C636" s="358"/>
      <c r="D636" s="366"/>
      <c r="E636" s="366"/>
    </row>
    <row r="637" spans="1:23" ht="12.75" customHeight="1" outlineLevel="1">
      <c r="A637" s="366"/>
      <c r="B637" s="383"/>
      <c r="C637" s="366"/>
      <c r="D637" s="366"/>
      <c r="E637" s="366"/>
    </row>
    <row r="638" spans="1:23" ht="12.75" customHeight="1" outlineLevel="1">
      <c r="A638" s="366" t="s">
        <v>154</v>
      </c>
      <c r="B638" s="403" t="s">
        <v>184</v>
      </c>
      <c r="C638" s="426">
        <f t="shared" ref="C638:H638" si="172">B638+1</f>
        <v>2012</v>
      </c>
      <c r="D638" s="426">
        <f t="shared" si="172"/>
        <v>2013</v>
      </c>
      <c r="E638" s="426">
        <f t="shared" si="172"/>
        <v>2014</v>
      </c>
      <c r="F638" s="426">
        <f t="shared" si="172"/>
        <v>2015</v>
      </c>
      <c r="G638" s="426">
        <f t="shared" si="172"/>
        <v>2016</v>
      </c>
      <c r="H638" s="427">
        <f t="shared" si="172"/>
        <v>2017</v>
      </c>
      <c r="I638" s="426">
        <v>2018</v>
      </c>
      <c r="J638" s="426">
        <v>2019</v>
      </c>
      <c r="K638" s="426">
        <v>2020</v>
      </c>
      <c r="L638" s="426">
        <v>2021</v>
      </c>
      <c r="M638" s="427">
        <v>2022</v>
      </c>
    </row>
    <row r="639" spans="1:23" ht="12.75" customHeight="1" outlineLevel="1">
      <c r="A639" s="391" t="s">
        <v>155</v>
      </c>
      <c r="B639" s="392">
        <v>0</v>
      </c>
      <c r="C639" s="393">
        <v>0</v>
      </c>
      <c r="D639" s="436">
        <v>8.8552811663626926E-2</v>
      </c>
      <c r="E639" s="436">
        <v>8.8253627061315648E-2</v>
      </c>
      <c r="F639" s="437">
        <v>9.8060454793334598E-2</v>
      </c>
      <c r="G639" s="437">
        <v>9.1897615788459244E-2</v>
      </c>
      <c r="H639" s="438">
        <v>9.2071275725989457E-2</v>
      </c>
      <c r="I639" s="436"/>
      <c r="J639" s="437"/>
      <c r="K639" s="437"/>
      <c r="L639" s="437"/>
      <c r="M639" s="438"/>
    </row>
    <row r="640" spans="1:23" ht="12.75" customHeight="1" outlineLevel="1">
      <c r="A640" s="366"/>
      <c r="B640" s="383"/>
      <c r="C640" s="366"/>
    </row>
    <row r="641" spans="1:23" ht="12.75" customHeight="1" outlineLevel="1">
      <c r="B641" s="367">
        <v>1996</v>
      </c>
      <c r="C641" s="368">
        <v>1997</v>
      </c>
      <c r="D641" s="367">
        <v>1998</v>
      </c>
      <c r="E641" s="369">
        <v>1999</v>
      </c>
      <c r="F641" s="369">
        <v>2000</v>
      </c>
      <c r="G641" s="369">
        <v>2001</v>
      </c>
      <c r="H641" s="368">
        <v>2002</v>
      </c>
      <c r="I641" s="367">
        <v>2003</v>
      </c>
      <c r="J641" s="369">
        <v>2004</v>
      </c>
      <c r="K641" s="369">
        <v>2005</v>
      </c>
      <c r="L641" s="369">
        <v>2006</v>
      </c>
      <c r="M641" s="368">
        <v>2007</v>
      </c>
      <c r="N641" s="367">
        <v>2008</v>
      </c>
      <c r="O641" s="369">
        <v>2009</v>
      </c>
      <c r="P641" s="369">
        <v>2010</v>
      </c>
      <c r="Q641" s="369">
        <v>2011</v>
      </c>
      <c r="R641" s="368">
        <v>2012</v>
      </c>
      <c r="S641" s="367">
        <f t="shared" ref="S641:W641" si="173">R641+1</f>
        <v>2013</v>
      </c>
      <c r="T641" s="369">
        <f t="shared" si="173"/>
        <v>2014</v>
      </c>
      <c r="U641" s="369">
        <f t="shared" si="173"/>
        <v>2015</v>
      </c>
      <c r="V641" s="369">
        <f t="shared" si="173"/>
        <v>2016</v>
      </c>
      <c r="W641" s="368">
        <f t="shared" si="173"/>
        <v>2017</v>
      </c>
    </row>
    <row r="642" spans="1:23" ht="12.75" customHeight="1" outlineLevel="1">
      <c r="A642" s="346" t="s">
        <v>2</v>
      </c>
      <c r="B642" s="379">
        <f>B633</f>
        <v>0</v>
      </c>
      <c r="C642" s="395">
        <f t="shared" ref="C642:W642" si="174">B645</f>
        <v>0</v>
      </c>
      <c r="D642" s="379">
        <f t="shared" si="174"/>
        <v>0</v>
      </c>
      <c r="E642" s="383">
        <f t="shared" si="174"/>
        <v>0</v>
      </c>
      <c r="F642" s="383">
        <f t="shared" si="174"/>
        <v>0</v>
      </c>
      <c r="G642" s="383">
        <f t="shared" si="174"/>
        <v>0</v>
      </c>
      <c r="H642" s="395">
        <f t="shared" si="174"/>
        <v>0</v>
      </c>
      <c r="I642" s="379">
        <f t="shared" si="174"/>
        <v>0</v>
      </c>
      <c r="J642" s="383">
        <f t="shared" si="174"/>
        <v>0</v>
      </c>
      <c r="K642" s="383">
        <f t="shared" si="174"/>
        <v>0</v>
      </c>
      <c r="L642" s="383">
        <f t="shared" si="174"/>
        <v>0</v>
      </c>
      <c r="M642" s="395">
        <f t="shared" si="174"/>
        <v>0</v>
      </c>
      <c r="N642" s="413">
        <f t="shared" si="174"/>
        <v>0</v>
      </c>
      <c r="O642" s="383">
        <f t="shared" si="174"/>
        <v>0</v>
      </c>
      <c r="P642" s="383">
        <f t="shared" si="174"/>
        <v>0</v>
      </c>
      <c r="Q642" s="383">
        <f t="shared" si="174"/>
        <v>0</v>
      </c>
      <c r="R642" s="395">
        <f t="shared" si="174"/>
        <v>0</v>
      </c>
      <c r="S642" s="413">
        <f t="shared" si="174"/>
        <v>0</v>
      </c>
      <c r="T642" s="383">
        <f t="shared" si="174"/>
        <v>8.5601051274839357E-2</v>
      </c>
      <c r="U642" s="383">
        <f t="shared" si="174"/>
        <v>0.16500936998986937</v>
      </c>
      <c r="V642" s="383">
        <f t="shared" si="174"/>
        <v>0.2480140470417633</v>
      </c>
      <c r="W642" s="395">
        <f t="shared" si="174"/>
        <v>0.31852394940272211</v>
      </c>
    </row>
    <row r="643" spans="1:23" ht="12.75" customHeight="1" outlineLevel="1">
      <c r="A643" s="351" t="s">
        <v>156</v>
      </c>
      <c r="B643" s="379">
        <v>0</v>
      </c>
      <c r="C643" s="395">
        <v>0</v>
      </c>
      <c r="D643" s="379">
        <v>0</v>
      </c>
      <c r="E643" s="383">
        <v>0</v>
      </c>
      <c r="F643" s="383">
        <v>0</v>
      </c>
      <c r="G643" s="383">
        <v>0</v>
      </c>
      <c r="H643" s="395">
        <v>0</v>
      </c>
      <c r="I643" s="379">
        <v>0</v>
      </c>
      <c r="J643" s="383">
        <v>0</v>
      </c>
      <c r="K643" s="383">
        <v>0</v>
      </c>
      <c r="L643" s="383">
        <f>B639</f>
        <v>0</v>
      </c>
      <c r="M643" s="395">
        <f>C639</f>
        <v>0</v>
      </c>
      <c r="N643" s="379">
        <v>0</v>
      </c>
      <c r="O643" s="383">
        <v>0</v>
      </c>
      <c r="P643" s="383">
        <v>0</v>
      </c>
      <c r="Q643" s="383">
        <f t="shared" ref="Q643:W643" si="175">B639</f>
        <v>0</v>
      </c>
      <c r="R643" s="395">
        <f t="shared" si="175"/>
        <v>0</v>
      </c>
      <c r="S643" s="379">
        <f t="shared" si="175"/>
        <v>8.8552811663626926E-2</v>
      </c>
      <c r="T643" s="383">
        <f t="shared" si="175"/>
        <v>8.8253627061315648E-2</v>
      </c>
      <c r="U643" s="383">
        <f t="shared" si="175"/>
        <v>9.8060454793334598E-2</v>
      </c>
      <c r="V643" s="383">
        <f t="shared" si="175"/>
        <v>9.1897615788459244E-2</v>
      </c>
      <c r="W643" s="395">
        <f t="shared" si="175"/>
        <v>9.2071275725989457E-2</v>
      </c>
    </row>
    <row r="644" spans="1:23" ht="12.75" customHeight="1" outlineLevel="1">
      <c r="A644" s="351" t="s">
        <v>157</v>
      </c>
      <c r="B644" s="379">
        <f>B643*$B636*0.5</f>
        <v>0</v>
      </c>
      <c r="C644" s="395">
        <f>(SUM($B643:B643)+C643*0.5)*$B636</f>
        <v>0</v>
      </c>
      <c r="D644" s="379">
        <f>(SUM($B643:C643)+D643*0.5)*$B636</f>
        <v>0</v>
      </c>
      <c r="E644" s="383">
        <f>(SUM($B643:D643)+E643*0.5)*$B636</f>
        <v>0</v>
      </c>
      <c r="F644" s="383">
        <f>(SUM($B643:E643)+F643*0.5)*$B636</f>
        <v>0</v>
      </c>
      <c r="G644" s="383">
        <f>(SUM($B643:F643)+G643*0.5)*$B636</f>
        <v>0</v>
      </c>
      <c r="H644" s="395">
        <f>(SUM($B643:G643)+H643*0.5)*$B636</f>
        <v>0</v>
      </c>
      <c r="I644" s="379">
        <f>(SUM($B643:H643)+I643*0.5)*$B636</f>
        <v>0</v>
      </c>
      <c r="J644" s="383">
        <f>(SUM($B643:I643)+J643*0.5)*$B636</f>
        <v>0</v>
      </c>
      <c r="K644" s="383">
        <f>(SUM($B643:J643)+K643*0.5)*$B636</f>
        <v>0</v>
      </c>
      <c r="L644" s="383">
        <f>(SUM($B643:K643)+L643*0.5)*$B636</f>
        <v>0</v>
      </c>
      <c r="M644" s="395">
        <f>(SUM($B643:L643)+M643*0.5)*$B636</f>
        <v>0</v>
      </c>
      <c r="N644" s="379">
        <f>(SUM($B643:M643)+N643*0.5)*$B636</f>
        <v>0</v>
      </c>
      <c r="O644" s="383">
        <f>(SUM($B643:N643)+O643*0.5)*$B636</f>
        <v>0</v>
      </c>
      <c r="P644" s="383">
        <f>(SUM($B643:O643)+P643*0.5)*$B636</f>
        <v>0</v>
      </c>
      <c r="Q644" s="383">
        <f>(SUM($B643:P643)+Q643*0.5)*$B636</f>
        <v>0</v>
      </c>
      <c r="R644" s="395">
        <f>(SUM($B643:Q643)+R643*0.5)*$B636</f>
        <v>0</v>
      </c>
      <c r="S644" s="379">
        <f>(SUM(S643*0.5)*$B$636)</f>
        <v>2.9517603887875641E-3</v>
      </c>
      <c r="T644" s="383">
        <f>(SUM($S643:S643)+T643*0.5)*$B$636</f>
        <v>8.8453083462856491E-3</v>
      </c>
      <c r="U644" s="383">
        <f>(SUM($S643:T643)+U643*0.5)*$B$636</f>
        <v>1.5055777741440656E-2</v>
      </c>
      <c r="V644" s="383">
        <f>(SUM($S643:U643)+V643*0.5)*$B$636</f>
        <v>2.1387713427500451E-2</v>
      </c>
      <c r="W644" s="395">
        <f>(SUM($S643:V643)+W643*0.5)*$B$636</f>
        <v>2.7520009811315409E-2</v>
      </c>
    </row>
    <row r="645" spans="1:23" ht="12.75" customHeight="1" outlineLevel="1">
      <c r="A645" s="355" t="s">
        <v>113</v>
      </c>
      <c r="B645" s="382">
        <f t="shared" ref="B645:W645" si="176">B642+B643-B644</f>
        <v>0</v>
      </c>
      <c r="C645" s="398">
        <f t="shared" si="176"/>
        <v>0</v>
      </c>
      <c r="D645" s="382">
        <f t="shared" si="176"/>
        <v>0</v>
      </c>
      <c r="E645" s="399">
        <f t="shared" si="176"/>
        <v>0</v>
      </c>
      <c r="F645" s="399">
        <f t="shared" si="176"/>
        <v>0</v>
      </c>
      <c r="G645" s="399">
        <f t="shared" si="176"/>
        <v>0</v>
      </c>
      <c r="H645" s="398">
        <f t="shared" si="176"/>
        <v>0</v>
      </c>
      <c r="I645" s="382">
        <f t="shared" si="176"/>
        <v>0</v>
      </c>
      <c r="J645" s="399">
        <f t="shared" si="176"/>
        <v>0</v>
      </c>
      <c r="K645" s="399">
        <f t="shared" si="176"/>
        <v>0</v>
      </c>
      <c r="L645" s="399">
        <f t="shared" si="176"/>
        <v>0</v>
      </c>
      <c r="M645" s="398">
        <f t="shared" si="176"/>
        <v>0</v>
      </c>
      <c r="N645" s="382">
        <f t="shared" si="176"/>
        <v>0</v>
      </c>
      <c r="O645" s="399">
        <f t="shared" si="176"/>
        <v>0</v>
      </c>
      <c r="P645" s="399">
        <f t="shared" si="176"/>
        <v>0</v>
      </c>
      <c r="Q645" s="399">
        <f t="shared" si="176"/>
        <v>0</v>
      </c>
      <c r="R645" s="398">
        <f t="shared" si="176"/>
        <v>0</v>
      </c>
      <c r="S645" s="382">
        <f t="shared" si="176"/>
        <v>8.5601051274839357E-2</v>
      </c>
      <c r="T645" s="399">
        <f t="shared" si="176"/>
        <v>0.16500936998986937</v>
      </c>
      <c r="U645" s="399">
        <f t="shared" si="176"/>
        <v>0.2480140470417633</v>
      </c>
      <c r="V645" s="399">
        <f t="shared" si="176"/>
        <v>0.31852394940272211</v>
      </c>
      <c r="W645" s="398">
        <f t="shared" si="176"/>
        <v>0.38307521531739613</v>
      </c>
    </row>
    <row r="646" spans="1:23" ht="12.75" customHeight="1" outlineLevel="1">
      <c r="M646" s="401"/>
    </row>
    <row r="647" spans="1:23" ht="12.75" customHeight="1" outlineLevel="1">
      <c r="A647" s="415" t="str">
        <f>A594</f>
        <v>Buildings</v>
      </c>
    </row>
    <row r="648" spans="1:23" ht="12.75" customHeight="1" outlineLevel="1">
      <c r="A648" s="385" t="s">
        <v>145</v>
      </c>
      <c r="B648" s="377">
        <f>B594</f>
        <v>0</v>
      </c>
      <c r="C648" s="350"/>
      <c r="D648" s="366"/>
      <c r="E648" s="366"/>
    </row>
    <row r="649" spans="1:23" ht="12.75" customHeight="1" outlineLevel="1">
      <c r="A649" s="386" t="s">
        <v>146</v>
      </c>
      <c r="B649" s="379">
        <f>C594</f>
        <v>40</v>
      </c>
      <c r="C649" s="354"/>
      <c r="D649" s="366"/>
      <c r="E649" s="366"/>
    </row>
    <row r="650" spans="1:23" ht="12.75" customHeight="1" outlineLevel="1">
      <c r="A650" s="386" t="s">
        <v>147</v>
      </c>
      <c r="B650" s="379" t="str">
        <f>D594</f>
        <v>Straight Line</v>
      </c>
      <c r="C650" s="354"/>
      <c r="D650" s="366"/>
      <c r="E650" s="366"/>
    </row>
    <row r="651" spans="1:23" ht="12.75" customHeight="1" outlineLevel="1">
      <c r="A651" s="364" t="s">
        <v>148</v>
      </c>
      <c r="B651" s="365">
        <f>IF(B650="Straight Line",1/B649,IF(B650="Declining Balance",1/B649*2,1))</f>
        <v>2.5000000000000001E-2</v>
      </c>
      <c r="C651" s="358"/>
      <c r="D651" s="366"/>
      <c r="E651" s="366"/>
    </row>
    <row r="652" spans="1:23" ht="12.75" customHeight="1" outlineLevel="1">
      <c r="A652" s="366"/>
      <c r="B652" s="383"/>
      <c r="C652" s="366"/>
      <c r="D652" s="366"/>
      <c r="E652" s="366"/>
    </row>
    <row r="653" spans="1:23" ht="12.75" customHeight="1" outlineLevel="1">
      <c r="A653" s="366" t="s">
        <v>154</v>
      </c>
      <c r="B653" s="403" t="s">
        <v>184</v>
      </c>
      <c r="C653" s="426">
        <f t="shared" ref="C653:H653" si="177">B653+1</f>
        <v>2012</v>
      </c>
      <c r="D653" s="426">
        <f t="shared" si="177"/>
        <v>2013</v>
      </c>
      <c r="E653" s="426">
        <f t="shared" si="177"/>
        <v>2014</v>
      </c>
      <c r="F653" s="426">
        <f t="shared" si="177"/>
        <v>2015</v>
      </c>
      <c r="G653" s="426">
        <f t="shared" si="177"/>
        <v>2016</v>
      </c>
      <c r="H653" s="427">
        <f t="shared" si="177"/>
        <v>2017</v>
      </c>
      <c r="I653" s="426">
        <v>2018</v>
      </c>
      <c r="J653" s="426">
        <v>2019</v>
      </c>
      <c r="K653" s="426">
        <v>2020</v>
      </c>
      <c r="L653" s="426">
        <v>2021</v>
      </c>
      <c r="M653" s="427">
        <v>2022</v>
      </c>
    </row>
    <row r="654" spans="1:23" ht="12.75" customHeight="1" outlineLevel="1">
      <c r="A654" s="391" t="s">
        <v>155</v>
      </c>
      <c r="B654" s="392">
        <v>0</v>
      </c>
      <c r="C654" s="393">
        <v>0</v>
      </c>
      <c r="D654" s="598">
        <f>Input!H43-Input!H77</f>
        <v>0</v>
      </c>
      <c r="E654" s="599">
        <f>Input!I43-Input!I77</f>
        <v>0</v>
      </c>
      <c r="F654" s="599">
        <f>Input!J43-Input!J77</f>
        <v>0</v>
      </c>
      <c r="G654" s="599">
        <f>Input!K43-Input!K77</f>
        <v>0</v>
      </c>
      <c r="H654" s="597">
        <f>Input!L43-Input!L77</f>
        <v>0</v>
      </c>
      <c r="I654" s="436"/>
      <c r="J654" s="437"/>
      <c r="K654" s="437"/>
      <c r="L654" s="437"/>
      <c r="M654" s="438"/>
    </row>
    <row r="655" spans="1:23" ht="12.75" customHeight="1" outlineLevel="1">
      <c r="A655" s="366"/>
      <c r="B655" s="383"/>
      <c r="C655" s="366"/>
    </row>
    <row r="656" spans="1:23" ht="12.75" customHeight="1" outlineLevel="1">
      <c r="B656" s="367">
        <v>1996</v>
      </c>
      <c r="C656" s="368">
        <v>1997</v>
      </c>
      <c r="D656" s="367">
        <v>1998</v>
      </c>
      <c r="E656" s="369">
        <v>1999</v>
      </c>
      <c r="F656" s="369">
        <v>2000</v>
      </c>
      <c r="G656" s="369">
        <v>2001</v>
      </c>
      <c r="H656" s="368">
        <v>2002</v>
      </c>
      <c r="I656" s="367">
        <v>2003</v>
      </c>
      <c r="J656" s="369">
        <v>2004</v>
      </c>
      <c r="K656" s="369">
        <v>2005</v>
      </c>
      <c r="L656" s="369">
        <v>2006</v>
      </c>
      <c r="M656" s="368">
        <v>2007</v>
      </c>
      <c r="N656" s="367">
        <v>2008</v>
      </c>
      <c r="O656" s="369">
        <v>2009</v>
      </c>
      <c r="P656" s="369">
        <v>2010</v>
      </c>
      <c r="Q656" s="369">
        <v>2011</v>
      </c>
      <c r="R656" s="368">
        <v>2012</v>
      </c>
      <c r="S656" s="367">
        <f t="shared" ref="S656:W656" si="178">R656+1</f>
        <v>2013</v>
      </c>
      <c r="T656" s="369">
        <f t="shared" si="178"/>
        <v>2014</v>
      </c>
      <c r="U656" s="369">
        <f t="shared" si="178"/>
        <v>2015</v>
      </c>
      <c r="V656" s="369">
        <f t="shared" si="178"/>
        <v>2016</v>
      </c>
      <c r="W656" s="368">
        <f t="shared" si="178"/>
        <v>2017</v>
      </c>
    </row>
    <row r="657" spans="1:23" ht="12.75" customHeight="1" outlineLevel="1">
      <c r="A657" s="346" t="s">
        <v>2</v>
      </c>
      <c r="B657" s="379">
        <f>B648</f>
        <v>0</v>
      </c>
      <c r="C657" s="395">
        <f t="shared" ref="C657:W657" si="179">B660</f>
        <v>0</v>
      </c>
      <c r="D657" s="379">
        <f t="shared" si="179"/>
        <v>0</v>
      </c>
      <c r="E657" s="383">
        <f t="shared" si="179"/>
        <v>0</v>
      </c>
      <c r="F657" s="383">
        <f t="shared" si="179"/>
        <v>0</v>
      </c>
      <c r="G657" s="383">
        <f t="shared" si="179"/>
        <v>0</v>
      </c>
      <c r="H657" s="395">
        <f t="shared" si="179"/>
        <v>0</v>
      </c>
      <c r="I657" s="379">
        <f t="shared" si="179"/>
        <v>0</v>
      </c>
      <c r="J657" s="383">
        <f t="shared" si="179"/>
        <v>0</v>
      </c>
      <c r="K657" s="383">
        <f t="shared" si="179"/>
        <v>0</v>
      </c>
      <c r="L657" s="383">
        <f t="shared" si="179"/>
        <v>0</v>
      </c>
      <c r="M657" s="395">
        <f t="shared" si="179"/>
        <v>0</v>
      </c>
      <c r="N657" s="413">
        <f t="shared" si="179"/>
        <v>0</v>
      </c>
      <c r="O657" s="383">
        <f t="shared" si="179"/>
        <v>0</v>
      </c>
      <c r="P657" s="383">
        <f t="shared" si="179"/>
        <v>0</v>
      </c>
      <c r="Q657" s="383">
        <f t="shared" si="179"/>
        <v>0</v>
      </c>
      <c r="R657" s="395">
        <f t="shared" si="179"/>
        <v>0</v>
      </c>
      <c r="S657" s="413">
        <f t="shared" si="179"/>
        <v>0</v>
      </c>
      <c r="T657" s="383">
        <f t="shared" si="179"/>
        <v>0</v>
      </c>
      <c r="U657" s="383">
        <f t="shared" si="179"/>
        <v>0</v>
      </c>
      <c r="V657" s="383">
        <f t="shared" si="179"/>
        <v>0</v>
      </c>
      <c r="W657" s="395">
        <f t="shared" si="179"/>
        <v>0</v>
      </c>
    </row>
    <row r="658" spans="1:23" ht="12.75" customHeight="1" outlineLevel="1">
      <c r="A658" s="351" t="s">
        <v>156</v>
      </c>
      <c r="B658" s="379">
        <v>0</v>
      </c>
      <c r="C658" s="395">
        <v>0</v>
      </c>
      <c r="D658" s="379">
        <v>0</v>
      </c>
      <c r="E658" s="383">
        <v>0</v>
      </c>
      <c r="F658" s="383">
        <v>0</v>
      </c>
      <c r="G658" s="383">
        <v>0</v>
      </c>
      <c r="H658" s="395">
        <v>0</v>
      </c>
      <c r="I658" s="379">
        <v>0</v>
      </c>
      <c r="J658" s="383">
        <v>0</v>
      </c>
      <c r="K658" s="383">
        <v>0</v>
      </c>
      <c r="L658" s="383">
        <f>B654</f>
        <v>0</v>
      </c>
      <c r="M658" s="395">
        <f>C654</f>
        <v>0</v>
      </c>
      <c r="N658" s="379">
        <v>0</v>
      </c>
      <c r="O658" s="383">
        <v>0</v>
      </c>
      <c r="P658" s="383">
        <v>0</v>
      </c>
      <c r="Q658" s="383">
        <f t="shared" ref="Q658:W658" si="180">B654</f>
        <v>0</v>
      </c>
      <c r="R658" s="395">
        <f t="shared" si="180"/>
        <v>0</v>
      </c>
      <c r="S658" s="379">
        <f t="shared" si="180"/>
        <v>0</v>
      </c>
      <c r="T658" s="383">
        <f t="shared" si="180"/>
        <v>0</v>
      </c>
      <c r="U658" s="383">
        <f t="shared" si="180"/>
        <v>0</v>
      </c>
      <c r="V658" s="383">
        <f t="shared" si="180"/>
        <v>0</v>
      </c>
      <c r="W658" s="395">
        <f t="shared" si="180"/>
        <v>0</v>
      </c>
    </row>
    <row r="659" spans="1:23" ht="12.75" customHeight="1" outlineLevel="1">
      <c r="A659" s="351" t="s">
        <v>157</v>
      </c>
      <c r="B659" s="375">
        <f>IF($B651=1,B658+B657,B658*$B651*0.5)</f>
        <v>0</v>
      </c>
      <c r="C659" s="375">
        <f t="shared" ref="C659:W659" si="181">IF($B651=1,C658+C657,(C657+C658*0.5)*$B651)</f>
        <v>0</v>
      </c>
      <c r="D659" s="396">
        <f t="shared" si="181"/>
        <v>0</v>
      </c>
      <c r="E659" s="375">
        <f t="shared" si="181"/>
        <v>0</v>
      </c>
      <c r="F659" s="375">
        <f t="shared" si="181"/>
        <v>0</v>
      </c>
      <c r="G659" s="375">
        <f t="shared" si="181"/>
        <v>0</v>
      </c>
      <c r="H659" s="397">
        <f t="shared" si="181"/>
        <v>0</v>
      </c>
      <c r="I659" s="396">
        <f t="shared" si="181"/>
        <v>0</v>
      </c>
      <c r="J659" s="375">
        <f t="shared" si="181"/>
        <v>0</v>
      </c>
      <c r="K659" s="375">
        <f t="shared" si="181"/>
        <v>0</v>
      </c>
      <c r="L659" s="375">
        <f t="shared" si="181"/>
        <v>0</v>
      </c>
      <c r="M659" s="397">
        <f t="shared" si="181"/>
        <v>0</v>
      </c>
      <c r="N659" s="396">
        <f t="shared" si="181"/>
        <v>0</v>
      </c>
      <c r="O659" s="375">
        <f t="shared" si="181"/>
        <v>0</v>
      </c>
      <c r="P659" s="375">
        <f t="shared" si="181"/>
        <v>0</v>
      </c>
      <c r="Q659" s="375">
        <f t="shared" si="181"/>
        <v>0</v>
      </c>
      <c r="R659" s="397">
        <f t="shared" si="181"/>
        <v>0</v>
      </c>
      <c r="S659" s="396">
        <f t="shared" si="181"/>
        <v>0</v>
      </c>
      <c r="T659" s="375">
        <f t="shared" si="181"/>
        <v>0</v>
      </c>
      <c r="U659" s="375">
        <f t="shared" si="181"/>
        <v>0</v>
      </c>
      <c r="V659" s="375">
        <f t="shared" si="181"/>
        <v>0</v>
      </c>
      <c r="W659" s="397">
        <f t="shared" si="181"/>
        <v>0</v>
      </c>
    </row>
    <row r="660" spans="1:23" ht="12.75" customHeight="1" outlineLevel="1">
      <c r="A660" s="355" t="s">
        <v>113</v>
      </c>
      <c r="B660" s="382">
        <f t="shared" ref="B660:W660" si="182">B657+B658-B659</f>
        <v>0</v>
      </c>
      <c r="C660" s="398">
        <f t="shared" si="182"/>
        <v>0</v>
      </c>
      <c r="D660" s="382">
        <f t="shared" si="182"/>
        <v>0</v>
      </c>
      <c r="E660" s="399">
        <f t="shared" si="182"/>
        <v>0</v>
      </c>
      <c r="F660" s="399">
        <f t="shared" si="182"/>
        <v>0</v>
      </c>
      <c r="G660" s="399">
        <f t="shared" si="182"/>
        <v>0</v>
      </c>
      <c r="H660" s="398">
        <f t="shared" si="182"/>
        <v>0</v>
      </c>
      <c r="I660" s="382">
        <f t="shared" si="182"/>
        <v>0</v>
      </c>
      <c r="J660" s="399">
        <f t="shared" si="182"/>
        <v>0</v>
      </c>
      <c r="K660" s="399">
        <f t="shared" si="182"/>
        <v>0</v>
      </c>
      <c r="L660" s="399">
        <f t="shared" si="182"/>
        <v>0</v>
      </c>
      <c r="M660" s="398">
        <f t="shared" si="182"/>
        <v>0</v>
      </c>
      <c r="N660" s="382">
        <f t="shared" si="182"/>
        <v>0</v>
      </c>
      <c r="O660" s="399">
        <f t="shared" si="182"/>
        <v>0</v>
      </c>
      <c r="P660" s="399">
        <f t="shared" si="182"/>
        <v>0</v>
      </c>
      <c r="Q660" s="399">
        <f t="shared" si="182"/>
        <v>0</v>
      </c>
      <c r="R660" s="398">
        <f t="shared" si="182"/>
        <v>0</v>
      </c>
      <c r="S660" s="382">
        <f t="shared" si="182"/>
        <v>0</v>
      </c>
      <c r="T660" s="399">
        <f t="shared" si="182"/>
        <v>0</v>
      </c>
      <c r="U660" s="399">
        <f t="shared" si="182"/>
        <v>0</v>
      </c>
      <c r="V660" s="399">
        <f t="shared" si="182"/>
        <v>0</v>
      </c>
      <c r="W660" s="398">
        <f t="shared" si="182"/>
        <v>0</v>
      </c>
    </row>
    <row r="661" spans="1:23" ht="12.75" customHeight="1" outlineLevel="1">
      <c r="A661" s="366"/>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row>
    <row r="662" spans="1:23" ht="12.75" customHeight="1" outlineLevel="1">
      <c r="A662" s="415" t="str">
        <f>A595</f>
        <v>Land</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row>
    <row r="663" spans="1:23" ht="12.75" customHeight="1" outlineLevel="1">
      <c r="A663" s="417" t="s">
        <v>145</v>
      </c>
      <c r="B663" s="449">
        <f>B610</f>
        <v>0</v>
      </c>
      <c r="C663" s="418"/>
      <c r="D663" s="450"/>
      <c r="E663" s="450"/>
      <c r="F663" s="416"/>
      <c r="G663" s="416"/>
      <c r="H663" s="416"/>
      <c r="I663" s="416"/>
      <c r="J663" s="416"/>
      <c r="K663" s="416"/>
      <c r="L663" s="416"/>
      <c r="M663" s="416"/>
      <c r="N663" s="416"/>
      <c r="O663" s="416"/>
      <c r="P663" s="416"/>
      <c r="Q663" s="416"/>
      <c r="R663" s="416"/>
      <c r="S663" s="416"/>
      <c r="T663" s="416"/>
      <c r="U663" s="416"/>
      <c r="V663" s="416"/>
      <c r="W663" s="416"/>
    </row>
    <row r="664" spans="1:23" ht="12.75" customHeight="1" outlineLevel="1">
      <c r="A664" s="420" t="s">
        <v>146</v>
      </c>
      <c r="B664" s="439" t="s">
        <v>134</v>
      </c>
      <c r="C664" s="421"/>
      <c r="D664" s="450"/>
      <c r="E664" s="450"/>
      <c r="F664" s="416"/>
      <c r="G664" s="416"/>
      <c r="H664" s="416"/>
      <c r="I664" s="416"/>
      <c r="J664" s="416"/>
      <c r="K664" s="416"/>
      <c r="L664" s="416"/>
      <c r="M664" s="416"/>
      <c r="N664" s="416"/>
      <c r="O664" s="416"/>
      <c r="P664" s="416"/>
      <c r="Q664" s="416"/>
      <c r="R664" s="416"/>
      <c r="S664" s="416"/>
      <c r="T664" s="416"/>
      <c r="U664" s="416"/>
      <c r="V664" s="416"/>
      <c r="W664" s="416"/>
    </row>
    <row r="665" spans="1:23" ht="12.75" customHeight="1" outlineLevel="1">
      <c r="A665" s="420" t="s">
        <v>147</v>
      </c>
      <c r="B665" s="439" t="s">
        <v>134</v>
      </c>
      <c r="C665" s="421"/>
      <c r="D665" s="450"/>
      <c r="E665" s="450"/>
      <c r="F665" s="416"/>
      <c r="G665" s="416"/>
      <c r="H665" s="416"/>
      <c r="I665" s="416"/>
      <c r="J665" s="416"/>
      <c r="K665" s="416"/>
      <c r="L665" s="416"/>
      <c r="M665" s="416"/>
      <c r="N665" s="416"/>
      <c r="O665" s="416"/>
      <c r="P665" s="416"/>
      <c r="Q665" s="416"/>
      <c r="R665" s="416"/>
      <c r="S665" s="416"/>
      <c r="T665" s="416"/>
      <c r="U665" s="416"/>
      <c r="V665" s="416"/>
      <c r="W665" s="416"/>
    </row>
    <row r="666" spans="1:23" ht="12.75" customHeight="1" outlineLevel="1">
      <c r="A666" s="423" t="s">
        <v>148</v>
      </c>
      <c r="B666" s="451">
        <v>0</v>
      </c>
      <c r="C666" s="424"/>
      <c r="D666" s="450"/>
      <c r="E666" s="450"/>
      <c r="F666" s="416"/>
      <c r="G666" s="416"/>
      <c r="H666" s="416"/>
      <c r="I666" s="416"/>
      <c r="J666" s="416"/>
      <c r="K666" s="416"/>
      <c r="L666" s="416"/>
      <c r="M666" s="416"/>
      <c r="N666" s="416"/>
      <c r="O666" s="416"/>
      <c r="P666" s="416"/>
      <c r="Q666" s="416"/>
      <c r="R666" s="416"/>
      <c r="S666" s="416"/>
      <c r="T666" s="416"/>
      <c r="U666" s="416"/>
      <c r="V666" s="416"/>
      <c r="W666" s="416"/>
    </row>
    <row r="667" spans="1:23" ht="12.75" customHeight="1" outlineLevel="1">
      <c r="A667" s="450"/>
      <c r="B667" s="400"/>
      <c r="C667" s="450"/>
      <c r="D667" s="450"/>
      <c r="E667" s="450"/>
      <c r="F667" s="416"/>
      <c r="G667" s="416"/>
      <c r="H667" s="416"/>
      <c r="I667" s="416"/>
      <c r="J667" s="416"/>
      <c r="K667" s="416"/>
      <c r="L667" s="416"/>
      <c r="M667" s="416"/>
      <c r="N667" s="416"/>
      <c r="O667" s="416"/>
      <c r="P667" s="416"/>
      <c r="Q667" s="416"/>
      <c r="R667" s="416"/>
      <c r="S667" s="416"/>
      <c r="T667" s="416"/>
      <c r="U667" s="416"/>
      <c r="V667" s="416"/>
      <c r="W667" s="416"/>
    </row>
    <row r="668" spans="1:23" ht="12.75" customHeight="1" outlineLevel="1">
      <c r="A668" s="450" t="s">
        <v>154</v>
      </c>
      <c r="B668" s="452" t="s">
        <v>184</v>
      </c>
      <c r="C668" s="453">
        <f t="shared" ref="C668:H668" si="183">B668+1</f>
        <v>2012</v>
      </c>
      <c r="D668" s="453">
        <f t="shared" si="183"/>
        <v>2013</v>
      </c>
      <c r="E668" s="453">
        <f t="shared" si="183"/>
        <v>2014</v>
      </c>
      <c r="F668" s="453">
        <f t="shared" si="183"/>
        <v>2015</v>
      </c>
      <c r="G668" s="453">
        <f t="shared" si="183"/>
        <v>2016</v>
      </c>
      <c r="H668" s="454">
        <f t="shared" si="183"/>
        <v>2017</v>
      </c>
      <c r="I668" s="455"/>
      <c r="J668" s="455"/>
      <c r="K668" s="455"/>
      <c r="L668" s="455"/>
      <c r="M668" s="416"/>
      <c r="N668" s="416"/>
      <c r="O668" s="416"/>
      <c r="P668" s="416"/>
      <c r="Q668" s="416"/>
      <c r="R668" s="416"/>
      <c r="S668" s="416"/>
      <c r="T668" s="416"/>
      <c r="U668" s="416"/>
      <c r="V668" s="416"/>
      <c r="W668" s="416"/>
    </row>
    <row r="669" spans="1:23" ht="12.75" customHeight="1" outlineLevel="1">
      <c r="A669" s="456" t="s">
        <v>155</v>
      </c>
      <c r="B669" s="436">
        <v>0</v>
      </c>
      <c r="C669" s="437">
        <v>0</v>
      </c>
      <c r="D669" s="436">
        <v>0</v>
      </c>
      <c r="E669" s="437">
        <v>0</v>
      </c>
      <c r="F669" s="437">
        <v>0</v>
      </c>
      <c r="G669" s="437">
        <v>0</v>
      </c>
      <c r="H669" s="438">
        <v>0</v>
      </c>
      <c r="I669" s="457"/>
      <c r="J669" s="457"/>
      <c r="K669" s="457"/>
      <c r="L669" s="458"/>
      <c r="M669" s="416"/>
      <c r="N669" s="416"/>
      <c r="O669" s="416"/>
      <c r="P669" s="416"/>
      <c r="Q669" s="416"/>
      <c r="R669" s="416"/>
      <c r="S669" s="416"/>
      <c r="T669" s="416"/>
      <c r="U669" s="416"/>
      <c r="V669" s="416"/>
      <c r="W669" s="416"/>
    </row>
    <row r="670" spans="1:23" ht="12.75" customHeight="1" outlineLevel="1">
      <c r="A670" s="450"/>
      <c r="B670" s="400"/>
      <c r="C670" s="450"/>
      <c r="D670" s="416"/>
      <c r="E670" s="416"/>
      <c r="F670" s="416"/>
      <c r="G670" s="416"/>
      <c r="H670" s="416"/>
      <c r="I670" s="416"/>
      <c r="J670" s="416"/>
      <c r="K670" s="416"/>
      <c r="L670" s="416"/>
      <c r="M670" s="416"/>
      <c r="N670" s="416"/>
      <c r="O670" s="416"/>
      <c r="P670" s="416"/>
      <c r="Q670" s="416"/>
      <c r="R670" s="416"/>
      <c r="S670" s="416"/>
      <c r="T670" s="416"/>
      <c r="U670" s="416"/>
      <c r="V670" s="416"/>
      <c r="W670" s="416"/>
    </row>
    <row r="671" spans="1:23" ht="12.75" customHeight="1" outlineLevel="1">
      <c r="A671" s="416"/>
      <c r="B671" s="459">
        <v>1996</v>
      </c>
      <c r="C671" s="460">
        <v>1997</v>
      </c>
      <c r="D671" s="459">
        <v>1998</v>
      </c>
      <c r="E671" s="461">
        <v>1999</v>
      </c>
      <c r="F671" s="461">
        <v>2000</v>
      </c>
      <c r="G671" s="461">
        <v>2001</v>
      </c>
      <c r="H671" s="460">
        <v>2002</v>
      </c>
      <c r="I671" s="459">
        <v>2003</v>
      </c>
      <c r="J671" s="461">
        <v>2004</v>
      </c>
      <c r="K671" s="461">
        <v>2005</v>
      </c>
      <c r="L671" s="461">
        <v>2006</v>
      </c>
      <c r="M671" s="460">
        <v>2007</v>
      </c>
      <c r="N671" s="459">
        <v>2008</v>
      </c>
      <c r="O671" s="461">
        <v>2009</v>
      </c>
      <c r="P671" s="461">
        <v>2010</v>
      </c>
      <c r="Q671" s="461">
        <v>2011</v>
      </c>
      <c r="R671" s="460">
        <v>2012</v>
      </c>
      <c r="S671" s="459">
        <f t="shared" ref="S671:W671" si="184">R671+1</f>
        <v>2013</v>
      </c>
      <c r="T671" s="461">
        <f t="shared" si="184"/>
        <v>2014</v>
      </c>
      <c r="U671" s="461">
        <f t="shared" si="184"/>
        <v>2015</v>
      </c>
      <c r="V671" s="461">
        <f t="shared" si="184"/>
        <v>2016</v>
      </c>
      <c r="W671" s="460">
        <f t="shared" si="184"/>
        <v>2017</v>
      </c>
    </row>
    <row r="672" spans="1:23" ht="12.75" customHeight="1" outlineLevel="1">
      <c r="A672" s="419" t="s">
        <v>2</v>
      </c>
      <c r="B672" s="439">
        <f>B663</f>
        <v>0</v>
      </c>
      <c r="C672" s="440">
        <f t="shared" ref="C672:W672" si="185">B675</f>
        <v>0</v>
      </c>
      <c r="D672" s="439">
        <f t="shared" si="185"/>
        <v>0</v>
      </c>
      <c r="E672" s="400">
        <f t="shared" si="185"/>
        <v>0</v>
      </c>
      <c r="F672" s="400">
        <f t="shared" si="185"/>
        <v>0</v>
      </c>
      <c r="G672" s="400">
        <f t="shared" si="185"/>
        <v>0</v>
      </c>
      <c r="H672" s="440">
        <f t="shared" si="185"/>
        <v>0</v>
      </c>
      <c r="I672" s="439">
        <f t="shared" si="185"/>
        <v>0</v>
      </c>
      <c r="J672" s="400">
        <f t="shared" si="185"/>
        <v>0</v>
      </c>
      <c r="K672" s="400">
        <f t="shared" si="185"/>
        <v>0</v>
      </c>
      <c r="L672" s="400">
        <f t="shared" si="185"/>
        <v>0</v>
      </c>
      <c r="M672" s="440">
        <f t="shared" si="185"/>
        <v>0</v>
      </c>
      <c r="N672" s="462">
        <f t="shared" si="185"/>
        <v>0</v>
      </c>
      <c r="O672" s="400">
        <f t="shared" si="185"/>
        <v>0</v>
      </c>
      <c r="P672" s="400">
        <f t="shared" si="185"/>
        <v>0</v>
      </c>
      <c r="Q672" s="400">
        <f t="shared" si="185"/>
        <v>0</v>
      </c>
      <c r="R672" s="440">
        <f t="shared" si="185"/>
        <v>0</v>
      </c>
      <c r="S672" s="462">
        <f t="shared" si="185"/>
        <v>0</v>
      </c>
      <c r="T672" s="400">
        <f t="shared" si="185"/>
        <v>0</v>
      </c>
      <c r="U672" s="400">
        <f t="shared" si="185"/>
        <v>0</v>
      </c>
      <c r="V672" s="400">
        <f t="shared" si="185"/>
        <v>0</v>
      </c>
      <c r="W672" s="440">
        <f t="shared" si="185"/>
        <v>0</v>
      </c>
    </row>
    <row r="673" spans="1:23" ht="12.75" customHeight="1" outlineLevel="1">
      <c r="A673" s="422" t="s">
        <v>156</v>
      </c>
      <c r="B673" s="439">
        <v>0</v>
      </c>
      <c r="C673" s="440">
        <v>0</v>
      </c>
      <c r="D673" s="439">
        <v>0</v>
      </c>
      <c r="E673" s="400">
        <v>0</v>
      </c>
      <c r="F673" s="400">
        <v>0</v>
      </c>
      <c r="G673" s="400">
        <v>0</v>
      </c>
      <c r="H673" s="440">
        <v>0</v>
      </c>
      <c r="I673" s="439">
        <v>0</v>
      </c>
      <c r="J673" s="400">
        <v>0</v>
      </c>
      <c r="K673" s="400">
        <v>0</v>
      </c>
      <c r="L673" s="400">
        <f>B669</f>
        <v>0</v>
      </c>
      <c r="M673" s="440">
        <f>C669</f>
        <v>0</v>
      </c>
      <c r="N673" s="439">
        <v>0</v>
      </c>
      <c r="O673" s="400">
        <v>0</v>
      </c>
      <c r="P673" s="400">
        <v>0</v>
      </c>
      <c r="Q673" s="400">
        <f t="shared" ref="Q673:W673" si="186">B669</f>
        <v>0</v>
      </c>
      <c r="R673" s="440">
        <f t="shared" si="186"/>
        <v>0</v>
      </c>
      <c r="S673" s="439">
        <f t="shared" si="186"/>
        <v>0</v>
      </c>
      <c r="T673" s="400">
        <f t="shared" si="186"/>
        <v>0</v>
      </c>
      <c r="U673" s="400">
        <f t="shared" si="186"/>
        <v>0</v>
      </c>
      <c r="V673" s="400">
        <f t="shared" si="186"/>
        <v>0</v>
      </c>
      <c r="W673" s="440">
        <f t="shared" si="186"/>
        <v>0</v>
      </c>
    </row>
    <row r="674" spans="1:23" ht="12.75" customHeight="1" outlineLevel="1">
      <c r="A674" s="422" t="s">
        <v>157</v>
      </c>
      <c r="B674" s="441">
        <f>IF($B666=1,B673+B672,B673*$B666*0.5)</f>
        <v>0</v>
      </c>
      <c r="C674" s="441">
        <f t="shared" ref="C674:W674" si="187">IF($B666=1,C673+C672,(C672+C673*0.5)*$B666)</f>
        <v>0</v>
      </c>
      <c r="D674" s="442">
        <f t="shared" si="187"/>
        <v>0</v>
      </c>
      <c r="E674" s="441">
        <f t="shared" si="187"/>
        <v>0</v>
      </c>
      <c r="F674" s="441">
        <f t="shared" si="187"/>
        <v>0</v>
      </c>
      <c r="G674" s="441">
        <f t="shared" si="187"/>
        <v>0</v>
      </c>
      <c r="H674" s="443">
        <f t="shared" si="187"/>
        <v>0</v>
      </c>
      <c r="I674" s="442">
        <f t="shared" si="187"/>
        <v>0</v>
      </c>
      <c r="J674" s="441">
        <f t="shared" si="187"/>
        <v>0</v>
      </c>
      <c r="K674" s="441">
        <f t="shared" si="187"/>
        <v>0</v>
      </c>
      <c r="L674" s="441">
        <f t="shared" si="187"/>
        <v>0</v>
      </c>
      <c r="M674" s="443">
        <f t="shared" si="187"/>
        <v>0</v>
      </c>
      <c r="N674" s="442">
        <f t="shared" si="187"/>
        <v>0</v>
      </c>
      <c r="O674" s="441">
        <f t="shared" si="187"/>
        <v>0</v>
      </c>
      <c r="P674" s="441">
        <f t="shared" si="187"/>
        <v>0</v>
      </c>
      <c r="Q674" s="441">
        <f t="shared" si="187"/>
        <v>0</v>
      </c>
      <c r="R674" s="443">
        <f t="shared" si="187"/>
        <v>0</v>
      </c>
      <c r="S674" s="442">
        <f t="shared" si="187"/>
        <v>0</v>
      </c>
      <c r="T674" s="441">
        <f t="shared" si="187"/>
        <v>0</v>
      </c>
      <c r="U674" s="441">
        <f t="shared" si="187"/>
        <v>0</v>
      </c>
      <c r="V674" s="441">
        <f t="shared" si="187"/>
        <v>0</v>
      </c>
      <c r="W674" s="443">
        <f t="shared" si="187"/>
        <v>0</v>
      </c>
    </row>
    <row r="675" spans="1:23" ht="12.75" customHeight="1" outlineLevel="1">
      <c r="A675" s="425" t="s">
        <v>113</v>
      </c>
      <c r="B675" s="463">
        <f t="shared" ref="B675:W675" si="188">B672+B673-B674</f>
        <v>0</v>
      </c>
      <c r="C675" s="464">
        <f t="shared" si="188"/>
        <v>0</v>
      </c>
      <c r="D675" s="463">
        <f t="shared" si="188"/>
        <v>0</v>
      </c>
      <c r="E675" s="465">
        <f t="shared" si="188"/>
        <v>0</v>
      </c>
      <c r="F675" s="465">
        <f t="shared" si="188"/>
        <v>0</v>
      </c>
      <c r="G675" s="465">
        <f t="shared" si="188"/>
        <v>0</v>
      </c>
      <c r="H675" s="464">
        <f t="shared" si="188"/>
        <v>0</v>
      </c>
      <c r="I675" s="463">
        <f t="shared" si="188"/>
        <v>0</v>
      </c>
      <c r="J675" s="465">
        <f t="shared" si="188"/>
        <v>0</v>
      </c>
      <c r="K675" s="465">
        <f t="shared" si="188"/>
        <v>0</v>
      </c>
      <c r="L675" s="465">
        <f t="shared" si="188"/>
        <v>0</v>
      </c>
      <c r="M675" s="464">
        <f t="shared" si="188"/>
        <v>0</v>
      </c>
      <c r="N675" s="463">
        <f t="shared" si="188"/>
        <v>0</v>
      </c>
      <c r="O675" s="465">
        <f t="shared" si="188"/>
        <v>0</v>
      </c>
      <c r="P675" s="465">
        <f t="shared" si="188"/>
        <v>0</v>
      </c>
      <c r="Q675" s="465">
        <f t="shared" si="188"/>
        <v>0</v>
      </c>
      <c r="R675" s="464">
        <f t="shared" si="188"/>
        <v>0</v>
      </c>
      <c r="S675" s="463">
        <f t="shared" si="188"/>
        <v>0</v>
      </c>
      <c r="T675" s="465">
        <f t="shared" si="188"/>
        <v>0</v>
      </c>
      <c r="U675" s="465">
        <f t="shared" si="188"/>
        <v>0</v>
      </c>
      <c r="V675" s="465">
        <f t="shared" si="188"/>
        <v>0</v>
      </c>
      <c r="W675" s="464">
        <f t="shared" si="188"/>
        <v>0</v>
      </c>
    </row>
    <row r="676" spans="1:23" ht="12.75" customHeight="1" outlineLevel="1">
      <c r="M676" s="401"/>
    </row>
    <row r="677" spans="1:23" ht="12.75" customHeight="1" outlineLevel="1">
      <c r="A677" s="360" t="str">
        <f>A596</f>
        <v>Other Assets</v>
      </c>
    </row>
    <row r="678" spans="1:23" ht="12.75" customHeight="1" outlineLevel="1">
      <c r="A678" s="385" t="s">
        <v>145</v>
      </c>
      <c r="B678" s="377">
        <f>B596</f>
        <v>0</v>
      </c>
      <c r="C678" s="350"/>
      <c r="D678" s="366"/>
      <c r="E678" s="366"/>
    </row>
    <row r="679" spans="1:23" ht="12.75" customHeight="1" outlineLevel="1">
      <c r="A679" s="386" t="s">
        <v>146</v>
      </c>
      <c r="B679" s="379">
        <f>C596</f>
        <v>10</v>
      </c>
      <c r="C679" s="354"/>
      <c r="D679" s="366"/>
      <c r="E679" s="366"/>
    </row>
    <row r="680" spans="1:23" ht="12.75" customHeight="1" outlineLevel="1">
      <c r="A680" s="386" t="s">
        <v>147</v>
      </c>
      <c r="B680" s="379" t="str">
        <f>D596</f>
        <v>Straight Line</v>
      </c>
      <c r="C680" s="354"/>
      <c r="D680" s="366"/>
      <c r="E680" s="366"/>
    </row>
    <row r="681" spans="1:23" ht="12.75" customHeight="1" outlineLevel="1">
      <c r="A681" s="364" t="s">
        <v>148</v>
      </c>
      <c r="B681" s="365">
        <f>IF(B680="Straight Line",1/B679,IF(B680="Declining Balance",1/B679*2,1))</f>
        <v>0.1</v>
      </c>
      <c r="C681" s="358"/>
      <c r="D681" s="366"/>
      <c r="E681" s="366"/>
    </row>
    <row r="682" spans="1:23" ht="12.75" customHeight="1" outlineLevel="1">
      <c r="A682" s="366"/>
      <c r="B682" s="383"/>
      <c r="C682" s="366"/>
      <c r="D682" s="366"/>
      <c r="E682" s="366"/>
    </row>
    <row r="683" spans="1:23" ht="12.75" customHeight="1" outlineLevel="1">
      <c r="A683" s="366" t="s">
        <v>154</v>
      </c>
      <c r="B683" s="403" t="s">
        <v>184</v>
      </c>
      <c r="C683" s="426">
        <f t="shared" ref="C683:H683" si="189">B683+1</f>
        <v>2012</v>
      </c>
      <c r="D683" s="426">
        <f t="shared" si="189"/>
        <v>2013</v>
      </c>
      <c r="E683" s="426">
        <f t="shared" si="189"/>
        <v>2014</v>
      </c>
      <c r="F683" s="426">
        <f t="shared" si="189"/>
        <v>2015</v>
      </c>
      <c r="G683" s="426">
        <f t="shared" si="189"/>
        <v>2016</v>
      </c>
      <c r="H683" s="427">
        <f t="shared" si="189"/>
        <v>2017</v>
      </c>
      <c r="I683" s="426">
        <v>2018</v>
      </c>
      <c r="J683" s="426">
        <v>2019</v>
      </c>
      <c r="K683" s="426">
        <v>2020</v>
      </c>
      <c r="L683" s="426">
        <v>2021</v>
      </c>
      <c r="M683" s="427">
        <v>2022</v>
      </c>
    </row>
    <row r="684" spans="1:23" ht="12.75" customHeight="1" outlineLevel="1">
      <c r="A684" s="391" t="s">
        <v>155</v>
      </c>
      <c r="B684" s="392">
        <v>0</v>
      </c>
      <c r="C684" s="393">
        <v>0</v>
      </c>
      <c r="D684" s="598">
        <f>SUM(Input!H44:H46)-SUM(Input!H78:H80)</f>
        <v>5.8556168704458074E-2</v>
      </c>
      <c r="E684" s="599">
        <f>SUM(Input!I44:I46)-SUM(Input!I78:I80)</f>
        <v>6.180750268154854E-2</v>
      </c>
      <c r="F684" s="599">
        <f>SUM(Input!J44:J46)-SUM(Input!J78:J80)</f>
        <v>5.1916741978836285E-2</v>
      </c>
      <c r="G684" s="599">
        <f>SUM(Input!K44:K46)-SUM(Input!K78:K80)</f>
        <v>0.13019589893852396</v>
      </c>
      <c r="H684" s="597">
        <f>SUM(Input!L44:L46)-SUM(Input!L78:L80)</f>
        <v>0.41361428785156662</v>
      </c>
      <c r="I684" s="436"/>
      <c r="J684" s="437"/>
      <c r="K684" s="437"/>
      <c r="L684" s="437"/>
      <c r="M684" s="438"/>
    </row>
    <row r="685" spans="1:23" ht="12.75" customHeight="1" outlineLevel="1">
      <c r="A685" s="366"/>
      <c r="B685" s="383"/>
      <c r="C685" s="366"/>
    </row>
    <row r="686" spans="1:23" ht="12.75" customHeight="1" outlineLevel="1">
      <c r="B686" s="367">
        <v>1996</v>
      </c>
      <c r="C686" s="368">
        <v>1997</v>
      </c>
      <c r="D686" s="367">
        <v>1998</v>
      </c>
      <c r="E686" s="369">
        <v>1999</v>
      </c>
      <c r="F686" s="369">
        <v>2000</v>
      </c>
      <c r="G686" s="369">
        <v>2001</v>
      </c>
      <c r="H686" s="368">
        <v>2002</v>
      </c>
      <c r="I686" s="367">
        <v>2003</v>
      </c>
      <c r="J686" s="369">
        <v>2004</v>
      </c>
      <c r="K686" s="369">
        <v>2005</v>
      </c>
      <c r="L686" s="369">
        <v>2006</v>
      </c>
      <c r="M686" s="368">
        <v>2007</v>
      </c>
      <c r="N686" s="367">
        <v>2008</v>
      </c>
      <c r="O686" s="369">
        <v>2009</v>
      </c>
      <c r="P686" s="369">
        <v>2010</v>
      </c>
      <c r="Q686" s="369">
        <v>2011</v>
      </c>
      <c r="R686" s="368">
        <v>2012</v>
      </c>
      <c r="S686" s="367">
        <f t="shared" ref="S686:W686" si="190">R686+1</f>
        <v>2013</v>
      </c>
      <c r="T686" s="369">
        <f t="shared" si="190"/>
        <v>2014</v>
      </c>
      <c r="U686" s="369">
        <f t="shared" si="190"/>
        <v>2015</v>
      </c>
      <c r="V686" s="369">
        <f t="shared" si="190"/>
        <v>2016</v>
      </c>
      <c r="W686" s="368">
        <f t="shared" si="190"/>
        <v>2017</v>
      </c>
    </row>
    <row r="687" spans="1:23" ht="12.75" customHeight="1" outlineLevel="1">
      <c r="A687" s="346" t="s">
        <v>2</v>
      </c>
      <c r="B687" s="379">
        <f>B678</f>
        <v>0</v>
      </c>
      <c r="C687" s="395">
        <f t="shared" ref="C687:W687" si="191">B690</f>
        <v>0</v>
      </c>
      <c r="D687" s="379">
        <f t="shared" si="191"/>
        <v>0</v>
      </c>
      <c r="E687" s="383">
        <f t="shared" si="191"/>
        <v>0</v>
      </c>
      <c r="F687" s="383">
        <f t="shared" si="191"/>
        <v>0</v>
      </c>
      <c r="G687" s="383">
        <f t="shared" si="191"/>
        <v>0</v>
      </c>
      <c r="H687" s="395">
        <f t="shared" si="191"/>
        <v>0</v>
      </c>
      <c r="I687" s="379">
        <f t="shared" si="191"/>
        <v>0</v>
      </c>
      <c r="J687" s="383">
        <f t="shared" si="191"/>
        <v>0</v>
      </c>
      <c r="K687" s="383">
        <f t="shared" si="191"/>
        <v>0</v>
      </c>
      <c r="L687" s="383">
        <f t="shared" si="191"/>
        <v>0</v>
      </c>
      <c r="M687" s="395">
        <f t="shared" si="191"/>
        <v>0</v>
      </c>
      <c r="N687" s="413">
        <f t="shared" si="191"/>
        <v>0</v>
      </c>
      <c r="O687" s="383">
        <f t="shared" si="191"/>
        <v>0</v>
      </c>
      <c r="P687" s="383">
        <f t="shared" si="191"/>
        <v>0</v>
      </c>
      <c r="Q687" s="383">
        <f t="shared" si="191"/>
        <v>0</v>
      </c>
      <c r="R687" s="395">
        <f t="shared" si="191"/>
        <v>0</v>
      </c>
      <c r="S687" s="413">
        <f t="shared" si="191"/>
        <v>0</v>
      </c>
      <c r="T687" s="383">
        <f t="shared" si="191"/>
        <v>5.5628360269235171E-2</v>
      </c>
      <c r="U687" s="383">
        <f t="shared" si="191"/>
        <v>0.10848987094626047</v>
      </c>
      <c r="V687" s="383">
        <f t="shared" si="191"/>
        <v>0.14577440868755429</v>
      </c>
      <c r="W687" s="395">
        <f t="shared" si="191"/>
        <v>0.25223247134266774</v>
      </c>
    </row>
    <row r="688" spans="1:23" ht="12.75" customHeight="1" outlineLevel="1">
      <c r="A688" s="351" t="s">
        <v>156</v>
      </c>
      <c r="B688" s="379">
        <v>0</v>
      </c>
      <c r="C688" s="395">
        <v>0</v>
      </c>
      <c r="D688" s="379">
        <v>0</v>
      </c>
      <c r="E688" s="383">
        <v>0</v>
      </c>
      <c r="F688" s="383">
        <v>0</v>
      </c>
      <c r="G688" s="383">
        <v>0</v>
      </c>
      <c r="H688" s="395">
        <v>0</v>
      </c>
      <c r="I688" s="379">
        <v>0</v>
      </c>
      <c r="J688" s="383">
        <v>0</v>
      </c>
      <c r="K688" s="383">
        <v>0</v>
      </c>
      <c r="L688" s="383">
        <f>B684</f>
        <v>0</v>
      </c>
      <c r="M688" s="395">
        <f>C684</f>
        <v>0</v>
      </c>
      <c r="N688" s="379">
        <v>0</v>
      </c>
      <c r="O688" s="383">
        <v>0</v>
      </c>
      <c r="P688" s="383">
        <v>0</v>
      </c>
      <c r="Q688" s="383">
        <f t="shared" ref="Q688:W688" si="192">B684</f>
        <v>0</v>
      </c>
      <c r="R688" s="395">
        <f t="shared" si="192"/>
        <v>0</v>
      </c>
      <c r="S688" s="379">
        <f t="shared" si="192"/>
        <v>5.8556168704458074E-2</v>
      </c>
      <c r="T688" s="383">
        <f t="shared" si="192"/>
        <v>6.180750268154854E-2</v>
      </c>
      <c r="U688" s="383">
        <f t="shared" si="192"/>
        <v>5.1916741978836285E-2</v>
      </c>
      <c r="V688" s="383">
        <f t="shared" si="192"/>
        <v>0.13019589893852396</v>
      </c>
      <c r="W688" s="395">
        <f t="shared" si="192"/>
        <v>0.41361428785156662</v>
      </c>
    </row>
    <row r="689" spans="1:23" ht="12.75" customHeight="1" outlineLevel="1">
      <c r="A689" s="351" t="s">
        <v>157</v>
      </c>
      <c r="B689" s="375">
        <f>IF($B681=1,B688+B687,B688*$B681*0.5)</f>
        <v>0</v>
      </c>
      <c r="C689" s="375">
        <f t="shared" ref="C689:R689" si="193">IF($B681=1,C688+C687,(C687+C688*0.5)*$B681)</f>
        <v>0</v>
      </c>
      <c r="D689" s="396">
        <f t="shared" si="193"/>
        <v>0</v>
      </c>
      <c r="E689" s="375">
        <f t="shared" si="193"/>
        <v>0</v>
      </c>
      <c r="F689" s="375">
        <f t="shared" si="193"/>
        <v>0</v>
      </c>
      <c r="G689" s="375">
        <f t="shared" si="193"/>
        <v>0</v>
      </c>
      <c r="H689" s="397">
        <f t="shared" si="193"/>
        <v>0</v>
      </c>
      <c r="I689" s="396">
        <f t="shared" si="193"/>
        <v>0</v>
      </c>
      <c r="J689" s="375">
        <f t="shared" si="193"/>
        <v>0</v>
      </c>
      <c r="K689" s="375">
        <f t="shared" si="193"/>
        <v>0</v>
      </c>
      <c r="L689" s="375">
        <f t="shared" si="193"/>
        <v>0</v>
      </c>
      <c r="M689" s="397">
        <f t="shared" si="193"/>
        <v>0</v>
      </c>
      <c r="N689" s="396">
        <f t="shared" si="193"/>
        <v>0</v>
      </c>
      <c r="O689" s="375">
        <f t="shared" si="193"/>
        <v>0</v>
      </c>
      <c r="P689" s="375">
        <f t="shared" si="193"/>
        <v>0</v>
      </c>
      <c r="Q689" s="375">
        <f t="shared" si="193"/>
        <v>0</v>
      </c>
      <c r="R689" s="397">
        <f t="shared" si="193"/>
        <v>0</v>
      </c>
      <c r="S689" s="442">
        <f>(SUM(S688*0.5)*$B$681)</f>
        <v>2.9278084352229038E-3</v>
      </c>
      <c r="T689" s="444">
        <f>(SUM($S688:S688)+T688*0.5)*$B$681</f>
        <v>8.9459920045232341E-3</v>
      </c>
      <c r="U689" s="444">
        <f>(SUM($S688:T688)+U688*0.5)*$B$681</f>
        <v>1.4632204237542476E-2</v>
      </c>
      <c r="V689" s="444">
        <f>(SUM($S688:U688)+V688*0.5)*$B$681</f>
        <v>2.3737836283410488E-2</v>
      </c>
      <c r="W689" s="444">
        <f>(SUM($S688:V688)+W688*0.5)*$B$681</f>
        <v>5.0928345622915018E-2</v>
      </c>
    </row>
    <row r="690" spans="1:23" ht="12.75" customHeight="1" outlineLevel="1">
      <c r="A690" s="355" t="s">
        <v>113</v>
      </c>
      <c r="B690" s="382">
        <f t="shared" ref="B690:W690" si="194">B687+B688-B689</f>
        <v>0</v>
      </c>
      <c r="C690" s="398">
        <f t="shared" si="194"/>
        <v>0</v>
      </c>
      <c r="D690" s="382">
        <f t="shared" si="194"/>
        <v>0</v>
      </c>
      <c r="E690" s="399">
        <f t="shared" si="194"/>
        <v>0</v>
      </c>
      <c r="F690" s="399">
        <f t="shared" si="194"/>
        <v>0</v>
      </c>
      <c r="G690" s="399">
        <f t="shared" si="194"/>
        <v>0</v>
      </c>
      <c r="H690" s="398">
        <f t="shared" si="194"/>
        <v>0</v>
      </c>
      <c r="I690" s="382">
        <f t="shared" si="194"/>
        <v>0</v>
      </c>
      <c r="J690" s="399">
        <f t="shared" si="194"/>
        <v>0</v>
      </c>
      <c r="K690" s="399">
        <f t="shared" si="194"/>
        <v>0</v>
      </c>
      <c r="L690" s="399">
        <f t="shared" si="194"/>
        <v>0</v>
      </c>
      <c r="M690" s="398">
        <f t="shared" si="194"/>
        <v>0</v>
      </c>
      <c r="N690" s="382">
        <f t="shared" si="194"/>
        <v>0</v>
      </c>
      <c r="O690" s="399">
        <f t="shared" si="194"/>
        <v>0</v>
      </c>
      <c r="P690" s="399">
        <f t="shared" si="194"/>
        <v>0</v>
      </c>
      <c r="Q690" s="399">
        <f t="shared" si="194"/>
        <v>0</v>
      </c>
      <c r="R690" s="398">
        <f t="shared" si="194"/>
        <v>0</v>
      </c>
      <c r="S690" s="382">
        <f t="shared" si="194"/>
        <v>5.5628360269235171E-2</v>
      </c>
      <c r="T690" s="399">
        <f t="shared" si="194"/>
        <v>0.10848987094626047</v>
      </c>
      <c r="U690" s="399">
        <f t="shared" si="194"/>
        <v>0.14577440868755429</v>
      </c>
      <c r="V690" s="399">
        <f t="shared" si="194"/>
        <v>0.25223247134266774</v>
      </c>
      <c r="W690" s="398">
        <f t="shared" si="194"/>
        <v>0.61491841357131927</v>
      </c>
    </row>
    <row r="691" spans="1:23" ht="12.75" customHeight="1" outlineLevel="1">
      <c r="A691" s="366"/>
      <c r="B691" s="383"/>
      <c r="C691" s="383"/>
      <c r="D691" s="383"/>
      <c r="E691" s="383"/>
      <c r="F691" s="383"/>
      <c r="G691" s="383"/>
      <c r="H691" s="383"/>
      <c r="I691" s="383"/>
      <c r="J691" s="383"/>
      <c r="K691" s="383"/>
      <c r="L691" s="383"/>
      <c r="M691" s="383"/>
      <c r="N691" s="383"/>
      <c r="O691" s="383"/>
      <c r="P691" s="383"/>
      <c r="Q691" s="383"/>
      <c r="R691" s="383"/>
      <c r="S691" s="383"/>
      <c r="T691" s="383"/>
      <c r="U691" s="383"/>
      <c r="V691" s="383"/>
      <c r="W691" s="383"/>
    </row>
    <row r="692" spans="1:23" ht="12.75" customHeight="1" outlineLevel="1">
      <c r="A692" s="360" t="str">
        <f>A597</f>
        <v>Repairs</v>
      </c>
    </row>
    <row r="693" spans="1:23" ht="12.75" customHeight="1" outlineLevel="1">
      <c r="A693" s="385" t="s">
        <v>145</v>
      </c>
      <c r="B693" s="377">
        <f>B597</f>
        <v>0</v>
      </c>
      <c r="C693" s="350"/>
      <c r="D693" s="366"/>
      <c r="E693" s="366"/>
    </row>
    <row r="694" spans="1:23" ht="12.75" customHeight="1" outlineLevel="1">
      <c r="A694" s="386" t="s">
        <v>146</v>
      </c>
      <c r="B694" s="379">
        <f>C597</f>
        <v>0</v>
      </c>
      <c r="C694" s="354"/>
      <c r="D694" s="366"/>
      <c r="E694" s="366"/>
    </row>
    <row r="695" spans="1:23" ht="12.75" customHeight="1" outlineLevel="1">
      <c r="A695" s="386" t="s">
        <v>147</v>
      </c>
      <c r="B695" s="379" t="str">
        <f>D597</f>
        <v>Fully Deductible</v>
      </c>
      <c r="C695" s="354"/>
      <c r="D695" s="366"/>
      <c r="E695" s="366"/>
    </row>
    <row r="696" spans="1:23" ht="12.75" customHeight="1" outlineLevel="1">
      <c r="A696" s="364" t="s">
        <v>148</v>
      </c>
      <c r="B696" s="365">
        <f>IF(B695="Straight Line",1/B694,IF(B695="Declining Balance",1/B694*2,1))</f>
        <v>1</v>
      </c>
      <c r="C696" s="358"/>
      <c r="D696" s="366"/>
      <c r="E696" s="366"/>
    </row>
    <row r="697" spans="1:23" ht="12.75" customHeight="1" outlineLevel="1">
      <c r="A697" s="366"/>
      <c r="B697" s="383"/>
      <c r="C697" s="366"/>
      <c r="D697" s="366"/>
      <c r="E697" s="366"/>
    </row>
    <row r="698" spans="1:23" ht="12.75" customHeight="1" outlineLevel="1">
      <c r="A698" s="366" t="s">
        <v>154</v>
      </c>
      <c r="B698" s="403" t="s">
        <v>184</v>
      </c>
      <c r="C698" s="426">
        <f t="shared" ref="C698:H698" si="195">B698+1</f>
        <v>2012</v>
      </c>
      <c r="D698" s="426">
        <f t="shared" si="195"/>
        <v>2013</v>
      </c>
      <c r="E698" s="426">
        <f t="shared" si="195"/>
        <v>2014</v>
      </c>
      <c r="F698" s="426">
        <f t="shared" si="195"/>
        <v>2015</v>
      </c>
      <c r="G698" s="426">
        <f t="shared" si="195"/>
        <v>2016</v>
      </c>
      <c r="H698" s="427">
        <f t="shared" si="195"/>
        <v>2017</v>
      </c>
      <c r="I698" s="426">
        <v>2018</v>
      </c>
      <c r="J698" s="426">
        <v>2019</v>
      </c>
      <c r="K698" s="426">
        <v>2020</v>
      </c>
      <c r="L698" s="426">
        <v>2021</v>
      </c>
      <c r="M698" s="427">
        <v>2022</v>
      </c>
    </row>
    <row r="699" spans="1:23" ht="12.75" customHeight="1" outlineLevel="1">
      <c r="A699" s="391" t="s">
        <v>155</v>
      </c>
      <c r="B699" s="392">
        <v>0</v>
      </c>
      <c r="C699" s="393">
        <v>0</v>
      </c>
      <c r="D699" s="436">
        <v>0</v>
      </c>
      <c r="E699" s="437">
        <v>0</v>
      </c>
      <c r="F699" s="437">
        <v>0</v>
      </c>
      <c r="G699" s="437">
        <v>0</v>
      </c>
      <c r="H699" s="438">
        <v>0</v>
      </c>
      <c r="I699" s="436"/>
      <c r="J699" s="437"/>
      <c r="K699" s="437"/>
      <c r="L699" s="437"/>
      <c r="M699" s="438"/>
    </row>
    <row r="700" spans="1:23" ht="12.75" customHeight="1" outlineLevel="1">
      <c r="A700" s="366"/>
      <c r="B700" s="383"/>
      <c r="C700" s="366"/>
    </row>
    <row r="701" spans="1:23" ht="12.75" customHeight="1" outlineLevel="1">
      <c r="B701" s="367">
        <v>1996</v>
      </c>
      <c r="C701" s="368">
        <v>1997</v>
      </c>
      <c r="D701" s="367">
        <v>1998</v>
      </c>
      <c r="E701" s="369">
        <v>1999</v>
      </c>
      <c r="F701" s="369">
        <v>2000</v>
      </c>
      <c r="G701" s="369">
        <v>2001</v>
      </c>
      <c r="H701" s="368">
        <v>2002</v>
      </c>
      <c r="I701" s="367">
        <v>2003</v>
      </c>
      <c r="J701" s="369">
        <v>2004</v>
      </c>
      <c r="K701" s="369">
        <v>2005</v>
      </c>
      <c r="L701" s="369">
        <v>2006</v>
      </c>
      <c r="M701" s="368">
        <v>2007</v>
      </c>
      <c r="N701" s="367">
        <v>2008</v>
      </c>
      <c r="O701" s="369">
        <v>2009</v>
      </c>
      <c r="P701" s="369">
        <v>2010</v>
      </c>
      <c r="Q701" s="369">
        <v>2011</v>
      </c>
      <c r="R701" s="368">
        <v>2012</v>
      </c>
      <c r="S701" s="367">
        <f t="shared" ref="S701:W701" si="196">R701+1</f>
        <v>2013</v>
      </c>
      <c r="T701" s="369">
        <f t="shared" si="196"/>
        <v>2014</v>
      </c>
      <c r="U701" s="369">
        <f t="shared" si="196"/>
        <v>2015</v>
      </c>
      <c r="V701" s="369">
        <f t="shared" si="196"/>
        <v>2016</v>
      </c>
      <c r="W701" s="368">
        <f t="shared" si="196"/>
        <v>2017</v>
      </c>
    </row>
    <row r="702" spans="1:23" ht="12.75" customHeight="1" outlineLevel="1">
      <c r="A702" s="346" t="s">
        <v>2</v>
      </c>
      <c r="B702" s="379">
        <f>B693</f>
        <v>0</v>
      </c>
      <c r="C702" s="395">
        <f t="shared" ref="C702:W702" si="197">B705</f>
        <v>0</v>
      </c>
      <c r="D702" s="379">
        <f t="shared" si="197"/>
        <v>0</v>
      </c>
      <c r="E702" s="383">
        <f t="shared" si="197"/>
        <v>0</v>
      </c>
      <c r="F702" s="383">
        <f t="shared" si="197"/>
        <v>0</v>
      </c>
      <c r="G702" s="383">
        <f t="shared" si="197"/>
        <v>0</v>
      </c>
      <c r="H702" s="395">
        <f t="shared" si="197"/>
        <v>0</v>
      </c>
      <c r="I702" s="379">
        <f t="shared" si="197"/>
        <v>0</v>
      </c>
      <c r="J702" s="383">
        <f t="shared" si="197"/>
        <v>0</v>
      </c>
      <c r="K702" s="383">
        <f t="shared" si="197"/>
        <v>0</v>
      </c>
      <c r="L702" s="383">
        <f t="shared" si="197"/>
        <v>0</v>
      </c>
      <c r="M702" s="395">
        <f t="shared" si="197"/>
        <v>0</v>
      </c>
      <c r="N702" s="413">
        <f t="shared" si="197"/>
        <v>0</v>
      </c>
      <c r="O702" s="383">
        <f t="shared" si="197"/>
        <v>0</v>
      </c>
      <c r="P702" s="383">
        <f t="shared" si="197"/>
        <v>0</v>
      </c>
      <c r="Q702" s="383">
        <f t="shared" si="197"/>
        <v>0</v>
      </c>
      <c r="R702" s="395">
        <f t="shared" si="197"/>
        <v>0</v>
      </c>
      <c r="S702" s="413">
        <f t="shared" si="197"/>
        <v>0</v>
      </c>
      <c r="T702" s="383">
        <f t="shared" si="197"/>
        <v>0</v>
      </c>
      <c r="U702" s="383">
        <f t="shared" si="197"/>
        <v>0</v>
      </c>
      <c r="V702" s="383">
        <f t="shared" si="197"/>
        <v>0</v>
      </c>
      <c r="W702" s="395">
        <f t="shared" si="197"/>
        <v>0</v>
      </c>
    </row>
    <row r="703" spans="1:23" ht="12.75" customHeight="1" outlineLevel="1">
      <c r="A703" s="351" t="s">
        <v>156</v>
      </c>
      <c r="B703" s="379">
        <v>0</v>
      </c>
      <c r="C703" s="395">
        <v>0</v>
      </c>
      <c r="D703" s="379">
        <v>0</v>
      </c>
      <c r="E703" s="383">
        <v>0</v>
      </c>
      <c r="F703" s="383">
        <v>0</v>
      </c>
      <c r="G703" s="383">
        <v>0</v>
      </c>
      <c r="H703" s="395">
        <v>0</v>
      </c>
      <c r="I703" s="379">
        <v>0</v>
      </c>
      <c r="J703" s="383">
        <v>0</v>
      </c>
      <c r="K703" s="383">
        <v>0</v>
      </c>
      <c r="L703" s="383">
        <f>B699</f>
        <v>0</v>
      </c>
      <c r="M703" s="395">
        <f>C699</f>
        <v>0</v>
      </c>
      <c r="N703" s="379">
        <v>0</v>
      </c>
      <c r="O703" s="383">
        <v>0</v>
      </c>
      <c r="P703" s="383">
        <v>0</v>
      </c>
      <c r="Q703" s="383">
        <f t="shared" ref="Q703:W703" si="198">B699</f>
        <v>0</v>
      </c>
      <c r="R703" s="395">
        <f t="shared" si="198"/>
        <v>0</v>
      </c>
      <c r="S703" s="379">
        <f t="shared" si="198"/>
        <v>0</v>
      </c>
      <c r="T703" s="383">
        <f t="shared" si="198"/>
        <v>0</v>
      </c>
      <c r="U703" s="383">
        <f t="shared" si="198"/>
        <v>0</v>
      </c>
      <c r="V703" s="383">
        <f t="shared" si="198"/>
        <v>0</v>
      </c>
      <c r="W703" s="395">
        <f t="shared" si="198"/>
        <v>0</v>
      </c>
    </row>
    <row r="704" spans="1:23" ht="12.75" customHeight="1" outlineLevel="1">
      <c r="A704" s="351" t="s">
        <v>157</v>
      </c>
      <c r="B704" s="375">
        <f>IF($B696=1,B703+B702,B703*$B696*0.5)</f>
        <v>0</v>
      </c>
      <c r="C704" s="375">
        <f t="shared" ref="C704:W704" si="199">IF($B696=1,C703+C702,(C702+C703*0.5)*$B696)</f>
        <v>0</v>
      </c>
      <c r="D704" s="396">
        <f t="shared" si="199"/>
        <v>0</v>
      </c>
      <c r="E704" s="375">
        <f t="shared" si="199"/>
        <v>0</v>
      </c>
      <c r="F704" s="375">
        <f t="shared" si="199"/>
        <v>0</v>
      </c>
      <c r="G704" s="375">
        <f t="shared" si="199"/>
        <v>0</v>
      </c>
      <c r="H704" s="397">
        <f t="shared" si="199"/>
        <v>0</v>
      </c>
      <c r="I704" s="396">
        <f t="shared" si="199"/>
        <v>0</v>
      </c>
      <c r="J704" s="375">
        <f t="shared" si="199"/>
        <v>0</v>
      </c>
      <c r="K704" s="375">
        <f t="shared" si="199"/>
        <v>0</v>
      </c>
      <c r="L704" s="375">
        <f t="shared" si="199"/>
        <v>0</v>
      </c>
      <c r="M704" s="397">
        <f t="shared" si="199"/>
        <v>0</v>
      </c>
      <c r="N704" s="396">
        <f t="shared" si="199"/>
        <v>0</v>
      </c>
      <c r="O704" s="375">
        <f t="shared" si="199"/>
        <v>0</v>
      </c>
      <c r="P704" s="375">
        <f t="shared" si="199"/>
        <v>0</v>
      </c>
      <c r="Q704" s="375">
        <f t="shared" si="199"/>
        <v>0</v>
      </c>
      <c r="R704" s="397">
        <f t="shared" si="199"/>
        <v>0</v>
      </c>
      <c r="S704" s="396">
        <f t="shared" si="199"/>
        <v>0</v>
      </c>
      <c r="T704" s="375">
        <f t="shared" si="199"/>
        <v>0</v>
      </c>
      <c r="U704" s="375">
        <f t="shared" si="199"/>
        <v>0</v>
      </c>
      <c r="V704" s="375">
        <f t="shared" si="199"/>
        <v>0</v>
      </c>
      <c r="W704" s="397">
        <f t="shared" si="199"/>
        <v>0</v>
      </c>
    </row>
    <row r="705" spans="1:92" ht="12.75" customHeight="1" outlineLevel="1">
      <c r="A705" s="355" t="s">
        <v>113</v>
      </c>
      <c r="B705" s="382">
        <f t="shared" ref="B705:W705" si="200">B702+B703-B704</f>
        <v>0</v>
      </c>
      <c r="C705" s="398">
        <f t="shared" si="200"/>
        <v>0</v>
      </c>
      <c r="D705" s="382">
        <f t="shared" si="200"/>
        <v>0</v>
      </c>
      <c r="E705" s="399">
        <f t="shared" si="200"/>
        <v>0</v>
      </c>
      <c r="F705" s="399">
        <f t="shared" si="200"/>
        <v>0</v>
      </c>
      <c r="G705" s="399">
        <f t="shared" si="200"/>
        <v>0</v>
      </c>
      <c r="H705" s="398">
        <f t="shared" si="200"/>
        <v>0</v>
      </c>
      <c r="I705" s="382">
        <f t="shared" si="200"/>
        <v>0</v>
      </c>
      <c r="J705" s="399">
        <f t="shared" si="200"/>
        <v>0</v>
      </c>
      <c r="K705" s="399">
        <f t="shared" si="200"/>
        <v>0</v>
      </c>
      <c r="L705" s="399">
        <f t="shared" si="200"/>
        <v>0</v>
      </c>
      <c r="M705" s="398">
        <f t="shared" si="200"/>
        <v>0</v>
      </c>
      <c r="N705" s="382">
        <f t="shared" si="200"/>
        <v>0</v>
      </c>
      <c r="O705" s="399">
        <f t="shared" si="200"/>
        <v>0</v>
      </c>
      <c r="P705" s="399">
        <f t="shared" si="200"/>
        <v>0</v>
      </c>
      <c r="Q705" s="399">
        <f t="shared" si="200"/>
        <v>0</v>
      </c>
      <c r="R705" s="398">
        <f t="shared" si="200"/>
        <v>0</v>
      </c>
      <c r="S705" s="382">
        <f t="shared" si="200"/>
        <v>0</v>
      </c>
      <c r="T705" s="399">
        <f t="shared" si="200"/>
        <v>0</v>
      </c>
      <c r="U705" s="399">
        <f t="shared" si="200"/>
        <v>0</v>
      </c>
      <c r="V705" s="399">
        <f t="shared" si="200"/>
        <v>0</v>
      </c>
      <c r="W705" s="398">
        <f t="shared" si="200"/>
        <v>0</v>
      </c>
    </row>
    <row r="706" spans="1:92" ht="12.75" customHeight="1" outlineLevel="1"/>
    <row r="707" spans="1:92" ht="12.75" customHeight="1" outlineLevel="1"/>
    <row r="708" spans="1:92" ht="12.75" customHeight="1" outlineLevel="1">
      <c r="A708" s="360" t="s">
        <v>185</v>
      </c>
    </row>
    <row r="709" spans="1:92" ht="12.75" customHeight="1" outlineLevel="1">
      <c r="A709" s="360"/>
    </row>
    <row r="710" spans="1:92" ht="12.75" customHeight="1" outlineLevel="1">
      <c r="B710" s="367">
        <v>1996</v>
      </c>
      <c r="C710" s="368">
        <v>1997</v>
      </c>
      <c r="D710" s="367">
        <v>1998</v>
      </c>
      <c r="E710" s="369">
        <v>1999</v>
      </c>
      <c r="F710" s="369">
        <v>2000</v>
      </c>
      <c r="G710" s="369">
        <v>2001</v>
      </c>
      <c r="H710" s="368">
        <v>2002</v>
      </c>
      <c r="I710" s="367">
        <v>2003</v>
      </c>
      <c r="J710" s="369">
        <v>2004</v>
      </c>
      <c r="K710" s="369">
        <v>2005</v>
      </c>
      <c r="L710" s="369">
        <v>2006</v>
      </c>
      <c r="M710" s="368">
        <v>2007</v>
      </c>
      <c r="N710" s="367">
        <v>2008</v>
      </c>
      <c r="O710" s="369">
        <v>2009</v>
      </c>
      <c r="P710" s="369">
        <v>2010</v>
      </c>
      <c r="Q710" s="369">
        <v>2011</v>
      </c>
      <c r="R710" s="368">
        <v>2012</v>
      </c>
      <c r="S710" s="466">
        <f t="shared" ref="S710:W710" si="201">R710+1</f>
        <v>2013</v>
      </c>
      <c r="T710" s="467">
        <f t="shared" si="201"/>
        <v>2014</v>
      </c>
      <c r="U710" s="467">
        <f t="shared" si="201"/>
        <v>2015</v>
      </c>
      <c r="V710" s="467">
        <f t="shared" si="201"/>
        <v>2016</v>
      </c>
      <c r="W710" s="468">
        <f t="shared" si="201"/>
        <v>2017</v>
      </c>
    </row>
    <row r="711" spans="1:92" ht="12.75" customHeight="1" outlineLevel="1">
      <c r="A711" s="346" t="s">
        <v>2</v>
      </c>
      <c r="B711" s="353">
        <f>B612+B627+B642+B657+B687+B702</f>
        <v>0</v>
      </c>
      <c r="C711" s="370">
        <f t="shared" ref="C711:R714" si="202">C612+C627+C642+C657+C687+C702</f>
        <v>0</v>
      </c>
      <c r="D711" s="353">
        <f t="shared" si="202"/>
        <v>0</v>
      </c>
      <c r="E711" s="363">
        <f t="shared" si="202"/>
        <v>0</v>
      </c>
      <c r="F711" s="363">
        <f t="shared" si="202"/>
        <v>0</v>
      </c>
      <c r="G711" s="363">
        <f t="shared" si="202"/>
        <v>0</v>
      </c>
      <c r="H711" s="370">
        <f t="shared" si="202"/>
        <v>0</v>
      </c>
      <c r="I711" s="353">
        <f t="shared" si="202"/>
        <v>0</v>
      </c>
      <c r="J711" s="363">
        <f t="shared" si="202"/>
        <v>0</v>
      </c>
      <c r="K711" s="363">
        <f t="shared" si="202"/>
        <v>0</v>
      </c>
      <c r="L711" s="363">
        <f t="shared" si="202"/>
        <v>0</v>
      </c>
      <c r="M711" s="370">
        <f t="shared" si="202"/>
        <v>0</v>
      </c>
      <c r="N711" s="413">
        <f t="shared" si="202"/>
        <v>0</v>
      </c>
      <c r="O711" s="363">
        <f t="shared" si="202"/>
        <v>0</v>
      </c>
      <c r="P711" s="363">
        <f t="shared" si="202"/>
        <v>0</v>
      </c>
      <c r="Q711" s="363">
        <f t="shared" si="202"/>
        <v>0</v>
      </c>
      <c r="R711" s="363">
        <f t="shared" si="202"/>
        <v>0</v>
      </c>
      <c r="S711" s="469">
        <f>S612+S627+S642+S657+S672+S687+S702</f>
        <v>0</v>
      </c>
      <c r="T711" s="470">
        <f t="shared" ref="T711:W714" si="203">T612+T627+T642+T657+T672+T687+T702</f>
        <v>1.1676237586015341</v>
      </c>
      <c r="U711" s="470">
        <f t="shared" si="203"/>
        <v>2.1633904567483944</v>
      </c>
      <c r="V711" s="470">
        <f t="shared" si="203"/>
        <v>3.2415949558951871</v>
      </c>
      <c r="W711" s="471">
        <f t="shared" si="203"/>
        <v>4.8457408662429344</v>
      </c>
    </row>
    <row r="712" spans="1:92" ht="12.75" customHeight="1" outlineLevel="1">
      <c r="A712" s="351" t="s">
        <v>154</v>
      </c>
      <c r="B712" s="353">
        <f>B613+B628+B643+B658+B688+B703</f>
        <v>0</v>
      </c>
      <c r="C712" s="370">
        <f t="shared" si="202"/>
        <v>0</v>
      </c>
      <c r="D712" s="353">
        <f t="shared" si="202"/>
        <v>0</v>
      </c>
      <c r="E712" s="363">
        <f t="shared" si="202"/>
        <v>0</v>
      </c>
      <c r="F712" s="363">
        <f t="shared" si="202"/>
        <v>0</v>
      </c>
      <c r="G712" s="363">
        <f t="shared" si="202"/>
        <v>0</v>
      </c>
      <c r="H712" s="370">
        <f t="shared" si="202"/>
        <v>0</v>
      </c>
      <c r="I712" s="353">
        <f t="shared" si="202"/>
        <v>0</v>
      </c>
      <c r="J712" s="363">
        <f t="shared" si="202"/>
        <v>0</v>
      </c>
      <c r="K712" s="363">
        <f t="shared" si="202"/>
        <v>0</v>
      </c>
      <c r="L712" s="363">
        <f t="shared" si="202"/>
        <v>0</v>
      </c>
      <c r="M712" s="370">
        <f t="shared" si="202"/>
        <v>0</v>
      </c>
      <c r="N712" s="353">
        <f t="shared" si="202"/>
        <v>0</v>
      </c>
      <c r="O712" s="363">
        <f t="shared" si="202"/>
        <v>0</v>
      </c>
      <c r="P712" s="363">
        <f t="shared" si="202"/>
        <v>0</v>
      </c>
      <c r="Q712" s="363">
        <f t="shared" si="202"/>
        <v>0</v>
      </c>
      <c r="R712" s="363">
        <f t="shared" si="202"/>
        <v>0</v>
      </c>
      <c r="S712" s="472">
        <f>S613+S628+S643+S658+S673+S688+S703</f>
        <v>1.2011755209697226</v>
      </c>
      <c r="T712" s="473">
        <f t="shared" si="203"/>
        <v>1.0934103667024282</v>
      </c>
      <c r="U712" s="473">
        <f t="shared" si="203"/>
        <v>1.2404400741524271</v>
      </c>
      <c r="V712" s="473">
        <f t="shared" si="203"/>
        <v>1.854409370576924</v>
      </c>
      <c r="W712" s="474">
        <f t="shared" si="203"/>
        <v>2.1447951951978919</v>
      </c>
    </row>
    <row r="713" spans="1:92" ht="12.75" customHeight="1" outlineLevel="1">
      <c r="A713" s="351" t="s">
        <v>149</v>
      </c>
      <c r="B713" s="353">
        <f>B614+B629+B644+B659+B689+B704</f>
        <v>0</v>
      </c>
      <c r="C713" s="370">
        <f t="shared" si="202"/>
        <v>0</v>
      </c>
      <c r="D713" s="353">
        <f t="shared" si="202"/>
        <v>0</v>
      </c>
      <c r="E713" s="363">
        <f t="shared" si="202"/>
        <v>0</v>
      </c>
      <c r="F713" s="363">
        <f t="shared" si="202"/>
        <v>0</v>
      </c>
      <c r="G713" s="363">
        <f t="shared" si="202"/>
        <v>0</v>
      </c>
      <c r="H713" s="370">
        <f t="shared" si="202"/>
        <v>0</v>
      </c>
      <c r="I713" s="353">
        <f t="shared" si="202"/>
        <v>0</v>
      </c>
      <c r="J713" s="363">
        <f t="shared" si="202"/>
        <v>0</v>
      </c>
      <c r="K713" s="363">
        <f t="shared" si="202"/>
        <v>0</v>
      </c>
      <c r="L713" s="363">
        <f t="shared" si="202"/>
        <v>0</v>
      </c>
      <c r="M713" s="370">
        <f t="shared" si="202"/>
        <v>0</v>
      </c>
      <c r="N713" s="353">
        <f t="shared" si="202"/>
        <v>0</v>
      </c>
      <c r="O713" s="363">
        <f t="shared" si="202"/>
        <v>0</v>
      </c>
      <c r="P713" s="363">
        <f t="shared" si="202"/>
        <v>0</v>
      </c>
      <c r="Q713" s="363">
        <f t="shared" si="202"/>
        <v>0</v>
      </c>
      <c r="R713" s="363">
        <f t="shared" si="202"/>
        <v>0</v>
      </c>
      <c r="S713" s="472">
        <f>S614+S629+S644+S659+S674+S689+S704</f>
        <v>3.3551762368188423E-2</v>
      </c>
      <c r="T713" s="473">
        <f t="shared" si="203"/>
        <v>9.7643668555568025E-2</v>
      </c>
      <c r="U713" s="473">
        <f t="shared" si="203"/>
        <v>0.1622355750056346</v>
      </c>
      <c r="V713" s="473">
        <f t="shared" si="203"/>
        <v>0.25026346022917623</v>
      </c>
      <c r="W713" s="474">
        <f t="shared" si="203"/>
        <v>0.37256664827980213</v>
      </c>
    </row>
    <row r="714" spans="1:92" ht="12.75" customHeight="1" outlineLevel="1">
      <c r="A714" s="351" t="s">
        <v>113</v>
      </c>
      <c r="B714" s="357">
        <f>B615+B630+B645+B660+B690+B705</f>
        <v>0</v>
      </c>
      <c r="C714" s="371">
        <f t="shared" si="202"/>
        <v>0</v>
      </c>
      <c r="D714" s="357">
        <f t="shared" si="202"/>
        <v>0</v>
      </c>
      <c r="E714" s="372">
        <f t="shared" si="202"/>
        <v>0</v>
      </c>
      <c r="F714" s="372">
        <f t="shared" si="202"/>
        <v>0</v>
      </c>
      <c r="G714" s="372">
        <f t="shared" si="202"/>
        <v>0</v>
      </c>
      <c r="H714" s="371">
        <f t="shared" si="202"/>
        <v>0</v>
      </c>
      <c r="I714" s="357">
        <f t="shared" si="202"/>
        <v>0</v>
      </c>
      <c r="J714" s="372">
        <f t="shared" si="202"/>
        <v>0</v>
      </c>
      <c r="K714" s="372">
        <f t="shared" si="202"/>
        <v>0</v>
      </c>
      <c r="L714" s="372">
        <f t="shared" si="202"/>
        <v>0</v>
      </c>
      <c r="M714" s="414">
        <f t="shared" si="202"/>
        <v>0</v>
      </c>
      <c r="N714" s="357">
        <f t="shared" si="202"/>
        <v>0</v>
      </c>
      <c r="O714" s="372">
        <f t="shared" si="202"/>
        <v>0</v>
      </c>
      <c r="P714" s="372">
        <f t="shared" si="202"/>
        <v>0</v>
      </c>
      <c r="Q714" s="372">
        <f t="shared" si="202"/>
        <v>0</v>
      </c>
      <c r="R714" s="372">
        <f t="shared" si="202"/>
        <v>0</v>
      </c>
      <c r="S714" s="475">
        <f>S615+S630+S645+S660+S675+S690+S705</f>
        <v>1.1676237586015341</v>
      </c>
      <c r="T714" s="476">
        <f t="shared" si="203"/>
        <v>2.1633904567483944</v>
      </c>
      <c r="U714" s="476">
        <f t="shared" si="203"/>
        <v>3.2415949558951871</v>
      </c>
      <c r="V714" s="476">
        <f t="shared" si="203"/>
        <v>4.8457408662429344</v>
      </c>
      <c r="W714" s="477">
        <f t="shared" si="203"/>
        <v>6.6179694131610258</v>
      </c>
    </row>
    <row r="715" spans="1:92" ht="12.75" customHeight="1" outlineLevel="1">
      <c r="A715" s="366"/>
      <c r="B715" s="366"/>
      <c r="C715" s="366"/>
      <c r="D715" s="366"/>
      <c r="E715" s="366"/>
      <c r="F715" s="366"/>
      <c r="G715" s="366"/>
      <c r="H715" s="366"/>
      <c r="I715" s="366"/>
      <c r="J715" s="366"/>
      <c r="K715" s="366"/>
      <c r="L715" s="366"/>
      <c r="M715" s="432"/>
      <c r="N715" s="366"/>
      <c r="O715" s="366"/>
      <c r="P715" s="366"/>
      <c r="Q715" s="366"/>
      <c r="R715" s="366"/>
      <c r="S715" s="366"/>
      <c r="T715" s="366"/>
      <c r="U715" s="366"/>
      <c r="V715" s="366"/>
      <c r="W715" s="366"/>
    </row>
    <row r="716" spans="1:92" ht="12.75" customHeight="1" outlineLevel="1">
      <c r="A716" s="433"/>
      <c r="B716" s="434"/>
      <c r="C716" s="434"/>
      <c r="D716" s="434"/>
      <c r="E716" s="434"/>
      <c r="F716" s="434"/>
      <c r="G716" s="434"/>
      <c r="H716" s="434"/>
      <c r="I716" s="434"/>
      <c r="J716" s="434"/>
      <c r="K716" s="434"/>
      <c r="L716" s="434"/>
      <c r="M716" s="435"/>
      <c r="N716" s="366"/>
      <c r="O716" s="366"/>
      <c r="P716" s="366"/>
      <c r="Q716" s="366"/>
      <c r="R716" s="366"/>
      <c r="S716" s="366"/>
      <c r="T716" s="366"/>
      <c r="U716" s="366"/>
      <c r="V716" s="366"/>
      <c r="W716" s="366"/>
    </row>
    <row r="717" spans="1:92" ht="12.75" customHeight="1" outlineLevel="1">
      <c r="A717" s="433"/>
      <c r="B717" s="434"/>
      <c r="C717" s="434"/>
      <c r="D717" s="434"/>
      <c r="E717" s="434"/>
      <c r="F717" s="434"/>
      <c r="G717" s="434"/>
      <c r="H717" s="434"/>
      <c r="I717" s="434"/>
      <c r="J717" s="434"/>
      <c r="K717" s="434"/>
      <c r="L717" s="434"/>
      <c r="M717" s="435"/>
      <c r="N717" s="366"/>
      <c r="O717" s="366"/>
      <c r="P717" s="366"/>
      <c r="Q717" s="366"/>
      <c r="R717" s="366"/>
      <c r="S717" s="366"/>
      <c r="T717" s="366"/>
      <c r="U717" s="366"/>
      <c r="V717" s="366"/>
      <c r="W717" s="366"/>
    </row>
    <row r="718" spans="1:92" s="448" customFormat="1">
      <c r="A718" s="344" t="s">
        <v>186</v>
      </c>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c r="AX718" s="342"/>
      <c r="AY718" s="342"/>
      <c r="AZ718" s="342"/>
      <c r="BA718" s="342"/>
      <c r="BB718" s="342"/>
      <c r="BC718" s="342"/>
      <c r="BD718" s="342"/>
      <c r="BE718" s="342"/>
      <c r="BF718" s="342"/>
      <c r="BG718" s="342"/>
      <c r="BH718" s="342"/>
      <c r="BI718" s="342"/>
      <c r="BJ718" s="342"/>
      <c r="BK718" s="342"/>
      <c r="BL718" s="342"/>
      <c r="BM718" s="342"/>
      <c r="BN718" s="342"/>
      <c r="BO718" s="342"/>
      <c r="BP718" s="342"/>
      <c r="BQ718" s="342"/>
      <c r="BR718" s="342"/>
      <c r="BS718" s="342"/>
      <c r="BT718" s="342"/>
      <c r="BU718" s="342"/>
      <c r="BV718" s="342"/>
      <c r="BW718" s="342"/>
      <c r="BX718" s="342"/>
      <c r="BY718" s="342"/>
      <c r="BZ718" s="342"/>
      <c r="CA718" s="342"/>
      <c r="CB718" s="342"/>
      <c r="CC718" s="342"/>
      <c r="CD718" s="342"/>
      <c r="CE718" s="342"/>
      <c r="CF718" s="342"/>
      <c r="CG718" s="342"/>
      <c r="CH718" s="342"/>
      <c r="CI718" s="342"/>
      <c r="CJ718" s="342"/>
      <c r="CK718" s="342"/>
      <c r="CL718" s="342"/>
      <c r="CM718" s="342"/>
      <c r="CN718" s="342"/>
    </row>
    <row r="719" spans="1:92" s="448" customFormat="1">
      <c r="A719" s="343" t="s">
        <v>127</v>
      </c>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c r="AX719" s="342"/>
      <c r="AY719" s="342"/>
      <c r="AZ719" s="342"/>
      <c r="BA719" s="342"/>
      <c r="BB719" s="342"/>
      <c r="BC719" s="342"/>
      <c r="BD719" s="342"/>
      <c r="BE719" s="342"/>
      <c r="BF719" s="342"/>
      <c r="BG719" s="342"/>
      <c r="BH719" s="342"/>
      <c r="BI719" s="342"/>
      <c r="BJ719" s="342"/>
      <c r="BK719" s="342"/>
      <c r="BL719" s="342"/>
      <c r="BM719" s="342"/>
      <c r="BN719" s="342"/>
      <c r="BO719" s="342"/>
      <c r="BP719" s="342"/>
      <c r="BQ719" s="342"/>
      <c r="BR719" s="342"/>
      <c r="BS719" s="342"/>
      <c r="BT719" s="342"/>
      <c r="BU719" s="342"/>
      <c r="BV719" s="342"/>
      <c r="BW719" s="342"/>
      <c r="BX719" s="342"/>
      <c r="BY719" s="342"/>
      <c r="BZ719" s="342"/>
      <c r="CA719" s="342"/>
      <c r="CB719" s="342"/>
      <c r="CC719" s="342"/>
      <c r="CD719" s="342"/>
      <c r="CE719" s="342"/>
      <c r="CF719" s="342"/>
      <c r="CG719" s="342"/>
      <c r="CH719" s="342"/>
      <c r="CI719" s="342"/>
      <c r="CJ719" s="342"/>
      <c r="CK719" s="342"/>
      <c r="CL719" s="342"/>
      <c r="CM719" s="342"/>
      <c r="CN719" s="342"/>
    </row>
    <row r="720" spans="1:92" ht="12.75" customHeight="1" outlineLevel="1">
      <c r="A720" s="385" t="s">
        <v>145</v>
      </c>
      <c r="B720" s="377">
        <v>0</v>
      </c>
      <c r="C720" s="350"/>
      <c r="D720" s="366"/>
      <c r="E720" s="366"/>
    </row>
    <row r="721" spans="1:23" ht="12.75" customHeight="1" outlineLevel="1">
      <c r="A721" s="386" t="s">
        <v>146</v>
      </c>
      <c r="B721" s="379">
        <v>5</v>
      </c>
      <c r="C721" s="354"/>
      <c r="D721" s="366"/>
      <c r="E721" s="366"/>
    </row>
    <row r="722" spans="1:23" ht="12.75" customHeight="1" outlineLevel="1">
      <c r="A722" s="386" t="s">
        <v>147</v>
      </c>
      <c r="B722" s="379" t="s">
        <v>143</v>
      </c>
      <c r="C722" s="354"/>
      <c r="D722" s="366"/>
      <c r="E722" s="366"/>
    </row>
    <row r="723" spans="1:23" ht="12.75" customHeight="1" outlineLevel="1">
      <c r="A723" s="364" t="s">
        <v>148</v>
      </c>
      <c r="B723" s="365">
        <v>0.2</v>
      </c>
      <c r="C723" s="358"/>
      <c r="D723" s="366"/>
      <c r="E723" s="366"/>
    </row>
    <row r="724" spans="1:23" ht="12.75" customHeight="1" outlineLevel="1">
      <c r="A724" s="366"/>
      <c r="B724" s="383"/>
      <c r="C724" s="366"/>
      <c r="D724" s="366"/>
      <c r="E724" s="366"/>
    </row>
    <row r="725" spans="1:23" ht="12.75" customHeight="1" outlineLevel="1">
      <c r="A725" s="366" t="s">
        <v>154</v>
      </c>
      <c r="B725" s="403" t="s">
        <v>184</v>
      </c>
      <c r="C725" s="426">
        <f t="shared" ref="C725:H725" si="204">B725+1</f>
        <v>2012</v>
      </c>
      <c r="D725" s="426">
        <f t="shared" si="204"/>
        <v>2013</v>
      </c>
      <c r="E725" s="426">
        <f t="shared" si="204"/>
        <v>2014</v>
      </c>
      <c r="F725" s="426">
        <f t="shared" si="204"/>
        <v>2015</v>
      </c>
      <c r="G725" s="426">
        <f t="shared" si="204"/>
        <v>2016</v>
      </c>
      <c r="H725" s="427">
        <f t="shared" si="204"/>
        <v>2017</v>
      </c>
      <c r="I725" s="408"/>
      <c r="J725" s="408"/>
      <c r="K725" s="408"/>
      <c r="L725" s="408"/>
    </row>
    <row r="726" spans="1:23" ht="12.75" customHeight="1" outlineLevel="1">
      <c r="A726" s="391" t="s">
        <v>155</v>
      </c>
      <c r="B726" s="392">
        <v>0</v>
      </c>
      <c r="C726" s="393">
        <v>0</v>
      </c>
      <c r="D726" s="436">
        <v>0</v>
      </c>
      <c r="E726" s="437">
        <v>0</v>
      </c>
      <c r="F726" s="437">
        <v>0</v>
      </c>
      <c r="G726" s="437">
        <v>0</v>
      </c>
      <c r="H726" s="438">
        <v>0</v>
      </c>
      <c r="I726" s="384"/>
      <c r="J726" s="384"/>
      <c r="K726" s="384"/>
      <c r="L726" s="412"/>
    </row>
    <row r="727" spans="1:23" ht="12.75" customHeight="1" outlineLevel="1">
      <c r="A727" s="366"/>
      <c r="B727" s="383"/>
      <c r="C727" s="366"/>
    </row>
    <row r="728" spans="1:23" ht="12.75" customHeight="1" outlineLevel="1">
      <c r="B728" s="367">
        <v>1996</v>
      </c>
      <c r="C728" s="368">
        <v>1997</v>
      </c>
      <c r="D728" s="367">
        <v>1998</v>
      </c>
      <c r="E728" s="369">
        <v>1999</v>
      </c>
      <c r="F728" s="369">
        <v>2000</v>
      </c>
      <c r="G728" s="369">
        <v>2001</v>
      </c>
      <c r="H728" s="368">
        <v>2002</v>
      </c>
      <c r="I728" s="367">
        <v>2003</v>
      </c>
      <c r="J728" s="369">
        <v>2004</v>
      </c>
      <c r="K728" s="369">
        <v>2005</v>
      </c>
      <c r="L728" s="369">
        <v>2006</v>
      </c>
      <c r="M728" s="368">
        <v>2007</v>
      </c>
      <c r="N728" s="367">
        <v>2008</v>
      </c>
      <c r="O728" s="369">
        <v>2009</v>
      </c>
      <c r="P728" s="369">
        <v>2010</v>
      </c>
      <c r="Q728" s="369">
        <v>2011</v>
      </c>
      <c r="R728" s="368">
        <v>2012</v>
      </c>
      <c r="S728" s="367">
        <f t="shared" ref="S728:W728" si="205">R728+1</f>
        <v>2013</v>
      </c>
      <c r="T728" s="369">
        <f t="shared" si="205"/>
        <v>2014</v>
      </c>
      <c r="U728" s="369">
        <f t="shared" si="205"/>
        <v>2015</v>
      </c>
      <c r="V728" s="369">
        <f t="shared" si="205"/>
        <v>2016</v>
      </c>
      <c r="W728" s="368">
        <f t="shared" si="205"/>
        <v>2017</v>
      </c>
    </row>
    <row r="729" spans="1:23" ht="12.75" customHeight="1" outlineLevel="1">
      <c r="A729" s="346" t="s">
        <v>2</v>
      </c>
      <c r="B729" s="379">
        <f>B720</f>
        <v>0</v>
      </c>
      <c r="C729" s="395">
        <f t="shared" ref="C729:W729" si="206">B732</f>
        <v>0</v>
      </c>
      <c r="D729" s="379">
        <f t="shared" si="206"/>
        <v>0</v>
      </c>
      <c r="E729" s="383">
        <f t="shared" si="206"/>
        <v>0</v>
      </c>
      <c r="F729" s="383">
        <f t="shared" si="206"/>
        <v>0</v>
      </c>
      <c r="G729" s="383">
        <f t="shared" si="206"/>
        <v>0</v>
      </c>
      <c r="H729" s="395">
        <f t="shared" si="206"/>
        <v>0</v>
      </c>
      <c r="I729" s="379">
        <f t="shared" si="206"/>
        <v>0</v>
      </c>
      <c r="J729" s="383">
        <f t="shared" si="206"/>
        <v>0</v>
      </c>
      <c r="K729" s="383">
        <f t="shared" si="206"/>
        <v>0</v>
      </c>
      <c r="L729" s="383">
        <f t="shared" si="206"/>
        <v>0</v>
      </c>
      <c r="M729" s="395">
        <f t="shared" si="206"/>
        <v>0</v>
      </c>
      <c r="N729" s="413">
        <f t="shared" si="206"/>
        <v>0</v>
      </c>
      <c r="O729" s="383">
        <f t="shared" si="206"/>
        <v>0</v>
      </c>
      <c r="P729" s="383">
        <f t="shared" si="206"/>
        <v>0</v>
      </c>
      <c r="Q729" s="383">
        <f t="shared" si="206"/>
        <v>0</v>
      </c>
      <c r="R729" s="395">
        <f t="shared" si="206"/>
        <v>0</v>
      </c>
      <c r="S729" s="413">
        <f t="shared" si="206"/>
        <v>0</v>
      </c>
      <c r="T729" s="383">
        <f t="shared" si="206"/>
        <v>0</v>
      </c>
      <c r="U729" s="383">
        <f t="shared" si="206"/>
        <v>0</v>
      </c>
      <c r="V729" s="383">
        <f t="shared" si="206"/>
        <v>0</v>
      </c>
      <c r="W729" s="395">
        <f t="shared" si="206"/>
        <v>0</v>
      </c>
    </row>
    <row r="730" spans="1:23" ht="12.75" customHeight="1" outlineLevel="1">
      <c r="A730" s="351" t="s">
        <v>156</v>
      </c>
      <c r="B730" s="379">
        <v>0</v>
      </c>
      <c r="C730" s="395">
        <v>0</v>
      </c>
      <c r="D730" s="379">
        <v>0</v>
      </c>
      <c r="E730" s="383">
        <v>0</v>
      </c>
      <c r="F730" s="383">
        <v>0</v>
      </c>
      <c r="G730" s="383">
        <v>0</v>
      </c>
      <c r="H730" s="395">
        <v>0</v>
      </c>
      <c r="I730" s="379">
        <v>0</v>
      </c>
      <c r="J730" s="383">
        <v>0</v>
      </c>
      <c r="K730" s="383">
        <v>0</v>
      </c>
      <c r="L730" s="383">
        <f>B726</f>
        <v>0</v>
      </c>
      <c r="M730" s="395">
        <f>C726</f>
        <v>0</v>
      </c>
      <c r="N730" s="379">
        <v>0</v>
      </c>
      <c r="O730" s="383">
        <v>0</v>
      </c>
      <c r="P730" s="383">
        <v>0</v>
      </c>
      <c r="Q730" s="383">
        <f t="shared" ref="Q730:W730" si="207">B726</f>
        <v>0</v>
      </c>
      <c r="R730" s="395">
        <f t="shared" si="207"/>
        <v>0</v>
      </c>
      <c r="S730" s="379">
        <f t="shared" si="207"/>
        <v>0</v>
      </c>
      <c r="T730" s="383">
        <f t="shared" si="207"/>
        <v>0</v>
      </c>
      <c r="U730" s="383">
        <f t="shared" si="207"/>
        <v>0</v>
      </c>
      <c r="V730" s="383">
        <f t="shared" si="207"/>
        <v>0</v>
      </c>
      <c r="W730" s="395">
        <f t="shared" si="207"/>
        <v>0</v>
      </c>
    </row>
    <row r="731" spans="1:23" ht="12.75" customHeight="1" outlineLevel="1">
      <c r="A731" s="351" t="s">
        <v>157</v>
      </c>
      <c r="B731" s="375">
        <f>IF($B723=1,B730+B729,B730*$B723*0.5)</f>
        <v>0</v>
      </c>
      <c r="C731" s="375">
        <f t="shared" ref="C731:R731" si="208">IF($B723=1,C730+C729,(C729+C730*0.5)*$B723)</f>
        <v>0</v>
      </c>
      <c r="D731" s="396">
        <f t="shared" si="208"/>
        <v>0</v>
      </c>
      <c r="E731" s="375">
        <f t="shared" si="208"/>
        <v>0</v>
      </c>
      <c r="F731" s="375">
        <f t="shared" si="208"/>
        <v>0</v>
      </c>
      <c r="G731" s="375">
        <f t="shared" si="208"/>
        <v>0</v>
      </c>
      <c r="H731" s="397">
        <f t="shared" si="208"/>
        <v>0</v>
      </c>
      <c r="I731" s="396">
        <f t="shared" si="208"/>
        <v>0</v>
      </c>
      <c r="J731" s="375">
        <f t="shared" si="208"/>
        <v>0</v>
      </c>
      <c r="K731" s="375">
        <f t="shared" si="208"/>
        <v>0</v>
      </c>
      <c r="L731" s="375">
        <f t="shared" si="208"/>
        <v>0</v>
      </c>
      <c r="M731" s="397">
        <f t="shared" si="208"/>
        <v>0</v>
      </c>
      <c r="N731" s="396">
        <f t="shared" si="208"/>
        <v>0</v>
      </c>
      <c r="O731" s="375">
        <f t="shared" si="208"/>
        <v>0</v>
      </c>
      <c r="P731" s="375">
        <f t="shared" si="208"/>
        <v>0</v>
      </c>
      <c r="Q731" s="375">
        <f t="shared" si="208"/>
        <v>0</v>
      </c>
      <c r="R731" s="397">
        <f t="shared" si="208"/>
        <v>0</v>
      </c>
      <c r="S731" s="396">
        <f>$D$726*$B$723</f>
        <v>0</v>
      </c>
      <c r="T731" s="375">
        <f t="shared" ref="T731:W731" si="209">$D$726*$B$723</f>
        <v>0</v>
      </c>
      <c r="U731" s="375">
        <f t="shared" si="209"/>
        <v>0</v>
      </c>
      <c r="V731" s="375">
        <f t="shared" si="209"/>
        <v>0</v>
      </c>
      <c r="W731" s="397">
        <f t="shared" si="209"/>
        <v>0</v>
      </c>
    </row>
    <row r="732" spans="1:23" ht="12.75" customHeight="1" outlineLevel="1">
      <c r="A732" s="355" t="s">
        <v>113</v>
      </c>
      <c r="B732" s="382">
        <f t="shared" ref="B732:W732" si="210">B729+B730-B731</f>
        <v>0</v>
      </c>
      <c r="C732" s="398">
        <f t="shared" si="210"/>
        <v>0</v>
      </c>
      <c r="D732" s="382">
        <f t="shared" si="210"/>
        <v>0</v>
      </c>
      <c r="E732" s="399">
        <f t="shared" si="210"/>
        <v>0</v>
      </c>
      <c r="F732" s="399">
        <f t="shared" si="210"/>
        <v>0</v>
      </c>
      <c r="G732" s="399">
        <f t="shared" si="210"/>
        <v>0</v>
      </c>
      <c r="H732" s="398">
        <f t="shared" si="210"/>
        <v>0</v>
      </c>
      <c r="I732" s="382">
        <f t="shared" si="210"/>
        <v>0</v>
      </c>
      <c r="J732" s="399">
        <f t="shared" si="210"/>
        <v>0</v>
      </c>
      <c r="K732" s="399">
        <f t="shared" si="210"/>
        <v>0</v>
      </c>
      <c r="L732" s="399">
        <f t="shared" si="210"/>
        <v>0</v>
      </c>
      <c r="M732" s="398">
        <f t="shared" si="210"/>
        <v>0</v>
      </c>
      <c r="N732" s="382">
        <f t="shared" si="210"/>
        <v>0</v>
      </c>
      <c r="O732" s="399">
        <f t="shared" si="210"/>
        <v>0</v>
      </c>
      <c r="P732" s="399">
        <f t="shared" si="210"/>
        <v>0</v>
      </c>
      <c r="Q732" s="399">
        <f t="shared" si="210"/>
        <v>0</v>
      </c>
      <c r="R732" s="398">
        <f t="shared" si="210"/>
        <v>0</v>
      </c>
      <c r="S732" s="382">
        <f t="shared" si="210"/>
        <v>0</v>
      </c>
      <c r="T732" s="399">
        <f t="shared" si="210"/>
        <v>0</v>
      </c>
      <c r="U732" s="399">
        <f t="shared" si="210"/>
        <v>0</v>
      </c>
      <c r="V732" s="399">
        <f t="shared" si="210"/>
        <v>0</v>
      </c>
      <c r="W732" s="398">
        <f t="shared" si="210"/>
        <v>0</v>
      </c>
    </row>
    <row r="733" spans="1:23" ht="12.75" customHeight="1" outlineLevel="1">
      <c r="A733" s="433"/>
      <c r="B733" s="434"/>
      <c r="C733" s="434"/>
      <c r="D733" s="434"/>
      <c r="E733" s="434"/>
      <c r="F733" s="434"/>
      <c r="G733" s="434"/>
      <c r="H733" s="434"/>
      <c r="I733" s="434"/>
      <c r="J733" s="434"/>
      <c r="K733" s="434"/>
      <c r="L733" s="434"/>
      <c r="M733" s="435"/>
      <c r="N733" s="366"/>
      <c r="O733" s="366"/>
      <c r="P733" s="366"/>
      <c r="Q733" s="366"/>
      <c r="R733" s="366"/>
      <c r="S733" s="366"/>
      <c r="T733" s="366"/>
      <c r="U733" s="366"/>
      <c r="V733" s="366"/>
      <c r="W733" s="366"/>
    </row>
    <row r="734" spans="1:23">
      <c r="A734" s="433"/>
      <c r="B734" s="434"/>
      <c r="C734" s="434"/>
      <c r="D734" s="434"/>
      <c r="E734" s="434"/>
      <c r="F734" s="434"/>
      <c r="G734" s="434"/>
      <c r="H734" s="434"/>
      <c r="I734" s="434"/>
      <c r="J734" s="434"/>
      <c r="K734" s="434"/>
      <c r="L734" s="434"/>
      <c r="M734" s="435"/>
      <c r="N734" s="366"/>
      <c r="O734" s="366"/>
      <c r="P734" s="366"/>
      <c r="Q734" s="366"/>
      <c r="R734" s="366"/>
      <c r="S734" s="366"/>
      <c r="T734" s="366"/>
      <c r="U734" s="366"/>
      <c r="V734" s="366"/>
      <c r="W734" s="366"/>
    </row>
    <row r="735" spans="1:23">
      <c r="A735" s="343" t="s">
        <v>187</v>
      </c>
    </row>
    <row r="736" spans="1:23">
      <c r="A736" s="343" t="s">
        <v>149</v>
      </c>
      <c r="B736" s="367">
        <v>1996</v>
      </c>
      <c r="C736" s="369">
        <v>1997</v>
      </c>
      <c r="D736" s="367">
        <v>1998</v>
      </c>
      <c r="E736" s="369">
        <v>1999</v>
      </c>
      <c r="F736" s="369">
        <v>2000</v>
      </c>
      <c r="G736" s="369">
        <v>2001</v>
      </c>
      <c r="H736" s="368">
        <v>2002</v>
      </c>
      <c r="I736" s="369">
        <v>2003</v>
      </c>
      <c r="J736" s="369">
        <v>2004</v>
      </c>
      <c r="K736" s="369">
        <v>2005</v>
      </c>
      <c r="L736" s="369">
        <v>2006</v>
      </c>
      <c r="M736" s="368">
        <v>2007</v>
      </c>
      <c r="N736" s="369">
        <v>2008</v>
      </c>
      <c r="O736" s="369">
        <v>2009</v>
      </c>
      <c r="P736" s="369">
        <v>2010</v>
      </c>
      <c r="Q736" s="369">
        <v>2011</v>
      </c>
      <c r="R736" s="368">
        <v>2012</v>
      </c>
      <c r="S736" s="367">
        <f t="shared" ref="S736:W736" si="211">R736+1</f>
        <v>2013</v>
      </c>
      <c r="T736" s="369">
        <f t="shared" si="211"/>
        <v>2014</v>
      </c>
      <c r="U736" s="369">
        <f t="shared" si="211"/>
        <v>2015</v>
      </c>
      <c r="V736" s="369">
        <f t="shared" si="211"/>
        <v>2016</v>
      </c>
      <c r="W736" s="368">
        <f t="shared" si="211"/>
        <v>2017</v>
      </c>
    </row>
    <row r="737" spans="1:23">
      <c r="A737" s="360" t="s">
        <v>188</v>
      </c>
      <c r="B737" s="478">
        <f t="shared" ref="B737:W737" si="212">B63</f>
        <v>3.02555</v>
      </c>
      <c r="C737" s="479">
        <f t="shared" si="212"/>
        <v>4.6779950000000001</v>
      </c>
      <c r="D737" s="480">
        <f t="shared" si="212"/>
        <v>2.9536845</v>
      </c>
      <c r="E737" s="480">
        <f t="shared" si="212"/>
        <v>2.3277295499999999</v>
      </c>
      <c r="F737" s="480">
        <f t="shared" si="212"/>
        <v>1.8375310050000002</v>
      </c>
      <c r="G737" s="480">
        <f t="shared" si="212"/>
        <v>1.4527679595</v>
      </c>
      <c r="H737" s="481">
        <f t="shared" si="212"/>
        <v>1.1501345764500002</v>
      </c>
      <c r="I737" s="480">
        <f t="shared" si="212"/>
        <v>0.91165180735500007</v>
      </c>
      <c r="J737" s="480">
        <f t="shared" si="212"/>
        <v>0.72340234822050009</v>
      </c>
      <c r="K737" s="480">
        <f t="shared" si="212"/>
        <v>0.57457851021195017</v>
      </c>
      <c r="L737" s="480">
        <f t="shared" si="212"/>
        <v>0.45676245031444507</v>
      </c>
      <c r="M737" s="481">
        <f t="shared" si="212"/>
        <v>0.36337970975297557</v>
      </c>
      <c r="N737" s="480">
        <f t="shared" si="212"/>
        <v>0.28928259245337412</v>
      </c>
      <c r="O737" s="480">
        <f t="shared" si="212"/>
        <v>0.23043125121839486</v>
      </c>
      <c r="P737" s="480">
        <f t="shared" si="212"/>
        <v>0.18364862505370275</v>
      </c>
      <c r="Q737" s="480">
        <f t="shared" si="212"/>
        <v>0.14643143689825303</v>
      </c>
      <c r="R737" s="479">
        <f t="shared" si="212"/>
        <v>0.116803925317306</v>
      </c>
      <c r="S737" s="480">
        <f t="shared" si="212"/>
        <v>9.3204283312937286E-2</v>
      </c>
      <c r="T737" s="480">
        <f t="shared" si="212"/>
        <v>7.4396226791714579E-2</v>
      </c>
      <c r="U737" s="480">
        <f t="shared" si="212"/>
        <v>5.9399941532327E-2</v>
      </c>
      <c r="V737" s="480">
        <f t="shared" si="212"/>
        <v>4.7438025295130325E-2</v>
      </c>
      <c r="W737" s="479">
        <f t="shared" si="212"/>
        <v>3.789307068459237E-2</v>
      </c>
    </row>
    <row r="738" spans="1:23">
      <c r="A738" s="360" t="s">
        <v>189</v>
      </c>
      <c r="B738" s="482">
        <f t="shared" ref="B738:W738" si="213">B164</f>
        <v>0.1275</v>
      </c>
      <c r="C738" s="481">
        <f t="shared" si="213"/>
        <v>0.30525000000000002</v>
      </c>
      <c r="D738" s="480">
        <f t="shared" si="213"/>
        <v>0.40077500000000005</v>
      </c>
      <c r="E738" s="480">
        <f t="shared" si="213"/>
        <v>0.33835499999999996</v>
      </c>
      <c r="F738" s="480">
        <f t="shared" si="213"/>
        <v>0.24485099999999999</v>
      </c>
      <c r="G738" s="480">
        <f t="shared" si="213"/>
        <v>0.19572269999999997</v>
      </c>
      <c r="H738" s="481">
        <f t="shared" si="213"/>
        <v>0.15646748999999996</v>
      </c>
      <c r="I738" s="480">
        <f t="shared" si="213"/>
        <v>0.12509652299999999</v>
      </c>
      <c r="J738" s="480">
        <f t="shared" si="213"/>
        <v>0.10002299009999999</v>
      </c>
      <c r="K738" s="480">
        <f t="shared" si="213"/>
        <v>7.9980432269999985E-2</v>
      </c>
      <c r="L738" s="480">
        <f t="shared" si="213"/>
        <v>6.3957773948999985E-2</v>
      </c>
      <c r="M738" s="481">
        <f t="shared" si="213"/>
        <v>5.1147618852299986E-2</v>
      </c>
      <c r="N738" s="480">
        <f t="shared" si="213"/>
        <v>4.0905074867009991E-2</v>
      </c>
      <c r="O738" s="480">
        <f t="shared" si="213"/>
        <v>3.2714945743226989E-2</v>
      </c>
      <c r="P738" s="480">
        <f t="shared" si="213"/>
        <v>2.6165576689314896E-2</v>
      </c>
      <c r="Q738" s="480">
        <f t="shared" si="213"/>
        <v>2.0927995417765227E-2</v>
      </c>
      <c r="R738" s="481">
        <f t="shared" si="213"/>
        <v>1.6739270180631496E-2</v>
      </c>
      <c r="S738" s="480">
        <f t="shared" si="213"/>
        <v>1.3389227836998719E-2</v>
      </c>
      <c r="T738" s="480">
        <f t="shared" si="213"/>
        <v>1.070985045434444E-2</v>
      </c>
      <c r="U738" s="480">
        <f t="shared" si="213"/>
        <v>8.5668080927973796E-3</v>
      </c>
      <c r="V738" s="480">
        <f t="shared" si="213"/>
        <v>6.8526958847631818E-3</v>
      </c>
      <c r="W738" s="481">
        <f t="shared" si="213"/>
        <v>5.4816312951782402E-3</v>
      </c>
    </row>
    <row r="739" spans="1:23">
      <c r="A739" s="360" t="s">
        <v>190</v>
      </c>
      <c r="B739" s="482">
        <f t="shared" ref="B739:W739" si="214">B265</f>
        <v>0</v>
      </c>
      <c r="C739" s="481">
        <f t="shared" si="214"/>
        <v>0</v>
      </c>
      <c r="D739" s="480">
        <f t="shared" si="214"/>
        <v>0</v>
      </c>
      <c r="E739" s="480">
        <f t="shared" si="214"/>
        <v>7.5468749999999998E-3</v>
      </c>
      <c r="F739" s="480">
        <f t="shared" si="214"/>
        <v>4.7267578125000001E-2</v>
      </c>
      <c r="G739" s="480">
        <f t="shared" si="214"/>
        <v>9.9776806640625007E-2</v>
      </c>
      <c r="H739" s="481">
        <f t="shared" si="214"/>
        <v>0.17888303474408826</v>
      </c>
      <c r="I739" s="480">
        <f t="shared" si="214"/>
        <v>0.14270953278547549</v>
      </c>
      <c r="J739" s="480">
        <f t="shared" si="214"/>
        <v>0.10885428542264296</v>
      </c>
      <c r="K739" s="480">
        <f t="shared" si="214"/>
        <v>8.707703566090727E-2</v>
      </c>
      <c r="L739" s="480">
        <f t="shared" si="214"/>
        <v>7.2871250305208177E-2</v>
      </c>
      <c r="M739" s="481">
        <f t="shared" si="214"/>
        <v>6.3419036986389607E-2</v>
      </c>
      <c r="N739" s="480">
        <f t="shared" si="214"/>
        <v>5.6958037271915431E-2</v>
      </c>
      <c r="O739" s="480">
        <f t="shared" si="214"/>
        <v>5.2385716735439396E-2</v>
      </c>
      <c r="P739" s="480">
        <f t="shared" si="214"/>
        <v>4.9012030787700153E-2</v>
      </c>
      <c r="Q739" s="480">
        <f t="shared" si="214"/>
        <v>4.6404827622678696E-2</v>
      </c>
      <c r="R739" s="481">
        <f t="shared" si="214"/>
        <v>4.4293213787212828E-2</v>
      </c>
      <c r="S739" s="480">
        <f t="shared" si="214"/>
        <v>4.2507148029326501E-2</v>
      </c>
      <c r="T739" s="480">
        <f t="shared" si="214"/>
        <v>4.0939679215503337E-2</v>
      </c>
      <c r="U739" s="480">
        <f t="shared" si="214"/>
        <v>3.9523337978090184E-2</v>
      </c>
      <c r="V739" s="480">
        <f t="shared" si="214"/>
        <v>3.8215375454475245E-2</v>
      </c>
      <c r="W739" s="481">
        <f t="shared" si="214"/>
        <v>3.6988532318918105E-2</v>
      </c>
    </row>
    <row r="740" spans="1:23">
      <c r="A740" s="360" t="s">
        <v>191</v>
      </c>
      <c r="B740" s="482">
        <f t="shared" ref="B740:W740" si="215">B366</f>
        <v>0</v>
      </c>
      <c r="C740" s="481">
        <f t="shared" si="215"/>
        <v>0</v>
      </c>
      <c r="D740" s="480">
        <f t="shared" si="215"/>
        <v>0</v>
      </c>
      <c r="E740" s="480">
        <f t="shared" si="215"/>
        <v>0</v>
      </c>
      <c r="F740" s="480">
        <f t="shared" si="215"/>
        <v>0</v>
      </c>
      <c r="G740" s="480">
        <f t="shared" si="215"/>
        <v>0</v>
      </c>
      <c r="H740" s="481">
        <f t="shared" si="215"/>
        <v>5.8765710847003896E-2</v>
      </c>
      <c r="I740" s="480">
        <f t="shared" si="215"/>
        <v>0.1955552604352491</v>
      </c>
      <c r="J740" s="480">
        <f t="shared" si="215"/>
        <v>0.34677934720696246</v>
      </c>
      <c r="K740" s="480">
        <f t="shared" si="215"/>
        <v>0.49468069076813048</v>
      </c>
      <c r="L740" s="480">
        <f t="shared" si="215"/>
        <v>0.51010844292430679</v>
      </c>
      <c r="M740" s="481">
        <f t="shared" si="215"/>
        <v>0.42041366645656897</v>
      </c>
      <c r="N740" s="480">
        <f t="shared" si="215"/>
        <v>0.31325478144156638</v>
      </c>
      <c r="O740" s="480">
        <f t="shared" si="215"/>
        <v>0.24259659721340829</v>
      </c>
      <c r="P740" s="480">
        <f t="shared" si="215"/>
        <v>0.195012141524184</v>
      </c>
      <c r="Q740" s="480">
        <f t="shared" si="215"/>
        <v>0.1620923225081442</v>
      </c>
      <c r="R740" s="481">
        <f t="shared" si="215"/>
        <v>0.13856516734216617</v>
      </c>
      <c r="S740" s="480">
        <f t="shared" si="215"/>
        <v>0.12112032793756658</v>
      </c>
      <c r="T740" s="480">
        <f t="shared" si="215"/>
        <v>0.10767437206468372</v>
      </c>
      <c r="U740" s="480">
        <f t="shared" si="215"/>
        <v>9.6911560572827668E-2</v>
      </c>
      <c r="V740" s="480">
        <f t="shared" si="215"/>
        <v>8.7996799980240112E-2</v>
      </c>
      <c r="W740" s="481">
        <f t="shared" si="215"/>
        <v>8.0396202339120842E-2</v>
      </c>
    </row>
    <row r="741" spans="1:23">
      <c r="A741" s="360" t="s">
        <v>192</v>
      </c>
      <c r="B741" s="482">
        <f t="shared" ref="B741:W741" si="216">B467</f>
        <v>0</v>
      </c>
      <c r="C741" s="481">
        <f t="shared" si="216"/>
        <v>0</v>
      </c>
      <c r="D741" s="480">
        <f t="shared" si="216"/>
        <v>0</v>
      </c>
      <c r="E741" s="480">
        <f t="shared" si="216"/>
        <v>0</v>
      </c>
      <c r="F741" s="480">
        <f t="shared" si="216"/>
        <v>0</v>
      </c>
      <c r="G741" s="480">
        <f t="shared" si="216"/>
        <v>0</v>
      </c>
      <c r="H741" s="481">
        <f t="shared" si="216"/>
        <v>0</v>
      </c>
      <c r="I741" s="480">
        <f t="shared" si="216"/>
        <v>0</v>
      </c>
      <c r="J741" s="480">
        <f t="shared" si="216"/>
        <v>0</v>
      </c>
      <c r="K741" s="480">
        <f t="shared" si="216"/>
        <v>0</v>
      </c>
      <c r="L741" s="480">
        <f t="shared" si="216"/>
        <v>0.10451892796237189</v>
      </c>
      <c r="M741" s="481">
        <f t="shared" si="216"/>
        <v>0.27389135477498011</v>
      </c>
      <c r="N741" s="480">
        <f t="shared" si="216"/>
        <v>0.29358615488084416</v>
      </c>
      <c r="O741" s="480">
        <f t="shared" si="216"/>
        <v>0.21590125611908015</v>
      </c>
      <c r="P741" s="480">
        <f t="shared" si="216"/>
        <v>0.16418420905049774</v>
      </c>
      <c r="Q741" s="480">
        <f t="shared" si="216"/>
        <v>0.12899806670652672</v>
      </c>
      <c r="R741" s="481">
        <f t="shared" si="216"/>
        <v>0.10441771771374851</v>
      </c>
      <c r="S741" s="480">
        <f t="shared" si="216"/>
        <v>8.6715033852805365E-2</v>
      </c>
      <c r="T741" s="480">
        <f t="shared" si="216"/>
        <v>7.3537001900952789E-2</v>
      </c>
      <c r="U741" s="480">
        <f t="shared" si="216"/>
        <v>6.3391954548276494E-2</v>
      </c>
      <c r="V741" s="480">
        <f t="shared" si="216"/>
        <v>5.5328353670056916E-2</v>
      </c>
      <c r="W741" s="481">
        <f t="shared" si="216"/>
        <v>4.8733914156008237E-2</v>
      </c>
    </row>
    <row r="742" spans="1:23">
      <c r="A742" s="360" t="s">
        <v>193</v>
      </c>
      <c r="B742" s="482">
        <f t="shared" ref="B742:W742" si="217">B582</f>
        <v>0</v>
      </c>
      <c r="C742" s="481">
        <f t="shared" si="217"/>
        <v>0</v>
      </c>
      <c r="D742" s="480">
        <f t="shared" si="217"/>
        <v>0</v>
      </c>
      <c r="E742" s="480">
        <f t="shared" si="217"/>
        <v>0</v>
      </c>
      <c r="F742" s="480">
        <f t="shared" si="217"/>
        <v>0</v>
      </c>
      <c r="G742" s="480">
        <f t="shared" si="217"/>
        <v>0</v>
      </c>
      <c r="H742" s="481">
        <f t="shared" si="217"/>
        <v>0</v>
      </c>
      <c r="I742" s="480">
        <f t="shared" si="217"/>
        <v>0</v>
      </c>
      <c r="J742" s="480">
        <f t="shared" si="217"/>
        <v>0</v>
      </c>
      <c r="K742" s="480">
        <f t="shared" si="217"/>
        <v>0</v>
      </c>
      <c r="L742" s="480">
        <f t="shared" si="217"/>
        <v>0</v>
      </c>
      <c r="M742" s="481">
        <f t="shared" si="217"/>
        <v>0</v>
      </c>
      <c r="N742" s="480">
        <f t="shared" si="217"/>
        <v>0.12327972588549614</v>
      </c>
      <c r="O742" s="480">
        <f t="shared" si="217"/>
        <v>0.31389307933525468</v>
      </c>
      <c r="P742" s="480">
        <f t="shared" si="217"/>
        <v>0.4422863536118497</v>
      </c>
      <c r="Q742" s="480">
        <f t="shared" si="217"/>
        <v>0.50804829627502313</v>
      </c>
      <c r="R742" s="481">
        <f t="shared" si="217"/>
        <v>0.58551208189358972</v>
      </c>
      <c r="S742" s="480">
        <f t="shared" si="217"/>
        <v>0.59041489892563381</v>
      </c>
      <c r="T742" s="480">
        <f t="shared" si="217"/>
        <v>0.47396591339670929</v>
      </c>
      <c r="U742" s="480">
        <f t="shared" si="217"/>
        <v>0.38955772740453976</v>
      </c>
      <c r="V742" s="480">
        <f t="shared" si="217"/>
        <v>0.32654079944380421</v>
      </c>
      <c r="W742" s="481">
        <f t="shared" si="217"/>
        <v>0.278085107399274</v>
      </c>
    </row>
    <row r="743" spans="1:23">
      <c r="A743" s="360" t="s">
        <v>194</v>
      </c>
      <c r="B743" s="482"/>
      <c r="C743" s="481"/>
      <c r="D743" s="480"/>
      <c r="E743" s="480"/>
      <c r="F743" s="480"/>
      <c r="G743" s="480"/>
      <c r="H743" s="481"/>
      <c r="I743" s="480"/>
      <c r="J743" s="480"/>
      <c r="K743" s="480"/>
      <c r="L743" s="480"/>
      <c r="M743" s="481"/>
      <c r="N743" s="480"/>
      <c r="O743" s="480"/>
      <c r="P743" s="480"/>
      <c r="Q743" s="480"/>
      <c r="R743" s="481"/>
      <c r="S743" s="480">
        <f t="shared" ref="S743:W743" si="218">S713</f>
        <v>3.3551762368188423E-2</v>
      </c>
      <c r="T743" s="480">
        <f t="shared" si="218"/>
        <v>9.7643668555568025E-2</v>
      </c>
      <c r="U743" s="480">
        <f t="shared" si="218"/>
        <v>0.1622355750056346</v>
      </c>
      <c r="V743" s="480">
        <f t="shared" si="218"/>
        <v>0.25026346022917623</v>
      </c>
      <c r="W743" s="481">
        <f t="shared" si="218"/>
        <v>0.37256664827980213</v>
      </c>
    </row>
    <row r="744" spans="1:23">
      <c r="A744" s="360" t="s">
        <v>186</v>
      </c>
      <c r="B744" s="482"/>
      <c r="C744" s="481"/>
      <c r="D744" s="480"/>
      <c r="E744" s="480"/>
      <c r="F744" s="480"/>
      <c r="G744" s="480"/>
      <c r="H744" s="481"/>
      <c r="I744" s="480"/>
      <c r="J744" s="480"/>
      <c r="K744" s="480"/>
      <c r="L744" s="480"/>
      <c r="M744" s="481"/>
      <c r="N744" s="480"/>
      <c r="O744" s="480"/>
      <c r="P744" s="480"/>
      <c r="Q744" s="480"/>
      <c r="R744" s="481"/>
      <c r="S744" s="480">
        <f t="shared" ref="S744:W744" si="219">S731</f>
        <v>0</v>
      </c>
      <c r="T744" s="480">
        <f t="shared" si="219"/>
        <v>0</v>
      </c>
      <c r="U744" s="480">
        <f t="shared" si="219"/>
        <v>0</v>
      </c>
      <c r="V744" s="480">
        <f t="shared" si="219"/>
        <v>0</v>
      </c>
      <c r="W744" s="481">
        <f t="shared" si="219"/>
        <v>0</v>
      </c>
    </row>
    <row r="745" spans="1:23">
      <c r="B745" s="483">
        <f t="shared" ref="B745:R745" si="220">SUM(B737:B743)</f>
        <v>3.1530499999999999</v>
      </c>
      <c r="C745" s="484">
        <f t="shared" si="220"/>
        <v>4.9832450000000001</v>
      </c>
      <c r="D745" s="485">
        <f t="shared" si="220"/>
        <v>3.3544594999999999</v>
      </c>
      <c r="E745" s="485">
        <f t="shared" si="220"/>
        <v>2.673631425</v>
      </c>
      <c r="F745" s="485">
        <f t="shared" si="220"/>
        <v>2.1296495831250004</v>
      </c>
      <c r="G745" s="485">
        <f t="shared" si="220"/>
        <v>1.748267466140625</v>
      </c>
      <c r="H745" s="484">
        <f t="shared" si="220"/>
        <v>1.5442508120410923</v>
      </c>
      <c r="I745" s="485">
        <f t="shared" si="220"/>
        <v>1.3750131235757246</v>
      </c>
      <c r="J745" s="485">
        <f t="shared" si="220"/>
        <v>1.2790589709501057</v>
      </c>
      <c r="K745" s="485">
        <f t="shared" si="220"/>
        <v>1.2363166689109879</v>
      </c>
      <c r="L745" s="485">
        <f t="shared" si="220"/>
        <v>1.208218845455332</v>
      </c>
      <c r="M745" s="484">
        <f t="shared" si="220"/>
        <v>1.1722513868232143</v>
      </c>
      <c r="N745" s="485">
        <f t="shared" si="220"/>
        <v>1.1172663668002063</v>
      </c>
      <c r="O745" s="485">
        <f t="shared" si="220"/>
        <v>1.0879228463648043</v>
      </c>
      <c r="P745" s="485">
        <f t="shared" si="220"/>
        <v>1.0603089367172494</v>
      </c>
      <c r="Q745" s="485">
        <f t="shared" si="220"/>
        <v>1.0129029454283911</v>
      </c>
      <c r="R745" s="484">
        <f t="shared" si="220"/>
        <v>1.0063313762346549</v>
      </c>
      <c r="S745" s="485">
        <f t="shared" ref="S745:W745" si="221">SUM(S737:S744)</f>
        <v>0.98090268226345678</v>
      </c>
      <c r="T745" s="485">
        <f t="shared" si="221"/>
        <v>0.87886671237947622</v>
      </c>
      <c r="U745" s="485">
        <f t="shared" si="221"/>
        <v>0.81958690513449306</v>
      </c>
      <c r="V745" s="485">
        <f t="shared" si="221"/>
        <v>0.81263550995764622</v>
      </c>
      <c r="W745" s="484">
        <f t="shared" si="221"/>
        <v>0.86014510647289399</v>
      </c>
    </row>
    <row r="748" spans="1:23">
      <c r="A748" s="343" t="s">
        <v>195</v>
      </c>
      <c r="B748" s="367">
        <v>1996</v>
      </c>
      <c r="C748" s="368">
        <v>1997</v>
      </c>
      <c r="D748" s="369">
        <v>1998</v>
      </c>
      <c r="E748" s="369">
        <v>1999</v>
      </c>
      <c r="F748" s="369">
        <v>2000</v>
      </c>
      <c r="G748" s="369">
        <v>2001</v>
      </c>
      <c r="H748" s="368">
        <v>2002</v>
      </c>
      <c r="I748" s="369">
        <v>2003</v>
      </c>
      <c r="J748" s="369">
        <v>2004</v>
      </c>
      <c r="K748" s="369">
        <v>2005</v>
      </c>
      <c r="L748" s="369">
        <v>2006</v>
      </c>
      <c r="M748" s="368">
        <v>2007</v>
      </c>
      <c r="N748" s="369">
        <v>2008</v>
      </c>
      <c r="O748" s="369">
        <v>2009</v>
      </c>
      <c r="P748" s="369">
        <v>2010</v>
      </c>
      <c r="Q748" s="369">
        <v>2011</v>
      </c>
      <c r="R748" s="368">
        <v>2012</v>
      </c>
      <c r="S748" s="367">
        <f t="shared" ref="S748:W748" si="222">R748+1</f>
        <v>2013</v>
      </c>
      <c r="T748" s="369">
        <f t="shared" si="222"/>
        <v>2014</v>
      </c>
      <c r="U748" s="369">
        <f t="shared" si="222"/>
        <v>2015</v>
      </c>
      <c r="V748" s="369">
        <f t="shared" si="222"/>
        <v>2016</v>
      </c>
      <c r="W748" s="368">
        <f t="shared" si="222"/>
        <v>2017</v>
      </c>
    </row>
    <row r="749" spans="1:23">
      <c r="A749" s="360" t="s">
        <v>189</v>
      </c>
      <c r="B749" s="486">
        <f t="shared" ref="B749:W749" si="223">B163</f>
        <v>0.375</v>
      </c>
      <c r="C749" s="397">
        <f t="shared" si="223"/>
        <v>0.755</v>
      </c>
      <c r="D749" s="375">
        <f t="shared" si="223"/>
        <v>0.746</v>
      </c>
      <c r="E749" s="375">
        <f t="shared" si="223"/>
        <v>0.51749999999999996</v>
      </c>
      <c r="F749" s="375">
        <f t="shared" si="223"/>
        <v>0</v>
      </c>
      <c r="G749" s="375">
        <f t="shared" si="223"/>
        <v>0</v>
      </c>
      <c r="H749" s="397">
        <f t="shared" si="223"/>
        <v>0</v>
      </c>
      <c r="I749" s="375">
        <f t="shared" si="223"/>
        <v>0</v>
      </c>
      <c r="J749" s="375">
        <f t="shared" si="223"/>
        <v>0</v>
      </c>
      <c r="K749" s="375">
        <f t="shared" si="223"/>
        <v>0</v>
      </c>
      <c r="L749" s="375">
        <f t="shared" si="223"/>
        <v>0</v>
      </c>
      <c r="M749" s="397">
        <f t="shared" si="223"/>
        <v>0</v>
      </c>
      <c r="N749" s="375">
        <f t="shared" si="223"/>
        <v>0</v>
      </c>
      <c r="O749" s="375">
        <f t="shared" si="223"/>
        <v>0</v>
      </c>
      <c r="P749" s="375">
        <f t="shared" si="223"/>
        <v>0</v>
      </c>
      <c r="Q749" s="375">
        <f t="shared" si="223"/>
        <v>0</v>
      </c>
      <c r="R749" s="487">
        <f t="shared" si="223"/>
        <v>0</v>
      </c>
      <c r="S749" s="375">
        <f t="shared" si="223"/>
        <v>0</v>
      </c>
      <c r="T749" s="375">
        <f t="shared" si="223"/>
        <v>0</v>
      </c>
      <c r="U749" s="375">
        <f t="shared" si="223"/>
        <v>0</v>
      </c>
      <c r="V749" s="375">
        <f t="shared" si="223"/>
        <v>0</v>
      </c>
      <c r="W749" s="487">
        <f t="shared" si="223"/>
        <v>0</v>
      </c>
    </row>
    <row r="750" spans="1:23">
      <c r="A750" s="360" t="s">
        <v>190</v>
      </c>
      <c r="B750" s="396">
        <f t="shared" ref="B750:W750" si="224">B264</f>
        <v>0</v>
      </c>
      <c r="C750" s="397">
        <f t="shared" si="224"/>
        <v>0</v>
      </c>
      <c r="D750" s="375">
        <f t="shared" si="224"/>
        <v>0</v>
      </c>
      <c r="E750" s="375">
        <f t="shared" si="224"/>
        <v>0.17249999999999999</v>
      </c>
      <c r="F750" s="375">
        <f t="shared" si="224"/>
        <v>0.92700000000000005</v>
      </c>
      <c r="G750" s="375">
        <f t="shared" si="224"/>
        <v>0.88300000000000001</v>
      </c>
      <c r="H750" s="397">
        <f t="shared" si="224"/>
        <v>0.46263158356396739</v>
      </c>
      <c r="I750" s="375">
        <f t="shared" si="224"/>
        <v>0</v>
      </c>
      <c r="J750" s="375">
        <f t="shared" si="224"/>
        <v>0</v>
      </c>
      <c r="K750" s="375">
        <f t="shared" si="224"/>
        <v>0</v>
      </c>
      <c r="L750" s="375">
        <f t="shared" si="224"/>
        <v>0</v>
      </c>
      <c r="M750" s="397">
        <f t="shared" si="224"/>
        <v>0</v>
      </c>
      <c r="N750" s="375">
        <f t="shared" si="224"/>
        <v>0</v>
      </c>
      <c r="O750" s="375">
        <f t="shared" si="224"/>
        <v>0</v>
      </c>
      <c r="P750" s="375">
        <f t="shared" si="224"/>
        <v>0</v>
      </c>
      <c r="Q750" s="375">
        <f t="shared" si="224"/>
        <v>0</v>
      </c>
      <c r="R750" s="397">
        <f t="shared" si="224"/>
        <v>0</v>
      </c>
      <c r="S750" s="375">
        <f t="shared" si="224"/>
        <v>0</v>
      </c>
      <c r="T750" s="375">
        <f t="shared" si="224"/>
        <v>0</v>
      </c>
      <c r="U750" s="375">
        <f t="shared" si="224"/>
        <v>0</v>
      </c>
      <c r="V750" s="375">
        <f t="shared" si="224"/>
        <v>0</v>
      </c>
      <c r="W750" s="397">
        <f t="shared" si="224"/>
        <v>0</v>
      </c>
    </row>
    <row r="751" spans="1:23">
      <c r="A751" s="360" t="s">
        <v>191</v>
      </c>
      <c r="B751" s="396">
        <f t="shared" ref="B751:W751" si="225">B365</f>
        <v>0</v>
      </c>
      <c r="C751" s="397">
        <f t="shared" si="225"/>
        <v>0</v>
      </c>
      <c r="D751" s="375">
        <f t="shared" si="225"/>
        <v>0</v>
      </c>
      <c r="E751" s="375">
        <f t="shared" si="225"/>
        <v>0</v>
      </c>
      <c r="F751" s="375">
        <f t="shared" si="225"/>
        <v>0</v>
      </c>
      <c r="G751" s="375">
        <f t="shared" si="225"/>
        <v>0</v>
      </c>
      <c r="H751" s="397">
        <f t="shared" si="225"/>
        <v>0.43696573698858698</v>
      </c>
      <c r="I751" s="375">
        <f t="shared" si="225"/>
        <v>0.9175089999999998</v>
      </c>
      <c r="J751" s="375">
        <f t="shared" si="225"/>
        <v>1.422272717639488</v>
      </c>
      <c r="K751" s="375">
        <f t="shared" si="225"/>
        <v>1.2009999999999998</v>
      </c>
      <c r="L751" s="375">
        <f t="shared" si="225"/>
        <v>0.5691616438356164</v>
      </c>
      <c r="M751" s="397">
        <f t="shared" si="225"/>
        <v>0</v>
      </c>
      <c r="N751" s="375">
        <f t="shared" si="225"/>
        <v>0</v>
      </c>
      <c r="O751" s="375">
        <f t="shared" si="225"/>
        <v>0</v>
      </c>
      <c r="P751" s="375">
        <f t="shared" si="225"/>
        <v>0</v>
      </c>
      <c r="Q751" s="375">
        <f t="shared" si="225"/>
        <v>0</v>
      </c>
      <c r="R751" s="397">
        <f t="shared" si="225"/>
        <v>0</v>
      </c>
      <c r="S751" s="375">
        <f t="shared" si="225"/>
        <v>0</v>
      </c>
      <c r="T751" s="375">
        <f t="shared" si="225"/>
        <v>0</v>
      </c>
      <c r="U751" s="375">
        <f t="shared" si="225"/>
        <v>0</v>
      </c>
      <c r="V751" s="375">
        <f t="shared" si="225"/>
        <v>0</v>
      </c>
      <c r="W751" s="397">
        <f t="shared" si="225"/>
        <v>0</v>
      </c>
    </row>
    <row r="752" spans="1:23">
      <c r="A752" s="360" t="s">
        <v>192</v>
      </c>
      <c r="B752" s="396">
        <f t="shared" ref="B752:W752" si="226">B466</f>
        <v>0</v>
      </c>
      <c r="C752" s="397">
        <f t="shared" si="226"/>
        <v>0</v>
      </c>
      <c r="D752" s="375">
        <f t="shared" si="226"/>
        <v>0</v>
      </c>
      <c r="E752" s="375">
        <f t="shared" si="226"/>
        <v>0</v>
      </c>
      <c r="F752" s="375">
        <f t="shared" si="226"/>
        <v>0</v>
      </c>
      <c r="G752" s="375">
        <f t="shared" si="226"/>
        <v>0</v>
      </c>
      <c r="H752" s="397">
        <f t="shared" si="226"/>
        <v>0</v>
      </c>
      <c r="I752" s="375">
        <f t="shared" si="226"/>
        <v>0</v>
      </c>
      <c r="J752" s="375">
        <f t="shared" si="226"/>
        <v>0</v>
      </c>
      <c r="K752" s="375">
        <f t="shared" si="226"/>
        <v>0</v>
      </c>
      <c r="L752" s="375">
        <f t="shared" si="226"/>
        <v>1.0538383561643836</v>
      </c>
      <c r="M752" s="397">
        <f t="shared" si="226"/>
        <v>0.98199999999999998</v>
      </c>
      <c r="N752" s="375">
        <f t="shared" si="226"/>
        <v>0</v>
      </c>
      <c r="O752" s="375">
        <f t="shared" si="226"/>
        <v>0</v>
      </c>
      <c r="P752" s="375">
        <f t="shared" si="226"/>
        <v>0</v>
      </c>
      <c r="Q752" s="375">
        <f t="shared" si="226"/>
        <v>0</v>
      </c>
      <c r="R752" s="397">
        <f t="shared" si="226"/>
        <v>0</v>
      </c>
      <c r="S752" s="375">
        <f t="shared" si="226"/>
        <v>0</v>
      </c>
      <c r="T752" s="375">
        <f t="shared" si="226"/>
        <v>0</v>
      </c>
      <c r="U752" s="375">
        <f t="shared" si="226"/>
        <v>0</v>
      </c>
      <c r="V752" s="375">
        <f t="shared" si="226"/>
        <v>0</v>
      </c>
      <c r="W752" s="397">
        <f t="shared" si="226"/>
        <v>0</v>
      </c>
    </row>
    <row r="753" spans="1:23">
      <c r="A753" s="360" t="s">
        <v>193</v>
      </c>
      <c r="B753" s="396">
        <f t="shared" ref="B753:W753" si="227">B581</f>
        <v>0</v>
      </c>
      <c r="C753" s="397">
        <f t="shared" si="227"/>
        <v>0</v>
      </c>
      <c r="D753" s="375">
        <f t="shared" si="227"/>
        <v>0</v>
      </c>
      <c r="E753" s="375">
        <f t="shared" si="227"/>
        <v>0</v>
      </c>
      <c r="F753" s="375">
        <f t="shared" si="227"/>
        <v>0</v>
      </c>
      <c r="G753" s="375">
        <f t="shared" si="227"/>
        <v>0</v>
      </c>
      <c r="H753" s="397">
        <f t="shared" si="227"/>
        <v>0</v>
      </c>
      <c r="I753" s="375">
        <f t="shared" si="227"/>
        <v>0</v>
      </c>
      <c r="J753" s="375">
        <f t="shared" si="227"/>
        <v>0</v>
      </c>
      <c r="K753" s="375">
        <f t="shared" si="227"/>
        <v>0</v>
      </c>
      <c r="L753" s="375">
        <f t="shared" si="227"/>
        <v>0</v>
      </c>
      <c r="M753" s="397">
        <f t="shared" si="227"/>
        <v>0</v>
      </c>
      <c r="N753" s="375">
        <f t="shared" si="227"/>
        <v>1.343</v>
      </c>
      <c r="O753" s="375">
        <f t="shared" si="227"/>
        <v>1.2329999999999999</v>
      </c>
      <c r="P753" s="375">
        <f t="shared" si="227"/>
        <v>1.2010000000000001</v>
      </c>
      <c r="Q753" s="375">
        <f t="shared" si="227"/>
        <v>1.0150000000000001</v>
      </c>
      <c r="R753" s="397">
        <f t="shared" si="227"/>
        <v>1.3800000000000001</v>
      </c>
      <c r="S753" s="375">
        <f t="shared" si="227"/>
        <v>0</v>
      </c>
      <c r="T753" s="375">
        <f t="shared" si="227"/>
        <v>0</v>
      </c>
      <c r="U753" s="375">
        <f t="shared" si="227"/>
        <v>0</v>
      </c>
      <c r="V753" s="375">
        <f t="shared" si="227"/>
        <v>0</v>
      </c>
      <c r="W753" s="397">
        <f t="shared" si="227"/>
        <v>0</v>
      </c>
    </row>
    <row r="754" spans="1:23">
      <c r="A754" s="360" t="s">
        <v>194</v>
      </c>
      <c r="B754" s="396"/>
      <c r="C754" s="397"/>
      <c r="D754" s="375"/>
      <c r="E754" s="375"/>
      <c r="F754" s="375"/>
      <c r="G754" s="375"/>
      <c r="H754" s="397"/>
      <c r="I754" s="375"/>
      <c r="J754" s="375"/>
      <c r="K754" s="375"/>
      <c r="L754" s="375"/>
      <c r="M754" s="397"/>
      <c r="N754" s="375"/>
      <c r="O754" s="375"/>
      <c r="P754" s="375"/>
      <c r="Q754" s="375"/>
      <c r="R754" s="397"/>
      <c r="S754" s="375">
        <f t="shared" ref="S754:W754" si="228">S712</f>
        <v>1.2011755209697226</v>
      </c>
      <c r="T754" s="375">
        <f t="shared" si="228"/>
        <v>1.0934103667024282</v>
      </c>
      <c r="U754" s="375">
        <f t="shared" si="228"/>
        <v>1.2404400741524271</v>
      </c>
      <c r="V754" s="375">
        <f t="shared" si="228"/>
        <v>1.854409370576924</v>
      </c>
      <c r="W754" s="397">
        <f t="shared" si="228"/>
        <v>2.1447951951978919</v>
      </c>
    </row>
    <row r="755" spans="1:23">
      <c r="A755" s="360" t="s">
        <v>186</v>
      </c>
      <c r="B755" s="396"/>
      <c r="C755" s="397"/>
      <c r="D755" s="375"/>
      <c r="E755" s="375"/>
      <c r="F755" s="375"/>
      <c r="G755" s="375"/>
      <c r="H755" s="397"/>
      <c r="I755" s="375"/>
      <c r="J755" s="375"/>
      <c r="K755" s="375"/>
      <c r="L755" s="375"/>
      <c r="M755" s="397"/>
      <c r="N755" s="375"/>
      <c r="O755" s="375"/>
      <c r="P755" s="375"/>
      <c r="Q755" s="375"/>
      <c r="R755" s="397"/>
      <c r="S755" s="375">
        <f>S730</f>
        <v>0</v>
      </c>
      <c r="T755" s="375"/>
      <c r="U755" s="375"/>
      <c r="V755" s="375"/>
      <c r="W755" s="397"/>
    </row>
    <row r="756" spans="1:23">
      <c r="B756" s="488">
        <f t="shared" ref="B756:W756" si="229">SUM(B749:B755)</f>
        <v>0.375</v>
      </c>
      <c r="C756" s="489">
        <f t="shared" si="229"/>
        <v>0.755</v>
      </c>
      <c r="D756" s="490">
        <f t="shared" si="229"/>
        <v>0.746</v>
      </c>
      <c r="E756" s="490">
        <f t="shared" si="229"/>
        <v>0.69</v>
      </c>
      <c r="F756" s="490">
        <f t="shared" si="229"/>
        <v>0.92700000000000005</v>
      </c>
      <c r="G756" s="490">
        <f t="shared" si="229"/>
        <v>0.88300000000000001</v>
      </c>
      <c r="H756" s="489">
        <f t="shared" si="229"/>
        <v>0.89959732055255437</v>
      </c>
      <c r="I756" s="490">
        <f t="shared" si="229"/>
        <v>0.9175089999999998</v>
      </c>
      <c r="J756" s="490">
        <f t="shared" si="229"/>
        <v>1.422272717639488</v>
      </c>
      <c r="K756" s="490">
        <f t="shared" si="229"/>
        <v>1.2009999999999998</v>
      </c>
      <c r="L756" s="490">
        <f t="shared" si="229"/>
        <v>1.623</v>
      </c>
      <c r="M756" s="489">
        <f t="shared" si="229"/>
        <v>0.98199999999999998</v>
      </c>
      <c r="N756" s="490">
        <f t="shared" si="229"/>
        <v>1.343</v>
      </c>
      <c r="O756" s="490">
        <f t="shared" si="229"/>
        <v>1.2329999999999999</v>
      </c>
      <c r="P756" s="490">
        <f t="shared" si="229"/>
        <v>1.2010000000000001</v>
      </c>
      <c r="Q756" s="490">
        <f t="shared" si="229"/>
        <v>1.0150000000000001</v>
      </c>
      <c r="R756" s="489">
        <f t="shared" si="229"/>
        <v>1.3800000000000001</v>
      </c>
      <c r="S756" s="490">
        <f t="shared" si="229"/>
        <v>1.2011755209697226</v>
      </c>
      <c r="T756" s="490">
        <f t="shared" si="229"/>
        <v>1.0934103667024282</v>
      </c>
      <c r="U756" s="490">
        <f t="shared" si="229"/>
        <v>1.2404400741524271</v>
      </c>
      <c r="V756" s="490">
        <f t="shared" si="229"/>
        <v>1.854409370576924</v>
      </c>
      <c r="W756" s="489">
        <f t="shared" si="229"/>
        <v>2.1447951951978919</v>
      </c>
    </row>
    <row r="762" spans="1:23">
      <c r="A762" s="343" t="s">
        <v>2</v>
      </c>
      <c r="B762" s="367">
        <f t="shared" ref="B762:W762" si="230">B736</f>
        <v>1996</v>
      </c>
      <c r="C762" s="369">
        <f t="shared" si="230"/>
        <v>1997</v>
      </c>
      <c r="D762" s="367">
        <f t="shared" si="230"/>
        <v>1998</v>
      </c>
      <c r="E762" s="369">
        <f t="shared" si="230"/>
        <v>1999</v>
      </c>
      <c r="F762" s="369">
        <f t="shared" si="230"/>
        <v>2000</v>
      </c>
      <c r="G762" s="369">
        <f t="shared" si="230"/>
        <v>2001</v>
      </c>
      <c r="H762" s="368">
        <f t="shared" si="230"/>
        <v>2002</v>
      </c>
      <c r="I762" s="369">
        <f t="shared" si="230"/>
        <v>2003</v>
      </c>
      <c r="J762" s="369">
        <f t="shared" si="230"/>
        <v>2004</v>
      </c>
      <c r="K762" s="369">
        <f t="shared" si="230"/>
        <v>2005</v>
      </c>
      <c r="L762" s="369">
        <f t="shared" si="230"/>
        <v>2006</v>
      </c>
      <c r="M762" s="368">
        <f t="shared" si="230"/>
        <v>2007</v>
      </c>
      <c r="N762" s="369">
        <f t="shared" si="230"/>
        <v>2008</v>
      </c>
      <c r="O762" s="369">
        <f t="shared" si="230"/>
        <v>2009</v>
      </c>
      <c r="P762" s="369">
        <f t="shared" si="230"/>
        <v>2010</v>
      </c>
      <c r="Q762" s="369">
        <f t="shared" si="230"/>
        <v>2011</v>
      </c>
      <c r="R762" s="368">
        <f t="shared" si="230"/>
        <v>2012</v>
      </c>
      <c r="S762" s="367">
        <f t="shared" si="230"/>
        <v>2013</v>
      </c>
      <c r="T762" s="369">
        <f t="shared" si="230"/>
        <v>2014</v>
      </c>
      <c r="U762" s="369">
        <f t="shared" si="230"/>
        <v>2015</v>
      </c>
      <c r="V762" s="369">
        <f t="shared" si="230"/>
        <v>2016</v>
      </c>
      <c r="W762" s="368">
        <f t="shared" si="230"/>
        <v>2017</v>
      </c>
    </row>
    <row r="763" spans="1:23">
      <c r="A763" s="342" t="s">
        <v>121</v>
      </c>
      <c r="B763" s="491">
        <f t="shared" ref="B763:W763" si="231">B21+B92+B153+B193+B254+B294+B355+B395+B456+B496+B571+B612+B702</f>
        <v>18.065999999999999</v>
      </c>
      <c r="C763" s="491">
        <f t="shared" si="231"/>
        <v>16.506899999999998</v>
      </c>
      <c r="D763" s="491">
        <f t="shared" si="231"/>
        <v>13.700519999999999</v>
      </c>
      <c r="E763" s="491">
        <f t="shared" si="231"/>
        <v>11.445516</v>
      </c>
      <c r="F763" s="491">
        <f t="shared" si="231"/>
        <v>9.6827565500000006</v>
      </c>
      <c r="G763" s="491">
        <f t="shared" si="231"/>
        <v>8.5671411774999999</v>
      </c>
      <c r="H763" s="491">
        <f t="shared" si="231"/>
        <v>7.7847688013749998</v>
      </c>
      <c r="I763" s="491">
        <f t="shared" si="231"/>
        <v>7.0016197788799834</v>
      </c>
      <c r="J763" s="491">
        <f t="shared" si="231"/>
        <v>6.3467000751463853</v>
      </c>
      <c r="K763" s="491">
        <f t="shared" si="231"/>
        <v>6.4778654661897912</v>
      </c>
      <c r="L763" s="491">
        <f t="shared" si="231"/>
        <v>6.3127790124949676</v>
      </c>
      <c r="M763" s="491">
        <f t="shared" si="231"/>
        <v>6.6343612775311112</v>
      </c>
      <c r="N763" s="491">
        <f t="shared" si="231"/>
        <v>6.55184741587298</v>
      </c>
      <c r="O763" s="491">
        <f t="shared" si="231"/>
        <v>6.6494408258385649</v>
      </c>
      <c r="P763" s="491">
        <f t="shared" si="231"/>
        <v>6.8322059801059289</v>
      </c>
      <c r="Q763" s="491">
        <f t="shared" si="231"/>
        <v>6.7388741887773573</v>
      </c>
      <c r="R763" s="491">
        <f t="shared" si="231"/>
        <v>6.914808685261117</v>
      </c>
      <c r="S763" s="491">
        <f t="shared" si="231"/>
        <v>7.2153370936206569</v>
      </c>
      <c r="T763" s="491">
        <f t="shared" si="231"/>
        <v>7.4475646073332129</v>
      </c>
      <c r="U763" s="491">
        <f t="shared" si="231"/>
        <v>7.6424017641127575</v>
      </c>
      <c r="V763" s="491">
        <f t="shared" si="231"/>
        <v>7.9991555829278091</v>
      </c>
      <c r="W763" s="491">
        <f t="shared" si="231"/>
        <v>8.575750965327412</v>
      </c>
    </row>
    <row r="764" spans="1:23">
      <c r="A764" s="342" t="s">
        <v>179</v>
      </c>
      <c r="B764" s="491">
        <f t="shared" ref="B764:W764" si="232">B32+B107+B208+B309+B410+B511+B627</f>
        <v>1.8460000000000001</v>
      </c>
      <c r="C764" s="491">
        <f t="shared" si="232"/>
        <v>0.92300000000000004</v>
      </c>
      <c r="D764" s="491">
        <f t="shared" si="232"/>
        <v>0</v>
      </c>
      <c r="E764" s="491">
        <f t="shared" si="232"/>
        <v>0</v>
      </c>
      <c r="F764" s="491">
        <f t="shared" si="232"/>
        <v>2.3359375000000002E-2</v>
      </c>
      <c r="G764" s="491">
        <f t="shared" si="232"/>
        <v>0.110474609375</v>
      </c>
      <c r="H764" s="491">
        <f t="shared" si="232"/>
        <v>0.14948413085937501</v>
      </c>
      <c r="I764" s="491">
        <f t="shared" si="232"/>
        <v>0.35964971491585429</v>
      </c>
      <c r="J764" s="491">
        <f t="shared" si="232"/>
        <v>0.58196920595872748</v>
      </c>
      <c r="K764" s="491">
        <f t="shared" si="232"/>
        <v>0.77980307191170462</v>
      </c>
      <c r="L764" s="491">
        <f t="shared" si="232"/>
        <v>0.86920129469481522</v>
      </c>
      <c r="M764" s="491">
        <f t="shared" si="232"/>
        <v>1.0217808548305094</v>
      </c>
      <c r="N764" s="491">
        <f t="shared" si="232"/>
        <v>0.91730053426906843</v>
      </c>
      <c r="O764" s="491">
        <f t="shared" si="232"/>
        <v>0.88831443901029683</v>
      </c>
      <c r="P764" s="491">
        <f t="shared" si="232"/>
        <v>0.77145592794802109</v>
      </c>
      <c r="Q764" s="491">
        <f t="shared" si="232"/>
        <v>0.64680722555357317</v>
      </c>
      <c r="R764" s="491">
        <f t="shared" si="232"/>
        <v>0.45137951597098325</v>
      </c>
      <c r="S764" s="491">
        <f t="shared" si="232"/>
        <v>0.58679969748186456</v>
      </c>
      <c r="T764" s="491">
        <f t="shared" si="232"/>
        <v>0.51993129430605867</v>
      </c>
      <c r="U764" s="491">
        <f t="shared" si="232"/>
        <v>0.47904889729569078</v>
      </c>
      <c r="V764" s="491">
        <f t="shared" si="232"/>
        <v>0.48251159402145083</v>
      </c>
      <c r="W764" s="491">
        <f t="shared" si="232"/>
        <v>0.8204654384719402</v>
      </c>
    </row>
    <row r="765" spans="1:23">
      <c r="A765" s="342" t="s">
        <v>196</v>
      </c>
      <c r="B765" s="491">
        <f t="shared" ref="B765:W765" si="233">B526+B642</f>
        <v>0</v>
      </c>
      <c r="C765" s="491">
        <f t="shared" si="233"/>
        <v>0</v>
      </c>
      <c r="D765" s="491">
        <f t="shared" si="233"/>
        <v>0</v>
      </c>
      <c r="E765" s="491">
        <f t="shared" si="233"/>
        <v>0</v>
      </c>
      <c r="F765" s="491">
        <f t="shared" si="233"/>
        <v>0</v>
      </c>
      <c r="G765" s="491">
        <f t="shared" si="233"/>
        <v>0</v>
      </c>
      <c r="H765" s="491">
        <f t="shared" si="233"/>
        <v>0</v>
      </c>
      <c r="I765" s="491">
        <f t="shared" si="233"/>
        <v>0</v>
      </c>
      <c r="J765" s="491">
        <f t="shared" si="233"/>
        <v>0</v>
      </c>
      <c r="K765" s="491">
        <f t="shared" si="233"/>
        <v>0</v>
      </c>
      <c r="L765" s="491">
        <f t="shared" si="233"/>
        <v>0</v>
      </c>
      <c r="M765" s="491">
        <f t="shared" si="233"/>
        <v>0</v>
      </c>
      <c r="N765" s="491">
        <f t="shared" si="233"/>
        <v>0</v>
      </c>
      <c r="O765" s="491">
        <f t="shared" si="233"/>
        <v>0.15801866902237477</v>
      </c>
      <c r="P765" s="491">
        <f t="shared" si="233"/>
        <v>0.236661788030083</v>
      </c>
      <c r="Q765" s="491">
        <f t="shared" si="233"/>
        <v>0.27450694136311071</v>
      </c>
      <c r="R765" s="491">
        <f t="shared" si="233"/>
        <v>0.35737268251469595</v>
      </c>
      <c r="S765" s="491">
        <f t="shared" si="233"/>
        <v>0.3265229915127365</v>
      </c>
      <c r="T765" s="491">
        <f t="shared" si="233"/>
        <v>0.36858764391921101</v>
      </c>
      <c r="U765" s="491">
        <f t="shared" si="233"/>
        <v>0.41026441694832483</v>
      </c>
      <c r="V765" s="491">
        <f t="shared" si="233"/>
        <v>0.46056842107242468</v>
      </c>
      <c r="W765" s="491">
        <f t="shared" si="233"/>
        <v>0.50273774022929529</v>
      </c>
    </row>
    <row r="766" spans="1:23">
      <c r="A766" s="342" t="s">
        <v>142</v>
      </c>
      <c r="B766" s="491">
        <f t="shared" ref="B766:R766" si="234">B43+B122+B223+B324+B425+B541+B657</f>
        <v>0</v>
      </c>
      <c r="C766" s="491">
        <f t="shared" si="234"/>
        <v>0</v>
      </c>
      <c r="D766" s="491">
        <f t="shared" si="234"/>
        <v>0</v>
      </c>
      <c r="E766" s="491">
        <f t="shared" si="234"/>
        <v>0</v>
      </c>
      <c r="F766" s="491">
        <f t="shared" si="234"/>
        <v>0</v>
      </c>
      <c r="G766" s="491">
        <f t="shared" si="234"/>
        <v>0</v>
      </c>
      <c r="H766" s="491">
        <f t="shared" si="234"/>
        <v>0</v>
      </c>
      <c r="I766" s="491">
        <f t="shared" si="234"/>
        <v>0</v>
      </c>
      <c r="J766" s="491">
        <f t="shared" si="234"/>
        <v>0</v>
      </c>
      <c r="K766" s="491">
        <f t="shared" si="234"/>
        <v>0</v>
      </c>
      <c r="L766" s="491">
        <f t="shared" si="234"/>
        <v>0</v>
      </c>
      <c r="M766" s="491">
        <f t="shared" si="234"/>
        <v>0</v>
      </c>
      <c r="N766" s="491">
        <f t="shared" si="234"/>
        <v>0</v>
      </c>
      <c r="O766" s="491">
        <f t="shared" si="234"/>
        <v>0</v>
      </c>
      <c r="P766" s="491">
        <f t="shared" si="234"/>
        <v>0</v>
      </c>
      <c r="Q766" s="491">
        <f t="shared" si="234"/>
        <v>0</v>
      </c>
      <c r="R766" s="491">
        <f t="shared" si="234"/>
        <v>0</v>
      </c>
      <c r="S766" s="492">
        <f>S43+S122+S223+S324+S425+S541</f>
        <v>0</v>
      </c>
      <c r="T766" s="492">
        <f>T43+T122+T223+T324+T425+T541</f>
        <v>0</v>
      </c>
      <c r="U766" s="492">
        <f>U43+U122+U223+U324+U425+U541</f>
        <v>0</v>
      </c>
      <c r="V766" s="492">
        <f>V43+V122+V223+V324+V425+V541</f>
        <v>0</v>
      </c>
      <c r="W766" s="492">
        <f>W43+W122+W223+W324+W425+W541</f>
        <v>0</v>
      </c>
    </row>
    <row r="767" spans="1:23">
      <c r="A767" s="416" t="s">
        <v>123</v>
      </c>
      <c r="B767" s="492"/>
      <c r="C767" s="492"/>
      <c r="D767" s="492"/>
      <c r="E767" s="492"/>
      <c r="F767" s="492"/>
      <c r="G767" s="492"/>
      <c r="H767" s="492"/>
      <c r="I767" s="492"/>
      <c r="J767" s="492"/>
      <c r="K767" s="492"/>
      <c r="L767" s="492"/>
      <c r="M767" s="492"/>
      <c r="N767" s="492"/>
      <c r="O767" s="492"/>
      <c r="P767" s="492"/>
      <c r="Q767" s="492"/>
      <c r="R767" s="492"/>
      <c r="S767" s="492">
        <f>S657</f>
        <v>0</v>
      </c>
      <c r="T767" s="492">
        <f>T657</f>
        <v>0</v>
      </c>
      <c r="U767" s="492">
        <f>U657</f>
        <v>0</v>
      </c>
      <c r="V767" s="492">
        <f>V657</f>
        <v>0</v>
      </c>
      <c r="W767" s="492">
        <f>W657</f>
        <v>0</v>
      </c>
    </row>
    <row r="768" spans="1:23">
      <c r="A768" s="416" t="s">
        <v>128</v>
      </c>
      <c r="B768" s="492"/>
      <c r="C768" s="492"/>
      <c r="D768" s="492"/>
      <c r="E768" s="492"/>
      <c r="F768" s="492"/>
      <c r="G768" s="492"/>
      <c r="H768" s="492"/>
      <c r="I768" s="492"/>
      <c r="J768" s="492"/>
      <c r="K768" s="492"/>
      <c r="L768" s="492"/>
      <c r="M768" s="492"/>
      <c r="N768" s="492"/>
      <c r="O768" s="492"/>
      <c r="P768" s="492"/>
      <c r="Q768" s="492"/>
      <c r="R768" s="492"/>
      <c r="S768" s="492">
        <f>S672</f>
        <v>0</v>
      </c>
      <c r="T768" s="492">
        <f>T672</f>
        <v>0</v>
      </c>
      <c r="U768" s="492">
        <f>U672</f>
        <v>0</v>
      </c>
      <c r="V768" s="492">
        <f>V672</f>
        <v>0</v>
      </c>
      <c r="W768" s="492">
        <f>W672</f>
        <v>0</v>
      </c>
    </row>
    <row r="769" spans="1:23">
      <c r="A769" s="342" t="s">
        <v>126</v>
      </c>
      <c r="B769" s="491">
        <f t="shared" ref="B769:W769" si="235">B54+B137+B238+B339+B440+B556+B687</f>
        <v>1.9730000000000001</v>
      </c>
      <c r="C769" s="491">
        <f t="shared" si="235"/>
        <v>1.6770499999999999</v>
      </c>
      <c r="D769" s="491">
        <f t="shared" si="235"/>
        <v>1.1781849999999998</v>
      </c>
      <c r="E769" s="491">
        <f t="shared" si="235"/>
        <v>0.82472949999999967</v>
      </c>
      <c r="F769" s="491">
        <f t="shared" si="235"/>
        <v>0.58049814999999982</v>
      </c>
      <c r="G769" s="491">
        <f t="shared" si="235"/>
        <v>0.40634870499999981</v>
      </c>
      <c r="H769" s="491">
        <f t="shared" si="235"/>
        <v>0.28444409349999983</v>
      </c>
      <c r="I769" s="491">
        <f t="shared" si="235"/>
        <v>0.21277404044999987</v>
      </c>
      <c r="J769" s="491">
        <f t="shared" si="235"/>
        <v>0.18787012956499993</v>
      </c>
      <c r="K769" s="491">
        <f t="shared" si="235"/>
        <v>2.0846192579999229E-3</v>
      </c>
      <c r="L769" s="491">
        <f t="shared" si="235"/>
        <v>4.245618125872494E-2</v>
      </c>
      <c r="M769" s="491">
        <f t="shared" si="235"/>
        <v>-1.6924489368445199E-2</v>
      </c>
      <c r="N769" s="491">
        <f t="shared" si="235"/>
        <v>-2.0181693972086197E-2</v>
      </c>
      <c r="O769" s="491">
        <f t="shared" si="235"/>
        <v>-2.1074044501481301E-2</v>
      </c>
      <c r="P769" s="491">
        <f t="shared" si="235"/>
        <v>-2.0546653079082822E-2</v>
      </c>
      <c r="Q769" s="491">
        <f t="shared" si="235"/>
        <v>0.30027975059366052</v>
      </c>
      <c r="R769" s="491">
        <f t="shared" si="235"/>
        <v>0.23900427711251415</v>
      </c>
      <c r="S769" s="491">
        <f t="shared" si="235"/>
        <v>0.20757400200939774</v>
      </c>
      <c r="T769" s="491">
        <f t="shared" si="235"/>
        <v>0.22042307777243877</v>
      </c>
      <c r="U769" s="491">
        <f t="shared" si="235"/>
        <v>0.23933519929710087</v>
      </c>
      <c r="V769" s="491">
        <f t="shared" si="235"/>
        <v>0.24966784865012392</v>
      </c>
      <c r="W769" s="491">
        <f t="shared" si="235"/>
        <v>0.33472316326243912</v>
      </c>
    </row>
    <row r="770" spans="1:23">
      <c r="A770" s="342" t="s">
        <v>127</v>
      </c>
      <c r="B770" s="491"/>
      <c r="C770" s="491"/>
      <c r="D770" s="491"/>
      <c r="E770" s="491"/>
      <c r="F770" s="491"/>
      <c r="G770" s="491"/>
      <c r="H770" s="491"/>
      <c r="I770" s="491"/>
      <c r="J770" s="491"/>
      <c r="K770" s="491"/>
      <c r="L770" s="491"/>
      <c r="M770" s="491"/>
      <c r="N770" s="491"/>
      <c r="O770" s="491"/>
      <c r="P770" s="491"/>
      <c r="Q770" s="491"/>
      <c r="R770" s="491"/>
      <c r="S770" s="491">
        <f>S729</f>
        <v>0</v>
      </c>
      <c r="T770" s="491">
        <f>T729</f>
        <v>0</v>
      </c>
      <c r="U770" s="491">
        <f>U729</f>
        <v>0</v>
      </c>
      <c r="V770" s="491">
        <f>V729</f>
        <v>0</v>
      </c>
      <c r="W770" s="491">
        <f>W729</f>
        <v>0</v>
      </c>
    </row>
    <row r="771" spans="1:23">
      <c r="A771" s="448" t="s">
        <v>22</v>
      </c>
      <c r="B771" s="491">
        <f t="shared" ref="B771:W771" si="236">SUM(B763:B770)</f>
        <v>21.884999999999998</v>
      </c>
      <c r="C771" s="491">
        <f t="shared" si="236"/>
        <v>19.106949999999998</v>
      </c>
      <c r="D771" s="491">
        <f t="shared" si="236"/>
        <v>14.878704999999998</v>
      </c>
      <c r="E771" s="491">
        <f t="shared" si="236"/>
        <v>12.2702455</v>
      </c>
      <c r="F771" s="491">
        <f t="shared" si="236"/>
        <v>10.286614075000001</v>
      </c>
      <c r="G771" s="491">
        <f t="shared" si="236"/>
        <v>9.0839644918749993</v>
      </c>
      <c r="H771" s="491">
        <f t="shared" si="236"/>
        <v>8.2186970257343752</v>
      </c>
      <c r="I771" s="491">
        <f t="shared" si="236"/>
        <v>7.5740435342458383</v>
      </c>
      <c r="J771" s="491">
        <f t="shared" si="236"/>
        <v>7.1165394106701125</v>
      </c>
      <c r="K771" s="491">
        <f t="shared" si="236"/>
        <v>7.2597531573594951</v>
      </c>
      <c r="L771" s="491">
        <f t="shared" si="236"/>
        <v>7.2244364884485082</v>
      </c>
      <c r="M771" s="491">
        <f t="shared" si="236"/>
        <v>7.6392176429931755</v>
      </c>
      <c r="N771" s="491">
        <f t="shared" si="236"/>
        <v>7.4489662561699621</v>
      </c>
      <c r="O771" s="491">
        <f t="shared" si="236"/>
        <v>7.6746998893697551</v>
      </c>
      <c r="P771" s="491">
        <f t="shared" si="236"/>
        <v>7.81977704300495</v>
      </c>
      <c r="Q771" s="491">
        <f t="shared" si="236"/>
        <v>7.9604681062877019</v>
      </c>
      <c r="R771" s="491">
        <f t="shared" si="236"/>
        <v>7.9625651608593104</v>
      </c>
      <c r="S771" s="602">
        <f t="shared" si="236"/>
        <v>8.336233784624655</v>
      </c>
      <c r="T771" s="602">
        <f t="shared" si="236"/>
        <v>8.5565066233309217</v>
      </c>
      <c r="U771" s="602">
        <f t="shared" si="236"/>
        <v>8.7710502776538739</v>
      </c>
      <c r="V771" s="602">
        <f t="shared" si="236"/>
        <v>9.1919034466718088</v>
      </c>
      <c r="W771" s="602">
        <f t="shared" si="236"/>
        <v>10.233677307291085</v>
      </c>
    </row>
    <row r="772" spans="1:23">
      <c r="B772" s="493"/>
      <c r="C772" s="493"/>
      <c r="D772" s="493"/>
      <c r="E772" s="493"/>
      <c r="F772" s="493"/>
      <c r="G772" s="493"/>
      <c r="H772" s="493"/>
      <c r="I772" s="493"/>
      <c r="J772" s="493"/>
      <c r="K772" s="493"/>
      <c r="L772" s="493"/>
      <c r="M772" s="493"/>
      <c r="N772" s="493"/>
      <c r="O772" s="493"/>
      <c r="P772" s="493"/>
      <c r="Q772" s="493"/>
      <c r="R772" s="493"/>
      <c r="S772" s="493"/>
      <c r="T772" s="493"/>
      <c r="U772" s="493"/>
      <c r="V772" s="493"/>
      <c r="W772" s="493"/>
    </row>
    <row r="773" spans="1:23">
      <c r="A773" s="343" t="s">
        <v>154</v>
      </c>
      <c r="B773" s="491"/>
      <c r="C773" s="491"/>
      <c r="D773" s="491"/>
      <c r="E773" s="491"/>
      <c r="F773" s="491"/>
      <c r="G773" s="491"/>
      <c r="H773" s="491"/>
      <c r="I773" s="491"/>
      <c r="J773" s="491"/>
      <c r="K773" s="491"/>
      <c r="L773" s="491"/>
      <c r="M773" s="491"/>
      <c r="N773" s="491"/>
      <c r="O773" s="491"/>
      <c r="P773" s="491"/>
      <c r="Q773" s="491"/>
      <c r="R773" s="491"/>
      <c r="S773" s="491"/>
      <c r="T773" s="491"/>
      <c r="U773" s="491"/>
      <c r="V773" s="491"/>
      <c r="W773" s="491"/>
    </row>
    <row r="774" spans="1:23">
      <c r="A774" s="342" t="s">
        <v>121</v>
      </c>
      <c r="B774" s="491">
        <f t="shared" ref="B774:W774" si="237">B93+B154+B194+B255+B295+B356+B396+B457+B497+B572+B613+B703</f>
        <v>0.27500000000000002</v>
      </c>
      <c r="C774" s="491">
        <f t="shared" si="237"/>
        <v>0.55000000000000004</v>
      </c>
      <c r="D774" s="491">
        <f t="shared" si="237"/>
        <v>0.53899999999999992</v>
      </c>
      <c r="E774" s="491">
        <f t="shared" si="237"/>
        <v>0.57125000000000004</v>
      </c>
      <c r="F774" s="491">
        <f t="shared" si="237"/>
        <v>0.80900000000000005</v>
      </c>
      <c r="G774" s="491">
        <f t="shared" si="237"/>
        <v>0.78400000000000003</v>
      </c>
      <c r="H774" s="491">
        <f t="shared" si="237"/>
        <v>0.55716831054794513</v>
      </c>
      <c r="I774" s="491">
        <f t="shared" si="237"/>
        <v>0.4380238349091462</v>
      </c>
      <c r="J774" s="491">
        <f t="shared" si="237"/>
        <v>1.0579657106394882</v>
      </c>
      <c r="K774" s="491">
        <f t="shared" si="237"/>
        <v>0.67125808799999998</v>
      </c>
      <c r="L774" s="491">
        <f t="shared" si="237"/>
        <v>1.0811014938200001</v>
      </c>
      <c r="M774" s="491">
        <f t="shared" si="237"/>
        <v>0.63900000000000001</v>
      </c>
      <c r="N774" s="491">
        <f t="shared" si="237"/>
        <v>0.78600000000000003</v>
      </c>
      <c r="O774" s="491">
        <f t="shared" si="237"/>
        <v>0.86</v>
      </c>
      <c r="P774" s="491">
        <f t="shared" si="237"/>
        <v>0.56899999999999995</v>
      </c>
      <c r="Q774" s="491">
        <f t="shared" si="237"/>
        <v>0.82800000000000007</v>
      </c>
      <c r="R774" s="491">
        <f t="shared" si="237"/>
        <v>0.96700000000000008</v>
      </c>
      <c r="S774" s="491">
        <f t="shared" si="237"/>
        <v>0.89560293710519634</v>
      </c>
      <c r="T774" s="491">
        <f t="shared" si="237"/>
        <v>0.83243921386986719</v>
      </c>
      <c r="U774" s="491">
        <f t="shared" si="237"/>
        <v>0.97938226486233637</v>
      </c>
      <c r="V774" s="491">
        <f t="shared" si="237"/>
        <v>1.2008945690647885</v>
      </c>
      <c r="W774" s="491">
        <f t="shared" si="237"/>
        <v>1.2071615015395565</v>
      </c>
    </row>
    <row r="775" spans="1:23">
      <c r="A775" s="342" t="s">
        <v>179</v>
      </c>
      <c r="B775" s="491">
        <f t="shared" ref="B775:W775" si="238">B108+B209+B310+B411+B512+B628</f>
        <v>0.1</v>
      </c>
      <c r="C775" s="491">
        <f t="shared" si="238"/>
        <v>0.2</v>
      </c>
      <c r="D775" s="491">
        <f t="shared" si="238"/>
        <v>0.20700000000000002</v>
      </c>
      <c r="E775" s="491">
        <f t="shared" si="238"/>
        <v>0.11499999999999999</v>
      </c>
      <c r="F775" s="491">
        <f t="shared" si="238"/>
        <v>0.11800000000000001</v>
      </c>
      <c r="G775" s="491">
        <f t="shared" si="238"/>
        <v>9.9000000000000005E-2</v>
      </c>
      <c r="H775" s="491">
        <f t="shared" si="238"/>
        <v>0.32765801000460915</v>
      </c>
      <c r="I775" s="491">
        <f t="shared" si="238"/>
        <v>0.43961616509085361</v>
      </c>
      <c r="J775" s="491">
        <f t="shared" si="238"/>
        <v>0.51208900699999993</v>
      </c>
      <c r="K775" s="491">
        <f t="shared" si="238"/>
        <v>0.46993769199999996</v>
      </c>
      <c r="L775" s="491">
        <f t="shared" si="238"/>
        <v>0.58896005617999991</v>
      </c>
      <c r="M775" s="491">
        <f t="shared" si="238"/>
        <v>0.34300000000000003</v>
      </c>
      <c r="N775" s="491">
        <f t="shared" si="238"/>
        <v>0.38769428319031279</v>
      </c>
      <c r="O775" s="491">
        <f t="shared" si="238"/>
        <v>0.26616541977425906</v>
      </c>
      <c r="P775" s="491">
        <f t="shared" si="238"/>
        <v>0.20264279456745846</v>
      </c>
      <c r="Q775" s="491">
        <f t="shared" si="238"/>
        <v>5.8000000000000003E-2</v>
      </c>
      <c r="R775" s="491">
        <f t="shared" si="238"/>
        <v>0.375</v>
      </c>
      <c r="S775" s="491">
        <f t="shared" si="238"/>
        <v>0.15846360349644134</v>
      </c>
      <c r="T775" s="491">
        <f t="shared" si="238"/>
        <v>0.11091002308969677</v>
      </c>
      <c r="U775" s="491">
        <f t="shared" si="238"/>
        <v>0.11108061251791991</v>
      </c>
      <c r="V775" s="491">
        <f t="shared" si="238"/>
        <v>0.43142128678515246</v>
      </c>
      <c r="W775" s="491">
        <f t="shared" si="238"/>
        <v>0.43194813008077942</v>
      </c>
    </row>
    <row r="776" spans="1:23">
      <c r="A776" s="342" t="s">
        <v>196</v>
      </c>
      <c r="B776" s="491">
        <f t="shared" ref="B776:W776" si="239">B527+B643</f>
        <v>0</v>
      </c>
      <c r="C776" s="491">
        <f t="shared" si="239"/>
        <v>0</v>
      </c>
      <c r="D776" s="491">
        <f t="shared" si="239"/>
        <v>0</v>
      </c>
      <c r="E776" s="491">
        <f t="shared" si="239"/>
        <v>0</v>
      </c>
      <c r="F776" s="491">
        <f t="shared" si="239"/>
        <v>0</v>
      </c>
      <c r="G776" s="491">
        <f t="shared" si="239"/>
        <v>0</v>
      </c>
      <c r="H776" s="491">
        <f t="shared" si="239"/>
        <v>0</v>
      </c>
      <c r="I776" s="491">
        <f t="shared" si="239"/>
        <v>0</v>
      </c>
      <c r="J776" s="491">
        <f t="shared" si="239"/>
        <v>0</v>
      </c>
      <c r="K776" s="491">
        <f t="shared" si="239"/>
        <v>0</v>
      </c>
      <c r="L776" s="491">
        <f t="shared" si="239"/>
        <v>0</v>
      </c>
      <c r="M776" s="491">
        <f t="shared" si="239"/>
        <v>0</v>
      </c>
      <c r="N776" s="491">
        <f t="shared" si="239"/>
        <v>0.16930571680968726</v>
      </c>
      <c r="O776" s="491">
        <f t="shared" si="239"/>
        <v>0.10683458022574094</v>
      </c>
      <c r="P776" s="491">
        <f t="shared" si="239"/>
        <v>7.4357205432541568E-2</v>
      </c>
      <c r="Q776" s="491">
        <f t="shared" si="239"/>
        <v>0.128</v>
      </c>
      <c r="R776" s="491">
        <f t="shared" si="239"/>
        <v>1.7999999999999999E-2</v>
      </c>
      <c r="S776" s="491">
        <f t="shared" si="239"/>
        <v>8.8552811663626926E-2</v>
      </c>
      <c r="T776" s="491">
        <f t="shared" si="239"/>
        <v>8.8253627061315648E-2</v>
      </c>
      <c r="U776" s="491">
        <f t="shared" si="239"/>
        <v>9.8060454793334598E-2</v>
      </c>
      <c r="V776" s="491">
        <f t="shared" si="239"/>
        <v>9.1897615788459244E-2</v>
      </c>
      <c r="W776" s="491">
        <f t="shared" si="239"/>
        <v>9.2071275725989457E-2</v>
      </c>
    </row>
    <row r="777" spans="1:23">
      <c r="A777" s="342" t="s">
        <v>142</v>
      </c>
      <c r="B777" s="491">
        <f t="shared" ref="B777:R777" si="240">B123+B224+B325+B426+B542+B658</f>
        <v>0</v>
      </c>
      <c r="C777" s="491">
        <f t="shared" si="240"/>
        <v>0</v>
      </c>
      <c r="D777" s="491">
        <f t="shared" si="240"/>
        <v>0</v>
      </c>
      <c r="E777" s="491">
        <f t="shared" si="240"/>
        <v>0</v>
      </c>
      <c r="F777" s="491">
        <f t="shared" si="240"/>
        <v>0</v>
      </c>
      <c r="G777" s="491">
        <f t="shared" si="240"/>
        <v>0</v>
      </c>
      <c r="H777" s="491">
        <f t="shared" si="240"/>
        <v>0</v>
      </c>
      <c r="I777" s="491">
        <f t="shared" si="240"/>
        <v>0</v>
      </c>
      <c r="J777" s="491">
        <f t="shared" si="240"/>
        <v>0</v>
      </c>
      <c r="K777" s="491">
        <f t="shared" si="240"/>
        <v>0</v>
      </c>
      <c r="L777" s="491">
        <f t="shared" si="240"/>
        <v>0</v>
      </c>
      <c r="M777" s="491">
        <f t="shared" si="240"/>
        <v>0</v>
      </c>
      <c r="N777" s="491">
        <f t="shared" si="240"/>
        <v>0</v>
      </c>
      <c r="O777" s="491">
        <f t="shared" si="240"/>
        <v>0</v>
      </c>
      <c r="P777" s="491">
        <f t="shared" si="240"/>
        <v>0</v>
      </c>
      <c r="Q777" s="491">
        <f t="shared" si="240"/>
        <v>0</v>
      </c>
      <c r="R777" s="491">
        <f t="shared" si="240"/>
        <v>0</v>
      </c>
      <c r="S777" s="492">
        <f>S123+S224+S325+S426+S542</f>
        <v>0</v>
      </c>
      <c r="T777" s="492">
        <f>T123+T224+T325+T426+T542</f>
        <v>0</v>
      </c>
      <c r="U777" s="492">
        <f>U123+U224+U325+U426+U542</f>
        <v>0</v>
      </c>
      <c r="V777" s="492">
        <f>V123+V224+V325+V426+V542</f>
        <v>0</v>
      </c>
      <c r="W777" s="492">
        <f>W123+W224+W325+W426+W542</f>
        <v>0</v>
      </c>
    </row>
    <row r="778" spans="1:23">
      <c r="A778" s="416" t="s">
        <v>123</v>
      </c>
      <c r="B778" s="492"/>
      <c r="C778" s="492"/>
      <c r="D778" s="492"/>
      <c r="E778" s="492"/>
      <c r="F778" s="492"/>
      <c r="G778" s="492"/>
      <c r="H778" s="492"/>
      <c r="I778" s="492"/>
      <c r="J778" s="492"/>
      <c r="K778" s="492"/>
      <c r="L778" s="492"/>
      <c r="M778" s="492"/>
      <c r="N778" s="492"/>
      <c r="O778" s="492"/>
      <c r="P778" s="492"/>
      <c r="Q778" s="492"/>
      <c r="R778" s="492"/>
      <c r="S778" s="492">
        <f>S658</f>
        <v>0</v>
      </c>
      <c r="T778" s="492">
        <f>T658</f>
        <v>0</v>
      </c>
      <c r="U778" s="492">
        <f>U658</f>
        <v>0</v>
      </c>
      <c r="V778" s="492">
        <f>V658</f>
        <v>0</v>
      </c>
      <c r="W778" s="492">
        <f>W658</f>
        <v>0</v>
      </c>
    </row>
    <row r="779" spans="1:23">
      <c r="A779" s="416" t="s">
        <v>128</v>
      </c>
      <c r="B779" s="492"/>
      <c r="C779" s="492"/>
      <c r="D779" s="492"/>
      <c r="E779" s="492"/>
      <c r="F779" s="492"/>
      <c r="G779" s="492"/>
      <c r="H779" s="492"/>
      <c r="I779" s="492"/>
      <c r="J779" s="492"/>
      <c r="K779" s="492"/>
      <c r="L779" s="492"/>
      <c r="M779" s="492"/>
      <c r="N779" s="492"/>
      <c r="O779" s="492"/>
      <c r="P779" s="492"/>
      <c r="Q779" s="492"/>
      <c r="R779" s="492"/>
      <c r="S779" s="492">
        <f>S673</f>
        <v>0</v>
      </c>
      <c r="T779" s="492">
        <f>T673</f>
        <v>0</v>
      </c>
      <c r="U779" s="492">
        <f>U673</f>
        <v>0</v>
      </c>
      <c r="V779" s="492">
        <f>V673</f>
        <v>0</v>
      </c>
      <c r="W779" s="492">
        <f>W673</f>
        <v>0</v>
      </c>
    </row>
    <row r="780" spans="1:23">
      <c r="A780" s="342" t="s">
        <v>126</v>
      </c>
      <c r="B780" s="491">
        <f t="shared" ref="B780:W780" si="241">B138+B239+B340+B441+B557+B688</f>
        <v>0</v>
      </c>
      <c r="C780" s="491">
        <f t="shared" si="241"/>
        <v>5.0000000000000001E-3</v>
      </c>
      <c r="D780" s="491">
        <f t="shared" si="241"/>
        <v>0</v>
      </c>
      <c r="E780" s="491">
        <f t="shared" si="241"/>
        <v>3.7499999999999999E-3</v>
      </c>
      <c r="F780" s="491">
        <f t="shared" si="241"/>
        <v>0</v>
      </c>
      <c r="G780" s="491">
        <f t="shared" si="241"/>
        <v>0</v>
      </c>
      <c r="H780" s="491">
        <f t="shared" si="241"/>
        <v>1.4770999999999999E-2</v>
      </c>
      <c r="I780" s="491">
        <f t="shared" si="241"/>
        <v>3.9869000000000002E-2</v>
      </c>
      <c r="J780" s="491">
        <f t="shared" si="241"/>
        <v>-0.147782</v>
      </c>
      <c r="K780" s="491">
        <f t="shared" si="241"/>
        <v>5.9804219999999998E-2</v>
      </c>
      <c r="L780" s="491">
        <f t="shared" si="241"/>
        <v>-4.7061550000000001E-2</v>
      </c>
      <c r="M780" s="491">
        <f t="shared" si="241"/>
        <v>0</v>
      </c>
      <c r="N780" s="491">
        <f t="shared" si="241"/>
        <v>0</v>
      </c>
      <c r="O780" s="491">
        <f t="shared" si="241"/>
        <v>0</v>
      </c>
      <c r="P780" s="491">
        <f t="shared" si="241"/>
        <v>0.35499999999999998</v>
      </c>
      <c r="Q780" s="491">
        <f t="shared" si="241"/>
        <v>1E-3</v>
      </c>
      <c r="R780" s="491">
        <f t="shared" si="241"/>
        <v>0.02</v>
      </c>
      <c r="S780" s="491">
        <f t="shared" si="241"/>
        <v>5.8556168704458074E-2</v>
      </c>
      <c r="T780" s="491">
        <f t="shared" si="241"/>
        <v>6.180750268154854E-2</v>
      </c>
      <c r="U780" s="491">
        <f t="shared" si="241"/>
        <v>5.1916741978836285E-2</v>
      </c>
      <c r="V780" s="491">
        <f t="shared" si="241"/>
        <v>0.13019589893852396</v>
      </c>
      <c r="W780" s="491">
        <f t="shared" si="241"/>
        <v>0.41361428785156662</v>
      </c>
    </row>
    <row r="781" spans="1:23">
      <c r="A781" s="342" t="s">
        <v>127</v>
      </c>
      <c r="B781" s="491"/>
      <c r="C781" s="491"/>
      <c r="D781" s="491"/>
      <c r="E781" s="491"/>
      <c r="F781" s="491"/>
      <c r="G781" s="491"/>
      <c r="H781" s="491"/>
      <c r="I781" s="491"/>
      <c r="J781" s="491"/>
      <c r="K781" s="491"/>
      <c r="L781" s="491"/>
      <c r="M781" s="491"/>
      <c r="N781" s="491"/>
      <c r="O781" s="491"/>
      <c r="P781" s="491"/>
      <c r="Q781" s="491"/>
      <c r="R781" s="491"/>
      <c r="S781" s="491">
        <f>S730</f>
        <v>0</v>
      </c>
      <c r="T781" s="491">
        <f>T730</f>
        <v>0</v>
      </c>
      <c r="U781" s="491">
        <f>U730</f>
        <v>0</v>
      </c>
      <c r="V781" s="491">
        <f>V730</f>
        <v>0</v>
      </c>
      <c r="W781" s="491">
        <f>W730</f>
        <v>0</v>
      </c>
    </row>
    <row r="782" spans="1:23">
      <c r="A782" s="448" t="s">
        <v>22</v>
      </c>
      <c r="B782" s="491">
        <f t="shared" ref="B782:W782" si="242">SUM(B774:B781)</f>
        <v>0.375</v>
      </c>
      <c r="C782" s="491">
        <f t="shared" si="242"/>
        <v>0.755</v>
      </c>
      <c r="D782" s="491">
        <f t="shared" si="242"/>
        <v>0.746</v>
      </c>
      <c r="E782" s="491">
        <f t="shared" si="242"/>
        <v>0.69000000000000006</v>
      </c>
      <c r="F782" s="491">
        <f t="shared" si="242"/>
        <v>0.92700000000000005</v>
      </c>
      <c r="G782" s="491">
        <f t="shared" si="242"/>
        <v>0.88300000000000001</v>
      </c>
      <c r="H782" s="491">
        <f t="shared" si="242"/>
        <v>0.89959732055255426</v>
      </c>
      <c r="I782" s="491">
        <f t="shared" si="242"/>
        <v>0.9175089999999998</v>
      </c>
      <c r="J782" s="491">
        <f t="shared" si="242"/>
        <v>1.422272717639488</v>
      </c>
      <c r="K782" s="491">
        <f t="shared" si="242"/>
        <v>1.2009999999999998</v>
      </c>
      <c r="L782" s="491">
        <f t="shared" si="242"/>
        <v>1.623</v>
      </c>
      <c r="M782" s="491">
        <f t="shared" si="242"/>
        <v>0.98199999999999998</v>
      </c>
      <c r="N782" s="491">
        <f t="shared" si="242"/>
        <v>1.343</v>
      </c>
      <c r="O782" s="491">
        <f t="shared" si="242"/>
        <v>1.2329999999999999</v>
      </c>
      <c r="P782" s="491">
        <f t="shared" si="242"/>
        <v>1.2010000000000001</v>
      </c>
      <c r="Q782" s="491">
        <f t="shared" si="242"/>
        <v>1.0150000000000001</v>
      </c>
      <c r="R782" s="491">
        <f t="shared" si="242"/>
        <v>1.3800000000000001</v>
      </c>
      <c r="S782" s="602">
        <f t="shared" si="242"/>
        <v>1.2011755209697226</v>
      </c>
      <c r="T782" s="602">
        <f t="shared" si="242"/>
        <v>1.0934103667024282</v>
      </c>
      <c r="U782" s="602">
        <f t="shared" si="242"/>
        <v>1.2404400741524271</v>
      </c>
      <c r="V782" s="602">
        <f t="shared" si="242"/>
        <v>1.854409370576924</v>
      </c>
      <c r="W782" s="602">
        <f t="shared" si="242"/>
        <v>2.1447951951978919</v>
      </c>
    </row>
    <row r="783" spans="1:23">
      <c r="B783" s="491"/>
      <c r="C783" s="491"/>
      <c r="D783" s="491"/>
      <c r="E783" s="491"/>
      <c r="F783" s="491"/>
      <c r="G783" s="491"/>
      <c r="H783" s="491"/>
      <c r="I783" s="491"/>
      <c r="J783" s="491"/>
      <c r="K783" s="491"/>
      <c r="L783" s="491"/>
      <c r="M783" s="491"/>
      <c r="N783" s="491"/>
      <c r="O783" s="491"/>
      <c r="P783" s="491"/>
      <c r="Q783" s="491"/>
      <c r="R783" s="491"/>
      <c r="S783" s="491"/>
      <c r="T783" s="491"/>
      <c r="U783" s="491"/>
      <c r="V783" s="491"/>
      <c r="W783" s="491"/>
    </row>
    <row r="784" spans="1:23">
      <c r="A784" s="343" t="s">
        <v>149</v>
      </c>
      <c r="B784" s="491"/>
      <c r="C784" s="491"/>
      <c r="D784" s="491"/>
      <c r="E784" s="491"/>
      <c r="F784" s="491"/>
      <c r="G784" s="491"/>
      <c r="H784" s="491"/>
      <c r="I784" s="491"/>
      <c r="J784" s="491"/>
      <c r="K784" s="491"/>
      <c r="L784" s="491"/>
      <c r="M784" s="491"/>
      <c r="N784" s="491"/>
      <c r="O784" s="491"/>
      <c r="P784" s="491"/>
      <c r="Q784" s="491"/>
      <c r="R784" s="491"/>
      <c r="S784" s="491"/>
      <c r="T784" s="491"/>
      <c r="U784" s="491"/>
      <c r="V784" s="491"/>
      <c r="W784" s="491"/>
    </row>
    <row r="785" spans="1:23">
      <c r="A785" s="342" t="s">
        <v>121</v>
      </c>
      <c r="B785" s="491">
        <f t="shared" ref="B785:W785" si="243">B22+B94+B155+B195+B256+B296+B357+B397+B458+B498+B573+B614+B704</f>
        <v>1.8341000000000001</v>
      </c>
      <c r="C785" s="491">
        <f t="shared" si="243"/>
        <v>3.3563799999999997</v>
      </c>
      <c r="D785" s="491">
        <f t="shared" si="243"/>
        <v>2.7940040000000002</v>
      </c>
      <c r="E785" s="491">
        <f t="shared" si="243"/>
        <v>2.3340094499999999</v>
      </c>
      <c r="F785" s="491">
        <f t="shared" si="243"/>
        <v>1.9246153725000001</v>
      </c>
      <c r="G785" s="491">
        <f t="shared" si="243"/>
        <v>1.5663723761249999</v>
      </c>
      <c r="H785" s="491">
        <f t="shared" si="243"/>
        <v>1.3403173330429625</v>
      </c>
      <c r="I785" s="491">
        <f t="shared" si="243"/>
        <v>1.0929435386427442</v>
      </c>
      <c r="J785" s="491">
        <f t="shared" si="243"/>
        <v>0.92680031959608278</v>
      </c>
      <c r="K785" s="491">
        <f t="shared" si="243"/>
        <v>0.83634454169482364</v>
      </c>
      <c r="L785" s="491">
        <f t="shared" si="243"/>
        <v>0.75951922878385603</v>
      </c>
      <c r="M785" s="491">
        <f t="shared" si="243"/>
        <v>0.72151386165813236</v>
      </c>
      <c r="N785" s="491">
        <f t="shared" si="243"/>
        <v>0.68840659003441418</v>
      </c>
      <c r="O785" s="491">
        <f t="shared" si="243"/>
        <v>0.67723484573263537</v>
      </c>
      <c r="P785" s="491">
        <f t="shared" si="243"/>
        <v>0.66233179132857234</v>
      </c>
      <c r="Q785" s="491">
        <f t="shared" si="243"/>
        <v>0.65206550351623993</v>
      </c>
      <c r="R785" s="491">
        <f t="shared" si="243"/>
        <v>0.66647159164046021</v>
      </c>
      <c r="S785" s="491">
        <f t="shared" si="243"/>
        <v>0.66337542339263988</v>
      </c>
      <c r="T785" s="491">
        <f t="shared" si="243"/>
        <v>0.63760205709032314</v>
      </c>
      <c r="U785" s="491">
        <f t="shared" si="243"/>
        <v>0.62262844604728518</v>
      </c>
      <c r="V785" s="491">
        <f t="shared" si="243"/>
        <v>0.6242991866651858</v>
      </c>
      <c r="W785" s="491">
        <f t="shared" si="243"/>
        <v>0.63803500623338516</v>
      </c>
    </row>
    <row r="786" spans="1:23">
      <c r="A786" s="342" t="s">
        <v>179</v>
      </c>
      <c r="B786" s="491">
        <f t="shared" ref="B786:W786" si="244">B33+B109+B210+B311+B412+B513+B629</f>
        <v>1.0230000000000001</v>
      </c>
      <c r="C786" s="491">
        <f t="shared" si="244"/>
        <v>1.123</v>
      </c>
      <c r="D786" s="491">
        <f t="shared" si="244"/>
        <v>0.20700000000000002</v>
      </c>
      <c r="E786" s="491">
        <f t="shared" si="244"/>
        <v>9.1640624999999989E-2</v>
      </c>
      <c r="F786" s="491">
        <f t="shared" si="244"/>
        <v>3.0884765625000005E-2</v>
      </c>
      <c r="G786" s="491">
        <f t="shared" si="244"/>
        <v>5.9990478515625008E-2</v>
      </c>
      <c r="H786" s="491">
        <f t="shared" si="244"/>
        <v>0.11749242594812985</v>
      </c>
      <c r="I786" s="491">
        <f t="shared" si="244"/>
        <v>0.21729667404798042</v>
      </c>
      <c r="J786" s="491">
        <f t="shared" si="244"/>
        <v>0.31425514104702279</v>
      </c>
      <c r="K786" s="491">
        <f t="shared" si="244"/>
        <v>0.38053946921688925</v>
      </c>
      <c r="L786" s="491">
        <f t="shared" si="244"/>
        <v>0.43638049604430568</v>
      </c>
      <c r="M786" s="491">
        <f t="shared" si="244"/>
        <v>0.44748032056144105</v>
      </c>
      <c r="N786" s="491">
        <f t="shared" si="244"/>
        <v>0.41668037844908429</v>
      </c>
      <c r="O786" s="491">
        <f t="shared" si="244"/>
        <v>0.38302393083653491</v>
      </c>
      <c r="P786" s="491">
        <f t="shared" si="244"/>
        <v>0.3272914969619064</v>
      </c>
      <c r="Q786" s="491">
        <f t="shared" si="244"/>
        <v>0.25342770958258998</v>
      </c>
      <c r="R786" s="491">
        <f t="shared" si="244"/>
        <v>0.23957981848911869</v>
      </c>
      <c r="S786" s="491">
        <f t="shared" si="244"/>
        <v>0.22533200667224726</v>
      </c>
      <c r="T786" s="491">
        <f t="shared" si="244"/>
        <v>0.15179242010006466</v>
      </c>
      <c r="U786" s="491">
        <f t="shared" si="244"/>
        <v>0.10761791579215989</v>
      </c>
      <c r="V786" s="491">
        <f t="shared" si="244"/>
        <v>9.3467442334663114E-2</v>
      </c>
      <c r="W786" s="491">
        <f t="shared" si="244"/>
        <v>0.10210025408377804</v>
      </c>
    </row>
    <row r="787" spans="1:23">
      <c r="A787" s="342" t="s">
        <v>196</v>
      </c>
      <c r="B787" s="491">
        <f t="shared" ref="B787:W787" si="245">B528+B644</f>
        <v>0</v>
      </c>
      <c r="C787" s="491">
        <f t="shared" si="245"/>
        <v>0</v>
      </c>
      <c r="D787" s="491">
        <f t="shared" si="245"/>
        <v>0</v>
      </c>
      <c r="E787" s="491">
        <f t="shared" si="245"/>
        <v>0</v>
      </c>
      <c r="F787" s="491">
        <f t="shared" si="245"/>
        <v>0</v>
      </c>
      <c r="G787" s="491">
        <f t="shared" si="245"/>
        <v>0</v>
      </c>
      <c r="H787" s="491">
        <f t="shared" si="245"/>
        <v>0</v>
      </c>
      <c r="I787" s="491">
        <f t="shared" si="245"/>
        <v>0</v>
      </c>
      <c r="J787" s="491">
        <f t="shared" si="245"/>
        <v>0</v>
      </c>
      <c r="K787" s="491">
        <f t="shared" si="245"/>
        <v>0</v>
      </c>
      <c r="L787" s="491">
        <f t="shared" si="245"/>
        <v>0</v>
      </c>
      <c r="M787" s="491">
        <f t="shared" si="245"/>
        <v>0</v>
      </c>
      <c r="N787" s="491">
        <f t="shared" si="245"/>
        <v>1.1287047787312484E-2</v>
      </c>
      <c r="O787" s="491">
        <f t="shared" si="245"/>
        <v>2.8191461218032697E-2</v>
      </c>
      <c r="P787" s="491">
        <f t="shared" si="245"/>
        <v>3.6512052099513838E-2</v>
      </c>
      <c r="Q787" s="491">
        <f t="shared" si="245"/>
        <v>4.5134258848414759E-2</v>
      </c>
      <c r="R787" s="491">
        <f t="shared" si="245"/>
        <v>4.8849691001959461E-2</v>
      </c>
      <c r="S787" s="491">
        <f t="shared" si="245"/>
        <v>4.6488159257152432E-2</v>
      </c>
      <c r="T787" s="491">
        <f t="shared" si="245"/>
        <v>4.6576854032201867E-2</v>
      </c>
      <c r="U787" s="491">
        <f t="shared" si="245"/>
        <v>4.7756450669234715E-2</v>
      </c>
      <c r="V787" s="491">
        <f t="shared" si="245"/>
        <v>4.9728296631588634E-2</v>
      </c>
      <c r="W787" s="491">
        <f t="shared" si="245"/>
        <v>5.2081848588191829E-2</v>
      </c>
    </row>
    <row r="788" spans="1:23">
      <c r="A788" s="342" t="s">
        <v>142</v>
      </c>
      <c r="B788" s="491">
        <f t="shared" ref="B788:R788" si="246">B44+B124+B225+B326+B427+B543+B659</f>
        <v>0</v>
      </c>
      <c r="C788" s="491">
        <f t="shared" si="246"/>
        <v>0</v>
      </c>
      <c r="D788" s="491">
        <f t="shared" si="246"/>
        <v>0</v>
      </c>
      <c r="E788" s="491">
        <f t="shared" si="246"/>
        <v>0</v>
      </c>
      <c r="F788" s="491">
        <f t="shared" si="246"/>
        <v>0</v>
      </c>
      <c r="G788" s="491">
        <f t="shared" si="246"/>
        <v>0</v>
      </c>
      <c r="H788" s="491">
        <f t="shared" si="246"/>
        <v>0</v>
      </c>
      <c r="I788" s="491">
        <f t="shared" si="246"/>
        <v>0</v>
      </c>
      <c r="J788" s="491">
        <f t="shared" si="246"/>
        <v>0</v>
      </c>
      <c r="K788" s="491">
        <f t="shared" si="246"/>
        <v>0</v>
      </c>
      <c r="L788" s="491">
        <f t="shared" si="246"/>
        <v>0</v>
      </c>
      <c r="M788" s="491">
        <f t="shared" si="246"/>
        <v>0</v>
      </c>
      <c r="N788" s="491">
        <f t="shared" si="246"/>
        <v>0</v>
      </c>
      <c r="O788" s="491">
        <f t="shared" si="246"/>
        <v>0</v>
      </c>
      <c r="P788" s="491">
        <f t="shared" si="246"/>
        <v>0</v>
      </c>
      <c r="Q788" s="491">
        <f t="shared" si="246"/>
        <v>0</v>
      </c>
      <c r="R788" s="491">
        <f t="shared" si="246"/>
        <v>0</v>
      </c>
      <c r="S788" s="492">
        <f>S44+S124+S225+S326+S427+S543</f>
        <v>0</v>
      </c>
      <c r="T788" s="492">
        <f>T44+T124+T225+T326+T427+T543+T659</f>
        <v>0</v>
      </c>
      <c r="U788" s="492">
        <f>U44+U124+U225+U326+U427+U543+U659</f>
        <v>0</v>
      </c>
      <c r="V788" s="492">
        <f>V44+V124+V225+V326+V427+V543+V659</f>
        <v>0</v>
      </c>
      <c r="W788" s="492">
        <f>W44+W124+W225+W326+W427+W543+W659</f>
        <v>0</v>
      </c>
    </row>
    <row r="789" spans="1:23">
      <c r="A789" s="416" t="s">
        <v>123</v>
      </c>
      <c r="B789" s="492"/>
      <c r="C789" s="492"/>
      <c r="D789" s="492"/>
      <c r="E789" s="492"/>
      <c r="F789" s="492"/>
      <c r="G789" s="492"/>
      <c r="H789" s="492"/>
      <c r="I789" s="492"/>
      <c r="J789" s="492"/>
      <c r="K789" s="492"/>
      <c r="L789" s="492"/>
      <c r="M789" s="492"/>
      <c r="N789" s="492"/>
      <c r="O789" s="492"/>
      <c r="P789" s="492"/>
      <c r="Q789" s="492"/>
      <c r="R789" s="492"/>
      <c r="S789" s="492">
        <f>+S659</f>
        <v>0</v>
      </c>
      <c r="T789" s="492">
        <f>+T659</f>
        <v>0</v>
      </c>
      <c r="U789" s="492">
        <f>+U659</f>
        <v>0</v>
      </c>
      <c r="V789" s="492">
        <f>+V659</f>
        <v>0</v>
      </c>
      <c r="W789" s="492">
        <f>+W659</f>
        <v>0</v>
      </c>
    </row>
    <row r="790" spans="1:23">
      <c r="A790" s="416" t="s">
        <v>197</v>
      </c>
      <c r="B790" s="492"/>
      <c r="C790" s="492"/>
      <c r="D790" s="492"/>
      <c r="E790" s="492"/>
      <c r="F790" s="492"/>
      <c r="G790" s="492"/>
      <c r="H790" s="492"/>
      <c r="I790" s="492"/>
      <c r="J790" s="492"/>
      <c r="K790" s="492"/>
      <c r="L790" s="492"/>
      <c r="M790" s="492"/>
      <c r="N790" s="492"/>
      <c r="O790" s="492"/>
      <c r="P790" s="492"/>
      <c r="Q790" s="492"/>
      <c r="R790" s="492"/>
      <c r="S790" s="492">
        <f>S674</f>
        <v>0</v>
      </c>
      <c r="T790" s="492">
        <f>T674</f>
        <v>0</v>
      </c>
      <c r="U790" s="492">
        <f>U674</f>
        <v>0</v>
      </c>
      <c r="V790" s="492">
        <f>V674</f>
        <v>0</v>
      </c>
      <c r="W790" s="492">
        <f>W674</f>
        <v>0</v>
      </c>
    </row>
    <row r="791" spans="1:23">
      <c r="A791" s="342" t="s">
        <v>126</v>
      </c>
      <c r="B791" s="491">
        <f t="shared" ref="B791:R791" si="247">B55+B139+B240+B341+B442+B558</f>
        <v>0.29595000000000005</v>
      </c>
      <c r="C791" s="491">
        <f t="shared" si="247"/>
        <v>0.50386500000000012</v>
      </c>
      <c r="D791" s="491">
        <f t="shared" si="247"/>
        <v>0.35345549999999998</v>
      </c>
      <c r="E791" s="491">
        <f t="shared" si="247"/>
        <v>0.24798134999999996</v>
      </c>
      <c r="F791" s="491">
        <f t="shared" si="247"/>
        <v>0.17414944499999999</v>
      </c>
      <c r="G791" s="491">
        <f t="shared" si="247"/>
        <v>0.12190461149999997</v>
      </c>
      <c r="H791" s="491">
        <f t="shared" si="247"/>
        <v>8.6441053049999952E-2</v>
      </c>
      <c r="I791" s="491">
        <f t="shared" si="247"/>
        <v>6.4772910884999979E-2</v>
      </c>
      <c r="J791" s="491">
        <f t="shared" si="247"/>
        <v>3.8003510306999978E-2</v>
      </c>
      <c r="K791" s="491">
        <f t="shared" si="247"/>
        <v>1.9432657999274981E-2</v>
      </c>
      <c r="L791" s="491">
        <f t="shared" si="247"/>
        <v>1.231912062717014E-2</v>
      </c>
      <c r="M791" s="491">
        <f t="shared" si="247"/>
        <v>3.2572046036409893E-3</v>
      </c>
      <c r="N791" s="491">
        <f t="shared" si="247"/>
        <v>8.923505293951129E-4</v>
      </c>
      <c r="O791" s="491">
        <f t="shared" si="247"/>
        <v>-5.2739142239848456E-4</v>
      </c>
      <c r="P791" s="491">
        <f t="shared" si="247"/>
        <v>3.4173596327256639E-2</v>
      </c>
      <c r="Q791" s="491">
        <f t="shared" si="247"/>
        <v>6.2275473481146398E-2</v>
      </c>
      <c r="R791" s="491">
        <f t="shared" si="247"/>
        <v>5.143027510311643E-2</v>
      </c>
      <c r="S791" s="491">
        <f>S55+S139+S240+S341+S442+S558+S689</f>
        <v>4.5707092941417019E-2</v>
      </c>
      <c r="T791" s="491">
        <f>T55+T139+T240+T341+T442+T558+T689</f>
        <v>4.2895381156886452E-2</v>
      </c>
      <c r="U791" s="491">
        <f>U55+U139+U240+U341+U442+U558+U689</f>
        <v>4.1584092625813251E-2</v>
      </c>
      <c r="V791" s="491">
        <f>V55+V139+V240+V341+V442+V558+V689</f>
        <v>4.514058432620871E-2</v>
      </c>
      <c r="W791" s="491">
        <f>W55+W139+W240+W341+W442+W558+W689</f>
        <v>6.7927997567538853E-2</v>
      </c>
    </row>
    <row r="792" spans="1:23">
      <c r="A792" s="342" t="s">
        <v>127</v>
      </c>
      <c r="B792" s="491"/>
      <c r="C792" s="491"/>
      <c r="D792" s="491"/>
      <c r="E792" s="491"/>
      <c r="F792" s="491"/>
      <c r="G792" s="491"/>
      <c r="H792" s="491"/>
      <c r="I792" s="491"/>
      <c r="J792" s="491"/>
      <c r="K792" s="491"/>
      <c r="L792" s="491"/>
      <c r="M792" s="491"/>
      <c r="N792" s="491"/>
      <c r="O792" s="491"/>
      <c r="P792" s="491"/>
      <c r="Q792" s="491"/>
      <c r="R792" s="491"/>
      <c r="S792" s="491">
        <f>S731</f>
        <v>0</v>
      </c>
      <c r="T792" s="491">
        <f>T731</f>
        <v>0</v>
      </c>
      <c r="U792" s="491">
        <f>U731</f>
        <v>0</v>
      </c>
      <c r="V792" s="491">
        <f>V731</f>
        <v>0</v>
      </c>
      <c r="W792" s="491">
        <f>W731</f>
        <v>0</v>
      </c>
    </row>
    <row r="793" spans="1:23">
      <c r="A793" s="448" t="s">
        <v>22</v>
      </c>
      <c r="B793" s="491">
        <f t="shared" ref="B793:W793" si="248">B745</f>
        <v>3.1530499999999999</v>
      </c>
      <c r="C793" s="491">
        <f t="shared" si="248"/>
        <v>4.9832450000000001</v>
      </c>
      <c r="D793" s="491">
        <f t="shared" si="248"/>
        <v>3.3544594999999999</v>
      </c>
      <c r="E793" s="491">
        <f t="shared" si="248"/>
        <v>2.673631425</v>
      </c>
      <c r="F793" s="491">
        <f t="shared" si="248"/>
        <v>2.1296495831250004</v>
      </c>
      <c r="G793" s="491">
        <f t="shared" si="248"/>
        <v>1.748267466140625</v>
      </c>
      <c r="H793" s="491">
        <f t="shared" si="248"/>
        <v>1.5442508120410923</v>
      </c>
      <c r="I793" s="491">
        <f t="shared" si="248"/>
        <v>1.3750131235757246</v>
      </c>
      <c r="J793" s="491">
        <f t="shared" si="248"/>
        <v>1.2790589709501057</v>
      </c>
      <c r="K793" s="491">
        <f t="shared" si="248"/>
        <v>1.2363166689109879</v>
      </c>
      <c r="L793" s="491">
        <f t="shared" si="248"/>
        <v>1.208218845455332</v>
      </c>
      <c r="M793" s="491">
        <f t="shared" si="248"/>
        <v>1.1722513868232143</v>
      </c>
      <c r="N793" s="491">
        <f t="shared" si="248"/>
        <v>1.1172663668002063</v>
      </c>
      <c r="O793" s="491">
        <f t="shared" si="248"/>
        <v>1.0879228463648043</v>
      </c>
      <c r="P793" s="491">
        <f t="shared" si="248"/>
        <v>1.0603089367172494</v>
      </c>
      <c r="Q793" s="491">
        <f t="shared" si="248"/>
        <v>1.0129029454283911</v>
      </c>
      <c r="R793" s="491">
        <f t="shared" si="248"/>
        <v>1.0063313762346549</v>
      </c>
      <c r="S793" s="602">
        <f t="shared" si="248"/>
        <v>0.98090268226345678</v>
      </c>
      <c r="T793" s="602">
        <f t="shared" si="248"/>
        <v>0.87886671237947622</v>
      </c>
      <c r="U793" s="602">
        <f t="shared" si="248"/>
        <v>0.81958690513449306</v>
      </c>
      <c r="V793" s="602">
        <f t="shared" si="248"/>
        <v>0.81263550995764622</v>
      </c>
      <c r="W793" s="602">
        <f t="shared" si="248"/>
        <v>0.86014510647289399</v>
      </c>
    </row>
    <row r="794" spans="1:23">
      <c r="B794" s="491"/>
      <c r="C794" s="491"/>
      <c r="D794" s="491"/>
      <c r="E794" s="491"/>
      <c r="F794" s="491"/>
      <c r="G794" s="491"/>
      <c r="H794" s="491"/>
      <c r="I794" s="491"/>
      <c r="J794" s="491"/>
      <c r="K794" s="491"/>
      <c r="L794" s="491"/>
      <c r="M794" s="491"/>
      <c r="N794" s="491"/>
      <c r="O794" s="491"/>
      <c r="P794" s="491"/>
      <c r="Q794" s="491"/>
      <c r="R794" s="491"/>
      <c r="S794" s="491"/>
      <c r="T794" s="491"/>
      <c r="U794" s="491"/>
      <c r="V794" s="491"/>
      <c r="W794" s="491"/>
    </row>
    <row r="795" spans="1:23">
      <c r="A795" s="343" t="s">
        <v>113</v>
      </c>
      <c r="B795" s="491"/>
      <c r="C795" s="491"/>
      <c r="D795" s="491"/>
      <c r="E795" s="491"/>
      <c r="F795" s="491"/>
      <c r="G795" s="491"/>
      <c r="H795" s="491"/>
      <c r="I795" s="491"/>
      <c r="J795" s="491"/>
      <c r="K795" s="491"/>
      <c r="L795" s="491"/>
      <c r="M795" s="491"/>
      <c r="N795" s="491"/>
      <c r="O795" s="491"/>
      <c r="P795" s="491"/>
      <c r="Q795" s="491"/>
      <c r="R795" s="491"/>
      <c r="S795" s="491"/>
      <c r="T795" s="491"/>
      <c r="U795" s="491"/>
      <c r="V795" s="491"/>
      <c r="W795" s="491"/>
    </row>
    <row r="796" spans="1:23">
      <c r="A796" s="342" t="s">
        <v>121</v>
      </c>
      <c r="B796" s="491">
        <f t="shared" ref="B796:W796" si="249">B763+B774-B785</f>
        <v>16.506899999999998</v>
      </c>
      <c r="C796" s="491">
        <f t="shared" si="249"/>
        <v>13.700519999999999</v>
      </c>
      <c r="D796" s="491">
        <f t="shared" si="249"/>
        <v>11.445515999999998</v>
      </c>
      <c r="E796" s="491">
        <f t="shared" si="249"/>
        <v>9.6827565500000006</v>
      </c>
      <c r="F796" s="491">
        <f t="shared" si="249"/>
        <v>8.5671411774999999</v>
      </c>
      <c r="G796" s="491">
        <f t="shared" si="249"/>
        <v>7.7847688013750007</v>
      </c>
      <c r="H796" s="491">
        <f t="shared" si="249"/>
        <v>7.0016197788799825</v>
      </c>
      <c r="I796" s="491">
        <f t="shared" si="249"/>
        <v>6.3467000751463853</v>
      </c>
      <c r="J796" s="491">
        <f t="shared" si="249"/>
        <v>6.4778654661897903</v>
      </c>
      <c r="K796" s="491">
        <f t="shared" si="249"/>
        <v>6.3127790124949676</v>
      </c>
      <c r="L796" s="491">
        <f t="shared" si="249"/>
        <v>6.634361277531112</v>
      </c>
      <c r="M796" s="491">
        <f t="shared" si="249"/>
        <v>6.5518474158729791</v>
      </c>
      <c r="N796" s="491">
        <f t="shared" si="249"/>
        <v>6.6494408258385667</v>
      </c>
      <c r="O796" s="491">
        <f t="shared" si="249"/>
        <v>6.8322059801059298</v>
      </c>
      <c r="P796" s="491">
        <f t="shared" si="249"/>
        <v>6.7388741887773564</v>
      </c>
      <c r="Q796" s="491">
        <f t="shared" si="249"/>
        <v>6.9148086852611179</v>
      </c>
      <c r="R796" s="491">
        <f t="shared" si="249"/>
        <v>7.215337093620656</v>
      </c>
      <c r="S796" s="491">
        <f t="shared" si="249"/>
        <v>7.4475646073332129</v>
      </c>
      <c r="T796" s="491">
        <f t="shared" si="249"/>
        <v>7.6424017641127566</v>
      </c>
      <c r="U796" s="491">
        <f t="shared" si="249"/>
        <v>7.9991555829278091</v>
      </c>
      <c r="V796" s="491">
        <f t="shared" si="249"/>
        <v>8.575750965327412</v>
      </c>
      <c r="W796" s="491">
        <f t="shared" si="249"/>
        <v>9.1448774606335821</v>
      </c>
    </row>
    <row r="797" spans="1:23">
      <c r="A797" s="342" t="s">
        <v>179</v>
      </c>
      <c r="B797" s="491">
        <f t="shared" ref="B797:W797" si="250">B764+B775-B786</f>
        <v>0.92300000000000004</v>
      </c>
      <c r="C797" s="491">
        <f t="shared" si="250"/>
        <v>0</v>
      </c>
      <c r="D797" s="491">
        <f t="shared" si="250"/>
        <v>0</v>
      </c>
      <c r="E797" s="491">
        <f t="shared" si="250"/>
        <v>2.3359375000000002E-2</v>
      </c>
      <c r="F797" s="491">
        <f t="shared" si="250"/>
        <v>0.110474609375</v>
      </c>
      <c r="G797" s="491">
        <f t="shared" si="250"/>
        <v>0.14948413085937501</v>
      </c>
      <c r="H797" s="491">
        <f t="shared" si="250"/>
        <v>0.35964971491585429</v>
      </c>
      <c r="I797" s="491">
        <f t="shared" si="250"/>
        <v>0.58196920595872736</v>
      </c>
      <c r="J797" s="491">
        <f t="shared" si="250"/>
        <v>0.77980307191170473</v>
      </c>
      <c r="K797" s="491">
        <f t="shared" si="250"/>
        <v>0.86920129469481533</v>
      </c>
      <c r="L797" s="491">
        <f t="shared" si="250"/>
        <v>1.0217808548305094</v>
      </c>
      <c r="M797" s="491">
        <f t="shared" si="250"/>
        <v>0.91730053426906832</v>
      </c>
      <c r="N797" s="491">
        <f t="shared" si="250"/>
        <v>0.88831443901029705</v>
      </c>
      <c r="O797" s="491">
        <f t="shared" si="250"/>
        <v>0.77145592794802109</v>
      </c>
      <c r="P797" s="491">
        <f t="shared" si="250"/>
        <v>0.64680722555357317</v>
      </c>
      <c r="Q797" s="491">
        <f t="shared" si="250"/>
        <v>0.45137951597098325</v>
      </c>
      <c r="R797" s="491">
        <f t="shared" si="250"/>
        <v>0.58679969748186456</v>
      </c>
      <c r="S797" s="491">
        <f t="shared" si="250"/>
        <v>0.51993129430605856</v>
      </c>
      <c r="T797" s="491">
        <f t="shared" si="250"/>
        <v>0.47904889729569078</v>
      </c>
      <c r="U797" s="491">
        <f t="shared" si="250"/>
        <v>0.48251159402145077</v>
      </c>
      <c r="V797" s="491">
        <f t="shared" si="250"/>
        <v>0.8204654384719402</v>
      </c>
      <c r="W797" s="491">
        <f t="shared" si="250"/>
        <v>1.1503133144689415</v>
      </c>
    </row>
    <row r="798" spans="1:23">
      <c r="A798" s="342" t="s">
        <v>196</v>
      </c>
      <c r="B798" s="491">
        <f t="shared" ref="B798:W798" si="251">B765+B776-B787</f>
        <v>0</v>
      </c>
      <c r="C798" s="491">
        <f t="shared" si="251"/>
        <v>0</v>
      </c>
      <c r="D798" s="491">
        <f t="shared" si="251"/>
        <v>0</v>
      </c>
      <c r="E798" s="491">
        <f t="shared" si="251"/>
        <v>0</v>
      </c>
      <c r="F798" s="491">
        <f t="shared" si="251"/>
        <v>0</v>
      </c>
      <c r="G798" s="491">
        <f t="shared" si="251"/>
        <v>0</v>
      </c>
      <c r="H798" s="491">
        <f t="shared" si="251"/>
        <v>0</v>
      </c>
      <c r="I798" s="491">
        <f t="shared" si="251"/>
        <v>0</v>
      </c>
      <c r="J798" s="491">
        <f t="shared" si="251"/>
        <v>0</v>
      </c>
      <c r="K798" s="491">
        <f t="shared" si="251"/>
        <v>0</v>
      </c>
      <c r="L798" s="491">
        <f t="shared" si="251"/>
        <v>0</v>
      </c>
      <c r="M798" s="491">
        <f t="shared" si="251"/>
        <v>0</v>
      </c>
      <c r="N798" s="491">
        <f t="shared" si="251"/>
        <v>0.15801866902237477</v>
      </c>
      <c r="O798" s="491">
        <f t="shared" si="251"/>
        <v>0.236661788030083</v>
      </c>
      <c r="P798" s="491">
        <f t="shared" si="251"/>
        <v>0.27450694136311071</v>
      </c>
      <c r="Q798" s="491">
        <f t="shared" si="251"/>
        <v>0.35737268251469595</v>
      </c>
      <c r="R798" s="491">
        <f t="shared" si="251"/>
        <v>0.3265229915127365</v>
      </c>
      <c r="S798" s="491">
        <f t="shared" si="251"/>
        <v>0.36858764391921101</v>
      </c>
      <c r="T798" s="491">
        <f t="shared" si="251"/>
        <v>0.41026441694832477</v>
      </c>
      <c r="U798" s="491">
        <f t="shared" si="251"/>
        <v>0.46056842107242468</v>
      </c>
      <c r="V798" s="491">
        <f t="shared" si="251"/>
        <v>0.50273774022929529</v>
      </c>
      <c r="W798" s="491">
        <f t="shared" si="251"/>
        <v>0.54272716736709292</v>
      </c>
    </row>
    <row r="799" spans="1:23">
      <c r="A799" s="342" t="s">
        <v>142</v>
      </c>
      <c r="B799" s="491">
        <f t="shared" ref="B799:W799" si="252">B766+B777-B788</f>
        <v>0</v>
      </c>
      <c r="C799" s="491">
        <f t="shared" si="252"/>
        <v>0</v>
      </c>
      <c r="D799" s="491">
        <f t="shared" si="252"/>
        <v>0</v>
      </c>
      <c r="E799" s="491">
        <f t="shared" si="252"/>
        <v>0</v>
      </c>
      <c r="F799" s="491">
        <f t="shared" si="252"/>
        <v>0</v>
      </c>
      <c r="G799" s="491">
        <f t="shared" si="252"/>
        <v>0</v>
      </c>
      <c r="H799" s="491">
        <f t="shared" si="252"/>
        <v>0</v>
      </c>
      <c r="I799" s="491">
        <f t="shared" si="252"/>
        <v>0</v>
      </c>
      <c r="J799" s="491">
        <f t="shared" si="252"/>
        <v>0</v>
      </c>
      <c r="K799" s="491">
        <f t="shared" si="252"/>
        <v>0</v>
      </c>
      <c r="L799" s="491">
        <f t="shared" si="252"/>
        <v>0</v>
      </c>
      <c r="M799" s="491">
        <f t="shared" si="252"/>
        <v>0</v>
      </c>
      <c r="N799" s="491">
        <f t="shared" si="252"/>
        <v>0</v>
      </c>
      <c r="O799" s="491">
        <f t="shared" si="252"/>
        <v>0</v>
      </c>
      <c r="P799" s="491">
        <f t="shared" si="252"/>
        <v>0</v>
      </c>
      <c r="Q799" s="491">
        <f t="shared" si="252"/>
        <v>0</v>
      </c>
      <c r="R799" s="491">
        <f t="shared" si="252"/>
        <v>0</v>
      </c>
      <c r="S799" s="491">
        <f t="shared" si="252"/>
        <v>0</v>
      </c>
      <c r="T799" s="491">
        <f t="shared" si="252"/>
        <v>0</v>
      </c>
      <c r="U799" s="491">
        <f t="shared" si="252"/>
        <v>0</v>
      </c>
      <c r="V799" s="491">
        <f t="shared" si="252"/>
        <v>0</v>
      </c>
      <c r="W799" s="491">
        <f t="shared" si="252"/>
        <v>0</v>
      </c>
    </row>
    <row r="800" spans="1:23">
      <c r="A800" s="416" t="s">
        <v>123</v>
      </c>
      <c r="B800" s="491"/>
      <c r="C800" s="491"/>
      <c r="D800" s="491"/>
      <c r="E800" s="491"/>
      <c r="F800" s="491"/>
      <c r="G800" s="491"/>
      <c r="H800" s="491"/>
      <c r="I800" s="491"/>
      <c r="J800" s="491"/>
      <c r="K800" s="491"/>
      <c r="L800" s="491"/>
      <c r="M800" s="491"/>
      <c r="N800" s="491"/>
      <c r="O800" s="491"/>
      <c r="P800" s="491"/>
      <c r="Q800" s="491"/>
      <c r="R800" s="491"/>
      <c r="S800" s="492">
        <f t="shared" ref="S800:W804" si="253">S767+S778-S789</f>
        <v>0</v>
      </c>
      <c r="T800" s="492">
        <f t="shared" si="253"/>
        <v>0</v>
      </c>
      <c r="U800" s="492">
        <f t="shared" si="253"/>
        <v>0</v>
      </c>
      <c r="V800" s="492">
        <f t="shared" si="253"/>
        <v>0</v>
      </c>
      <c r="W800" s="492">
        <f t="shared" si="253"/>
        <v>0</v>
      </c>
    </row>
    <row r="801" spans="1:23">
      <c r="A801" s="416" t="s">
        <v>128</v>
      </c>
      <c r="B801" s="491"/>
      <c r="C801" s="491"/>
      <c r="D801" s="491"/>
      <c r="E801" s="491"/>
      <c r="F801" s="491"/>
      <c r="G801" s="491"/>
      <c r="H801" s="491"/>
      <c r="I801" s="491"/>
      <c r="J801" s="491"/>
      <c r="K801" s="491"/>
      <c r="L801" s="491"/>
      <c r="M801" s="491"/>
      <c r="N801" s="491"/>
      <c r="O801" s="491"/>
      <c r="P801" s="491"/>
      <c r="Q801" s="491"/>
      <c r="R801" s="491"/>
      <c r="S801" s="492">
        <f t="shared" si="253"/>
        <v>0</v>
      </c>
      <c r="T801" s="492">
        <f t="shared" si="253"/>
        <v>0</v>
      </c>
      <c r="U801" s="492">
        <f t="shared" si="253"/>
        <v>0</v>
      </c>
      <c r="V801" s="492">
        <f t="shared" si="253"/>
        <v>0</v>
      </c>
      <c r="W801" s="492">
        <f t="shared" si="253"/>
        <v>0</v>
      </c>
    </row>
    <row r="802" spans="1:23">
      <c r="A802" s="342" t="s">
        <v>126</v>
      </c>
      <c r="B802" s="491">
        <f t="shared" ref="B802:R802" si="254">B769+B780-B791</f>
        <v>1.6770499999999999</v>
      </c>
      <c r="C802" s="491">
        <f t="shared" si="254"/>
        <v>1.1781849999999996</v>
      </c>
      <c r="D802" s="491">
        <f t="shared" si="254"/>
        <v>0.82472949999999989</v>
      </c>
      <c r="E802" s="491">
        <f t="shared" si="254"/>
        <v>0.58049814999999971</v>
      </c>
      <c r="F802" s="491">
        <f t="shared" si="254"/>
        <v>0.40634870499999987</v>
      </c>
      <c r="G802" s="491">
        <f t="shared" si="254"/>
        <v>0.28444409349999983</v>
      </c>
      <c r="H802" s="491">
        <f t="shared" si="254"/>
        <v>0.21277404044999987</v>
      </c>
      <c r="I802" s="491">
        <f t="shared" si="254"/>
        <v>0.18787012956499988</v>
      </c>
      <c r="J802" s="491">
        <f t="shared" si="254"/>
        <v>2.0846192579999576E-3</v>
      </c>
      <c r="K802" s="491">
        <f t="shared" si="254"/>
        <v>4.245618125872494E-2</v>
      </c>
      <c r="L802" s="491">
        <f t="shared" si="254"/>
        <v>-1.6924489368445199E-2</v>
      </c>
      <c r="M802" s="491">
        <f t="shared" si="254"/>
        <v>-2.018169397208619E-2</v>
      </c>
      <c r="N802" s="491">
        <f t="shared" si="254"/>
        <v>-2.1074044501481308E-2</v>
      </c>
      <c r="O802" s="491">
        <f t="shared" si="254"/>
        <v>-2.0546653079082815E-2</v>
      </c>
      <c r="P802" s="491">
        <f t="shared" si="254"/>
        <v>0.30027975059366052</v>
      </c>
      <c r="Q802" s="491">
        <f t="shared" si="254"/>
        <v>0.23900427711251412</v>
      </c>
      <c r="R802" s="491">
        <f t="shared" si="254"/>
        <v>0.20757400200939774</v>
      </c>
      <c r="S802" s="602">
        <f t="shared" si="253"/>
        <v>0.2204230777724388</v>
      </c>
      <c r="T802" s="602">
        <f t="shared" si="253"/>
        <v>0.23933519929710084</v>
      </c>
      <c r="U802" s="602">
        <f t="shared" si="253"/>
        <v>0.24966784865012392</v>
      </c>
      <c r="V802" s="602">
        <f t="shared" si="253"/>
        <v>0.33472316326243917</v>
      </c>
      <c r="W802" s="602">
        <f t="shared" si="253"/>
        <v>0.68040945354646687</v>
      </c>
    </row>
    <row r="803" spans="1:23">
      <c r="A803" s="342" t="s">
        <v>127</v>
      </c>
      <c r="B803" s="491">
        <f t="shared" ref="B803:R803" si="255">B770+B781-B792</f>
        <v>0</v>
      </c>
      <c r="C803" s="491">
        <f t="shared" si="255"/>
        <v>0</v>
      </c>
      <c r="D803" s="491">
        <f t="shared" si="255"/>
        <v>0</v>
      </c>
      <c r="E803" s="491">
        <f t="shared" si="255"/>
        <v>0</v>
      </c>
      <c r="F803" s="491">
        <f t="shared" si="255"/>
        <v>0</v>
      </c>
      <c r="G803" s="491">
        <f t="shared" si="255"/>
        <v>0</v>
      </c>
      <c r="H803" s="491">
        <f t="shared" si="255"/>
        <v>0</v>
      </c>
      <c r="I803" s="491">
        <f t="shared" si="255"/>
        <v>0</v>
      </c>
      <c r="J803" s="491">
        <f t="shared" si="255"/>
        <v>0</v>
      </c>
      <c r="K803" s="491">
        <f t="shared" si="255"/>
        <v>0</v>
      </c>
      <c r="L803" s="491">
        <f t="shared" si="255"/>
        <v>0</v>
      </c>
      <c r="M803" s="491">
        <f t="shared" si="255"/>
        <v>0</v>
      </c>
      <c r="N803" s="491">
        <f t="shared" si="255"/>
        <v>0</v>
      </c>
      <c r="O803" s="491">
        <f t="shared" si="255"/>
        <v>0</v>
      </c>
      <c r="P803" s="491">
        <f t="shared" si="255"/>
        <v>0</v>
      </c>
      <c r="Q803" s="491">
        <f t="shared" si="255"/>
        <v>0</v>
      </c>
      <c r="R803" s="491">
        <f t="shared" si="255"/>
        <v>0</v>
      </c>
      <c r="S803" s="491">
        <f t="shared" si="253"/>
        <v>0</v>
      </c>
      <c r="T803" s="491">
        <f t="shared" si="253"/>
        <v>0</v>
      </c>
      <c r="U803" s="491">
        <f t="shared" si="253"/>
        <v>0</v>
      </c>
      <c r="V803" s="491">
        <f t="shared" si="253"/>
        <v>0</v>
      </c>
      <c r="W803" s="491">
        <f t="shared" si="253"/>
        <v>0</v>
      </c>
    </row>
    <row r="804" spans="1:23">
      <c r="A804" s="448" t="s">
        <v>22</v>
      </c>
      <c r="B804" s="491">
        <f t="shared" ref="B804:R804" si="256">B771+B782-B793</f>
        <v>19.106949999999998</v>
      </c>
      <c r="C804" s="491">
        <f t="shared" si="256"/>
        <v>14.878704999999997</v>
      </c>
      <c r="D804" s="491">
        <f t="shared" si="256"/>
        <v>12.270245499999998</v>
      </c>
      <c r="E804" s="491">
        <f t="shared" si="256"/>
        <v>10.286614074999999</v>
      </c>
      <c r="F804" s="491">
        <f t="shared" si="256"/>
        <v>9.0839644918750011</v>
      </c>
      <c r="G804" s="491">
        <f t="shared" si="256"/>
        <v>8.2186970257343752</v>
      </c>
      <c r="H804" s="491">
        <f t="shared" si="256"/>
        <v>7.5740435342458383</v>
      </c>
      <c r="I804" s="491">
        <f t="shared" si="256"/>
        <v>7.1165394106701125</v>
      </c>
      <c r="J804" s="491">
        <f t="shared" si="256"/>
        <v>7.259753157359496</v>
      </c>
      <c r="K804" s="491">
        <f t="shared" si="256"/>
        <v>7.2244364884485073</v>
      </c>
      <c r="L804" s="491">
        <f t="shared" si="256"/>
        <v>7.6392176429931764</v>
      </c>
      <c r="M804" s="491">
        <f t="shared" si="256"/>
        <v>7.4489662561699603</v>
      </c>
      <c r="N804" s="491">
        <f t="shared" si="256"/>
        <v>7.674699889369756</v>
      </c>
      <c r="O804" s="491">
        <f t="shared" si="256"/>
        <v>7.8197770430049509</v>
      </c>
      <c r="P804" s="491">
        <f t="shared" si="256"/>
        <v>7.9604681062877001</v>
      </c>
      <c r="Q804" s="491">
        <f t="shared" si="256"/>
        <v>7.9625651608593104</v>
      </c>
      <c r="R804" s="491">
        <f t="shared" si="256"/>
        <v>8.336233784624655</v>
      </c>
      <c r="S804" s="602">
        <f t="shared" si="253"/>
        <v>8.5565066233309199</v>
      </c>
      <c r="T804" s="602">
        <f t="shared" si="253"/>
        <v>8.7710502776538739</v>
      </c>
      <c r="U804" s="602">
        <f t="shared" si="253"/>
        <v>9.1919034466718088</v>
      </c>
      <c r="V804" s="602">
        <f t="shared" si="253"/>
        <v>10.233677307291087</v>
      </c>
      <c r="W804" s="602">
        <f t="shared" si="253"/>
        <v>11.518327396016083</v>
      </c>
    </row>
    <row r="805" spans="1:23">
      <c r="B805" s="494"/>
      <c r="C805" s="494"/>
      <c r="D805" s="494"/>
      <c r="E805" s="494"/>
      <c r="F805" s="494"/>
      <c r="G805" s="494"/>
      <c r="H805" s="494"/>
      <c r="I805" s="494"/>
      <c r="J805" s="494"/>
      <c r="K805" s="494"/>
      <c r="L805" s="494"/>
      <c r="M805" s="494"/>
      <c r="N805" s="494"/>
      <c r="O805" s="494"/>
      <c r="P805" s="494"/>
      <c r="Q805" s="494"/>
      <c r="R805" s="494"/>
      <c r="S805" s="494"/>
      <c r="T805" s="494"/>
      <c r="U805" s="494"/>
      <c r="V805" s="494"/>
      <c r="W805" s="494"/>
    </row>
    <row r="806" spans="1:23">
      <c r="B806" s="375"/>
    </row>
    <row r="880" ht="12.75" customHeight="1" outlineLevel="1"/>
    <row r="883" ht="25.5" customHeight="1" outlineLevel="1"/>
    <row r="884" ht="12.75" customHeight="1" outlineLevel="1"/>
    <row r="885" ht="12.75" customHeight="1" outlineLevel="1"/>
    <row r="886" ht="12.75" customHeight="1" outlineLevel="1"/>
    <row r="887" ht="12.75" customHeight="1" outlineLevel="1"/>
    <row r="888" ht="12.75" customHeight="1" outlineLevel="1"/>
    <row r="889" ht="12.75" customHeight="1" outlineLevel="1"/>
    <row r="890" ht="12.75" customHeight="1" outlineLevel="1"/>
    <row r="891" ht="12.75" customHeight="1" outlineLevel="1"/>
    <row r="892" ht="12.75" customHeight="1" outlineLevel="1"/>
    <row r="893" ht="12.75" customHeight="1" outlineLevel="1"/>
    <row r="894" ht="12.75" customHeight="1" outlineLevel="1"/>
    <row r="895" ht="12.75" customHeight="1" outlineLevel="1"/>
    <row r="896" ht="12.75" customHeight="1" outlineLevel="1"/>
    <row r="897" ht="12.75" customHeight="1" outlineLevel="1"/>
    <row r="898" ht="12.75" customHeight="1" outlineLevel="1"/>
    <row r="899" ht="12.75" customHeight="1" outlineLevel="1"/>
    <row r="900" ht="12.75" customHeight="1" outlineLevel="1"/>
    <row r="901" ht="12.75" customHeight="1" outlineLevel="1"/>
    <row r="902" ht="12.75" customHeight="1" outlineLevel="1"/>
    <row r="903" ht="12.75" customHeight="1" outlineLevel="1"/>
    <row r="904" ht="12.75" customHeight="1" outlineLevel="1"/>
    <row r="905" ht="12.75" customHeight="1" outlineLevel="1"/>
    <row r="906" ht="12.75" customHeight="1" outlineLevel="1"/>
    <row r="907" ht="12.75" customHeight="1" outlineLevel="1"/>
    <row r="908" ht="12.75" customHeight="1" outlineLevel="1"/>
    <row r="909" ht="12.75" customHeight="1" outlineLevel="1"/>
    <row r="910" ht="12.75" customHeight="1" outlineLevel="1"/>
    <row r="911" ht="12.75" customHeight="1" outlineLevel="1"/>
    <row r="912" ht="12.75" customHeight="1" outlineLevel="1"/>
    <row r="913" ht="12.75" customHeight="1" outlineLevel="1"/>
    <row r="914" ht="12.75" customHeight="1" outlineLevel="1"/>
    <row r="915" ht="12.75" customHeight="1" outlineLevel="1"/>
    <row r="916" ht="12.75" customHeight="1" outlineLevel="1"/>
    <row r="917" ht="12.75" customHeight="1" outlineLevel="1"/>
    <row r="918" ht="12.75" customHeight="1" outlineLevel="1"/>
    <row r="919" ht="12.75" customHeight="1" outlineLevel="1"/>
    <row r="920" ht="12.75" customHeight="1" outlineLevel="1"/>
    <row r="921" ht="12.75" customHeight="1" outlineLevel="1"/>
    <row r="922" ht="12.75" customHeight="1" outlineLevel="1"/>
    <row r="923" ht="12.75" customHeight="1" outlineLevel="1"/>
    <row r="924" ht="12.75" customHeight="1" outlineLevel="1"/>
    <row r="925" ht="12.75" customHeight="1" outlineLevel="1"/>
    <row r="926" ht="12.75" customHeight="1" outlineLevel="1"/>
    <row r="927" ht="12.75" customHeight="1" outlineLevel="1"/>
    <row r="928" ht="12.75" customHeight="1" outlineLevel="1"/>
    <row r="929" ht="12.75" customHeight="1" outlineLevel="1"/>
    <row r="930" ht="12.75" customHeight="1" outlineLevel="1"/>
    <row r="931" ht="12.75" customHeight="1" outlineLevel="1"/>
    <row r="932" ht="12.75" customHeight="1" outlineLevel="1"/>
    <row r="933" ht="12.75" customHeight="1" outlineLevel="1"/>
    <row r="934" ht="12.75" customHeight="1" outlineLevel="1"/>
    <row r="935" ht="12.75" customHeight="1" outlineLevel="1"/>
    <row r="936" ht="12.75" customHeight="1" outlineLevel="1"/>
    <row r="937" ht="12.75" customHeight="1" outlineLevel="1"/>
    <row r="938" ht="12.75" customHeight="1" outlineLevel="1"/>
    <row r="939" ht="12.75" customHeight="1" outlineLevel="1"/>
    <row r="940" ht="12.75" customHeight="1" outlineLevel="1"/>
    <row r="941" ht="12.75" customHeight="1" outlineLevel="1"/>
    <row r="942" ht="12.75" customHeight="1" outlineLevel="1"/>
    <row r="943" ht="12.75" customHeight="1" outlineLevel="1"/>
    <row r="944" ht="12.75" customHeight="1" outlineLevel="1"/>
    <row r="945" ht="12.75" customHeight="1" outlineLevel="1"/>
    <row r="946" ht="12.75" customHeight="1" outlineLevel="1"/>
    <row r="947" ht="12.75" customHeight="1" outlineLevel="1"/>
    <row r="948" ht="12.75" customHeight="1" outlineLevel="1"/>
    <row r="949" ht="12.75" customHeight="1" outlineLevel="1"/>
    <row r="950" ht="12.75" customHeight="1" outlineLevel="1"/>
    <row r="951" ht="12.75" customHeight="1" outlineLevel="1"/>
    <row r="952" ht="12.75" customHeight="1" outlineLevel="1"/>
    <row r="953" ht="12.75" customHeight="1" outlineLevel="1"/>
    <row r="954" ht="12.75" customHeight="1" outlineLevel="1"/>
    <row r="955" ht="12.75" customHeight="1" outlineLevel="1"/>
    <row r="956" ht="12.75" customHeight="1" outlineLevel="1"/>
    <row r="957" ht="12.75" customHeight="1" outlineLevel="1"/>
    <row r="958" ht="12.75" customHeight="1" outlineLevel="1"/>
    <row r="959" ht="12.75" customHeight="1" outlineLevel="1"/>
    <row r="960" ht="12.75" customHeight="1" outlineLevel="1"/>
    <row r="961" ht="12.75" customHeight="1" outlineLevel="1"/>
    <row r="962" ht="12.75" customHeight="1" outlineLevel="1"/>
    <row r="963" ht="12.75" customHeight="1" outlineLevel="1"/>
    <row r="964" ht="12.75" customHeight="1" outlineLevel="1"/>
    <row r="965" ht="12.75" customHeight="1" outlineLevel="1"/>
    <row r="966" ht="12.75" customHeight="1" outlineLevel="1"/>
    <row r="967" ht="12.75" customHeight="1" outlineLevel="1"/>
    <row r="968" ht="12.75" customHeight="1" outlineLevel="1"/>
    <row r="969" ht="12.75" customHeight="1" outlineLevel="1"/>
    <row r="970" ht="12.75" customHeight="1" outlineLevel="1"/>
    <row r="971" ht="12.75" customHeight="1" outlineLevel="1"/>
    <row r="972" ht="12.75" customHeight="1" outlineLevel="1"/>
    <row r="973" ht="12.75" customHeight="1" outlineLevel="1"/>
    <row r="974" ht="12.75" customHeight="1" outlineLevel="1"/>
    <row r="975" ht="12.75" customHeight="1" outlineLevel="1"/>
    <row r="976" ht="12.75" customHeight="1" outlineLevel="1"/>
    <row r="977" ht="12.75" customHeight="1" outlineLevel="1"/>
    <row r="978" ht="12.75" customHeight="1" outlineLevel="1"/>
    <row r="979" ht="12.75" customHeight="1" outlineLevel="1"/>
    <row r="980" ht="12.75" customHeight="1" outlineLevel="1"/>
    <row r="981" ht="12.75" customHeight="1" outlineLevel="1"/>
    <row r="982" ht="12.75" customHeight="1" outlineLevel="1"/>
    <row r="983" ht="12.75" customHeight="1" outlineLevel="1"/>
    <row r="984" ht="12.75" customHeight="1" outlineLevel="1"/>
    <row r="985" ht="12.75" customHeight="1" outlineLevel="1"/>
    <row r="986" ht="12.75" customHeight="1" outlineLevel="1"/>
    <row r="987" ht="12.75" customHeight="1" outlineLevel="1"/>
    <row r="988" ht="12.75" customHeight="1" outlineLevel="1"/>
    <row r="989" ht="12.75" customHeight="1" outlineLevel="1"/>
    <row r="990" ht="12.75" customHeight="1" outlineLevel="1"/>
    <row r="991" ht="12.75" customHeight="1" outlineLevel="1"/>
    <row r="992" ht="12.75" customHeight="1" outlineLevel="1"/>
    <row r="993" ht="12.75" customHeight="1" outlineLevel="1"/>
    <row r="994" ht="12.75" customHeight="1" outlineLevel="1"/>
    <row r="995" ht="12.75" customHeight="1" outlineLevel="1"/>
    <row r="996" ht="12.75" customHeight="1" outlineLevel="1"/>
    <row r="997" ht="12.75" customHeight="1" outlineLevel="1"/>
    <row r="998" ht="12.75" customHeight="1" outlineLevel="1"/>
    <row r="999" ht="12.75" customHeight="1" outlineLevel="1"/>
    <row r="1000" ht="12.75" customHeight="1" outlineLevel="1"/>
    <row r="1001" ht="12.75" customHeight="1" outlineLevel="1"/>
    <row r="1002" ht="12.75" customHeight="1" outlineLevel="1"/>
    <row r="1003" ht="12.75" customHeight="1" outlineLevel="1"/>
    <row r="1004" ht="12.75" customHeight="1" outlineLevel="1"/>
    <row r="1005" ht="12.75" customHeight="1" outlineLevel="1"/>
    <row r="1006" ht="12.75" customHeight="1" outlineLevel="1"/>
    <row r="1007" ht="12.75" customHeight="1" outlineLevel="1"/>
    <row r="1008" ht="12.75" customHeight="1" outlineLevel="1"/>
    <row r="1009" ht="12.75" customHeight="1" outlineLevel="1"/>
    <row r="1061" spans="2:2">
      <c r="B1061" s="375"/>
    </row>
    <row r="1062" spans="2:2">
      <c r="B1062" s="375"/>
    </row>
    <row r="1063" spans="2:2">
      <c r="B1063" s="375"/>
    </row>
    <row r="1064" spans="2:2">
      <c r="B1064" s="375"/>
    </row>
    <row r="1065" spans="2:2">
      <c r="B1065" s="375"/>
    </row>
    <row r="1066" spans="2:2">
      <c r="B1066" s="375"/>
    </row>
    <row r="1067" spans="2:2">
      <c r="B1067" s="375"/>
    </row>
    <row r="1068" spans="2:2">
      <c r="B1068" s="375"/>
    </row>
    <row r="1069" spans="2:2">
      <c r="B1069" s="375"/>
    </row>
    <row r="1070" spans="2:2">
      <c r="B1070" s="375"/>
    </row>
    <row r="1071" spans="2:2">
      <c r="B1071" s="375"/>
    </row>
    <row r="1072" spans="2:2">
      <c r="B1072" s="375"/>
    </row>
    <row r="1073" spans="2:2">
      <c r="B1073" s="375"/>
    </row>
    <row r="1074" spans="2:2">
      <c r="B1074" s="375"/>
    </row>
    <row r="1075" spans="2:2">
      <c r="B1075" s="375"/>
    </row>
    <row r="1076" spans="2:2">
      <c r="B1076" s="375"/>
    </row>
    <row r="1077" spans="2:2">
      <c r="B1077" s="375"/>
    </row>
    <row r="1078" spans="2:2">
      <c r="B1078" s="375"/>
    </row>
    <row r="1079" spans="2:2">
      <c r="B1079" s="375"/>
    </row>
    <row r="1080" spans="2:2">
      <c r="B1080" s="375"/>
    </row>
    <row r="1081" spans="2:2">
      <c r="B1081" s="375"/>
    </row>
    <row r="1082" spans="2:2">
      <c r="B1082" s="375"/>
    </row>
    <row r="1083" spans="2:2">
      <c r="B1083" s="375"/>
    </row>
    <row r="1084" spans="2:2">
      <c r="B1084" s="375"/>
    </row>
    <row r="1085" spans="2:2">
      <c r="B1085" s="375"/>
    </row>
    <row r="1086" spans="2:2">
      <c r="B1086" s="375"/>
    </row>
    <row r="1087" spans="2:2">
      <c r="B1087" s="375"/>
    </row>
    <row r="1088" spans="2:2">
      <c r="B1088" s="375"/>
    </row>
    <row r="1089" spans="2:2">
      <c r="B1089" s="375"/>
    </row>
    <row r="1090" spans="2:2">
      <c r="B1090" s="375"/>
    </row>
    <row r="1091" spans="2:2">
      <c r="B1091" s="375"/>
    </row>
    <row r="1092" spans="2:2">
      <c r="B1092" s="375"/>
    </row>
    <row r="1093" spans="2:2">
      <c r="B1093" s="375"/>
    </row>
    <row r="1094" spans="2:2">
      <c r="B1094" s="375"/>
    </row>
    <row r="1095" spans="2:2">
      <c r="B1095" s="375"/>
    </row>
    <row r="1096" spans="2:2">
      <c r="B1096" s="375"/>
    </row>
    <row r="1097" spans="2:2">
      <c r="B1097" s="375"/>
    </row>
    <row r="1098" spans="2:2">
      <c r="B1098" s="375"/>
    </row>
    <row r="1099" spans="2:2">
      <c r="B1099" s="375"/>
    </row>
    <row r="1100" spans="2:2">
      <c r="B1100" s="375"/>
    </row>
    <row r="1101" spans="2:2">
      <c r="B1101" s="375"/>
    </row>
    <row r="1102" spans="2:2">
      <c r="B1102" s="375"/>
    </row>
    <row r="1103" spans="2:2">
      <c r="B1103" s="375"/>
    </row>
    <row r="1104" spans="2:2">
      <c r="B1104" s="375"/>
    </row>
    <row r="1105" spans="2:2">
      <c r="B1105" s="375"/>
    </row>
    <row r="1106" spans="2:2">
      <c r="B1106" s="375"/>
    </row>
    <row r="1107" spans="2:2">
      <c r="B1107" s="375"/>
    </row>
    <row r="1108" spans="2:2">
      <c r="B1108" s="375"/>
    </row>
    <row r="1109" spans="2:2">
      <c r="B1109" s="375"/>
    </row>
    <row r="1110" spans="2:2">
      <c r="B1110" s="375"/>
    </row>
    <row r="1111" spans="2:2">
      <c r="B1111" s="375"/>
    </row>
    <row r="1112" spans="2:2">
      <c r="B1112" s="375"/>
    </row>
    <row r="1113" spans="2:2">
      <c r="B1113" s="375"/>
    </row>
    <row r="1114" spans="2:2">
      <c r="B1114" s="375"/>
    </row>
    <row r="1115" spans="2:2">
      <c r="B1115" s="375"/>
    </row>
    <row r="1116" spans="2:2">
      <c r="B1116" s="375"/>
    </row>
    <row r="1117" spans="2:2">
      <c r="B1117" s="375"/>
    </row>
    <row r="1118" spans="2:2">
      <c r="B1118" s="375"/>
    </row>
    <row r="1119" spans="2:2">
      <c r="B1119" s="375"/>
    </row>
    <row r="1120" spans="2:2">
      <c r="B1120" s="375"/>
    </row>
    <row r="1121" spans="2:2">
      <c r="B1121" s="375"/>
    </row>
    <row r="1122" spans="2:2">
      <c r="B1122" s="375"/>
    </row>
    <row r="1123" spans="2:2">
      <c r="B1123" s="375"/>
    </row>
    <row r="1124" spans="2:2">
      <c r="B1124" s="375"/>
    </row>
    <row r="1125" spans="2:2">
      <c r="B1125" s="375"/>
    </row>
    <row r="1126" spans="2:2">
      <c r="B1126" s="375"/>
    </row>
    <row r="1127" spans="2:2">
      <c r="B1127" s="375"/>
    </row>
    <row r="1128" spans="2:2">
      <c r="B1128" s="375"/>
    </row>
    <row r="1129" spans="2:2">
      <c r="B1129" s="375"/>
    </row>
    <row r="1130" spans="2:2">
      <c r="B1130" s="375"/>
    </row>
    <row r="1131" spans="2:2">
      <c r="B1131" s="375"/>
    </row>
    <row r="1132" spans="2:2">
      <c r="B1132" s="375"/>
    </row>
    <row r="1133" spans="2:2">
      <c r="B1133" s="375"/>
    </row>
    <row r="1134" spans="2:2">
      <c r="B1134" s="375"/>
    </row>
    <row r="1135" spans="2:2">
      <c r="B1135" s="375"/>
    </row>
    <row r="1136" spans="2:2">
      <c r="B1136" s="375"/>
    </row>
    <row r="1137" spans="2:2">
      <c r="B1137" s="375"/>
    </row>
    <row r="1138" spans="2:2">
      <c r="B1138" s="375"/>
    </row>
    <row r="1139" spans="2:2">
      <c r="B1139" s="375"/>
    </row>
    <row r="1140" spans="2:2">
      <c r="B1140" s="375"/>
    </row>
    <row r="1141" spans="2:2">
      <c r="B1141" s="375"/>
    </row>
    <row r="1142" spans="2:2">
      <c r="B1142" s="375"/>
    </row>
    <row r="1143" spans="2:2">
      <c r="B1143" s="375"/>
    </row>
    <row r="1144" spans="2:2">
      <c r="B1144" s="375"/>
    </row>
    <row r="1145" spans="2:2">
      <c r="B1145" s="375"/>
    </row>
    <row r="1146" spans="2:2">
      <c r="B1146" s="375"/>
    </row>
    <row r="1147" spans="2:2">
      <c r="B1147" s="375"/>
    </row>
    <row r="1148" spans="2:2">
      <c r="B1148" s="375"/>
    </row>
    <row r="1149" spans="2:2">
      <c r="B1149" s="375"/>
    </row>
    <row r="1150" spans="2:2">
      <c r="B1150" s="375"/>
    </row>
    <row r="1151" spans="2:2">
      <c r="B1151" s="375"/>
    </row>
    <row r="1152" spans="2:2">
      <c r="B1152" s="375"/>
    </row>
    <row r="1153" spans="2:2">
      <c r="B1153" s="375"/>
    </row>
    <row r="1154" spans="2:2">
      <c r="B1154" s="375"/>
    </row>
    <row r="1155" spans="2:2">
      <c r="B1155" s="375"/>
    </row>
    <row r="1156" spans="2:2">
      <c r="B1156" s="375"/>
    </row>
    <row r="1157" spans="2:2">
      <c r="B1157" s="375"/>
    </row>
    <row r="1158" spans="2:2">
      <c r="B1158" s="375"/>
    </row>
    <row r="1159" spans="2:2">
      <c r="B1159" s="375"/>
    </row>
    <row r="1160" spans="2:2">
      <c r="B1160" s="375"/>
    </row>
    <row r="1161" spans="2:2">
      <c r="B1161" s="375"/>
    </row>
    <row r="1162" spans="2:2">
      <c r="B1162" s="375"/>
    </row>
    <row r="1163" spans="2:2">
      <c r="B1163" s="375"/>
    </row>
    <row r="1164" spans="2:2">
      <c r="B1164" s="375"/>
    </row>
    <row r="1165" spans="2:2">
      <c r="B1165" s="375"/>
    </row>
    <row r="1166" spans="2:2">
      <c r="B1166" s="375"/>
    </row>
    <row r="1167" spans="2:2">
      <c r="B1167" s="375"/>
    </row>
    <row r="1168" spans="2:2">
      <c r="B1168" s="375"/>
    </row>
    <row r="1169" spans="2:2">
      <c r="B1169" s="375"/>
    </row>
    <row r="1170" spans="2:2">
      <c r="B1170" s="375"/>
    </row>
    <row r="1171" spans="2:2">
      <c r="B1171" s="375"/>
    </row>
    <row r="1172" spans="2:2">
      <c r="B1172" s="375"/>
    </row>
    <row r="1173" spans="2:2">
      <c r="B1173" s="375"/>
    </row>
    <row r="1174" spans="2:2">
      <c r="B1174" s="375"/>
    </row>
    <row r="1175" spans="2:2">
      <c r="B1175" s="375"/>
    </row>
    <row r="1176" spans="2:2">
      <c r="B1176" s="375"/>
    </row>
    <row r="1177" spans="2:2">
      <c r="B1177" s="375"/>
    </row>
    <row r="1178" spans="2:2">
      <c r="B1178" s="375"/>
    </row>
    <row r="1179" spans="2:2">
      <c r="B1179" s="375"/>
    </row>
    <row r="1180" spans="2:2">
      <c r="B1180" s="375"/>
    </row>
    <row r="1181" spans="2:2">
      <c r="B1181" s="375"/>
    </row>
    <row r="1182" spans="2:2">
      <c r="B1182" s="375"/>
    </row>
    <row r="1183" spans="2:2">
      <c r="B1183" s="375"/>
    </row>
    <row r="1184" spans="2:2">
      <c r="B1184" s="375"/>
    </row>
    <row r="1185" spans="2:2">
      <c r="B1185" s="375"/>
    </row>
    <row r="1186" spans="2:2">
      <c r="B1186" s="375"/>
    </row>
    <row r="1187" spans="2:2">
      <c r="B1187" s="375"/>
    </row>
    <row r="1188" spans="2:2">
      <c r="B1188" s="375"/>
    </row>
    <row r="1189" spans="2:2">
      <c r="B1189" s="375"/>
    </row>
    <row r="1190" spans="2:2">
      <c r="B1190" s="375"/>
    </row>
    <row r="1191" spans="2:2">
      <c r="B1191" s="375"/>
    </row>
    <row r="1192" spans="2:2">
      <c r="B1192" s="375"/>
    </row>
    <row r="1193" spans="2:2">
      <c r="B1193" s="375"/>
    </row>
    <row r="1194" spans="2:2">
      <c r="B1194" s="375"/>
    </row>
    <row r="1195" spans="2:2">
      <c r="B1195" s="375"/>
    </row>
    <row r="1196" spans="2:2">
      <c r="B1196" s="375"/>
    </row>
    <row r="1197" spans="2:2">
      <c r="B1197" s="375"/>
    </row>
    <row r="1198" spans="2:2">
      <c r="B1198" s="375"/>
    </row>
    <row r="1199" spans="2:2">
      <c r="B1199" s="375"/>
    </row>
    <row r="1200" spans="2:2">
      <c r="B1200" s="375"/>
    </row>
    <row r="1201" spans="2:2">
      <c r="B1201" s="375"/>
    </row>
    <row r="1202" spans="2:2">
      <c r="B1202" s="375"/>
    </row>
    <row r="1203" spans="2:2">
      <c r="B1203" s="375"/>
    </row>
    <row r="1204" spans="2:2">
      <c r="B1204" s="375"/>
    </row>
    <row r="1205" spans="2:2">
      <c r="B1205" s="375"/>
    </row>
    <row r="1206" spans="2:2">
      <c r="B1206" s="375"/>
    </row>
    <row r="1207" spans="2:2">
      <c r="B1207" s="375"/>
    </row>
    <row r="1208" spans="2:2">
      <c r="B1208" s="375"/>
    </row>
    <row r="1209" spans="2:2">
      <c r="B1209" s="375"/>
    </row>
    <row r="1210" spans="2:2">
      <c r="B1210" s="375"/>
    </row>
    <row r="1211" spans="2:2">
      <c r="B1211" s="375"/>
    </row>
    <row r="1212" spans="2:2">
      <c r="B1212" s="375"/>
    </row>
    <row r="1213" spans="2:2">
      <c r="B1213" s="375"/>
    </row>
    <row r="1214" spans="2:2">
      <c r="B1214" s="375"/>
    </row>
    <row r="1215" spans="2:2">
      <c r="B1215" s="375"/>
    </row>
    <row r="1216" spans="2:2">
      <c r="B1216" s="375"/>
    </row>
    <row r="1217" spans="2:2">
      <c r="B1217" s="375"/>
    </row>
    <row r="1218" spans="2:2">
      <c r="B1218" s="375"/>
    </row>
    <row r="1219" spans="2:2">
      <c r="B1219" s="375"/>
    </row>
    <row r="1220" spans="2:2">
      <c r="B1220" s="375"/>
    </row>
    <row r="1221" spans="2:2">
      <c r="B1221" s="375"/>
    </row>
    <row r="1222" spans="2:2">
      <c r="B1222" s="375"/>
    </row>
    <row r="1223" spans="2:2">
      <c r="B1223" s="375"/>
    </row>
    <row r="1224" spans="2:2">
      <c r="B1224" s="375"/>
    </row>
    <row r="1225" spans="2:2">
      <c r="B1225" s="375"/>
    </row>
    <row r="1226" spans="2:2">
      <c r="B1226" s="375"/>
    </row>
    <row r="1227" spans="2:2">
      <c r="B1227" s="375"/>
    </row>
    <row r="1228" spans="2:2">
      <c r="B1228" s="375"/>
    </row>
    <row r="1229" spans="2:2">
      <c r="B1229" s="375"/>
    </row>
    <row r="1230" spans="2:2">
      <c r="B1230" s="375"/>
    </row>
    <row r="1231" spans="2:2">
      <c r="B1231" s="375"/>
    </row>
    <row r="1232" spans="2:2">
      <c r="B1232" s="375"/>
    </row>
    <row r="1233" spans="2:2">
      <c r="B1233" s="375"/>
    </row>
    <row r="1234" spans="2:2">
      <c r="B1234" s="375"/>
    </row>
    <row r="1235" spans="2:2">
      <c r="B1235" s="375"/>
    </row>
    <row r="1236" spans="2:2">
      <c r="B1236" s="375"/>
    </row>
    <row r="1237" spans="2:2">
      <c r="B1237" s="375"/>
    </row>
    <row r="1238" spans="2:2">
      <c r="B1238" s="375"/>
    </row>
    <row r="1239" spans="2:2">
      <c r="B1239" s="375"/>
    </row>
    <row r="1240" spans="2:2">
      <c r="B1240" s="375"/>
    </row>
    <row r="1241" spans="2:2">
      <c r="B1241" s="375"/>
    </row>
    <row r="1242" spans="2:2">
      <c r="B1242" s="375"/>
    </row>
    <row r="1243" spans="2:2">
      <c r="B1243" s="375"/>
    </row>
    <row r="1244" spans="2:2">
      <c r="B1244" s="375"/>
    </row>
    <row r="1245" spans="2:2">
      <c r="B1245" s="375"/>
    </row>
    <row r="1246" spans="2:2">
      <c r="B1246" s="375"/>
    </row>
    <row r="1247" spans="2:2">
      <c r="B1247" s="375"/>
    </row>
    <row r="1248" spans="2:2">
      <c r="B1248" s="375"/>
    </row>
    <row r="1249" spans="2:2">
      <c r="B1249" s="375"/>
    </row>
    <row r="1250" spans="2:2">
      <c r="B1250" s="375"/>
    </row>
    <row r="1251" spans="2:2">
      <c r="B1251" s="375"/>
    </row>
    <row r="1252" spans="2:2">
      <c r="B1252" s="375"/>
    </row>
    <row r="1253" spans="2:2">
      <c r="B1253" s="375"/>
    </row>
    <row r="1254" spans="2:2">
      <c r="B1254" s="375"/>
    </row>
    <row r="1255" spans="2:2">
      <c r="B1255" s="375"/>
    </row>
    <row r="1256" spans="2:2">
      <c r="B1256" s="375"/>
    </row>
    <row r="1257" spans="2:2">
      <c r="B1257" s="375"/>
    </row>
    <row r="1258" spans="2:2">
      <c r="B1258" s="375"/>
    </row>
    <row r="1259" spans="2:2">
      <c r="B1259" s="375"/>
    </row>
    <row r="1260" spans="2:2">
      <c r="B1260" s="375"/>
    </row>
    <row r="1261" spans="2:2">
      <c r="B1261" s="375"/>
    </row>
    <row r="1262" spans="2:2">
      <c r="B1262" s="375"/>
    </row>
    <row r="1263" spans="2:2">
      <c r="B1263" s="375"/>
    </row>
    <row r="1264" spans="2:2">
      <c r="B1264" s="375"/>
    </row>
  </sheetData>
  <mergeCells count="7">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workbookViewId="0"/>
  </sheetViews>
  <sheetFormatPr defaultRowHeight="12.75" outlineLevelRow="1"/>
  <cols>
    <col min="1" max="2" width="5.140625" style="497" customWidth="1"/>
    <col min="3" max="3" width="50.85546875" style="497" customWidth="1"/>
    <col min="4" max="4" width="10.42578125" style="497" customWidth="1"/>
    <col min="5" max="5" width="11.42578125" style="497" customWidth="1"/>
    <col min="6" max="11" width="10.42578125" style="497" customWidth="1"/>
    <col min="12" max="12" width="9.85546875" style="497" customWidth="1"/>
    <col min="13" max="16384" width="9.140625" style="497"/>
  </cols>
  <sheetData>
    <row r="1" spans="1:21" ht="21">
      <c r="A1" s="495" t="s">
        <v>198</v>
      </c>
      <c r="B1" s="496"/>
      <c r="C1" s="496"/>
      <c r="D1" s="496"/>
      <c r="E1" s="496"/>
      <c r="F1" s="496"/>
      <c r="G1" s="496"/>
      <c r="H1" s="496"/>
      <c r="I1" s="496"/>
      <c r="J1" s="496"/>
      <c r="K1" s="496"/>
      <c r="L1" s="496"/>
    </row>
    <row r="2" spans="1:21">
      <c r="A2" s="496"/>
      <c r="B2" s="496"/>
      <c r="C2" s="496"/>
      <c r="D2" s="496"/>
      <c r="E2" s="496"/>
      <c r="F2" s="496"/>
      <c r="G2" s="496"/>
      <c r="H2" s="496"/>
      <c r="I2" s="496"/>
      <c r="J2" s="496"/>
      <c r="K2" s="496"/>
      <c r="L2" s="496"/>
    </row>
    <row r="4" spans="1:21" s="500" customFormat="1" ht="18.75">
      <c r="A4" s="498" t="s">
        <v>199</v>
      </c>
      <c r="B4" s="499"/>
      <c r="C4" s="499"/>
      <c r="D4" s="499"/>
      <c r="E4" s="499"/>
      <c r="F4" s="499"/>
      <c r="G4" s="499"/>
      <c r="H4" s="499"/>
      <c r="I4" s="499"/>
      <c r="J4" s="499"/>
      <c r="K4" s="499"/>
      <c r="L4" s="499"/>
      <c r="M4" s="499"/>
      <c r="N4" s="499"/>
      <c r="O4" s="499"/>
      <c r="P4" s="499"/>
      <c r="Q4" s="499"/>
      <c r="R4" s="499"/>
      <c r="S4" s="499"/>
      <c r="T4" s="499"/>
      <c r="U4" s="499"/>
    </row>
    <row r="6" spans="1:21" ht="36">
      <c r="C6" s="501" t="s">
        <v>85</v>
      </c>
      <c r="D6" s="502"/>
      <c r="E6" s="502"/>
      <c r="F6" s="503" t="s">
        <v>200</v>
      </c>
      <c r="G6" s="503" t="s">
        <v>201</v>
      </c>
      <c r="H6" s="504" t="s">
        <v>202</v>
      </c>
    </row>
    <row r="7" spans="1:21">
      <c r="C7" s="622" t="s">
        <v>121</v>
      </c>
      <c r="D7" s="623"/>
      <c r="E7" s="623"/>
      <c r="F7" s="563">
        <f>E20</f>
        <v>9.1448774606335821</v>
      </c>
      <c r="G7" s="564">
        <f ca="1">G54</f>
        <v>30.2584398030594</v>
      </c>
      <c r="H7" s="601">
        <f>F54</f>
        <v>50</v>
      </c>
    </row>
    <row r="8" spans="1:21">
      <c r="C8" s="622" t="s">
        <v>122</v>
      </c>
      <c r="D8" s="623"/>
      <c r="E8" s="623"/>
      <c r="F8" s="563">
        <f t="shared" ref="F8:F12" si="0">E21</f>
        <v>1.6930404818360345</v>
      </c>
      <c r="G8" s="564">
        <f t="shared" ref="G8:G12" ca="1" si="1">G55</f>
        <v>7.8327941578308549</v>
      </c>
      <c r="H8" s="601">
        <f t="shared" ref="H8:H14" si="2">F55</f>
        <v>15</v>
      </c>
    </row>
    <row r="9" spans="1:21">
      <c r="C9" s="622" t="s">
        <v>123</v>
      </c>
      <c r="D9" s="623"/>
      <c r="E9" s="623"/>
      <c r="F9" s="563">
        <f t="shared" si="0"/>
        <v>0</v>
      </c>
      <c r="G9" s="564" t="str">
        <f t="shared" si="1"/>
        <v>N/A</v>
      </c>
      <c r="H9" s="601">
        <f t="shared" si="2"/>
        <v>35</v>
      </c>
    </row>
    <row r="10" spans="1:21">
      <c r="C10" s="622" t="s">
        <v>124</v>
      </c>
      <c r="D10" s="623"/>
      <c r="E10" s="623"/>
      <c r="F10" s="563">
        <f t="shared" si="0"/>
        <v>2.328475791343116E-2</v>
      </c>
      <c r="G10" s="564">
        <f t="shared" ca="1" si="1"/>
        <v>8.032707448969381</v>
      </c>
      <c r="H10" s="601">
        <f t="shared" si="2"/>
        <v>10</v>
      </c>
    </row>
    <row r="11" spans="1:21">
      <c r="C11" s="622" t="s">
        <v>125</v>
      </c>
      <c r="D11" s="623"/>
      <c r="E11" s="623"/>
      <c r="F11" s="563">
        <f>E24</f>
        <v>0</v>
      </c>
      <c r="G11" s="564" t="str">
        <f t="shared" si="1"/>
        <v>n/a</v>
      </c>
      <c r="H11" s="601">
        <f t="shared" si="2"/>
        <v>4</v>
      </c>
    </row>
    <row r="12" spans="1:21">
      <c r="C12" s="622" t="s">
        <v>126</v>
      </c>
      <c r="D12" s="623"/>
      <c r="E12" s="623"/>
      <c r="F12" s="563">
        <f t="shared" si="0"/>
        <v>0.65712469563303566</v>
      </c>
      <c r="G12" s="564">
        <f t="shared" ca="1" si="1"/>
        <v>13.352384382268284</v>
      </c>
      <c r="H12" s="601">
        <f t="shared" si="2"/>
        <v>15</v>
      </c>
    </row>
    <row r="13" spans="1:21">
      <c r="C13" s="622" t="s">
        <v>127</v>
      </c>
      <c r="D13" s="623"/>
      <c r="E13" s="623"/>
      <c r="F13" s="563">
        <f>'Tax Depn'!J838</f>
        <v>0</v>
      </c>
      <c r="G13" s="564">
        <f>'Tax Depn'!Q838</f>
        <v>0</v>
      </c>
      <c r="H13" s="601">
        <f t="shared" si="2"/>
        <v>5</v>
      </c>
    </row>
    <row r="14" spans="1:21">
      <c r="C14" s="624" t="s">
        <v>128</v>
      </c>
      <c r="D14" s="625"/>
      <c r="E14" s="625"/>
      <c r="F14" s="565">
        <f>'Tax Depn'!J839</f>
        <v>0</v>
      </c>
      <c r="G14" s="566">
        <f>'Tax Depn'!Q839</f>
        <v>0</v>
      </c>
      <c r="H14" s="601" t="str">
        <f t="shared" si="2"/>
        <v>N/A</v>
      </c>
    </row>
    <row r="15" spans="1:21">
      <c r="C15" s="505" t="s">
        <v>203</v>
      </c>
      <c r="D15" s="506"/>
      <c r="E15" s="506"/>
      <c r="F15" s="507"/>
      <c r="G15" s="508"/>
      <c r="H15" s="508"/>
    </row>
    <row r="17" spans="1:21" s="500" customFormat="1" ht="18.75" outlineLevel="1">
      <c r="A17" s="498" t="s">
        <v>216</v>
      </c>
      <c r="B17" s="499"/>
      <c r="C17" s="499"/>
      <c r="D17" s="499"/>
      <c r="E17" s="499"/>
      <c r="F17" s="499"/>
      <c r="G17" s="499"/>
      <c r="H17" s="499"/>
      <c r="I17" s="499"/>
      <c r="J17" s="499"/>
      <c r="K17" s="499"/>
      <c r="L17" s="499"/>
      <c r="M17" s="499"/>
      <c r="N17" s="499"/>
      <c r="O17" s="499"/>
      <c r="P17" s="499"/>
      <c r="Q17" s="499"/>
      <c r="R17" s="499"/>
      <c r="S17" s="499"/>
      <c r="T17" s="499"/>
      <c r="U17" s="499"/>
    </row>
    <row r="18" spans="1:21" outlineLevel="1"/>
    <row r="19" spans="1:21" outlineLevel="1">
      <c r="C19" s="521" t="s">
        <v>204</v>
      </c>
      <c r="D19" s="561" t="s">
        <v>205</v>
      </c>
      <c r="E19" s="562" t="s">
        <v>206</v>
      </c>
    </row>
    <row r="20" spans="1:21" outlineLevel="1">
      <c r="C20" s="509" t="s">
        <v>121</v>
      </c>
      <c r="D20" s="510"/>
      <c r="E20" s="554">
        <f>'Tax Depn'!W796</f>
        <v>9.1448774606335821</v>
      </c>
    </row>
    <row r="21" spans="1:21" outlineLevel="1">
      <c r="C21" s="512" t="s">
        <v>122</v>
      </c>
      <c r="D21" s="513"/>
      <c r="E21" s="511">
        <f>'Tax Depn'!W797+'Tax Depn'!W798</f>
        <v>1.6930404818360345</v>
      </c>
    </row>
    <row r="22" spans="1:21" outlineLevel="1">
      <c r="C22" s="512" t="s">
        <v>123</v>
      </c>
      <c r="D22" s="513"/>
      <c r="E22" s="511">
        <f>'Tax Depn'!W800</f>
        <v>0</v>
      </c>
    </row>
    <row r="23" spans="1:21" outlineLevel="1">
      <c r="C23" s="512" t="s">
        <v>124</v>
      </c>
      <c r="D23" s="513">
        <f>'Total actual RAB roll forward'!L362/SUM('Total actual RAB roll forward'!$L$362:$L$364)</f>
        <v>3.4221684887041311E-2</v>
      </c>
      <c r="E23" s="608">
        <f>D23*'Tax Depn'!$W$802</f>
        <v>2.328475791343116E-2</v>
      </c>
    </row>
    <row r="24" spans="1:21" outlineLevel="1">
      <c r="C24" s="512" t="s">
        <v>125</v>
      </c>
      <c r="D24" s="513">
        <f>'Total actual RAB roll forward'!L363/SUM('Total actual RAB roll forward'!$L$362:$L$364)</f>
        <v>-0.39496565485086876</v>
      </c>
      <c r="E24" s="607">
        <f>IF(D24&lt;=0,0,D24*'Tax Depn'!$W$802)</f>
        <v>0</v>
      </c>
    </row>
    <row r="25" spans="1:21" outlineLevel="1">
      <c r="C25" s="512" t="s">
        <v>126</v>
      </c>
      <c r="D25" s="513">
        <f>'Total actual RAB roll forward'!L364/SUM('Total actual RAB roll forward'!$L$362:$L$364)</f>
        <v>1.3607439699638273</v>
      </c>
      <c r="E25" s="607">
        <f>'Tax Depn'!$W$802-E23-E24</f>
        <v>0.65712469563303566</v>
      </c>
    </row>
    <row r="26" spans="1:21" outlineLevel="1">
      <c r="C26" s="512" t="s">
        <v>127</v>
      </c>
      <c r="D26" s="513"/>
      <c r="E26" s="511">
        <f t="shared" ref="E26" si="3">F13</f>
        <v>0</v>
      </c>
    </row>
    <row r="27" spans="1:21" outlineLevel="1">
      <c r="C27" s="555" t="s">
        <v>128</v>
      </c>
      <c r="D27" s="556"/>
      <c r="E27" s="557">
        <f>'Tax Depn'!W801</f>
        <v>0</v>
      </c>
    </row>
    <row r="28" spans="1:21" outlineLevel="1">
      <c r="C28" s="514" t="s">
        <v>207</v>
      </c>
      <c r="D28" s="502"/>
      <c r="E28" s="541">
        <f>SUM(E20:E27)</f>
        <v>11.518327396016083</v>
      </c>
    </row>
    <row r="29" spans="1:21" outlineLevel="1">
      <c r="C29" s="515" t="s">
        <v>203</v>
      </c>
      <c r="E29" s="516"/>
    </row>
    <row r="30" spans="1:21" outlineLevel="1">
      <c r="C30" s="515"/>
      <c r="E30" s="516"/>
    </row>
    <row r="31" spans="1:21" s="500" customFormat="1" ht="18.75" outlineLevel="1">
      <c r="A31" s="498" t="s">
        <v>208</v>
      </c>
      <c r="B31" s="499"/>
      <c r="C31" s="499"/>
      <c r="D31" s="499"/>
      <c r="E31" s="499"/>
      <c r="F31" s="499"/>
      <c r="G31" s="499"/>
      <c r="H31" s="499"/>
      <c r="I31" s="499"/>
      <c r="J31" s="499"/>
      <c r="K31" s="499"/>
      <c r="L31" s="499"/>
      <c r="M31" s="499"/>
      <c r="N31" s="499"/>
      <c r="O31" s="499"/>
      <c r="P31" s="499"/>
      <c r="Q31" s="499"/>
      <c r="R31" s="499"/>
      <c r="S31" s="499"/>
      <c r="T31" s="499"/>
      <c r="U31" s="499"/>
    </row>
    <row r="32" spans="1:21" outlineLevel="1"/>
    <row r="33" spans="3:5" outlineLevel="1">
      <c r="C33" s="517" t="s">
        <v>220</v>
      </c>
      <c r="D33" s="518" t="s">
        <v>209</v>
      </c>
      <c r="E33" s="519" t="s">
        <v>210</v>
      </c>
    </row>
    <row r="34" spans="3:5" s="520" customFormat="1" ht="25.5" outlineLevel="1">
      <c r="C34" s="542" t="s">
        <v>221</v>
      </c>
      <c r="D34" s="546">
        <v>168</v>
      </c>
      <c r="E34" s="547">
        <v>50</v>
      </c>
    </row>
    <row r="35" spans="3:5" s="520" customFormat="1" outlineLevel="1">
      <c r="C35" s="543" t="s">
        <v>222</v>
      </c>
      <c r="D35" s="548">
        <v>168</v>
      </c>
      <c r="E35" s="549">
        <v>15</v>
      </c>
    </row>
    <row r="36" spans="3:5" s="520" customFormat="1" outlineLevel="1">
      <c r="C36" s="543" t="s">
        <v>223</v>
      </c>
      <c r="D36" s="548">
        <v>168</v>
      </c>
      <c r="E36" s="549">
        <v>35</v>
      </c>
    </row>
    <row r="37" spans="3:5" s="520" customFormat="1" outlineLevel="1">
      <c r="C37" s="543" t="s">
        <v>224</v>
      </c>
      <c r="D37" s="548">
        <v>168</v>
      </c>
      <c r="E37" s="549">
        <v>10</v>
      </c>
    </row>
    <row r="38" spans="3:5" s="520" customFormat="1" outlineLevel="1">
      <c r="C38" s="544" t="s">
        <v>225</v>
      </c>
      <c r="D38" s="550">
        <v>247</v>
      </c>
      <c r="E38" s="551">
        <v>4</v>
      </c>
    </row>
    <row r="39" spans="3:5" s="520" customFormat="1" ht="38.25" outlineLevel="1">
      <c r="C39" s="545" t="s">
        <v>226</v>
      </c>
      <c r="D39" s="552">
        <v>168</v>
      </c>
      <c r="E39" s="553">
        <v>40</v>
      </c>
    </row>
    <row r="40" spans="3:5" outlineLevel="1"/>
    <row r="41" spans="3:5" s="526" customFormat="1" ht="38.25">
      <c r="C41" s="524" t="s">
        <v>217</v>
      </c>
      <c r="D41" s="525" t="s">
        <v>211</v>
      </c>
    </row>
    <row r="42" spans="3:5">
      <c r="C42" s="522" t="s">
        <v>121</v>
      </c>
      <c r="D42" s="527">
        <v>50</v>
      </c>
    </row>
    <row r="43" spans="3:5">
      <c r="C43" s="523" t="s">
        <v>122</v>
      </c>
      <c r="D43" s="527">
        <v>15</v>
      </c>
    </row>
    <row r="44" spans="3:5">
      <c r="C44" s="523" t="s">
        <v>123</v>
      </c>
      <c r="D44" s="605">
        <v>35</v>
      </c>
    </row>
    <row r="45" spans="3:5">
      <c r="C45" s="523" t="s">
        <v>124</v>
      </c>
      <c r="D45" s="527">
        <v>10</v>
      </c>
    </row>
    <row r="46" spans="3:5">
      <c r="C46" s="523" t="s">
        <v>125</v>
      </c>
      <c r="D46" s="527">
        <v>4</v>
      </c>
    </row>
    <row r="47" spans="3:5">
      <c r="C47" s="523" t="s">
        <v>126</v>
      </c>
      <c r="D47" s="604">
        <v>15</v>
      </c>
    </row>
    <row r="48" spans="3:5">
      <c r="C48" s="523" t="s">
        <v>127</v>
      </c>
      <c r="D48" s="604">
        <v>5</v>
      </c>
    </row>
    <row r="49" spans="1:21">
      <c r="C49" s="528" t="s">
        <v>128</v>
      </c>
      <c r="D49" s="529" t="s">
        <v>218</v>
      </c>
    </row>
    <row r="51" spans="1:21" s="500" customFormat="1" ht="18.75">
      <c r="A51" s="498" t="s">
        <v>219</v>
      </c>
      <c r="B51" s="499"/>
      <c r="C51" s="499"/>
      <c r="D51" s="499"/>
      <c r="E51" s="499"/>
      <c r="F51" s="499"/>
      <c r="G51" s="499"/>
      <c r="H51" s="499"/>
      <c r="I51" s="499"/>
      <c r="J51" s="499"/>
      <c r="K51" s="499"/>
      <c r="L51" s="499"/>
      <c r="M51" s="499"/>
      <c r="N51" s="499"/>
      <c r="O51" s="499"/>
      <c r="P51" s="499"/>
      <c r="Q51" s="499"/>
      <c r="R51" s="499"/>
      <c r="S51" s="499"/>
      <c r="T51" s="499"/>
      <c r="U51" s="499"/>
    </row>
    <row r="53" spans="1:21" s="530" customFormat="1" ht="51">
      <c r="C53" s="531" t="s">
        <v>204</v>
      </c>
      <c r="D53" s="532" t="s">
        <v>212</v>
      </c>
      <c r="E53" s="532" t="s">
        <v>213</v>
      </c>
      <c r="F53" s="533" t="s">
        <v>214</v>
      </c>
      <c r="G53" s="534" t="s">
        <v>215</v>
      </c>
    </row>
    <row r="54" spans="1:21">
      <c r="C54" s="535" t="s">
        <v>121</v>
      </c>
      <c r="D54" s="558">
        <f>Input!L7</f>
        <v>60</v>
      </c>
      <c r="E54" s="558">
        <f ca="1">'Asset lives roll forward'!F20</f>
        <v>36.310127763671282</v>
      </c>
      <c r="F54" s="600">
        <f>D42</f>
        <v>50</v>
      </c>
      <c r="G54" s="536">
        <f ca="1">E54/D54*F54</f>
        <v>30.2584398030594</v>
      </c>
    </row>
    <row r="55" spans="1:21">
      <c r="C55" s="537" t="s">
        <v>122</v>
      </c>
      <c r="D55" s="559">
        <v>15</v>
      </c>
      <c r="E55" s="559">
        <f ca="1">'Asset lives roll forward'!F35</f>
        <v>7.8327941578308549</v>
      </c>
      <c r="F55" s="600">
        <f t="shared" ref="F55:F61" si="4">D43</f>
        <v>15</v>
      </c>
      <c r="G55" s="538">
        <f t="shared" ref="G55:G59" ca="1" si="5">E55/D55*F55</f>
        <v>7.8327941578308549</v>
      </c>
    </row>
    <row r="56" spans="1:21">
      <c r="C56" s="537" t="s">
        <v>123</v>
      </c>
      <c r="D56" s="559">
        <v>50</v>
      </c>
      <c r="E56" s="559" t="s">
        <v>218</v>
      </c>
      <c r="F56" s="600">
        <f t="shared" si="4"/>
        <v>35</v>
      </c>
      <c r="G56" s="538" t="s">
        <v>218</v>
      </c>
    </row>
    <row r="57" spans="1:21">
      <c r="C57" s="512" t="s">
        <v>124</v>
      </c>
      <c r="D57" s="559">
        <v>15</v>
      </c>
      <c r="E57" s="559">
        <f ca="1">'Asset lives roll forward'!F65</f>
        <v>12.049061173454072</v>
      </c>
      <c r="F57" s="600">
        <f t="shared" si="4"/>
        <v>10</v>
      </c>
      <c r="G57" s="538">
        <f ca="1">E57/D57*F57</f>
        <v>8.032707448969381</v>
      </c>
    </row>
    <row r="58" spans="1:21">
      <c r="C58" s="537" t="s">
        <v>125</v>
      </c>
      <c r="D58" s="559">
        <v>5</v>
      </c>
      <c r="E58" s="559">
        <f ca="1">'Asset lives roll forward'!F80</f>
        <v>-8.2821208803831912</v>
      </c>
      <c r="F58" s="600">
        <f t="shared" si="4"/>
        <v>4</v>
      </c>
      <c r="G58" s="603" t="s">
        <v>134</v>
      </c>
      <c r="I58" s="606">
        <f ca="1">E58/D58*F58</f>
        <v>-6.6256967043065531</v>
      </c>
    </row>
    <row r="59" spans="1:21">
      <c r="C59" s="537" t="s">
        <v>126</v>
      </c>
      <c r="D59" s="559">
        <v>15</v>
      </c>
      <c r="E59" s="559">
        <f ca="1">'Asset lives roll forward'!F95</f>
        <v>13.352384382268284</v>
      </c>
      <c r="F59" s="600">
        <f t="shared" si="4"/>
        <v>15</v>
      </c>
      <c r="G59" s="538">
        <f t="shared" ca="1" si="5"/>
        <v>13.352384382268284</v>
      </c>
    </row>
    <row r="60" spans="1:21">
      <c r="C60" s="537" t="s">
        <v>127</v>
      </c>
      <c r="D60" s="559" t="s">
        <v>218</v>
      </c>
      <c r="E60" s="559" t="s">
        <v>218</v>
      </c>
      <c r="F60" s="600">
        <f t="shared" si="4"/>
        <v>5</v>
      </c>
      <c r="G60" s="538">
        <f>'Tax Depn'!Q838</f>
        <v>0</v>
      </c>
    </row>
    <row r="61" spans="1:21">
      <c r="C61" s="539" t="s">
        <v>128</v>
      </c>
      <c r="D61" s="560" t="s">
        <v>218</v>
      </c>
      <c r="E61" s="560" t="s">
        <v>218</v>
      </c>
      <c r="F61" s="600" t="str">
        <f t="shared" si="4"/>
        <v>N/A</v>
      </c>
      <c r="G61" s="540">
        <f>'Tax Depn'!Q839</f>
        <v>0</v>
      </c>
    </row>
  </sheetData>
  <mergeCells count="8">
    <mergeCell ref="C13:E13"/>
    <mergeCell ref="C14:E14"/>
    <mergeCell ref="C7:E7"/>
    <mergeCell ref="C8:E8"/>
    <mergeCell ref="C9:E9"/>
    <mergeCell ref="C10:E10"/>
    <mergeCell ref="C11:E11"/>
    <mergeCell ref="C12:E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34.254528819693356</v>
      </c>
      <c r="H6" s="140">
        <f>SUM(H7:H36)</f>
        <v>34.832491213332318</v>
      </c>
      <c r="I6" s="140">
        <f t="shared" ref="I6:Q6" si="1">SUM(I7:I36)</f>
        <v>35.357457705252337</v>
      </c>
      <c r="J6" s="140">
        <f t="shared" si="1"/>
        <v>35.720479880120521</v>
      </c>
      <c r="K6" s="140">
        <f t="shared" si="1"/>
        <v>36.144629181481491</v>
      </c>
      <c r="L6" s="140">
        <f t="shared" si="1"/>
        <v>36.678614341933724</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hidden="1" outlineLevel="1">
      <c r="A7" s="9"/>
      <c r="B7" s="9"/>
      <c r="C7" s="9"/>
      <c r="D7" s="129" t="str">
        <f>Asset1</f>
        <v>Mains &amp; Services</v>
      </c>
      <c r="E7" s="9"/>
      <c r="F7" s="9"/>
      <c r="G7" s="193">
        <f>'Actual RAB roll forward'!G438</f>
        <v>29.489119193165411</v>
      </c>
      <c r="H7" s="111">
        <f t="shared" ref="H7:H26" si="2">G7+G39+G71+G103+G135+G167</f>
        <v>30.137140599109127</v>
      </c>
      <c r="I7" s="111">
        <f t="shared" ref="I7:L34" si="3">H7+H39+H71</f>
        <v>30.836795865702328</v>
      </c>
      <c r="J7" s="111">
        <f t="shared" si="3"/>
        <v>31.506862671843706</v>
      </c>
      <c r="K7" s="111">
        <f t="shared" si="3"/>
        <v>32.348958091536645</v>
      </c>
      <c r="L7" s="111">
        <f t="shared" si="3"/>
        <v>33.003839455382128</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4.8090830037058794</v>
      </c>
      <c r="H8" s="111">
        <f t="shared" si="2"/>
        <v>4.7149649844444141</v>
      </c>
      <c r="I8" s="111">
        <f t="shared" si="3"/>
        <v>4.4601277398909867</v>
      </c>
      <c r="J8" s="111">
        <f t="shared" si="3"/>
        <v>4.1273408760207806</v>
      </c>
      <c r="K8" s="111">
        <f t="shared" si="3"/>
        <v>3.7717330755859493</v>
      </c>
      <c r="L8" s="111">
        <f t="shared" si="3"/>
        <v>3.6687992059768848</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hidden="1" outlineLevel="1">
      <c r="A9" s="9"/>
      <c r="B9" s="9"/>
      <c r="C9" s="46"/>
      <c r="D9" s="129" t="str">
        <f>Asset3</f>
        <v>Buildings</v>
      </c>
      <c r="E9" s="9"/>
      <c r="F9" s="9"/>
      <c r="G9" s="193">
        <f>'Actual RAB roll forward'!G440</f>
        <v>1.1097264938681386E-5</v>
      </c>
      <c r="H9" s="111">
        <f t="shared" si="2"/>
        <v>1.1487878418923489E-5</v>
      </c>
      <c r="I9" s="111">
        <f t="shared" si="3"/>
        <v>3.4558944247975454E-19</v>
      </c>
      <c r="J9" s="111">
        <f t="shared" si="3"/>
        <v>3.5305797660014215E-19</v>
      </c>
      <c r="K9" s="111">
        <f t="shared" si="3"/>
        <v>3.612054683678378E-19</v>
      </c>
      <c r="L9" s="111">
        <f t="shared" si="3"/>
        <v>3.6663712954630147E-19</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6"/>
      <c r="D10" s="129" t="str">
        <f>Asset4</f>
        <v>SCADA</v>
      </c>
      <c r="E10" s="9"/>
      <c r="F10" s="9"/>
      <c r="G10" s="193">
        <f>'Actual RAB roll forward'!G441</f>
        <v>0</v>
      </c>
      <c r="H10" s="111">
        <f t="shared" si="2"/>
        <v>0</v>
      </c>
      <c r="I10" s="111">
        <f t="shared" si="3"/>
        <v>0</v>
      </c>
      <c r="J10" s="111">
        <f t="shared" si="3"/>
        <v>-1.6463969631295425E-3</v>
      </c>
      <c r="K10" s="111">
        <f t="shared" si="3"/>
        <v>-5.2131243909577752E-3</v>
      </c>
      <c r="L10" s="111">
        <f t="shared" si="3"/>
        <v>-1.0766821543259406E-2</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6"/>
      <c r="D11" s="129" t="str">
        <f>Asset5</f>
        <v>Computer Equipment</v>
      </c>
      <c r="E11" s="9"/>
      <c r="F11" s="9"/>
      <c r="G11" s="193">
        <f>'Actual RAB roll forward'!G442</f>
        <v>0</v>
      </c>
      <c r="H11" s="111">
        <f t="shared" si="2"/>
        <v>0</v>
      </c>
      <c r="I11" s="111">
        <f t="shared" si="3"/>
        <v>0</v>
      </c>
      <c r="J11" s="111">
        <f t="shared" si="3"/>
        <v>-3.7670319872074656E-2</v>
      </c>
      <c r="K11" s="111">
        <f t="shared" si="3"/>
        <v>-0.1526981443811265</v>
      </c>
      <c r="L11" s="111">
        <f t="shared" si="3"/>
        <v>-0.25702169765028016</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6"/>
      <c r="D12" s="129" t="str">
        <f>Asset6</f>
        <v>Other Assets</v>
      </c>
      <c r="E12" s="9"/>
      <c r="F12" s="9"/>
      <c r="G12" s="193">
        <f>'Actual RAB roll forward'!G443</f>
        <v>-4.3684474442873156E-2</v>
      </c>
      <c r="H12" s="111">
        <f t="shared" si="2"/>
        <v>-1.9625858099635376E-2</v>
      </c>
      <c r="I12" s="111">
        <f t="shared" si="3"/>
        <v>6.0534099659024426E-2</v>
      </c>
      <c r="J12" s="111">
        <f t="shared" si="3"/>
        <v>0.12559304909124444</v>
      </c>
      <c r="K12" s="111">
        <f t="shared" si="3"/>
        <v>0.18184928313098073</v>
      </c>
      <c r="L12" s="111">
        <f t="shared" si="3"/>
        <v>0.273764199768251</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ollapsed="1">
      <c r="A37" s="9"/>
      <c r="B37" s="9"/>
      <c r="C37" s="46"/>
      <c r="D37" s="114"/>
      <c r="E37" s="9"/>
      <c r="F37" s="9"/>
      <c r="G37" s="204"/>
      <c r="H37" s="37"/>
      <c r="I37" s="37"/>
      <c r="J37" s="37"/>
      <c r="K37" s="37"/>
      <c r="L37" s="37"/>
      <c r="M37" s="37"/>
      <c r="N37" s="100"/>
      <c r="O37" s="29"/>
      <c r="P37" s="29"/>
      <c r="Q37" s="29"/>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6" t="s">
        <v>34</v>
      </c>
      <c r="D38" s="9"/>
      <c r="E38" s="9"/>
      <c r="F38" s="9"/>
      <c r="G38" s="194">
        <f>SUM(G39:G68)</f>
        <v>0.84770619546925075</v>
      </c>
      <c r="H38" s="37">
        <f>SUM(H39:H68)</f>
        <v>1.2334981708445729</v>
      </c>
      <c r="I38" s="37">
        <f t="shared" ref="I38:Q38" si="6">SUM(I39:I68)</f>
        <v>1.1249155446196559</v>
      </c>
      <c r="J38" s="37">
        <f t="shared" si="6"/>
        <v>1.269384256909623</v>
      </c>
      <c r="K38" s="37">
        <f t="shared" si="6"/>
        <v>1.7535306812681719</v>
      </c>
      <c r="L38" s="37">
        <f t="shared" si="6"/>
        <v>2.2095377557532627</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hidden="1" outlineLevel="1">
      <c r="A39" s="9"/>
      <c r="B39" s="9"/>
      <c r="C39" s="46"/>
      <c r="D39" s="129" t="str">
        <f>Asset1</f>
        <v>Mains &amp; Services</v>
      </c>
      <c r="E39" s="9"/>
      <c r="F39" s="9"/>
      <c r="G39" s="193">
        <f>'Actual RAB roll forward'!G470</f>
        <v>0.54630600280508135</v>
      </c>
      <c r="H39" s="111">
        <f>'Actual RAB roll forward'!H470</f>
        <v>0.91760384828257524</v>
      </c>
      <c r="I39" s="111">
        <f>'Actual RAB roll forward'!I470</f>
        <v>0.85492155248925916</v>
      </c>
      <c r="J39" s="111">
        <f>'Actual RAB roll forward'!J470</f>
        <v>0.99910690868667684</v>
      </c>
      <c r="K39" s="111">
        <f>'Actual RAB roll forward'!K470</f>
        <v>1.0795998767551374</v>
      </c>
      <c r="L39" s="111">
        <f>'Actual RAB roll forward'!L470</f>
        <v>1.2436007507455049</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6"/>
      <c r="D40" s="129" t="str">
        <f>Asset2</f>
        <v>Meters</v>
      </c>
      <c r="E40" s="9"/>
      <c r="F40" s="9"/>
      <c r="G40" s="193">
        <f>'Actual RAB roll forward'!G471</f>
        <v>0.27813816558080157</v>
      </c>
      <c r="H40" s="111">
        <f>'Actual RAB roll forward'!H471</f>
        <v>0.25536022290297333</v>
      </c>
      <c r="I40" s="111">
        <f>'Actual RAB roll forward'!I471</f>
        <v>0.20604955148446724</v>
      </c>
      <c r="J40" s="111">
        <f>'Actual RAB roll forward'!J471</f>
        <v>0.21652711034049169</v>
      </c>
      <c r="K40" s="111">
        <f>'Actual RAB roll forward'!K471</f>
        <v>0.53966754572698583</v>
      </c>
      <c r="L40" s="111">
        <f>'Actual RAB roll forward'!L471</f>
        <v>0.53983740007894632</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6"/>
      <c r="D41" s="129" t="str">
        <f>Asset3</f>
        <v>Buildings</v>
      </c>
      <c r="E41" s="9"/>
      <c r="F41" s="9"/>
      <c r="G41" s="193">
        <f>'Actual RAB roll forward'!G472</f>
        <v>0</v>
      </c>
      <c r="H41" s="111">
        <f>'Actual RAB roll forward'!H472</f>
        <v>0</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6"/>
      <c r="D42" s="129" t="str">
        <f>Asset4</f>
        <v>SCADA</v>
      </c>
      <c r="E42" s="9"/>
      <c r="F42" s="9"/>
      <c r="G42" s="193">
        <f>'Actual RAB roll forward'!G473</f>
        <v>0</v>
      </c>
      <c r="H42" s="111">
        <f>'Actual RAB roll forward'!H473</f>
        <v>0</v>
      </c>
      <c r="I42" s="111">
        <f>'Actual RAB roll forward'!I473</f>
        <v>0</v>
      </c>
      <c r="J42" s="111">
        <f>'Actual RAB roll forward'!J473</f>
        <v>0</v>
      </c>
      <c r="K42" s="111">
        <f>'Actual RAB roll forward'!K473</f>
        <v>0</v>
      </c>
      <c r="L42" s="111">
        <f>'Actual RAB roll forward'!L473</f>
        <v>0</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6"/>
      <c r="D43" s="129" t="str">
        <f>Asset5</f>
        <v>Computer Equipment</v>
      </c>
      <c r="E43" s="9"/>
      <c r="F43" s="9"/>
      <c r="G43" s="193">
        <f>'Actual RAB roll forward'!G474</f>
        <v>0</v>
      </c>
      <c r="H43" s="111">
        <f>'Actual RAB roll forward'!H474</f>
        <v>0</v>
      </c>
      <c r="I43" s="111">
        <f>'Actual RAB roll forward'!I474</f>
        <v>0</v>
      </c>
      <c r="J43" s="111">
        <f>'Actual RAB roll forward'!J474</f>
        <v>0</v>
      </c>
      <c r="K43" s="111">
        <f>'Actual RAB roll forward'!K474</f>
        <v>4.4485397011306049E-2</v>
      </c>
      <c r="L43" s="111">
        <f>'Actual RAB roll forward'!L474</f>
        <v>0.30359255527086471</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6"/>
      <c r="D44" s="129" t="str">
        <f>Asset6</f>
        <v>Other Assets</v>
      </c>
      <c r="E44" s="9"/>
      <c r="F44" s="9"/>
      <c r="G44" s="193">
        <f>'Actual RAB roll forward'!G475</f>
        <v>2.3262027083367776E-2</v>
      </c>
      <c r="H44" s="111">
        <f>'Actual RAB roll forward'!H475</f>
        <v>6.0534099659024419E-2</v>
      </c>
      <c r="I44" s="111">
        <f>'Actual RAB roll forward'!I475</f>
        <v>6.3944440645929509E-2</v>
      </c>
      <c r="J44" s="111">
        <f>'Actual RAB roll forward'!J475</f>
        <v>5.3750237882454317E-2</v>
      </c>
      <c r="K44" s="111">
        <f>'Actual RAB roll forward'!K475</f>
        <v>8.977786177474277E-2</v>
      </c>
      <c r="L44" s="111">
        <f>'Actual RAB roll forward'!L475</f>
        <v>0.12250704965794657</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ollapsed="1">
      <c r="A69" s="9"/>
      <c r="B69" s="9"/>
      <c r="C69" s="46"/>
      <c r="D69" s="114"/>
      <c r="E69" s="9"/>
      <c r="F69" s="9"/>
      <c r="G69" s="204"/>
      <c r="H69" s="37"/>
      <c r="I69" s="37"/>
      <c r="J69" s="37"/>
      <c r="K69" s="37"/>
      <c r="L69" s="37"/>
      <c r="M69" s="37"/>
      <c r="N69" s="100"/>
      <c r="O69" s="29"/>
      <c r="P69" s="29"/>
      <c r="Q69" s="29"/>
      <c r="R69" s="29"/>
      <c r="S69" s="100"/>
      <c r="T69" s="100"/>
      <c r="U69" s="100"/>
      <c r="V69" s="100"/>
      <c r="W69" s="100"/>
      <c r="X69" s="100"/>
      <c r="Y69" s="100"/>
      <c r="Z69" s="100"/>
      <c r="AA69" s="100"/>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584" t="s">
        <v>228</v>
      </c>
      <c r="D70" s="221"/>
      <c r="E70" s="9"/>
      <c r="F70" s="9"/>
      <c r="G70" s="194">
        <f>SUM(G71:G100)</f>
        <v>-0.2697438018302809</v>
      </c>
      <c r="H70" s="37">
        <f>SUM(H71:H100)</f>
        <v>-0.70853167892455904</v>
      </c>
      <c r="I70" s="37">
        <f t="shared" ref="I70:Q70" si="7">SUM(I71:I100)</f>
        <v>-0.76189336975146638</v>
      </c>
      <c r="J70" s="37">
        <f t="shared" si="7"/>
        <v>-0.84523495554865691</v>
      </c>
      <c r="K70" s="37">
        <f t="shared" si="7"/>
        <v>-1.2195455208159405</v>
      </c>
      <c r="L70" s="37">
        <f t="shared" si="7"/>
        <v>-1.3467973855884443</v>
      </c>
      <c r="M70" s="37">
        <f t="shared" si="7"/>
        <v>0.89723837761915526</v>
      </c>
      <c r="N70" s="37">
        <f t="shared" si="7"/>
        <v>0</v>
      </c>
      <c r="O70" s="37">
        <f t="shared" si="7"/>
        <v>0</v>
      </c>
      <c r="P70" s="37">
        <f t="shared" si="7"/>
        <v>0</v>
      </c>
      <c r="Q70" s="37">
        <f t="shared" si="7"/>
        <v>0</v>
      </c>
      <c r="R70" s="29"/>
      <c r="S70" s="100"/>
      <c r="T70" s="100"/>
      <c r="U70" s="100"/>
      <c r="V70" s="100"/>
      <c r="W70" s="100"/>
      <c r="X70" s="100"/>
      <c r="Y70" s="100"/>
      <c r="Z70" s="100"/>
      <c r="AA70" s="100"/>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hidden="1" outlineLevel="1">
      <c r="A71" s="9"/>
      <c r="B71" s="9"/>
      <c r="C71" s="46"/>
      <c r="D71" s="129" t="str">
        <f>Asset1</f>
        <v>Mains &amp; Services</v>
      </c>
      <c r="E71" s="9"/>
      <c r="F71" s="9"/>
      <c r="G71" s="193">
        <f>'Actual RAB roll forward'!G502</f>
        <v>0.10171540313863559</v>
      </c>
      <c r="H71" s="111">
        <f>'Actual RAB roll forward'!H502</f>
        <v>-0.21794858168937514</v>
      </c>
      <c r="I71" s="111">
        <f>'Actual RAB roll forward'!I502</f>
        <v>-0.18485474634787913</v>
      </c>
      <c r="J71" s="111">
        <f>'Actual RAB roll forward'!J502</f>
        <v>-0.15701148899373574</v>
      </c>
      <c r="K71" s="111">
        <f>'Actual RAB roll forward'!K502</f>
        <v>-0.42471851290965634</v>
      </c>
      <c r="L71" s="111">
        <f>'Actual RAB roll forward'!L502</f>
        <v>-0.50991553319459937</v>
      </c>
      <c r="M71" s="111">
        <f>'Actual RAB roll forward'!M502</f>
        <v>0.80632683968309959</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6"/>
      <c r="D72" s="129" t="str">
        <f>Asset2</f>
        <v>Meters</v>
      </c>
      <c r="E72" s="9"/>
      <c r="F72" s="9"/>
      <c r="G72" s="193">
        <f>'Actual RAB roll forward'!G503</f>
        <v>-0.37225618484226675</v>
      </c>
      <c r="H72" s="111">
        <f>'Actual RAB roll forward'!H503</f>
        <v>-0.51019746745640038</v>
      </c>
      <c r="I72" s="111">
        <f>'Actual RAB roll forward'!I503</f>
        <v>-0.53883641535467353</v>
      </c>
      <c r="J72" s="111">
        <f>'Actual RAB roll forward'!J503</f>
        <v>-0.57213491077532297</v>
      </c>
      <c r="K72" s="111">
        <f>'Actual RAB roll forward'!K503</f>
        <v>-0.64260141533605031</v>
      </c>
      <c r="L72" s="111">
        <f>'Actual RAB roll forward'!L503</f>
        <v>-0.67888952096919974</v>
      </c>
      <c r="M72" s="111">
        <f>'Actual RAB roll forward'!M503</f>
        <v>8.4360955333570506E-2</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6"/>
      <c r="D73" s="129" t="str">
        <f>Asset3</f>
        <v>Buildings</v>
      </c>
      <c r="E73" s="9"/>
      <c r="F73" s="9"/>
      <c r="G73" s="193">
        <f>'Actual RAB roll forward'!G504</f>
        <v>3.9061348024210224E-7</v>
      </c>
      <c r="H73" s="111">
        <f>'Actual RAB roll forward'!H504</f>
        <v>-1.1487878418923143E-5</v>
      </c>
      <c r="I73" s="111">
        <f>'Actual RAB roll forward'!I504</f>
        <v>7.4685341203876082E-21</v>
      </c>
      <c r="J73" s="111">
        <f>'Actual RAB roll forward'!J504</f>
        <v>8.1474917676956378E-21</v>
      </c>
      <c r="K73" s="111">
        <f>'Actual RAB roll forward'!K504</f>
        <v>5.4316611784636856E-21</v>
      </c>
      <c r="L73" s="111">
        <f>'Actual RAB roll forward'!L504</f>
        <v>4.7527035311557974E-21</v>
      </c>
      <c r="M73" s="111">
        <f>'Actual RAB roll forward'!M504</f>
        <v>8.8762170105512293E-21</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6"/>
      <c r="D74" s="129" t="str">
        <f>Asset4</f>
        <v>SCADA</v>
      </c>
      <c r="E74" s="9"/>
      <c r="F74" s="9"/>
      <c r="G74" s="193">
        <f>'Actual RAB roll forward'!G505</f>
        <v>0</v>
      </c>
      <c r="H74" s="111">
        <f>'Actual RAB roll forward'!H505</f>
        <v>0</v>
      </c>
      <c r="I74" s="111">
        <f>'Actual RAB roll forward'!I505</f>
        <v>-1.6463969631295425E-3</v>
      </c>
      <c r="J74" s="111">
        <f>'Actual RAB roll forward'!J505</f>
        <v>-3.5667274278282325E-3</v>
      </c>
      <c r="K74" s="111">
        <f>'Actual RAB roll forward'!K505</f>
        <v>-5.5536971523016303E-3</v>
      </c>
      <c r="L74" s="111">
        <f>'Actual RAB roll forward'!L505</f>
        <v>-7.684177685906032E-3</v>
      </c>
      <c r="M74" s="111">
        <f>'Actual RAB roll forward'!M505</f>
        <v>-4.40978881577054E-4</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6"/>
      <c r="D75" s="129" t="str">
        <f>Asset5</f>
        <v>Computer Equipment</v>
      </c>
      <c r="E75" s="9"/>
      <c r="F75" s="9"/>
      <c r="G75" s="193">
        <f>'Actual RAB roll forward'!G506</f>
        <v>0</v>
      </c>
      <c r="H75" s="111">
        <f>'Actual RAB roll forward'!H506</f>
        <v>0</v>
      </c>
      <c r="I75" s="111">
        <f>'Actual RAB roll forward'!I506</f>
        <v>-3.7670319872074656E-2</v>
      </c>
      <c r="J75" s="111">
        <f>'Actual RAB roll forward'!J506</f>
        <v>-0.11502782450905186</v>
      </c>
      <c r="K75" s="111">
        <f>'Actual RAB roll forward'!K506</f>
        <v>-0.14880895028045971</v>
      </c>
      <c r="L75" s="111">
        <f>'Actual RAB roll forward'!L506</f>
        <v>-0.15304133221424648</v>
      </c>
      <c r="M75" s="111">
        <f>'Actual RAB roll forward'!M506</f>
        <v>-2.5446443427885202E-3</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6"/>
      <c r="D76" s="129" t="str">
        <f>Asset6</f>
        <v>Other Assets</v>
      </c>
      <c r="E76" s="9"/>
      <c r="F76" s="9"/>
      <c r="G76" s="193">
        <f>'Actual RAB roll forward'!G507</f>
        <v>7.9658925987000453E-4</v>
      </c>
      <c r="H76" s="111">
        <f>'Actual RAB roll forward'!H507</f>
        <v>1.9625858099635379E-2</v>
      </c>
      <c r="I76" s="111">
        <f>'Actual RAB roll forward'!I507</f>
        <v>1.1145087862904973E-3</v>
      </c>
      <c r="J76" s="111">
        <f>'Actual RAB roll forward'!J507</f>
        <v>2.5059961572819747E-3</v>
      </c>
      <c r="K76" s="111">
        <f>'Actual RAB roll forward'!K507</f>
        <v>2.1370548625275466E-3</v>
      </c>
      <c r="L76" s="111">
        <f>'Actual RAB roll forward'!L507</f>
        <v>2.7331784755074565E-3</v>
      </c>
      <c r="M76" s="111">
        <f>'Actual RAB roll forward'!M507</f>
        <v>9.5362058268507501E-3</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ollapsed="1">
      <c r="A101" s="9"/>
      <c r="B101" s="9"/>
      <c r="C101" s="46"/>
      <c r="D101" s="129"/>
      <c r="E101" s="9"/>
      <c r="F101" s="9"/>
      <c r="G101" s="204"/>
      <c r="H101" s="111"/>
      <c r="I101" s="111"/>
      <c r="J101" s="111"/>
      <c r="K101" s="111"/>
      <c r="L101" s="111"/>
      <c r="M101" s="111"/>
      <c r="N101" s="100"/>
      <c r="O101" s="29"/>
      <c r="P101" s="29"/>
      <c r="Q101" s="29"/>
      <c r="R101" s="29"/>
      <c r="S101" s="100"/>
      <c r="T101" s="100"/>
      <c r="U101" s="100"/>
      <c r="V101" s="100"/>
      <c r="W101" s="100"/>
      <c r="X101" s="100"/>
      <c r="Y101" s="100"/>
      <c r="Z101" s="100"/>
      <c r="AA101" s="100"/>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ollapsed="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ollapsed="1">
      <c r="A165" s="9"/>
      <c r="B165" s="9"/>
      <c r="C165" s="46"/>
      <c r="D165" s="114"/>
      <c r="E165" s="9"/>
      <c r="F165" s="9"/>
      <c r="G165" s="204"/>
      <c r="H165" s="37"/>
      <c r="I165" s="37"/>
      <c r="J165" s="37"/>
      <c r="K165" s="37"/>
      <c r="L165" s="37"/>
      <c r="M165" s="37"/>
      <c r="N165" s="100"/>
      <c r="O165" s="29"/>
      <c r="P165" s="29"/>
      <c r="Q165" s="29"/>
      <c r="R165" s="29"/>
      <c r="S165" s="100"/>
      <c r="T165" s="100"/>
      <c r="U165" s="100"/>
      <c r="V165" s="100"/>
      <c r="W165" s="100"/>
      <c r="X165" s="100"/>
      <c r="Y165" s="100"/>
      <c r="Z165" s="100"/>
      <c r="AA165" s="100"/>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3"/>
      <c r="B198" s="73"/>
      <c r="C198" s="80" t="s">
        <v>47</v>
      </c>
      <c r="D198" s="158"/>
      <c r="E198" s="80"/>
      <c r="F198" s="80"/>
      <c r="G198" s="225">
        <f>SUM(G199:G228)</f>
        <v>34.832491213332318</v>
      </c>
      <c r="H198" s="157">
        <f>SUM(H199:H228)</f>
        <v>35.357457705252337</v>
      </c>
      <c r="I198" s="157">
        <f t="shared" ref="I198:Q198" si="8">SUM(I199:I228)</f>
        <v>35.720479880120521</v>
      </c>
      <c r="J198" s="157">
        <f t="shared" si="8"/>
        <v>36.144629181481491</v>
      </c>
      <c r="K198" s="157">
        <f t="shared" si="8"/>
        <v>36.678614341933724</v>
      </c>
      <c r="L198" s="157">
        <f t="shared" si="8"/>
        <v>37.541354712098546</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hidden="1" outlineLevel="1">
      <c r="A199" s="9"/>
      <c r="B199" s="12"/>
      <c r="C199" s="46"/>
      <c r="D199" s="129" t="str">
        <f>Asset1</f>
        <v>Mains &amp; Services</v>
      </c>
      <c r="E199" s="12"/>
      <c r="F199" s="12"/>
      <c r="G199" s="193">
        <f t="shared" ref="G199:G218" si="9">G7+G39+G71+G103+G135+G167</f>
        <v>30.137140599109127</v>
      </c>
      <c r="H199" s="156">
        <f t="shared" ref="H199:L208" si="10">H7+H39+H71</f>
        <v>30.836795865702328</v>
      </c>
      <c r="I199" s="156">
        <f t="shared" si="10"/>
        <v>31.506862671843706</v>
      </c>
      <c r="J199" s="156">
        <f t="shared" si="10"/>
        <v>32.348958091536645</v>
      </c>
      <c r="K199" s="156">
        <f t="shared" si="10"/>
        <v>33.003839455382128</v>
      </c>
      <c r="L199" s="156">
        <f t="shared" si="10"/>
        <v>33.737524672933034</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12"/>
      <c r="C200" s="46"/>
      <c r="D200" s="129" t="str">
        <f>Asset2</f>
        <v>Meters</v>
      </c>
      <c r="E200" s="12"/>
      <c r="F200" s="12"/>
      <c r="G200" s="193">
        <f t="shared" si="9"/>
        <v>4.7149649844444141</v>
      </c>
      <c r="H200" s="156">
        <f t="shared" si="10"/>
        <v>4.4601277398909867</v>
      </c>
      <c r="I200" s="156">
        <f t="shared" si="10"/>
        <v>4.1273408760207806</v>
      </c>
      <c r="J200" s="156">
        <f t="shared" si="10"/>
        <v>3.7717330755859493</v>
      </c>
      <c r="K200" s="156">
        <f t="shared" si="10"/>
        <v>3.6687992059768848</v>
      </c>
      <c r="L200" s="156">
        <f t="shared" si="10"/>
        <v>3.5297470850866319</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12"/>
      <c r="C201" s="46"/>
      <c r="D201" s="129" t="str">
        <f>Asset3</f>
        <v>Buildings</v>
      </c>
      <c r="E201" s="12"/>
      <c r="F201" s="12"/>
      <c r="G201" s="193">
        <f t="shared" si="9"/>
        <v>1.1487878418923489E-5</v>
      </c>
      <c r="H201" s="156">
        <f t="shared" si="10"/>
        <v>3.4558944247975454E-19</v>
      </c>
      <c r="I201" s="156">
        <f t="shared" si="10"/>
        <v>3.5305797660014215E-19</v>
      </c>
      <c r="J201" s="156">
        <f t="shared" si="10"/>
        <v>3.612054683678378E-19</v>
      </c>
      <c r="K201" s="156">
        <f t="shared" si="10"/>
        <v>3.6663712954630147E-19</v>
      </c>
      <c r="L201" s="156">
        <f t="shared" si="10"/>
        <v>3.7138983307745729E-19</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12"/>
      <c r="C202" s="46"/>
      <c r="D202" s="129" t="str">
        <f>Asset4</f>
        <v>SCADA</v>
      </c>
      <c r="E202" s="12"/>
      <c r="F202" s="12"/>
      <c r="G202" s="193">
        <f t="shared" si="9"/>
        <v>0</v>
      </c>
      <c r="H202" s="156">
        <f t="shared" si="10"/>
        <v>0</v>
      </c>
      <c r="I202" s="156">
        <f t="shared" si="10"/>
        <v>-1.6463969631295425E-3</v>
      </c>
      <c r="J202" s="156">
        <f t="shared" si="10"/>
        <v>-5.2131243909577752E-3</v>
      </c>
      <c r="K202" s="156">
        <f t="shared" si="10"/>
        <v>-1.0766821543259406E-2</v>
      </c>
      <c r="L202" s="156">
        <f t="shared" si="10"/>
        <v>-1.8450999229165439E-2</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12"/>
      <c r="C203" s="46"/>
      <c r="D203" s="129" t="str">
        <f>Asset5</f>
        <v>Computer Equipment</v>
      </c>
      <c r="E203" s="12"/>
      <c r="F203" s="12"/>
      <c r="G203" s="193">
        <f t="shared" si="9"/>
        <v>0</v>
      </c>
      <c r="H203" s="156">
        <f t="shared" si="10"/>
        <v>0</v>
      </c>
      <c r="I203" s="156">
        <f t="shared" si="10"/>
        <v>-3.7670319872074656E-2</v>
      </c>
      <c r="J203" s="156">
        <f t="shared" si="10"/>
        <v>-0.1526981443811265</v>
      </c>
      <c r="K203" s="156">
        <f t="shared" si="10"/>
        <v>-0.25702169765028016</v>
      </c>
      <c r="L203" s="156">
        <f t="shared" si="10"/>
        <v>-0.10647047459366193</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12"/>
      <c r="C204" s="46"/>
      <c r="D204" s="129" t="str">
        <f>Asset6</f>
        <v>Other Assets</v>
      </c>
      <c r="E204" s="12"/>
      <c r="F204" s="12"/>
      <c r="G204" s="193">
        <f t="shared" si="9"/>
        <v>-1.9625858099635376E-2</v>
      </c>
      <c r="H204" s="156">
        <f t="shared" si="10"/>
        <v>6.0534099659024426E-2</v>
      </c>
      <c r="I204" s="156">
        <f t="shared" si="10"/>
        <v>0.12559304909124444</v>
      </c>
      <c r="J204" s="156">
        <f t="shared" si="10"/>
        <v>0.18184928313098073</v>
      </c>
      <c r="K204" s="156">
        <f t="shared" si="10"/>
        <v>0.273764199768251</v>
      </c>
      <c r="L204" s="156">
        <f t="shared" si="10"/>
        <v>0.39900442790170504</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ollapsed="1">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2"/>
      <c r="C230" s="89" t="s">
        <v>36</v>
      </c>
      <c r="D230" s="12"/>
      <c r="E230" s="12"/>
      <c r="F230" s="12"/>
      <c r="G230" s="115"/>
      <c r="H230" s="117"/>
      <c r="I230" s="117"/>
      <c r="J230" s="117"/>
      <c r="K230" s="117"/>
      <c r="L230" s="117">
        <f t="shared" ref="L230:Q230" si="15">SUM(L231:L260)</f>
        <v>0.53229380453074937</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hidden="1" customHeight="1" outlineLevel="1">
      <c r="A231" s="9"/>
      <c r="B231" s="9"/>
      <c r="C231" s="9"/>
      <c r="D231" s="129" t="str">
        <f>Asset1</f>
        <v>Mains &amp; Services</v>
      </c>
      <c r="E231" s="9"/>
      <c r="F231" s="9"/>
      <c r="G231" s="9"/>
      <c r="H231" s="111"/>
      <c r="I231" s="111"/>
      <c r="J231" s="111"/>
      <c r="K231" s="111"/>
      <c r="L231" s="111">
        <f>IF(L$198&gt;0, IF(M$198=0, 'Adjustment for previous period'!$G76, 0), 0)</f>
        <v>0.42069399719491873</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hidden="1" customHeight="1" outlineLevel="1">
      <c r="A232" s="9"/>
      <c r="B232" s="9"/>
      <c r="C232" s="9"/>
      <c r="D232" s="129" t="str">
        <f>Asset2</f>
        <v>Meters</v>
      </c>
      <c r="E232" s="9"/>
      <c r="F232" s="9"/>
      <c r="G232" s="9"/>
      <c r="H232" s="111"/>
      <c r="I232" s="111"/>
      <c r="J232" s="111"/>
      <c r="K232" s="111"/>
      <c r="L232" s="111">
        <f>IF(L$198&gt;0, IF(M$198=0, 'Adjustment for previous period'!$G77, 0), 0)</f>
        <v>0.11486183441919845</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hidden="1"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hidden="1" customHeight="1" outlineLevel="1">
      <c r="A234" s="9"/>
      <c r="B234" s="9"/>
      <c r="C234" s="9"/>
      <c r="D234" s="129" t="str">
        <f>Asset4</f>
        <v>SCADA</v>
      </c>
      <c r="E234" s="9"/>
      <c r="F234" s="9"/>
      <c r="G234" s="9"/>
      <c r="H234" s="111"/>
      <c r="I234" s="111"/>
      <c r="J234" s="111"/>
      <c r="K234" s="111"/>
      <c r="L234" s="111">
        <f>IF(L$198&gt;0, IF(M$198=0, 'Adjustment for previous period'!$G79, 0), 0)</f>
        <v>0.02</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hidden="1" customHeight="1" outlineLevel="1">
      <c r="A235" s="9"/>
      <c r="B235" s="9"/>
      <c r="C235" s="9"/>
      <c r="D235" s="129" t="str">
        <f>Asset5</f>
        <v>Computer Equipment</v>
      </c>
      <c r="E235" s="9"/>
      <c r="F235" s="9"/>
      <c r="G235" s="9"/>
      <c r="H235" s="111"/>
      <c r="I235" s="111"/>
      <c r="J235" s="111"/>
      <c r="K235" s="111"/>
      <c r="L235" s="111">
        <f>IF(L$198&gt;0, IF(M$198=0, 'Adjustment for previous period'!$G80, 0), 0)</f>
        <v>0</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hidden="1" customHeight="1" outlineLevel="1">
      <c r="A236" s="9"/>
      <c r="B236" s="9"/>
      <c r="C236" s="9"/>
      <c r="D236" s="129" t="str">
        <f>Asset6</f>
        <v>Other Assets</v>
      </c>
      <c r="E236" s="9"/>
      <c r="F236" s="9"/>
      <c r="G236" s="9"/>
      <c r="H236" s="111"/>
      <c r="I236" s="111"/>
      <c r="J236" s="111"/>
      <c r="K236" s="111"/>
      <c r="L236" s="111">
        <f>IF(L$198&gt;0, IF(M$198=0, 'Adjustment for previous period'!$G81, 0), 0)</f>
        <v>-2.3262027083367776E-2</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hidden="1"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hidden="1"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hidden="1"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hidden="1"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hidden="1"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ht="12" hidden="1"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row>
    <row r="243" spans="1:64" ht="12" hidden="1"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hidden="1"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hidden="1"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hidden="1"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hidden="1"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hidden="1"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hidden="1"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hidden="1"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hidden="1"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hidden="1"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hidden="1"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hidden="1"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hidden="1"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hidden="1"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hidden="1"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hidden="1"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hidden="1"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hidden="1"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2"/>
      <c r="C262" s="89" t="s">
        <v>57</v>
      </c>
      <c r="D262" s="12"/>
      <c r="E262" s="12"/>
      <c r="F262" s="12"/>
      <c r="G262" s="115"/>
      <c r="H262" s="120"/>
      <c r="I262" s="120"/>
      <c r="J262" s="120"/>
      <c r="K262" s="120"/>
      <c r="L262" s="120">
        <f>SUM(L263:L292)</f>
        <v>0.20429709536559743</v>
      </c>
      <c r="M262" s="120">
        <f t="shared" ref="M262:Q262" si="16">SUM(M263:M292)</f>
        <v>0</v>
      </c>
      <c r="N262" s="120">
        <f t="shared" si="16"/>
        <v>0</v>
      </c>
      <c r="O262" s="120">
        <f t="shared" si="16"/>
        <v>0</v>
      </c>
      <c r="P262" s="120">
        <f t="shared" si="16"/>
        <v>0</v>
      </c>
      <c r="Q262" s="120">
        <f t="shared" si="16"/>
        <v>0</v>
      </c>
      <c r="R262" s="9"/>
      <c r="S262" s="12"/>
      <c r="T262" s="12"/>
      <c r="U262" s="12"/>
      <c r="V262" s="12"/>
      <c r="W262" s="12"/>
      <c r="X262" s="12"/>
      <c r="Y262" s="12"/>
      <c r="Z262" s="12"/>
      <c r="AA262" s="12"/>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hidden="1" customHeight="1" outlineLevel="1">
      <c r="A263" s="9"/>
      <c r="B263" s="9"/>
      <c r="C263" s="9"/>
      <c r="D263" s="129" t="str">
        <f>Asset1</f>
        <v>Mains &amp; Services</v>
      </c>
      <c r="E263" s="9"/>
      <c r="F263" s="9"/>
      <c r="G263" s="9"/>
      <c r="H263" s="111"/>
      <c r="I263" s="111"/>
      <c r="J263" s="111"/>
      <c r="K263" s="111"/>
      <c r="L263" s="111">
        <f>IF(M$198=0, 'Adjustment for previous period'!L109, 0)</f>
        <v>0.16146451627486441</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hidden="1" outlineLevel="1">
      <c r="A264" s="9"/>
      <c r="B264" s="9"/>
      <c r="C264" s="9"/>
      <c r="D264" s="129" t="str">
        <f>Asset2</f>
        <v>Meters</v>
      </c>
      <c r="E264" s="9"/>
      <c r="F264" s="9"/>
      <c r="G264" s="9"/>
      <c r="H264" s="111"/>
      <c r="I264" s="111"/>
      <c r="J264" s="111"/>
      <c r="K264" s="111"/>
      <c r="L264" s="111">
        <f>IF(M$198=0, 'Adjustment for previous period'!L111, 0)</f>
        <v>4.4084561834968471E-2</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hidden="1"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hidden="1" customHeight="1" outlineLevel="1">
      <c r="A266" s="9"/>
      <c r="B266" s="9"/>
      <c r="C266" s="9"/>
      <c r="D266" s="129" t="str">
        <f>Asset4</f>
        <v>SCADA</v>
      </c>
      <c r="E266" s="9"/>
      <c r="F266" s="9"/>
      <c r="G266" s="9"/>
      <c r="H266" s="111"/>
      <c r="I266" s="111"/>
      <c r="J266" s="111"/>
      <c r="K266" s="111"/>
      <c r="L266" s="111">
        <f>IF(M$198=0, 'Adjustment for previous period'!L115, 0)</f>
        <v>7.6761026946649581E-3</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hidden="1" customHeight="1" outlineLevel="1">
      <c r="A267" s="9"/>
      <c r="B267" s="9"/>
      <c r="C267" s="9"/>
      <c r="D267" s="129" t="str">
        <f>Asset5</f>
        <v>Computer Equipment</v>
      </c>
      <c r="E267" s="9"/>
      <c r="F267" s="9"/>
      <c r="G267" s="9"/>
      <c r="H267" s="111"/>
      <c r="I267" s="111"/>
      <c r="J267" s="111"/>
      <c r="K267" s="111"/>
      <c r="L267" s="111">
        <f>IF(M$198=0, 'Adjustment for previous period'!L117, 0)</f>
        <v>0</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idden="1" outlineLevel="1">
      <c r="A268" s="9"/>
      <c r="B268" s="9"/>
      <c r="C268" s="9"/>
      <c r="D268" s="129" t="str">
        <f>Asset6</f>
        <v>Other Assets</v>
      </c>
      <c r="E268" s="9"/>
      <c r="F268" s="9"/>
      <c r="G268" s="9"/>
      <c r="H268" s="111"/>
      <c r="I268" s="111"/>
      <c r="J268" s="111"/>
      <c r="K268" s="111"/>
      <c r="L268" s="111">
        <f>IF(M$198=0, 'Adjustment for previous period'!L119, 0)</f>
        <v>-8.9280854389004304E-3</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idden="1"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hidden="1"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hidden="1"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3">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3">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3">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3">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3">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3">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3">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3">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3">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3">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3">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38.27794561199488</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tr">
        <f>Asset1</f>
        <v>Mains &amp; Services</v>
      </c>
      <c r="E359" s="9"/>
      <c r="F359" s="9"/>
      <c r="G359" s="9"/>
      <c r="H359" s="9"/>
      <c r="I359" s="9"/>
      <c r="J359" s="9"/>
      <c r="K359" s="9"/>
      <c r="L359" s="37">
        <f t="shared" ref="L359:Q359" si="19">IF(M$198=0, L199+L231+L263+L295+L327, 0)</f>
        <v>34.319683186402813</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tr">
        <f>Asset2</f>
        <v>Meters</v>
      </c>
      <c r="E360" s="9"/>
      <c r="F360" s="9"/>
      <c r="G360" s="9"/>
      <c r="H360" s="9"/>
      <c r="I360" s="9"/>
      <c r="J360" s="9"/>
      <c r="K360" s="9"/>
      <c r="L360" s="37">
        <f t="shared" ref="L360:Q369" si="20">IF(M$198=0, L200+L232+L264+L296+L328, 0)</f>
        <v>3.688693481340799</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tr">
        <f>Asset3</f>
        <v>Buildings</v>
      </c>
      <c r="E361" s="9"/>
      <c r="F361" s="9"/>
      <c r="G361" s="9"/>
      <c r="H361" s="9"/>
      <c r="I361" s="9"/>
      <c r="J361" s="9"/>
      <c r="K361" s="9"/>
      <c r="L361" s="37">
        <f t="shared" si="20"/>
        <v>3.7138983307745729E-19</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tr">
        <f>Asset4</f>
        <v>SCADA</v>
      </c>
      <c r="E362" s="9"/>
      <c r="F362" s="9"/>
      <c r="G362" s="9"/>
      <c r="H362" s="9"/>
      <c r="I362" s="9"/>
      <c r="J362" s="9"/>
      <c r="K362" s="9"/>
      <c r="L362" s="37">
        <f t="shared" si="20"/>
        <v>9.2251034654995193E-3</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tr">
        <f>Asset5</f>
        <v>Computer Equipment</v>
      </c>
      <c r="E363" s="9"/>
      <c r="F363" s="9"/>
      <c r="G363" s="9"/>
      <c r="H363" s="9"/>
      <c r="I363" s="9"/>
      <c r="J363" s="9"/>
      <c r="K363" s="9"/>
      <c r="L363" s="37">
        <f t="shared" si="20"/>
        <v>-0.10647047459366193</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tr">
        <f>Asset6</f>
        <v>Other Assets</v>
      </c>
      <c r="E364" s="9"/>
      <c r="F364" s="9"/>
      <c r="G364" s="9"/>
      <c r="H364" s="9"/>
      <c r="I364" s="9"/>
      <c r="J364" s="9"/>
      <c r="K364" s="9"/>
      <c r="L364" s="37">
        <f t="shared" si="20"/>
        <v>0.36681431537943682</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workbookViewId="0"/>
  </sheetViews>
  <sheetFormatPr defaultRowHeight="12.75" outlineLevelRow="1"/>
  <cols>
    <col min="1" max="1" width="4.140625" style="260" customWidth="1"/>
    <col min="2" max="2" width="25.42578125" style="260" customWidth="1"/>
    <col min="3" max="3" width="12" style="260" customWidth="1"/>
    <col min="4" max="4" width="5.42578125" style="260" customWidth="1"/>
    <col min="5" max="5" width="18.140625" style="294" customWidth="1"/>
    <col min="6" max="6" width="21" style="294" customWidth="1"/>
    <col min="7" max="7" width="4.140625" style="295" customWidth="1"/>
    <col min="8" max="8" width="6.85546875" style="296" customWidth="1"/>
    <col min="9" max="9" width="6.85546875" style="289" customWidth="1"/>
    <col min="10" max="10" width="16.140625" style="296" customWidth="1"/>
    <col min="11" max="11" width="24.5703125" style="289" customWidth="1"/>
    <col min="12" max="12" width="9.140625" style="283" customWidth="1"/>
    <col min="13" max="16384" width="9.140625" style="260"/>
  </cols>
  <sheetData>
    <row r="1" spans="1:26">
      <c r="A1" s="259"/>
      <c r="B1" s="259"/>
      <c r="C1" s="259"/>
      <c r="D1" s="259"/>
      <c r="E1" s="309"/>
      <c r="F1" s="309"/>
      <c r="G1" s="259"/>
      <c r="H1" s="259"/>
      <c r="I1" s="259"/>
      <c r="J1" s="309"/>
      <c r="K1" s="309"/>
      <c r="L1" s="259"/>
      <c r="M1" s="259"/>
      <c r="N1" s="259"/>
      <c r="O1" s="259"/>
      <c r="P1" s="259"/>
      <c r="Q1" s="259"/>
      <c r="R1" s="259"/>
      <c r="S1" s="259"/>
      <c r="T1" s="259"/>
      <c r="U1" s="259"/>
      <c r="V1" s="259"/>
      <c r="W1" s="259"/>
      <c r="X1" s="259"/>
      <c r="Y1" s="259"/>
      <c r="Z1" s="259"/>
    </row>
    <row r="2" spans="1:26" ht="15.75">
      <c r="A2" s="259"/>
      <c r="B2" s="261" t="str">
        <f>"Average Remaining Asset Lives Roll Forward - RFM "&amp;Intro!K4</f>
        <v xml:space="preserve">Average Remaining Asset Lives Roll Forward - RFM Date: </v>
      </c>
      <c r="C2" s="259"/>
      <c r="D2" s="259"/>
      <c r="E2" s="259"/>
      <c r="F2" s="259"/>
      <c r="G2" s="259"/>
      <c r="H2" s="259"/>
      <c r="I2" s="259"/>
      <c r="J2" s="309"/>
      <c r="K2" s="309"/>
      <c r="L2" s="259"/>
      <c r="M2" s="259"/>
      <c r="N2" s="259"/>
      <c r="O2" s="259"/>
      <c r="P2" s="259"/>
      <c r="Q2" s="259"/>
      <c r="R2" s="259"/>
      <c r="S2" s="259"/>
      <c r="T2" s="259"/>
      <c r="U2" s="259"/>
      <c r="V2" s="259"/>
      <c r="W2" s="259"/>
      <c r="X2" s="259"/>
      <c r="Y2" s="259"/>
      <c r="Z2" s="259"/>
    </row>
    <row r="3" spans="1:26">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row>
    <row r="4" spans="1:26" ht="16.5" customHeight="1">
      <c r="A4" s="262"/>
      <c r="B4" s="263"/>
      <c r="C4" s="262"/>
      <c r="D4" s="262"/>
      <c r="E4" s="262"/>
      <c r="F4" s="262"/>
      <c r="G4" s="264"/>
      <c r="H4" s="264"/>
      <c r="I4" s="264"/>
      <c r="J4" s="264"/>
      <c r="K4" s="264"/>
      <c r="L4" s="264"/>
      <c r="M4" s="264"/>
      <c r="N4" s="264"/>
      <c r="O4" s="264"/>
      <c r="P4" s="264"/>
      <c r="Q4" s="264"/>
      <c r="R4" s="264"/>
      <c r="S4" s="259"/>
      <c r="T4" s="259"/>
      <c r="U4" s="259"/>
      <c r="V4" s="259"/>
      <c r="W4" s="259"/>
      <c r="X4" s="259"/>
      <c r="Y4" s="259"/>
      <c r="Z4" s="259"/>
    </row>
    <row r="5" spans="1:26">
      <c r="A5" s="265"/>
      <c r="B5" s="266" t="s">
        <v>110</v>
      </c>
      <c r="C5" s="265"/>
      <c r="D5" s="265"/>
      <c r="E5" s="267" t="str">
        <f>"($m Real "&amp;'Tax value roll forward'!G4&amp;")"</f>
        <v>($m Real 2012)</v>
      </c>
      <c r="F5" s="267" t="s">
        <v>111</v>
      </c>
      <c r="G5" s="268"/>
      <c r="H5" s="267"/>
      <c r="I5" s="267"/>
      <c r="J5" s="267" t="s">
        <v>112</v>
      </c>
      <c r="K5" s="267" t="s">
        <v>111</v>
      </c>
      <c r="L5" s="265"/>
      <c r="M5" s="265"/>
      <c r="N5" s="265"/>
      <c r="O5" s="265"/>
      <c r="P5" s="265"/>
      <c r="Q5" s="265"/>
      <c r="R5" s="265"/>
      <c r="S5" s="259"/>
      <c r="T5" s="259"/>
      <c r="U5" s="259"/>
      <c r="V5" s="259"/>
      <c r="W5" s="259"/>
      <c r="X5" s="259"/>
      <c r="Y5" s="259"/>
      <c r="Z5" s="259"/>
    </row>
    <row r="6" spans="1:26" s="274" customFormat="1" ht="12.75" customHeight="1">
      <c r="A6" s="269"/>
      <c r="B6" s="269"/>
      <c r="C6" s="269"/>
      <c r="D6" s="270"/>
      <c r="E6" s="271" t="s">
        <v>113</v>
      </c>
      <c r="F6" s="271" t="s">
        <v>114</v>
      </c>
      <c r="G6" s="269"/>
      <c r="H6" s="272"/>
      <c r="I6" s="272"/>
      <c r="J6" s="273" t="s">
        <v>115</v>
      </c>
      <c r="K6" s="271" t="s">
        <v>116</v>
      </c>
      <c r="L6" s="269"/>
      <c r="M6" s="310"/>
      <c r="N6" s="310"/>
      <c r="O6" s="269"/>
      <c r="P6" s="269"/>
      <c r="Q6" s="269"/>
      <c r="R6" s="269"/>
      <c r="S6" s="259"/>
      <c r="T6" s="259"/>
      <c r="U6" s="259"/>
      <c r="V6" s="259"/>
      <c r="W6" s="259"/>
      <c r="X6" s="259"/>
      <c r="Y6" s="259"/>
      <c r="Z6" s="259"/>
    </row>
    <row r="7" spans="1:26" s="274" customFormat="1" outlineLevel="1">
      <c r="A7" s="269"/>
      <c r="B7" s="275" t="str">
        <f>Asset1</f>
        <v>Mains &amp; Services</v>
      </c>
      <c r="C7" s="269"/>
      <c r="D7" s="269"/>
      <c r="E7" s="271"/>
      <c r="F7" s="271"/>
      <c r="G7" s="269"/>
      <c r="H7" s="272"/>
      <c r="I7" s="272"/>
      <c r="J7" s="272"/>
      <c r="L7" s="269"/>
      <c r="M7" s="310"/>
      <c r="N7" s="310"/>
      <c r="O7" s="327" t="s">
        <v>129</v>
      </c>
      <c r="P7" s="328" t="s">
        <v>130</v>
      </c>
      <c r="Q7" s="329"/>
      <c r="R7" s="269"/>
      <c r="S7" s="259"/>
      <c r="T7" s="259"/>
      <c r="U7" s="259"/>
      <c r="V7" s="259"/>
      <c r="W7" s="259"/>
      <c r="X7" s="259"/>
      <c r="Y7" s="259"/>
      <c r="Z7" s="259"/>
    </row>
    <row r="8" spans="1:26" ht="12.75" customHeight="1" outlineLevel="1">
      <c r="A8" s="272"/>
      <c r="B8" s="272"/>
      <c r="C8" s="626" t="s">
        <v>28</v>
      </c>
      <c r="D8" s="627"/>
      <c r="E8" s="276">
        <f ca="1">A1value-SUM('Actual RAB roll forward'!H44:OFFSET('Actual RAB roll forward'!H44,0,Input!$W$7-1))</f>
        <v>26.108380793076812</v>
      </c>
      <c r="F8" s="276">
        <f ca="1">IF(A1remlife="N/A","n/a",IF(E8=0,0,A1remlife-Input!$W$7))</f>
        <v>32.402503561994926</v>
      </c>
      <c r="G8" s="277"/>
      <c r="H8" s="278" t="s">
        <v>67</v>
      </c>
      <c r="I8" s="279"/>
      <c r="J8" s="311">
        <f ca="1">A1taxvalue-SUM('Tax value roll forward'!G72:OFFSET('Tax value roll forward'!G72,0,Input!$W$7))</f>
        <v>0</v>
      </c>
      <c r="K8" s="323">
        <f ca="1">IF(A1taxremlife="N/A","n/a",IF(J8=0,0,A1taxremlife-Input!$W$7-1))</f>
        <v>0</v>
      </c>
      <c r="L8" s="272"/>
      <c r="M8" s="312"/>
      <c r="N8" s="333"/>
      <c r="O8" s="112"/>
      <c r="P8" s="112">
        <f ca="1">E8/F8</f>
        <v>0.80575196120646286</v>
      </c>
      <c r="Q8" s="112"/>
      <c r="R8" s="112"/>
      <c r="S8" s="259"/>
      <c r="T8" s="259"/>
      <c r="U8" s="259"/>
      <c r="V8" s="259"/>
      <c r="W8" s="259"/>
      <c r="X8" s="259"/>
      <c r="Y8" s="259"/>
      <c r="Z8" s="259"/>
    </row>
    <row r="9" spans="1:26" ht="12.75" customHeight="1" outlineLevel="1">
      <c r="A9" s="272"/>
      <c r="B9" s="272"/>
      <c r="C9" s="628" t="s">
        <v>84</v>
      </c>
      <c r="D9" s="322">
        <v>0</v>
      </c>
      <c r="E9" s="276"/>
      <c r="F9" s="276"/>
      <c r="G9" s="277"/>
      <c r="H9" s="628" t="s">
        <v>84</v>
      </c>
      <c r="I9" s="322">
        <v>0</v>
      </c>
      <c r="J9" s="323">
        <f ca="1">OFFSET('Tax value roll forward'!G$40,0,I9)-SUM('Tax value roll forward'!G74:OFFSET('Tax value roll forward'!G74,0,Input!$W$7))</f>
        <v>0</v>
      </c>
      <c r="K9" s="323">
        <f ca="1">IF(A1taxstdlife="N/A","n/a",IF(J9=0,0,A1taxstdlife+I9-Input!$W$7))</f>
        <v>0</v>
      </c>
      <c r="L9" s="280"/>
      <c r="M9" s="310"/>
      <c r="N9" s="334"/>
      <c r="O9" s="112"/>
      <c r="P9" s="112"/>
      <c r="Q9" s="112"/>
      <c r="R9" s="112"/>
      <c r="S9" s="259"/>
      <c r="T9" s="259"/>
      <c r="U9" s="259"/>
      <c r="V9" s="259"/>
      <c r="W9" s="259"/>
      <c r="X9" s="259"/>
      <c r="Y9" s="259"/>
      <c r="Z9" s="259"/>
    </row>
    <row r="10" spans="1:26" ht="12.75" customHeight="1" outlineLevel="1">
      <c r="A10" s="272"/>
      <c r="B10" s="272"/>
      <c r="C10" s="629"/>
      <c r="D10" s="281">
        <v>1</v>
      </c>
      <c r="E10" s="276">
        <f ca="1">OFFSET('Actual RAB roll forward'!H$12,0,D10-1)-SUM('Actual RAB roll forward'!H46:OFFSET('Actual RAB roll forward'!H46,0,Input!$W$7-1))</f>
        <v>0.85502155574631089</v>
      </c>
      <c r="F10" s="276">
        <f ca="1">IF(A1stdlife="N/A","n/a",IF(E10=0,0,A1stdlife+D10-Input!$W$7))</f>
        <v>56</v>
      </c>
      <c r="G10" s="277"/>
      <c r="H10" s="631"/>
      <c r="I10" s="281">
        <v>1</v>
      </c>
      <c r="J10" s="311">
        <f ca="1">OFFSET('Tax value roll forward'!G$40,0,I10)-SUM('Tax value roll forward'!G75:OFFSET('Tax value roll forward'!G75,0,Input!$W$7))</f>
        <v>0</v>
      </c>
      <c r="K10" s="311">
        <f ca="1">IF(A1taxstdlife="N/A","n/a",IF(J10=0,0,A1taxstdlife+I10-Input!$W$7))</f>
        <v>0</v>
      </c>
      <c r="L10" s="280"/>
      <c r="M10" s="310"/>
      <c r="N10" s="334"/>
      <c r="O10" s="112"/>
      <c r="P10" s="112">
        <f ca="1">E10/F10</f>
        <v>1.5268242066898408E-2</v>
      </c>
      <c r="Q10" s="112"/>
      <c r="R10" s="112"/>
      <c r="S10" s="259"/>
      <c r="T10" s="259"/>
      <c r="U10" s="259"/>
      <c r="V10" s="259"/>
      <c r="W10" s="259"/>
      <c r="X10" s="259"/>
      <c r="Y10" s="259"/>
      <c r="Z10" s="259"/>
    </row>
    <row r="11" spans="1:26" outlineLevel="1">
      <c r="A11" s="272"/>
      <c r="B11" s="272"/>
      <c r="C11" s="629"/>
      <c r="D11" s="281">
        <v>2</v>
      </c>
      <c r="E11" s="276">
        <f ca="1">OFFSET('Actual RAB roll forward'!H$12,0,D11-1)-SUM('Actual RAB roll forward'!H47:OFFSET('Actual RAB roll forward'!H47,0,Input!$W$7-1))</f>
        <v>0.78331003998441873</v>
      </c>
      <c r="F11" s="276">
        <f ca="1">IF(A1stdlife="N/A","n/a",IF(E11=0,0,A1stdlife+D11-Input!$W$7))</f>
        <v>57</v>
      </c>
      <c r="G11" s="277"/>
      <c r="H11" s="631"/>
      <c r="I11" s="281">
        <v>2</v>
      </c>
      <c r="J11" s="311">
        <f ca="1">OFFSET('Tax value roll forward'!G$40,0,I11)-SUM('Tax value roll forward'!G76:OFFSET('Tax value roll forward'!G76,0,Input!$W$7))</f>
        <v>0</v>
      </c>
      <c r="K11" s="311">
        <f ca="1">IF(A1taxstdlife="N/A","n/a",IF(J11=0,0,A1taxstdlife+I11-Input!$W$7))</f>
        <v>0</v>
      </c>
      <c r="L11" s="280"/>
      <c r="M11" s="310"/>
      <c r="N11" s="334"/>
      <c r="O11" s="112"/>
      <c r="P11" s="112">
        <f t="shared" ref="P11:P14" ca="1" si="0">E11/F11</f>
        <v>1.3742281403235416E-2</v>
      </c>
      <c r="Q11" s="112"/>
      <c r="R11" s="112"/>
      <c r="S11" s="259"/>
      <c r="T11" s="259"/>
      <c r="U11" s="259"/>
      <c r="V11" s="259"/>
      <c r="W11" s="259"/>
      <c r="X11" s="259"/>
      <c r="Y11" s="259"/>
      <c r="Z11" s="259"/>
    </row>
    <row r="12" spans="1:26" outlineLevel="1">
      <c r="A12" s="272"/>
      <c r="B12" s="272"/>
      <c r="C12" s="629"/>
      <c r="D12" s="281">
        <v>3</v>
      </c>
      <c r="E12" s="276">
        <f ca="1">OFFSET('Actual RAB roll forward'!H$12,0,D12-1)-SUM('Actual RAB roll forward'!H48:OFFSET('Actual RAB roll forward'!H48,0,Input!$W$7-1))</f>
        <v>0.91166208060361298</v>
      </c>
      <c r="F12" s="276">
        <f ca="1">IF(A1stdlife="N/A","n/a",IF(E12=0,0,A1stdlife+D12-Input!$W$7))</f>
        <v>58</v>
      </c>
      <c r="G12" s="277"/>
      <c r="H12" s="631"/>
      <c r="I12" s="281">
        <v>3</v>
      </c>
      <c r="J12" s="311">
        <f ca="1">OFFSET('Tax value roll forward'!G$40,0,I12)-SUM('Tax value roll forward'!G77:OFFSET('Tax value roll forward'!G77,0,Input!$W$7))</f>
        <v>0</v>
      </c>
      <c r="K12" s="311">
        <f ca="1">IF(A1taxstdlife="N/A","n/a",IF(J12=0,0,A1taxstdlife+I12-Input!$W$7))</f>
        <v>0</v>
      </c>
      <c r="L12" s="280"/>
      <c r="M12" s="310"/>
      <c r="N12" s="334"/>
      <c r="O12" s="112"/>
      <c r="P12" s="112">
        <f t="shared" ca="1" si="0"/>
        <v>1.5718311734545052E-2</v>
      </c>
      <c r="Q12" s="112"/>
      <c r="R12" s="112"/>
      <c r="S12" s="259"/>
      <c r="T12" s="259"/>
      <c r="U12" s="259"/>
      <c r="V12" s="259"/>
      <c r="W12" s="259"/>
      <c r="X12" s="259"/>
      <c r="Y12" s="259"/>
      <c r="Z12" s="259"/>
    </row>
    <row r="13" spans="1:26" outlineLevel="1">
      <c r="A13" s="272"/>
      <c r="B13" s="272"/>
      <c r="C13" s="629"/>
      <c r="D13" s="281">
        <v>4</v>
      </c>
      <c r="E13" s="276">
        <f ca="1">OFFSET('Actual RAB roll forward'!H$12,0,D13-1)-SUM('Actual RAB roll forward'!H49:OFFSET('Actual RAB roll forward'!H49,0,Input!$W$7-1))</f>
        <v>0.98416307569227546</v>
      </c>
      <c r="F13" s="276">
        <f ca="1">IF(A1stdlife="N/A","n/a",IF(E13=0,0,A1stdlife+D13-Input!$W$7))</f>
        <v>59</v>
      </c>
      <c r="G13" s="277"/>
      <c r="H13" s="631"/>
      <c r="I13" s="281">
        <v>4</v>
      </c>
      <c r="J13" s="311">
        <f ca="1">OFFSET('Tax value roll forward'!G$40,0,I13)-SUM('Tax value roll forward'!G78:OFFSET('Tax value roll forward'!G78,0,Input!$W$7))</f>
        <v>0</v>
      </c>
      <c r="K13" s="311">
        <f ca="1">IF(A1taxstdlife="N/A","n/a",IF(J13=0,0,A1taxstdlife+I13-Input!$W$7))</f>
        <v>0</v>
      </c>
      <c r="L13" s="280"/>
      <c r="M13" s="310"/>
      <c r="N13" s="334"/>
      <c r="O13" s="112"/>
      <c r="P13" s="112">
        <f t="shared" ca="1" si="0"/>
        <v>1.6680730096479246E-2</v>
      </c>
      <c r="Q13" s="112"/>
      <c r="R13" s="112"/>
      <c r="S13" s="259"/>
      <c r="T13" s="259"/>
      <c r="U13" s="259"/>
      <c r="V13" s="259"/>
      <c r="W13" s="259"/>
      <c r="X13" s="259"/>
      <c r="Y13" s="259"/>
      <c r="Z13" s="259"/>
    </row>
    <row r="14" spans="1:26" outlineLevel="1">
      <c r="A14" s="272"/>
      <c r="B14" s="272"/>
      <c r="C14" s="629"/>
      <c r="D14" s="281">
        <v>5</v>
      </c>
      <c r="E14" s="276">
        <f ca="1">OFFSET('Actual RAB roll forward'!H$12,0,D14-1)-SUM('Actual RAB roll forward'!H50:OFFSET('Actual RAB roll forward'!H50,0,Input!$W$7-1))</f>
        <v>1.1344730797477274</v>
      </c>
      <c r="F14" s="276">
        <f ca="1">IF(A1stdlife="N/A","n/a",IF(E14=0,0,A1stdlife+D14-Input!$W$7))</f>
        <v>60</v>
      </c>
      <c r="G14" s="277"/>
      <c r="H14" s="631"/>
      <c r="I14" s="281">
        <v>5</v>
      </c>
      <c r="J14" s="311">
        <f ca="1">OFFSET('Tax value roll forward'!G$40,0,I14)-SUM('Tax value roll forward'!G79:OFFSET('Tax value roll forward'!G79,0,Input!$W$7))</f>
        <v>1.2071615015395565</v>
      </c>
      <c r="K14" s="311">
        <f ca="1">IF(A1taxstdlife="N/A","n/a",IF(J14=0,0,A1taxstdlife+I14-Input!$W$7))</f>
        <v>0</v>
      </c>
      <c r="L14" s="280"/>
      <c r="M14" s="310"/>
      <c r="N14" s="334"/>
      <c r="O14" s="112"/>
      <c r="P14" s="112">
        <f t="shared" ca="1" si="0"/>
        <v>1.8907884662462123E-2</v>
      </c>
      <c r="Q14" s="112"/>
      <c r="R14" s="112"/>
      <c r="S14" s="259"/>
      <c r="T14" s="259"/>
      <c r="U14" s="259"/>
      <c r="V14" s="259"/>
      <c r="W14" s="259"/>
      <c r="X14" s="259"/>
      <c r="Y14" s="259"/>
      <c r="Z14" s="259"/>
    </row>
    <row r="15" spans="1:26" outlineLevel="1">
      <c r="A15" s="272"/>
      <c r="B15" s="272"/>
      <c r="C15" s="629"/>
      <c r="D15" s="281">
        <v>6</v>
      </c>
      <c r="E15" s="276">
        <f ca="1">OFFSET('Actual RAB roll forward'!H$12,0,D15-1)-SUM('Actual RAB roll forward'!H51:OFFSET('Actual RAB roll forward'!H51,0,Input!$W$7-1))</f>
        <v>0</v>
      </c>
      <c r="F15" s="276">
        <f ca="1">IF(A1stdlife="N/A","n/a",IF(E15=0,0,A1stdlife+D15-Input!$W$7))</f>
        <v>0</v>
      </c>
      <c r="G15" s="277"/>
      <c r="H15" s="631"/>
      <c r="I15" s="281">
        <v>6</v>
      </c>
      <c r="J15" s="311">
        <f ca="1">OFFSET('Tax value roll forward'!G$40,0,I15)-SUM('Tax value roll forward'!G80:OFFSET('Tax value roll forward'!G80,0,Input!$W$7))</f>
        <v>0</v>
      </c>
      <c r="K15" s="311">
        <f ca="1">IF(A1taxstdlife="N/A","n/a",IF(J15=0,0,A1taxstdlife+I15-Input!$W$7))</f>
        <v>0</v>
      </c>
      <c r="L15" s="280"/>
      <c r="M15" s="310"/>
      <c r="N15" s="334"/>
      <c r="O15" s="112"/>
      <c r="P15" s="112"/>
      <c r="Q15" s="112"/>
      <c r="R15" s="112"/>
      <c r="S15" s="259"/>
      <c r="T15" s="259"/>
      <c r="U15" s="259"/>
      <c r="V15" s="259"/>
      <c r="W15" s="259"/>
      <c r="X15" s="259"/>
      <c r="Y15" s="259"/>
      <c r="Z15" s="259"/>
    </row>
    <row r="16" spans="1:26" outlineLevel="1">
      <c r="A16" s="272"/>
      <c r="B16" s="272"/>
      <c r="C16" s="629"/>
      <c r="D16" s="281">
        <v>7</v>
      </c>
      <c r="E16" s="276">
        <f ca="1">OFFSET('Actual RAB roll forward'!H$12,0,D16-1)-SUM('Actual RAB roll forward'!H52:OFFSET('Actual RAB roll forward'!H52,0,Input!$W$7-1))</f>
        <v>0</v>
      </c>
      <c r="F16" s="276">
        <f ca="1">IF(A1stdlife="N/A","n/a",IF(E16=0,0,A1stdlife+D16-Input!$W$7))</f>
        <v>0</v>
      </c>
      <c r="G16" s="277"/>
      <c r="H16" s="631"/>
      <c r="I16" s="281">
        <v>7</v>
      </c>
      <c r="J16" s="311">
        <f ca="1">OFFSET('Tax value roll forward'!G$40,0,I16)-SUM('Tax value roll forward'!G81:OFFSET('Tax value roll forward'!G81,0,Input!$W$7))</f>
        <v>0</v>
      </c>
      <c r="K16" s="311">
        <f ca="1">IF(A1taxstdlife="N/A","n/a",IF(J16=0,0,A1taxstdlife+I16-Input!$W$7))</f>
        <v>0</v>
      </c>
      <c r="L16" s="280"/>
      <c r="M16" s="310"/>
      <c r="N16" s="334"/>
      <c r="O16" s="112"/>
      <c r="P16" s="112"/>
      <c r="Q16" s="112"/>
      <c r="R16" s="112"/>
      <c r="S16" s="259"/>
      <c r="T16" s="259"/>
      <c r="U16" s="259"/>
      <c r="V16" s="259"/>
      <c r="W16" s="259"/>
      <c r="X16" s="259"/>
      <c r="Y16" s="259"/>
      <c r="Z16" s="259"/>
    </row>
    <row r="17" spans="1:26" outlineLevel="1">
      <c r="A17" s="272"/>
      <c r="B17" s="272"/>
      <c r="C17" s="629"/>
      <c r="D17" s="281">
        <v>8</v>
      </c>
      <c r="E17" s="276">
        <f ca="1">OFFSET('Actual RAB roll forward'!H$12,0,D17-1)-SUM('Actual RAB roll forward'!H53:OFFSET('Actual RAB roll forward'!H53,0,Input!$W$7-1))</f>
        <v>0</v>
      </c>
      <c r="F17" s="276">
        <f ca="1">IF(A1stdlife="N/A","n/a",IF(E17=0,0,A1stdlife+D17-Input!$W$7))</f>
        <v>0</v>
      </c>
      <c r="G17" s="277"/>
      <c r="H17" s="631"/>
      <c r="I17" s="281">
        <v>8</v>
      </c>
      <c r="J17" s="311">
        <f ca="1">OFFSET('Tax value roll forward'!G$40,0,I17)-SUM('Tax value roll forward'!G82:OFFSET('Tax value roll forward'!G82,0,Input!$W$7))</f>
        <v>0</v>
      </c>
      <c r="K17" s="311">
        <f ca="1">IF(A1taxstdlife="N/A","n/a",IF(J17=0,0,A1taxstdlife+I17-Input!$W$7))</f>
        <v>0</v>
      </c>
      <c r="L17" s="280"/>
      <c r="M17" s="310"/>
      <c r="N17" s="334"/>
      <c r="O17" s="112"/>
      <c r="P17" s="112"/>
      <c r="Q17" s="112"/>
      <c r="R17" s="112"/>
      <c r="S17" s="259"/>
      <c r="T17" s="259"/>
      <c r="U17" s="259"/>
      <c r="V17" s="259"/>
      <c r="W17" s="259"/>
      <c r="X17" s="259"/>
      <c r="Y17" s="259"/>
      <c r="Z17" s="259"/>
    </row>
    <row r="18" spans="1:26" outlineLevel="1">
      <c r="A18" s="272"/>
      <c r="B18" s="272"/>
      <c r="C18" s="629"/>
      <c r="D18" s="281">
        <v>9</v>
      </c>
      <c r="E18" s="276">
        <f ca="1">OFFSET('Actual RAB roll forward'!H$12,0,D18-1)-SUM('Actual RAB roll forward'!H54:OFFSET('Actual RAB roll forward'!H54,0,Input!$W$7-1))</f>
        <v>0</v>
      </c>
      <c r="F18" s="276">
        <f ca="1">IF(A1stdlife="N/A","n/a",IF(E18=0,0,A1stdlife+D18-Input!$W$7))</f>
        <v>0</v>
      </c>
      <c r="G18" s="277"/>
      <c r="H18" s="631"/>
      <c r="I18" s="281">
        <v>9</v>
      </c>
      <c r="J18" s="311">
        <f ca="1">OFFSET('Tax value roll forward'!G$40,0,I18)-SUM('Tax value roll forward'!G83:OFFSET('Tax value roll forward'!G83,0,Input!$W$7))</f>
        <v>0</v>
      </c>
      <c r="K18" s="311">
        <f ca="1">IF(A1taxstdlife="N/A","n/a",IF(J18=0,0,A1taxstdlife+I18-Input!$W$7))</f>
        <v>0</v>
      </c>
      <c r="L18" s="280"/>
      <c r="M18" s="310"/>
      <c r="N18" s="334"/>
      <c r="O18" s="112"/>
      <c r="P18" s="112"/>
      <c r="Q18" s="112"/>
      <c r="R18" s="112"/>
      <c r="S18" s="259"/>
      <c r="T18" s="259"/>
      <c r="U18" s="259"/>
      <c r="V18" s="331" t="s">
        <v>132</v>
      </c>
      <c r="W18" s="259"/>
      <c r="X18" s="259"/>
      <c r="Y18" s="259"/>
      <c r="Z18" s="259"/>
    </row>
    <row r="19" spans="1:26" outlineLevel="1">
      <c r="A19" s="272"/>
      <c r="B19" s="272"/>
      <c r="C19" s="630"/>
      <c r="D19" s="282">
        <v>10</v>
      </c>
      <c r="E19" s="276">
        <f ca="1">OFFSET('Actual RAB roll forward'!H$12,0,D19-1)-SUM('Actual RAB roll forward'!H55:OFFSET('Actual RAB roll forward'!H55,0,Input!$W$7-1))</f>
        <v>0</v>
      </c>
      <c r="F19" s="276">
        <f ca="1">IF(A1stdlife="N/A","n/a",IF(E19=0,0,A1stdlife+D19-Input!$W$7))</f>
        <v>0</v>
      </c>
      <c r="G19" s="277"/>
      <c r="H19" s="632"/>
      <c r="I19" s="282">
        <v>10</v>
      </c>
      <c r="J19" s="311">
        <f ca="1">OFFSET('Tax value roll forward'!G$40,0,I19)-SUM('Tax value roll forward'!G84:OFFSET('Tax value roll forward'!G84,0,Input!$W$7))</f>
        <v>0</v>
      </c>
      <c r="K19" s="311">
        <f ca="1">IF(A1taxstdlife="N/A","n/a",IF(J19=0,0,A1taxstdlife+I19-Input!$W$7))</f>
        <v>0</v>
      </c>
      <c r="M19" s="310"/>
      <c r="N19" s="334"/>
      <c r="O19" s="112"/>
      <c r="P19" s="112"/>
      <c r="Q19" s="112"/>
      <c r="R19" s="112"/>
      <c r="S19" s="259"/>
      <c r="T19" s="259"/>
      <c r="U19" s="259"/>
      <c r="V19" s="332">
        <v>2018</v>
      </c>
      <c r="W19" s="285">
        <v>2019</v>
      </c>
      <c r="X19" s="285">
        <v>2020</v>
      </c>
      <c r="Y19" s="285">
        <v>2021</v>
      </c>
      <c r="Z19" s="285">
        <v>2022</v>
      </c>
    </row>
    <row r="20" spans="1:26">
      <c r="A20" s="272"/>
      <c r="B20" s="272"/>
      <c r="C20" s="280" t="str">
        <f>Asset1</f>
        <v>Mains &amp; Services</v>
      </c>
      <c r="D20" s="272"/>
      <c r="E20" s="276">
        <f ca="1">SUM(E8:E19)</f>
        <v>30.777010624851158</v>
      </c>
      <c r="F20" s="276">
        <f ca="1">IF(E20=0,0,SUMPRODUCT(E8:E19,F8:F19)/E20)</f>
        <v>36.310127763671282</v>
      </c>
      <c r="G20" s="277"/>
      <c r="H20" s="284"/>
      <c r="I20" s="276"/>
      <c r="J20" s="311">
        <f ca="1">SUM(J8:J19)</f>
        <v>1.2071615015395565</v>
      </c>
      <c r="K20" s="311">
        <f ca="1">IF(J20=0,0,SUMPRODUCT(J8:J19,K8:K19)/J20)</f>
        <v>0</v>
      </c>
      <c r="L20" s="280"/>
      <c r="M20" s="310"/>
      <c r="N20" s="334"/>
      <c r="O20" s="112">
        <f ca="1">E20/F20</f>
        <v>0.84761504628039142</v>
      </c>
      <c r="P20" s="112">
        <f ca="1">SUM(P8:P19)</f>
        <v>0.88606941117008298</v>
      </c>
      <c r="Q20" s="112">
        <f ca="1">P20-O20</f>
        <v>3.8454364889691561E-2</v>
      </c>
      <c r="R20" s="112" t="e">
        <f ca="1">Q20+Q35+Q65+Q80+Q95</f>
        <v>#DIV/0!</v>
      </c>
      <c r="S20" s="330" t="s">
        <v>131</v>
      </c>
      <c r="T20" s="330" t="s">
        <v>133</v>
      </c>
      <c r="U20" s="259"/>
      <c r="V20" s="112" t="e">
        <f ca="1">R20</f>
        <v>#DIV/0!</v>
      </c>
      <c r="W20" s="112" t="e">
        <f ca="1">R20</f>
        <v>#DIV/0!</v>
      </c>
      <c r="X20" s="112" t="e">
        <f ca="1">R20</f>
        <v>#DIV/0!</v>
      </c>
      <c r="Y20" s="112">
        <f ca="1">R21</f>
        <v>-0.11401340153004713</v>
      </c>
      <c r="Z20" s="112">
        <f ca="1">R21</f>
        <v>-0.11401340153004713</v>
      </c>
    </row>
    <row r="21" spans="1:26" outlineLevel="1">
      <c r="A21" s="272"/>
      <c r="B21" s="285"/>
      <c r="C21" s="280"/>
      <c r="D21" s="272"/>
      <c r="E21" s="276"/>
      <c r="F21" s="276"/>
      <c r="G21" s="277"/>
      <c r="H21" s="276"/>
      <c r="I21" s="276"/>
      <c r="J21" s="276"/>
      <c r="K21" s="276"/>
      <c r="L21" s="280"/>
      <c r="M21" s="310"/>
      <c r="N21" s="334"/>
      <c r="O21" s="112"/>
      <c r="P21" s="112"/>
      <c r="Q21" s="112"/>
      <c r="R21" s="112">
        <f ca="1">Q20+SUM(P25:P29)+SUM(P55:P59)+SUM(P70:P74)</f>
        <v>-0.11401340153004713</v>
      </c>
      <c r="S21" s="259"/>
      <c r="T21" s="259"/>
      <c r="U21" s="309" t="str">
        <f>B7</f>
        <v>Mains &amp; Services</v>
      </c>
      <c r="V21" s="335">
        <f ca="1">Q20</f>
        <v>3.8454364889691561E-2</v>
      </c>
      <c r="W21" s="335">
        <f ca="1">V21</f>
        <v>3.8454364889691561E-2</v>
      </c>
      <c r="X21" s="335">
        <f ca="1">W21</f>
        <v>3.8454364889691561E-2</v>
      </c>
      <c r="Y21" s="335">
        <f ca="1">X21</f>
        <v>3.8454364889691561E-2</v>
      </c>
      <c r="Z21" s="335">
        <f ca="1">Y21</f>
        <v>3.8454364889691561E-2</v>
      </c>
    </row>
    <row r="22" spans="1:26" outlineLevel="1">
      <c r="A22" s="272"/>
      <c r="B22" s="275" t="str">
        <f>Asset2</f>
        <v>Meters</v>
      </c>
      <c r="C22" s="286"/>
      <c r="D22" s="287"/>
      <c r="E22" s="288"/>
      <c r="F22" s="276"/>
      <c r="G22" s="277"/>
      <c r="H22" s="276"/>
      <c r="I22" s="276"/>
      <c r="J22" s="276"/>
      <c r="K22" s="276"/>
      <c r="L22" s="280"/>
      <c r="M22" s="312"/>
      <c r="N22" s="333"/>
      <c r="O22" s="112"/>
      <c r="P22" s="112"/>
      <c r="Q22" s="112"/>
      <c r="R22" s="112"/>
      <c r="S22" s="259"/>
      <c r="T22" s="259"/>
      <c r="U22" s="309" t="str">
        <f>B22</f>
        <v>Meters</v>
      </c>
      <c r="V22" s="335">
        <f ca="1">Q35</f>
        <v>0.29053313780004936</v>
      </c>
      <c r="W22" s="335">
        <f t="shared" ref="W22:Z22" ca="1" si="1">V22</f>
        <v>0.29053313780004936</v>
      </c>
      <c r="X22" s="335">
        <f t="shared" ca="1" si="1"/>
        <v>0.29053313780004936</v>
      </c>
      <c r="Y22" s="335">
        <f ca="1">+SUM(P25:P29)</f>
        <v>0.10882028267312846</v>
      </c>
      <c r="Z22" s="335">
        <f t="shared" ca="1" si="1"/>
        <v>0.10882028267312846</v>
      </c>
    </row>
    <row r="23" spans="1:26" ht="12.75" customHeight="1" outlineLevel="1">
      <c r="A23" s="272"/>
      <c r="B23" s="272"/>
      <c r="C23" s="626" t="s">
        <v>28</v>
      </c>
      <c r="D23" s="627"/>
      <c r="E23" s="276">
        <f ca="1">A2value-SUM('Actual RAB roll forward'!H57:OFFSET('Actual RAB roll forward'!H57,0,Input!$W$7-1))</f>
        <v>1.7509356513875578</v>
      </c>
      <c r="F23" s="276">
        <f ca="1">IF(A2remlife="N/A","n/a",IF(E23=0,0,A2remlife-Input!$W$7))</f>
        <v>2.9536408966334147</v>
      </c>
      <c r="G23" s="277"/>
      <c r="H23" s="278" t="s">
        <v>67</v>
      </c>
      <c r="I23" s="279"/>
      <c r="J23" s="276">
        <f ca="1">A2taxvalue-SUM('Tax value roll forward'!G86:OFFSET('Tax value roll forward'!G86,0,Input!$W$7))</f>
        <v>0</v>
      </c>
      <c r="K23" s="323">
        <f ca="1">IF(A2taxremlife="N/A","n/a",IF(J23=0,0,A2taxremlife-Input!$W$7-1))</f>
        <v>0</v>
      </c>
      <c r="L23" s="280"/>
      <c r="M23" s="312"/>
      <c r="N23" s="333"/>
      <c r="O23" s="112"/>
      <c r="P23" s="112">
        <f ca="1">E23/F23</f>
        <v>0.5928058666113708</v>
      </c>
      <c r="Q23" s="112"/>
      <c r="R23" s="112"/>
      <c r="S23" s="259"/>
      <c r="T23" s="259"/>
      <c r="U23" s="309" t="str">
        <f>B37</f>
        <v>Buildings</v>
      </c>
      <c r="V23" s="335">
        <v>0</v>
      </c>
      <c r="W23" s="335">
        <f t="shared" ref="W23:Z23" si="2">V23</f>
        <v>0</v>
      </c>
      <c r="X23" s="335">
        <f t="shared" si="2"/>
        <v>0</v>
      </c>
      <c r="Y23" s="335">
        <f t="shared" si="2"/>
        <v>0</v>
      </c>
      <c r="Z23" s="335">
        <f t="shared" si="2"/>
        <v>0</v>
      </c>
    </row>
    <row r="24" spans="1:26" ht="12.75" customHeight="1" outlineLevel="1">
      <c r="A24" s="272"/>
      <c r="B24" s="272"/>
      <c r="C24" s="633" t="s">
        <v>84</v>
      </c>
      <c r="D24" s="322">
        <f>D$9</f>
        <v>0</v>
      </c>
      <c r="E24" s="276"/>
      <c r="F24" s="276"/>
      <c r="G24" s="277"/>
      <c r="H24" s="633" t="s">
        <v>84</v>
      </c>
      <c r="I24" s="322">
        <v>0</v>
      </c>
      <c r="J24" s="323">
        <f ca="1">OFFSET('Tax value roll forward'!G$41,0,I24)-SUM('Tax value roll forward'!G88:OFFSET('Tax value roll forward'!G88,0,Input!$W$7))</f>
        <v>0</v>
      </c>
      <c r="K24" s="323">
        <f ca="1">IF(A2taxstdlife="N/A","n/a",IF(J24=0,0,A2taxstdlife+I24-Input!$W$7))</f>
        <v>0</v>
      </c>
      <c r="L24" s="280"/>
      <c r="M24" s="312"/>
      <c r="N24" s="333"/>
      <c r="O24" s="112"/>
      <c r="P24" s="112"/>
      <c r="Q24" s="112"/>
      <c r="R24" s="112"/>
      <c r="S24" s="259"/>
      <c r="T24" s="259"/>
      <c r="U24" s="309" t="str">
        <f>B52</f>
        <v>SCADA</v>
      </c>
      <c r="V24" s="335">
        <v>0</v>
      </c>
      <c r="W24" s="335">
        <v>0</v>
      </c>
      <c r="X24" s="335">
        <v>0</v>
      </c>
      <c r="Y24" s="335">
        <f ca="1">+SUM(P55:P59)</f>
        <v>-1.4063996115193074E-3</v>
      </c>
      <c r="Z24" s="335">
        <f t="shared" ref="Z24" ca="1" si="3">Y24</f>
        <v>-1.4063996115193074E-3</v>
      </c>
    </row>
    <row r="25" spans="1:26" ht="12.75" customHeight="1" outlineLevel="1">
      <c r="A25" s="272"/>
      <c r="B25" s="272"/>
      <c r="C25" s="634"/>
      <c r="D25" s="281">
        <f>D$10</f>
        <v>1</v>
      </c>
      <c r="E25" s="276">
        <f ca="1">OFFSET('Actual RAB roll forward'!H$13,0,D25-1)-SUM('Actual RAB roll forward'!H59:OFFSET('Actual RAB roll forward'!H59,0,Input!$W$7-1))</f>
        <v>0.18328295750042506</v>
      </c>
      <c r="F25" s="276">
        <f ca="1">IF(A2stdlife="N/A","n/a",IF(E25=0,0,A2stdlife+D25-Input!$W$7))</f>
        <v>11</v>
      </c>
      <c r="G25" s="277"/>
      <c r="H25" s="634"/>
      <c r="I25" s="281">
        <v>1</v>
      </c>
      <c r="J25" s="276">
        <f ca="1">OFFSET('Tax value roll forward'!G$41,0,I25)-SUM('Tax value roll forward'!G89:OFFSET('Tax value roll forward'!G89,0,Input!$W$7))</f>
        <v>0</v>
      </c>
      <c r="K25" s="276">
        <f ca="1">IF(A2taxstdlife="N/A","n/a",IF(J25=0,0,A2taxstdlife+I25-Input!$W$7))</f>
        <v>0</v>
      </c>
      <c r="L25" s="280"/>
      <c r="M25" s="312"/>
      <c r="N25" s="333"/>
      <c r="O25" s="112"/>
      <c r="P25" s="112">
        <f ca="1">E25/F25</f>
        <v>1.6662087045493188E-2</v>
      </c>
      <c r="Q25" s="112"/>
      <c r="R25" s="112"/>
      <c r="S25" s="259"/>
      <c r="T25" s="259"/>
      <c r="U25" s="309" t="str">
        <f>B67</f>
        <v>Computer Equipment</v>
      </c>
      <c r="V25" s="335" t="e">
        <f ca="1">Q80</f>
        <v>#DIV/0!</v>
      </c>
      <c r="W25" s="335">
        <f ca="1">SUM(Q71:Q74)-$O$80</f>
        <v>-0.12701295136874213</v>
      </c>
      <c r="X25" s="335">
        <f ca="1">SUM(R71:R74)-$O$80</f>
        <v>-2.062060634046603E-2</v>
      </c>
      <c r="Y25" s="335">
        <f ca="1">SUM(S71:S74)-$O$80</f>
        <v>-1.7463571334050011E-3</v>
      </c>
      <c r="Z25" s="335">
        <f ca="1">SUM(T71:T74)-$O$80</f>
        <v>-1.1727375857896318E-2</v>
      </c>
    </row>
    <row r="26" spans="1:26" outlineLevel="1">
      <c r="A26" s="272"/>
      <c r="B26" s="272"/>
      <c r="C26" s="634"/>
      <c r="D26" s="281">
        <f>D$11</f>
        <v>2</v>
      </c>
      <c r="E26" s="276">
        <f ca="1">OFFSET('Actual RAB roll forward'!H$13,0,D26-1)-SUM('Actual RAB roll forward'!H60:OFFSET('Actual RAB roll forward'!H60,0,Input!$W$7-1))</f>
        <v>0.14849060248674395</v>
      </c>
      <c r="F26" s="276">
        <f ca="1">IF(A2stdlife="N/A","n/a",IF(E26=0,0,A2stdlife+D26-Input!$W$7))</f>
        <v>12</v>
      </c>
      <c r="G26" s="277"/>
      <c r="H26" s="634"/>
      <c r="I26" s="281">
        <v>2</v>
      </c>
      <c r="J26" s="276">
        <f ca="1">OFFSET('Tax value roll forward'!G$41,0,I26)-SUM('Tax value roll forward'!G90:OFFSET('Tax value roll forward'!G90,0,Input!$W$7))</f>
        <v>0</v>
      </c>
      <c r="K26" s="276">
        <f ca="1">IF(A2taxstdlife="N/A","n/a",IF(J26=0,0,A2taxstdlife+I26-Input!$W$7))</f>
        <v>0</v>
      </c>
      <c r="L26" s="280"/>
      <c r="M26" s="312"/>
      <c r="N26" s="333"/>
      <c r="O26" s="112"/>
      <c r="P26" s="112">
        <f t="shared" ref="P26:P29" ca="1" si="4">E26/F26</f>
        <v>1.237421687389533E-2</v>
      </c>
      <c r="Q26" s="112"/>
      <c r="R26" s="112"/>
      <c r="S26" s="259"/>
      <c r="T26" s="259"/>
      <c r="U26" s="309" t="str">
        <f>B82</f>
        <v>Other Assets</v>
      </c>
      <c r="V26" s="335" t="e">
        <f ca="1">Q95</f>
        <v>#DIV/0!</v>
      </c>
      <c r="W26" s="335" t="e">
        <f t="shared" ref="W26:Z26" ca="1" si="5">V26</f>
        <v>#DIV/0!</v>
      </c>
      <c r="X26" s="335" t="e">
        <f t="shared" ca="1" si="5"/>
        <v>#DIV/0!</v>
      </c>
      <c r="Y26" s="335" t="e">
        <f t="shared" ca="1" si="5"/>
        <v>#DIV/0!</v>
      </c>
      <c r="Z26" s="335" t="e">
        <f t="shared" ca="1" si="5"/>
        <v>#DIV/0!</v>
      </c>
    </row>
    <row r="27" spans="1:26" outlineLevel="1">
      <c r="A27" s="272"/>
      <c r="B27" s="272"/>
      <c r="C27" s="634"/>
      <c r="D27" s="281">
        <f>D$12</f>
        <v>3</v>
      </c>
      <c r="E27" s="276">
        <f ca="1">OFFSET('Actual RAB roll forward'!H$13,0,D27-1)-SUM('Actual RAB roll forward'!H61:OFFSET('Actual RAB roll forward'!H61,0,Input!$W$7-1))</f>
        <v>0.16261748250946456</v>
      </c>
      <c r="F27" s="276">
        <f ca="1">IF(A2stdlife="N/A","n/a",IF(E27=0,0,A2stdlife+D27-Input!$W$7))</f>
        <v>13</v>
      </c>
      <c r="G27" s="277"/>
      <c r="H27" s="634"/>
      <c r="I27" s="281">
        <v>3</v>
      </c>
      <c r="J27" s="276">
        <f ca="1">OFFSET('Tax value roll forward'!G$41,0,I27)-SUM('Tax value roll forward'!G91:OFFSET('Tax value roll forward'!G91,0,Input!$W$7))</f>
        <v>0</v>
      </c>
      <c r="K27" s="276">
        <f ca="1">IF(A2taxstdlife="N/A","n/a",IF(J27=0,0,A2taxstdlife+I27-Input!$W$7))</f>
        <v>0</v>
      </c>
      <c r="L27" s="280"/>
      <c r="M27" s="312"/>
      <c r="N27" s="333"/>
      <c r="O27" s="112"/>
      <c r="P27" s="112">
        <f t="shared" ca="1" si="4"/>
        <v>1.2509037116112658E-2</v>
      </c>
      <c r="Q27" s="112"/>
      <c r="R27" s="112"/>
      <c r="S27" s="259"/>
      <c r="T27" s="259"/>
      <c r="U27" s="259"/>
      <c r="V27" s="259"/>
      <c r="W27" s="259"/>
      <c r="X27" s="259"/>
      <c r="Y27" s="259"/>
      <c r="Z27" s="259"/>
    </row>
    <row r="28" spans="1:26" outlineLevel="1">
      <c r="A28" s="272"/>
      <c r="B28" s="272"/>
      <c r="C28" s="634"/>
      <c r="D28" s="281">
        <f>D$13</f>
        <v>4</v>
      </c>
      <c r="E28" s="276">
        <f ca="1">OFFSET('Actual RAB roll forward'!H$13,0,D28-1)-SUM('Actual RAB roll forward'!H62:OFFSET('Actual RAB roll forward'!H62,0,Input!$W$7-1))</f>
        <v>0.48221431675353177</v>
      </c>
      <c r="F28" s="276">
        <f ca="1">IF(A2stdlife="N/A","n/a",IF(E28=0,0,A2stdlife+D28-Input!$W$7))</f>
        <v>14</v>
      </c>
      <c r="G28" s="277"/>
      <c r="H28" s="634"/>
      <c r="I28" s="281">
        <v>4</v>
      </c>
      <c r="J28" s="276">
        <f ca="1">OFFSET('Tax value roll forward'!G$41,0,I28)-SUM('Tax value roll forward'!G92:OFFSET('Tax value roll forward'!G92,0,Input!$W$7))</f>
        <v>0</v>
      </c>
      <c r="K28" s="276">
        <f ca="1">IF(A2taxstdlife="N/A","n/a",IF(J28=0,0,A2taxstdlife+I28-Input!$W$7))</f>
        <v>0</v>
      </c>
      <c r="L28" s="280"/>
      <c r="M28" s="312"/>
      <c r="N28" s="333"/>
      <c r="O28" s="112"/>
      <c r="P28" s="112">
        <f t="shared" ca="1" si="4"/>
        <v>3.4443879768109413E-2</v>
      </c>
      <c r="Q28" s="112"/>
      <c r="R28" s="112"/>
      <c r="S28" s="259"/>
      <c r="T28" s="259"/>
      <c r="U28" s="259"/>
      <c r="V28" s="259"/>
      <c r="W28" s="259"/>
      <c r="X28" s="259"/>
      <c r="Y28" s="259"/>
      <c r="Z28" s="259"/>
    </row>
    <row r="29" spans="1:26" outlineLevel="1">
      <c r="A29" s="272"/>
      <c r="B29" s="272"/>
      <c r="C29" s="634"/>
      <c r="D29" s="281">
        <f>D$14</f>
        <v>5</v>
      </c>
      <c r="E29" s="276">
        <f ca="1">OFFSET('Actual RAB roll forward'!H$13,0,D29-1)-SUM('Actual RAB roll forward'!H63:OFFSET('Actual RAB roll forward'!H63,0,Input!$W$7-1))</f>
        <v>0.49246592804276818</v>
      </c>
      <c r="F29" s="276">
        <f ca="1">IF(A2stdlife="N/A","n/a",IF(E29=0,0,A2stdlife+D29-Input!$W$7))</f>
        <v>15</v>
      </c>
      <c r="G29" s="277"/>
      <c r="H29" s="634"/>
      <c r="I29" s="281">
        <v>5</v>
      </c>
      <c r="J29" s="276">
        <f ca="1">OFFSET('Tax value roll forward'!G$41,0,I29)-SUM('Tax value roll forward'!G93:OFFSET('Tax value roll forward'!G93,0,Input!$W$7))</f>
        <v>0.52401940580676887</v>
      </c>
      <c r="K29" s="276">
        <f ca="1">IF(A2taxstdlife="N/A","n/a",IF(J29=0,0,A2taxstdlife+I29-Input!$W$7))</f>
        <v>0</v>
      </c>
      <c r="L29" s="280"/>
      <c r="M29" s="312"/>
      <c r="N29" s="333"/>
      <c r="O29" s="112"/>
      <c r="P29" s="112">
        <f t="shared" ca="1" si="4"/>
        <v>3.2831061869517876E-2</v>
      </c>
      <c r="Q29" s="112"/>
      <c r="R29" s="112"/>
      <c r="S29" s="259"/>
      <c r="T29" s="259"/>
      <c r="U29" s="259"/>
      <c r="V29" s="259"/>
      <c r="W29" s="259"/>
      <c r="X29" s="259"/>
      <c r="Y29" s="259"/>
      <c r="Z29" s="259"/>
    </row>
    <row r="30" spans="1:26" outlineLevel="1">
      <c r="A30" s="272"/>
      <c r="B30" s="272"/>
      <c r="C30" s="634"/>
      <c r="D30" s="281">
        <f>D$15</f>
        <v>6</v>
      </c>
      <c r="E30" s="276">
        <f ca="1">OFFSET('Actual RAB roll forward'!H$13,0,D30-1)-SUM('Actual RAB roll forward'!H64:OFFSET('Actual RAB roll forward'!H64,0,Input!$W$7-1))</f>
        <v>0</v>
      </c>
      <c r="F30" s="276">
        <f ca="1">IF(A2stdlife="N/A","n/a",IF(E30=0,0,A2stdlife+D30-Input!$W$7))</f>
        <v>0</v>
      </c>
      <c r="G30" s="277"/>
      <c r="H30" s="634"/>
      <c r="I30" s="281">
        <v>6</v>
      </c>
      <c r="J30" s="276">
        <f ca="1">OFFSET('Tax value roll forward'!G$41,0,I30)-SUM('Tax value roll forward'!G94:OFFSET('Tax value roll forward'!G94,0,Input!$W$7))</f>
        <v>0</v>
      </c>
      <c r="K30" s="276">
        <f ca="1">IF(A2taxstdlife="N/A","n/a",IF(J30=0,0,A2taxstdlife+I30-Input!$W$7))</f>
        <v>0</v>
      </c>
      <c r="L30" s="280"/>
      <c r="M30" s="312"/>
      <c r="N30" s="333"/>
      <c r="O30" s="112"/>
      <c r="P30" s="112"/>
      <c r="Q30" s="112"/>
      <c r="R30" s="112"/>
      <c r="S30" s="259"/>
      <c r="T30" s="259"/>
      <c r="U30" s="259"/>
      <c r="V30" s="259"/>
      <c r="W30" s="259"/>
      <c r="X30" s="259"/>
      <c r="Y30" s="259"/>
      <c r="Z30" s="259"/>
    </row>
    <row r="31" spans="1:26" outlineLevel="1">
      <c r="A31" s="272"/>
      <c r="B31" s="272"/>
      <c r="C31" s="634"/>
      <c r="D31" s="281">
        <f>D$16</f>
        <v>7</v>
      </c>
      <c r="E31" s="276">
        <f ca="1">OFFSET('Actual RAB roll forward'!H$13,0,D31-1)-SUM('Actual RAB roll forward'!H65:OFFSET('Actual RAB roll forward'!H65,0,Input!$W$7-1))</f>
        <v>0</v>
      </c>
      <c r="F31" s="276">
        <f ca="1">IF(A2stdlife="N/A","n/a",IF(E31=0,0,A2stdlife+D31-Input!$W$7))</f>
        <v>0</v>
      </c>
      <c r="G31" s="277"/>
      <c r="H31" s="634"/>
      <c r="I31" s="281">
        <v>7</v>
      </c>
      <c r="J31" s="276">
        <f ca="1">OFFSET('Tax value roll forward'!G$41,0,I31)-SUM('Tax value roll forward'!G95:OFFSET('Tax value roll forward'!G95,0,Input!$W$7))</f>
        <v>0</v>
      </c>
      <c r="K31" s="276">
        <f ca="1">IF(A2taxstdlife="N/A","n/a",IF(J31=0,0,A2taxstdlife+I31-Input!$W$7))</f>
        <v>0</v>
      </c>
      <c r="M31" s="312"/>
      <c r="N31" s="333"/>
      <c r="O31" s="112"/>
      <c r="P31" s="112"/>
      <c r="Q31" s="112"/>
      <c r="R31" s="112"/>
      <c r="S31" s="259"/>
      <c r="T31" s="259"/>
      <c r="U31" s="259"/>
      <c r="V31" s="259"/>
      <c r="W31" s="259"/>
      <c r="X31" s="259"/>
      <c r="Y31" s="259"/>
      <c r="Z31" s="259"/>
    </row>
    <row r="32" spans="1:26" outlineLevel="1">
      <c r="A32" s="272"/>
      <c r="B32" s="272"/>
      <c r="C32" s="634"/>
      <c r="D32" s="281">
        <f>D$17</f>
        <v>8</v>
      </c>
      <c r="E32" s="276">
        <f ca="1">OFFSET('Actual RAB roll forward'!H$13,0,D32-1)-SUM('Actual RAB roll forward'!H66:OFFSET('Actual RAB roll forward'!H66,0,Input!$W$7-1))</f>
        <v>0</v>
      </c>
      <c r="F32" s="276">
        <f ca="1">IF(A2stdlife="N/A","n/a",IF(E32=0,0,A2stdlife+D32-Input!$W$7))</f>
        <v>0</v>
      </c>
      <c r="G32" s="277"/>
      <c r="H32" s="634"/>
      <c r="I32" s="281">
        <v>8</v>
      </c>
      <c r="J32" s="276">
        <f ca="1">OFFSET('Tax value roll forward'!G$41,0,I32)-SUM('Tax value roll forward'!G96:OFFSET('Tax value roll forward'!G96,0,Input!$W$7))</f>
        <v>0</v>
      </c>
      <c r="K32" s="276">
        <f ca="1">IF(A2taxstdlife="N/A","n/a",IF(J32=0,0,A2taxstdlife+I32-Input!$W$7))</f>
        <v>0</v>
      </c>
      <c r="L32" s="280"/>
      <c r="M32" s="312"/>
      <c r="N32" s="333"/>
      <c r="O32" s="112"/>
      <c r="P32" s="112"/>
      <c r="Q32" s="112"/>
      <c r="R32" s="112"/>
      <c r="S32" s="259"/>
      <c r="T32" s="259"/>
      <c r="U32" s="259"/>
      <c r="V32" s="259"/>
      <c r="W32" s="259"/>
      <c r="X32" s="259"/>
      <c r="Y32" s="259"/>
      <c r="Z32" s="259"/>
    </row>
    <row r="33" spans="1:26" outlineLevel="1">
      <c r="A33" s="272"/>
      <c r="B33" s="272"/>
      <c r="C33" s="634"/>
      <c r="D33" s="281">
        <f>D$18</f>
        <v>9</v>
      </c>
      <c r="E33" s="276">
        <f ca="1">OFFSET('Actual RAB roll forward'!H$13,0,D33-1)-SUM('Actual RAB roll forward'!H67:OFFSET('Actual RAB roll forward'!H67,0,Input!$W$7-1))</f>
        <v>0</v>
      </c>
      <c r="F33" s="276">
        <f ca="1">IF(A2stdlife="N/A","n/a",IF(E33=0,0,A2stdlife+D33-Input!$W$7))</f>
        <v>0</v>
      </c>
      <c r="G33" s="277"/>
      <c r="H33" s="634"/>
      <c r="I33" s="281">
        <v>9</v>
      </c>
      <c r="J33" s="276">
        <f ca="1">OFFSET('Tax value roll forward'!G$41,0,I33)-SUM('Tax value roll forward'!G97:OFFSET('Tax value roll forward'!G97,0,Input!$W$7))</f>
        <v>0</v>
      </c>
      <c r="K33" s="276">
        <f ca="1">IF(A2taxstdlife="N/A","n/a",IF(J33=0,0,A2taxstdlife+I33-Input!$W$7))</f>
        <v>0</v>
      </c>
      <c r="L33" s="280"/>
      <c r="M33" s="312"/>
      <c r="N33" s="333"/>
      <c r="O33" s="112"/>
      <c r="P33" s="112"/>
      <c r="Q33" s="112"/>
      <c r="R33" s="112"/>
      <c r="S33" s="259"/>
      <c r="T33" s="259"/>
      <c r="U33" s="259"/>
      <c r="V33" s="259"/>
      <c r="W33" s="259"/>
      <c r="X33" s="259"/>
      <c r="Y33" s="259"/>
      <c r="Z33" s="259"/>
    </row>
    <row r="34" spans="1:26" outlineLevel="1">
      <c r="A34" s="272"/>
      <c r="B34" s="272"/>
      <c r="C34" s="635"/>
      <c r="D34" s="282">
        <f>D$19</f>
        <v>10</v>
      </c>
      <c r="E34" s="276">
        <f ca="1">OFFSET('Actual RAB roll forward'!H$13,0,D34-1)-SUM('Actual RAB roll forward'!H68:OFFSET('Actual RAB roll forward'!H68,0,Input!$W$7-1))</f>
        <v>0</v>
      </c>
      <c r="F34" s="276">
        <f ca="1">IF(A2stdlife="N/A","n/a",IF(E34=0,0,A2stdlife+D34-Input!$W$7))</f>
        <v>0</v>
      </c>
      <c r="G34" s="277"/>
      <c r="H34" s="635"/>
      <c r="I34" s="282">
        <v>10</v>
      </c>
      <c r="J34" s="276">
        <f ca="1">OFFSET('Tax value roll forward'!G$41,0,I34)-SUM('Tax value roll forward'!G98:OFFSET('Tax value roll forward'!G98,0,Input!$W$7))</f>
        <v>0</v>
      </c>
      <c r="K34" s="276">
        <f ca="1">IF(A2taxstdlife="N/A","n/a",IF(J34=0,0,A2taxstdlife+I34-Input!$W$7))</f>
        <v>0</v>
      </c>
      <c r="L34" s="280"/>
      <c r="M34" s="312"/>
      <c r="N34" s="333"/>
      <c r="O34" s="112"/>
      <c r="P34" s="112"/>
      <c r="Q34" s="112"/>
      <c r="R34" s="112"/>
      <c r="S34" s="259"/>
      <c r="T34" s="259"/>
      <c r="U34" s="259"/>
      <c r="V34" s="259"/>
      <c r="W34" s="259"/>
      <c r="X34" s="259"/>
      <c r="Y34" s="259"/>
      <c r="Z34" s="259"/>
    </row>
    <row r="35" spans="1:26">
      <c r="A35" s="272"/>
      <c r="B35" s="272"/>
      <c r="C35" s="280" t="str">
        <f>Asset2</f>
        <v>Meters</v>
      </c>
      <c r="D35" s="272"/>
      <c r="E35" s="276">
        <f ca="1">SUM(E23:E34)</f>
        <v>3.2200069386804913</v>
      </c>
      <c r="F35" s="276">
        <f ca="1">IF(E35=0,0,SUMPRODUCT(E23:E34,F23:F34)/E35)</f>
        <v>7.8327941578308549</v>
      </c>
      <c r="G35" s="277"/>
      <c r="H35" s="284"/>
      <c r="J35" s="311">
        <f ca="1">SUM(J23:J34)</f>
        <v>0.52401940580676887</v>
      </c>
      <c r="K35" s="311">
        <f ca="1">IF(J35=0,0,SUMPRODUCT(J23:J34,K23:K34)/J35)</f>
        <v>0</v>
      </c>
      <c r="L35" s="280"/>
      <c r="M35" s="312"/>
      <c r="N35" s="333"/>
      <c r="O35" s="112">
        <f ca="1">E35/F35</f>
        <v>0.41109301148444982</v>
      </c>
      <c r="P35" s="112">
        <f ca="1">SUM(P23:P34)</f>
        <v>0.70162614928449918</v>
      </c>
      <c r="Q35" s="112">
        <f ca="1">P35-O35</f>
        <v>0.29053313780004936</v>
      </c>
      <c r="R35" s="112"/>
      <c r="S35" s="259"/>
      <c r="T35" s="259"/>
      <c r="U35" s="259"/>
      <c r="V35" s="259"/>
      <c r="W35" s="259"/>
      <c r="X35" s="259"/>
      <c r="Y35" s="259"/>
      <c r="Z35" s="259"/>
    </row>
    <row r="36" spans="1:26" outlineLevel="1">
      <c r="A36" s="272"/>
      <c r="B36" s="272"/>
      <c r="C36" s="280"/>
      <c r="D36" s="272"/>
      <c r="E36" s="276"/>
      <c r="F36" s="276"/>
      <c r="G36" s="277"/>
      <c r="H36" s="276"/>
      <c r="I36" s="276"/>
      <c r="J36" s="290"/>
      <c r="K36" s="276"/>
      <c r="L36" s="280"/>
      <c r="M36" s="312"/>
      <c r="N36" s="333"/>
      <c r="O36" s="112"/>
      <c r="P36" s="112"/>
      <c r="Q36" s="112"/>
      <c r="R36" s="112"/>
      <c r="S36" s="259"/>
      <c r="T36" s="259"/>
      <c r="U36" s="259"/>
      <c r="V36" s="259"/>
      <c r="W36" s="259"/>
      <c r="X36" s="259"/>
      <c r="Y36" s="259"/>
      <c r="Z36" s="259"/>
    </row>
    <row r="37" spans="1:26" outlineLevel="1">
      <c r="A37" s="272"/>
      <c r="B37" s="275" t="str">
        <f>Asset3</f>
        <v>Buildings</v>
      </c>
      <c r="C37" s="291"/>
      <c r="D37" s="269"/>
      <c r="E37" s="288"/>
      <c r="F37" s="276"/>
      <c r="G37" s="277"/>
      <c r="H37" s="276"/>
      <c r="I37" s="276"/>
      <c r="J37" s="290"/>
      <c r="K37" s="276"/>
      <c r="L37" s="280"/>
      <c r="M37" s="312"/>
      <c r="N37" s="333"/>
      <c r="O37" s="112"/>
      <c r="P37" s="112"/>
      <c r="Q37" s="112"/>
      <c r="R37" s="112"/>
      <c r="S37" s="259"/>
      <c r="T37" s="259"/>
      <c r="U37" s="259"/>
      <c r="V37" s="259"/>
      <c r="W37" s="259"/>
      <c r="X37" s="259"/>
      <c r="Y37" s="259"/>
      <c r="Z37" s="259"/>
    </row>
    <row r="38" spans="1:26" ht="12.75" customHeight="1" outlineLevel="1">
      <c r="A38" s="272"/>
      <c r="B38" s="272"/>
      <c r="C38" s="626" t="s">
        <v>28</v>
      </c>
      <c r="D38" s="627"/>
      <c r="E38" s="276">
        <f ca="1">A3value-SUM('Actual RAB roll forward'!H70:OFFSET('Actual RAB roll forward'!H70,0,Input!$W$7-1))</f>
        <v>3.3881317890172014E-19</v>
      </c>
      <c r="F38" s="276">
        <f ca="1">IF(A3remlife="N/A","n/a",IF(E38=0,0,A3remlife-Input!$W$7))</f>
        <v>-5</v>
      </c>
      <c r="G38" s="277"/>
      <c r="H38" s="278" t="s">
        <v>67</v>
      </c>
      <c r="I38" s="279"/>
      <c r="J38" s="276">
        <f ca="1">A3taxvalue-SUM('Tax value roll forward'!G100:OFFSET('Tax value roll forward'!G100,0,Input!$W$7))</f>
        <v>0</v>
      </c>
      <c r="K38" s="323">
        <f ca="1">IF(A3taxremlife="N/A","n/a",IF(J38=0,0,A3taxremlife-Input!$W$7-1))</f>
        <v>0</v>
      </c>
      <c r="L38" s="280"/>
      <c r="M38" s="312"/>
      <c r="N38" s="333"/>
      <c r="O38" s="112"/>
      <c r="P38" s="336">
        <v>0</v>
      </c>
      <c r="Q38" s="112"/>
      <c r="R38" s="112"/>
      <c r="S38" s="259"/>
      <c r="T38" s="259"/>
      <c r="U38" s="259"/>
      <c r="V38" s="259"/>
      <c r="W38" s="259"/>
      <c r="X38" s="259"/>
      <c r="Y38" s="259"/>
      <c r="Z38" s="259"/>
    </row>
    <row r="39" spans="1:26" ht="12.75" customHeight="1" outlineLevel="1">
      <c r="A39" s="272"/>
      <c r="B39" s="272"/>
      <c r="C39" s="633" t="s">
        <v>84</v>
      </c>
      <c r="D39" s="322">
        <f>D$9</f>
        <v>0</v>
      </c>
      <c r="E39" s="276"/>
      <c r="F39" s="276"/>
      <c r="G39" s="277"/>
      <c r="H39" s="633" t="s">
        <v>84</v>
      </c>
      <c r="I39" s="322">
        <v>0</v>
      </c>
      <c r="J39" s="323">
        <f ca="1">OFFSET('Tax value roll forward'!G$42,0,I39)-SUM('Tax value roll forward'!G102:OFFSET('Tax value roll forward'!G102,0,Input!$W$7))</f>
        <v>0</v>
      </c>
      <c r="K39" s="323">
        <f ca="1">IF(A3taxstdlife="N/A","n/a",IF(J39=0,0,A3taxstdlife+I39-Input!$W$7))</f>
        <v>0</v>
      </c>
      <c r="L39" s="280"/>
      <c r="M39" s="312"/>
      <c r="N39" s="333"/>
      <c r="O39" s="112"/>
      <c r="P39" s="336"/>
      <c r="Q39" s="112"/>
      <c r="R39" s="112"/>
      <c r="S39" s="259"/>
      <c r="T39" s="259"/>
      <c r="U39" s="259"/>
      <c r="V39" s="259"/>
      <c r="W39" s="259"/>
      <c r="X39" s="259"/>
      <c r="Y39" s="259"/>
      <c r="Z39" s="259"/>
    </row>
    <row r="40" spans="1:26" ht="12.75" customHeight="1" outlineLevel="1">
      <c r="A40" s="272"/>
      <c r="B40" s="272"/>
      <c r="C40" s="634"/>
      <c r="D40" s="281">
        <f>D$10</f>
        <v>1</v>
      </c>
      <c r="E40" s="276">
        <f ca="1">OFFSET('Actual RAB roll forward'!H$14,0,D40-1)-SUM('Actual RAB roll forward'!H72:OFFSET('Actual RAB roll forward'!H72,0,Input!$W$7-1))</f>
        <v>0</v>
      </c>
      <c r="F40" s="276">
        <f ca="1">IF(A3stdlife="N/A","n/a",IF(E40=0,0,A3stdlife+D40-Input!$W$7))</f>
        <v>0</v>
      </c>
      <c r="G40" s="277"/>
      <c r="H40" s="634"/>
      <c r="I40" s="281">
        <v>1</v>
      </c>
      <c r="J40" s="276">
        <f ca="1">OFFSET('Tax value roll forward'!G$42,0,I40)-SUM('Tax value roll forward'!G103:OFFSET('Tax value roll forward'!G103,0,Input!$W$7))</f>
        <v>0</v>
      </c>
      <c r="K40" s="276">
        <f ca="1">IF(A3taxstdlife="N/A","n/a",IF(J40=0,0,A3taxstdlife+I40-Input!$W$7))</f>
        <v>0</v>
      </c>
      <c r="L40" s="280"/>
      <c r="M40" s="312"/>
      <c r="N40" s="333"/>
      <c r="O40" s="112"/>
      <c r="P40" s="336">
        <v>0</v>
      </c>
      <c r="Q40" s="112"/>
      <c r="R40" s="112"/>
      <c r="S40" s="259"/>
      <c r="T40" s="259"/>
      <c r="U40" s="259"/>
      <c r="V40" s="259"/>
      <c r="W40" s="259"/>
      <c r="X40" s="259"/>
      <c r="Y40" s="259"/>
      <c r="Z40" s="259"/>
    </row>
    <row r="41" spans="1:26" outlineLevel="1">
      <c r="A41" s="272"/>
      <c r="B41" s="272"/>
      <c r="C41" s="634"/>
      <c r="D41" s="281">
        <f>D$11</f>
        <v>2</v>
      </c>
      <c r="E41" s="276">
        <f ca="1">OFFSET('Actual RAB roll forward'!H$14,0,D41-1)-SUM('Actual RAB roll forward'!H73:OFFSET('Actual RAB roll forward'!H73,0,Input!$W$7-1))</f>
        <v>0</v>
      </c>
      <c r="F41" s="276">
        <f ca="1">IF(A3stdlife="N/A","n/a",IF(E41=0,0,A3stdlife+D41-Input!$W$7))</f>
        <v>0</v>
      </c>
      <c r="G41" s="277"/>
      <c r="H41" s="634"/>
      <c r="I41" s="281">
        <v>2</v>
      </c>
      <c r="J41" s="276">
        <f ca="1">OFFSET('Tax value roll forward'!G$42,0,I41)-SUM('Tax value roll forward'!G104:OFFSET('Tax value roll forward'!G104,0,Input!$W$7))</f>
        <v>0</v>
      </c>
      <c r="K41" s="276">
        <f ca="1">IF(A3taxstdlife="N/A","n/a",IF(J41=0,0,A3taxstdlife+I41-Input!$W$7))</f>
        <v>0</v>
      </c>
      <c r="L41" s="280"/>
      <c r="M41" s="312"/>
      <c r="N41" s="333"/>
      <c r="O41" s="112"/>
      <c r="P41" s="336">
        <v>0</v>
      </c>
      <c r="Q41" s="112"/>
      <c r="R41" s="112"/>
      <c r="S41" s="259"/>
      <c r="T41" s="259"/>
      <c r="U41" s="259"/>
      <c r="V41" s="259"/>
      <c r="W41" s="259"/>
      <c r="X41" s="259"/>
      <c r="Y41" s="259"/>
      <c r="Z41" s="259"/>
    </row>
    <row r="42" spans="1:26" outlineLevel="1">
      <c r="A42" s="272"/>
      <c r="B42" s="272"/>
      <c r="C42" s="634"/>
      <c r="D42" s="281">
        <f>D$12</f>
        <v>3</v>
      </c>
      <c r="E42" s="276">
        <f ca="1">OFFSET('Actual RAB roll forward'!H$14,0,D42-1)-SUM('Actual RAB roll forward'!H74:OFFSET('Actual RAB roll forward'!H74,0,Input!$W$7-1))</f>
        <v>0</v>
      </c>
      <c r="F42" s="276">
        <f ca="1">IF(A3stdlife="N/A","n/a",IF(E42=0,0,A3stdlife+D42-Input!$W$7))</f>
        <v>0</v>
      </c>
      <c r="G42" s="277"/>
      <c r="H42" s="634"/>
      <c r="I42" s="281">
        <v>3</v>
      </c>
      <c r="J42" s="276">
        <f ca="1">OFFSET('Tax value roll forward'!G$42,0,I42)-SUM('Tax value roll forward'!G105:OFFSET('Tax value roll forward'!G105,0,Input!$W$7))</f>
        <v>0</v>
      </c>
      <c r="K42" s="276">
        <f ca="1">IF(A3taxstdlife="N/A","n/a",IF(J42=0,0,A3taxstdlife+I42-Input!$W$7))</f>
        <v>0</v>
      </c>
      <c r="L42" s="280"/>
      <c r="M42" s="312"/>
      <c r="N42" s="333"/>
      <c r="O42" s="112"/>
      <c r="P42" s="336">
        <v>0</v>
      </c>
      <c r="Q42" s="112"/>
      <c r="R42" s="112"/>
      <c r="S42" s="259"/>
      <c r="T42" s="259"/>
      <c r="U42" s="259"/>
      <c r="V42" s="259"/>
      <c r="W42" s="259"/>
      <c r="X42" s="259"/>
      <c r="Y42" s="259"/>
      <c r="Z42" s="259"/>
    </row>
    <row r="43" spans="1:26" outlineLevel="1">
      <c r="A43" s="272"/>
      <c r="B43" s="272"/>
      <c r="C43" s="634"/>
      <c r="D43" s="281">
        <f>D$13</f>
        <v>4</v>
      </c>
      <c r="E43" s="276">
        <f ca="1">OFFSET('Actual RAB roll forward'!H$14,0,D43-1)-SUM('Actual RAB roll forward'!H75:OFFSET('Actual RAB roll forward'!H75,0,Input!$W$7-1))</f>
        <v>0</v>
      </c>
      <c r="F43" s="276">
        <f ca="1">IF(A3stdlife="N/A","n/a",IF(E43=0,0,A3stdlife+D43-Input!$W$7))</f>
        <v>0</v>
      </c>
      <c r="G43" s="277"/>
      <c r="H43" s="634"/>
      <c r="I43" s="281">
        <v>4</v>
      </c>
      <c r="J43" s="276">
        <f ca="1">OFFSET('Tax value roll forward'!G$42,0,I43)-SUM('Tax value roll forward'!G106:OFFSET('Tax value roll forward'!G106,0,Input!$W$7))</f>
        <v>0</v>
      </c>
      <c r="K43" s="276">
        <f ca="1">IF(A3taxstdlife="N/A","n/a",IF(J43=0,0,A3taxstdlife+I43-Input!$W$7))</f>
        <v>0</v>
      </c>
      <c r="L43" s="280"/>
      <c r="M43" s="312"/>
      <c r="N43" s="333"/>
      <c r="O43" s="112"/>
      <c r="P43" s="336">
        <v>0</v>
      </c>
      <c r="Q43" s="112"/>
      <c r="R43" s="112"/>
      <c r="S43" s="259"/>
      <c r="T43" s="259"/>
      <c r="U43" s="259"/>
      <c r="V43" s="259"/>
      <c r="W43" s="259"/>
      <c r="X43" s="259"/>
      <c r="Y43" s="259"/>
      <c r="Z43" s="259"/>
    </row>
    <row r="44" spans="1:26" outlineLevel="1">
      <c r="A44" s="272"/>
      <c r="B44" s="272"/>
      <c r="C44" s="634"/>
      <c r="D44" s="281">
        <f>D$14</f>
        <v>5</v>
      </c>
      <c r="E44" s="276">
        <f ca="1">OFFSET('Actual RAB roll forward'!H$14,0,D44-1)-SUM('Actual RAB roll forward'!H76:OFFSET('Actual RAB roll forward'!H76,0,Input!$W$7-1))</f>
        <v>0</v>
      </c>
      <c r="F44" s="276">
        <f ca="1">IF(A3stdlife="N/A","n/a",IF(E44=0,0,A3stdlife+D44-Input!$W$7))</f>
        <v>0</v>
      </c>
      <c r="G44" s="277"/>
      <c r="H44" s="634"/>
      <c r="I44" s="281">
        <v>5</v>
      </c>
      <c r="J44" s="276">
        <f ca="1">OFFSET('Tax value roll forward'!G$42,0,I44)-SUM('Tax value roll forward'!G107:OFFSET('Tax value roll forward'!G107,0,Input!$W$7))</f>
        <v>0</v>
      </c>
      <c r="K44" s="276">
        <f ca="1">IF(A3taxstdlife="N/A","n/a",IF(J44=0,0,A3taxstdlife+I44-Input!$W$7))</f>
        <v>0</v>
      </c>
      <c r="L44" s="280"/>
      <c r="M44" s="312"/>
      <c r="N44" s="333"/>
      <c r="O44" s="112"/>
      <c r="P44" s="336">
        <v>0</v>
      </c>
      <c r="Q44" s="112"/>
      <c r="R44" s="112"/>
      <c r="S44" s="259"/>
      <c r="T44" s="259"/>
      <c r="U44" s="259"/>
      <c r="V44" s="259"/>
      <c r="W44" s="259"/>
      <c r="X44" s="259"/>
      <c r="Y44" s="259"/>
      <c r="Z44" s="259"/>
    </row>
    <row r="45" spans="1:26" outlineLevel="1">
      <c r="A45" s="272"/>
      <c r="B45" s="272"/>
      <c r="C45" s="634"/>
      <c r="D45" s="281">
        <f>D$15</f>
        <v>6</v>
      </c>
      <c r="E45" s="276">
        <f ca="1">OFFSET('Actual RAB roll forward'!H$14,0,D45-1)-SUM('Actual RAB roll forward'!H77:OFFSET('Actual RAB roll forward'!H77,0,Input!$W$7-1))</f>
        <v>0</v>
      </c>
      <c r="F45" s="276">
        <f ca="1">IF(A3stdlife="N/A","n/a",IF(E45=0,0,A3stdlife+D45-Input!$W$7))</f>
        <v>0</v>
      </c>
      <c r="G45" s="277"/>
      <c r="H45" s="634"/>
      <c r="I45" s="281">
        <v>6</v>
      </c>
      <c r="J45" s="276">
        <f ca="1">OFFSET('Tax value roll forward'!G$42,0,I45)-SUM('Tax value roll forward'!G108:OFFSET('Tax value roll forward'!G108,0,Input!$W$7))</f>
        <v>0</v>
      </c>
      <c r="K45" s="276">
        <f ca="1">IF(A3taxstdlife="N/A","n/a",IF(J45=0,0,A3taxstdlife+I45-Input!$W$7))</f>
        <v>0</v>
      </c>
      <c r="L45" s="280"/>
      <c r="M45" s="312"/>
      <c r="N45" s="333"/>
      <c r="O45" s="112"/>
      <c r="P45" s="112"/>
      <c r="Q45" s="112"/>
      <c r="R45" s="112"/>
      <c r="S45" s="259"/>
      <c r="T45" s="259"/>
      <c r="U45" s="259"/>
      <c r="V45" s="259"/>
      <c r="W45" s="259"/>
      <c r="X45" s="259"/>
      <c r="Y45" s="259"/>
      <c r="Z45" s="259"/>
    </row>
    <row r="46" spans="1:26" outlineLevel="1">
      <c r="A46" s="272"/>
      <c r="B46" s="272"/>
      <c r="C46" s="634"/>
      <c r="D46" s="281">
        <f>D$16</f>
        <v>7</v>
      </c>
      <c r="E46" s="276">
        <f ca="1">OFFSET('Actual RAB roll forward'!H$14,0,D46-1)-SUM('Actual RAB roll forward'!H78:OFFSET('Actual RAB roll forward'!H78,0,Input!$W$7-1))</f>
        <v>0</v>
      </c>
      <c r="F46" s="276">
        <f ca="1">IF(A3stdlife="N/A","n/a",IF(E46=0,0,A3stdlife+D46-Input!$W$7))</f>
        <v>0</v>
      </c>
      <c r="G46" s="277"/>
      <c r="H46" s="634"/>
      <c r="I46" s="281">
        <v>7</v>
      </c>
      <c r="J46" s="276">
        <f ca="1">OFFSET('Tax value roll forward'!G$42,0,I46)-SUM('Tax value roll forward'!G109:OFFSET('Tax value roll forward'!G109,0,Input!$W$7))</f>
        <v>0</v>
      </c>
      <c r="K46" s="276">
        <f ca="1">IF(A3taxstdlife="N/A","n/a",IF(J46=0,0,A3taxstdlife+I46-Input!$W$7))</f>
        <v>0</v>
      </c>
      <c r="L46" s="280"/>
      <c r="M46" s="312"/>
      <c r="N46" s="333"/>
      <c r="O46" s="112"/>
      <c r="P46" s="112"/>
      <c r="Q46" s="112"/>
      <c r="R46" s="112"/>
      <c r="S46" s="259"/>
      <c r="T46" s="259"/>
      <c r="U46" s="259"/>
      <c r="V46" s="259"/>
      <c r="W46" s="259"/>
      <c r="X46" s="259"/>
      <c r="Y46" s="259"/>
      <c r="Z46" s="259"/>
    </row>
    <row r="47" spans="1:26" outlineLevel="1">
      <c r="A47" s="272"/>
      <c r="B47" s="272"/>
      <c r="C47" s="634"/>
      <c r="D47" s="281">
        <f>D$17</f>
        <v>8</v>
      </c>
      <c r="E47" s="276">
        <f ca="1">OFFSET('Actual RAB roll forward'!H$14,0,D47-1)-SUM('Actual RAB roll forward'!H79:OFFSET('Actual RAB roll forward'!H79,0,Input!$W$7-1))</f>
        <v>0</v>
      </c>
      <c r="F47" s="276">
        <f ca="1">IF(A3stdlife="N/A","n/a",IF(E47=0,0,A3stdlife+D47-Input!$W$7))</f>
        <v>0</v>
      </c>
      <c r="G47" s="277"/>
      <c r="H47" s="634"/>
      <c r="I47" s="281">
        <v>8</v>
      </c>
      <c r="J47" s="276">
        <f ca="1">OFFSET('Tax value roll forward'!G$42,0,I47)-SUM('Tax value roll forward'!G110:OFFSET('Tax value roll forward'!G110,0,Input!$W$7))</f>
        <v>0</v>
      </c>
      <c r="K47" s="276">
        <f ca="1">IF(A3taxstdlife="N/A","n/a",IF(J47=0,0,A3taxstdlife+I47-Input!$W$7))</f>
        <v>0</v>
      </c>
      <c r="L47" s="280"/>
      <c r="M47" s="312"/>
      <c r="N47" s="333"/>
      <c r="O47" s="112"/>
      <c r="P47" s="112"/>
      <c r="Q47" s="112"/>
      <c r="R47" s="112"/>
      <c r="S47" s="259"/>
      <c r="T47" s="259"/>
      <c r="U47" s="259"/>
      <c r="V47" s="259"/>
      <c r="W47" s="259"/>
      <c r="X47" s="259"/>
      <c r="Y47" s="259"/>
      <c r="Z47" s="259"/>
    </row>
    <row r="48" spans="1:26" outlineLevel="1">
      <c r="A48" s="272"/>
      <c r="B48" s="272"/>
      <c r="C48" s="634"/>
      <c r="D48" s="281">
        <f>D$18</f>
        <v>9</v>
      </c>
      <c r="E48" s="276">
        <f ca="1">OFFSET('Actual RAB roll forward'!H$14,0,D48-1)-SUM('Actual RAB roll forward'!H80:OFFSET('Actual RAB roll forward'!H80,0,Input!$W$7-1))</f>
        <v>0</v>
      </c>
      <c r="F48" s="276">
        <f ca="1">IF(A3stdlife="N/A","n/a",IF(E48=0,0,A3stdlife+D48-Input!$W$7))</f>
        <v>0</v>
      </c>
      <c r="G48" s="277"/>
      <c r="H48" s="634"/>
      <c r="I48" s="281">
        <v>9</v>
      </c>
      <c r="J48" s="276">
        <f ca="1">OFFSET('Tax value roll forward'!G$42,0,I48)-SUM('Tax value roll forward'!G111:OFFSET('Tax value roll forward'!G111,0,Input!$W$7))</f>
        <v>0</v>
      </c>
      <c r="K48" s="276">
        <f ca="1">IF(A3taxstdlife="N/A","n/a",IF(J48=0,0,A3taxstdlife+I48-Input!$W$7))</f>
        <v>0</v>
      </c>
      <c r="L48" s="280"/>
      <c r="M48" s="312"/>
      <c r="N48" s="333"/>
      <c r="O48" s="112"/>
      <c r="P48" s="112"/>
      <c r="Q48" s="112"/>
      <c r="R48" s="112"/>
      <c r="S48" s="259"/>
      <c r="T48" s="259"/>
      <c r="U48" s="259"/>
      <c r="V48" s="259"/>
      <c r="W48" s="259"/>
      <c r="X48" s="259"/>
      <c r="Y48" s="259"/>
      <c r="Z48" s="259"/>
    </row>
    <row r="49" spans="1:26" outlineLevel="1">
      <c r="A49" s="272"/>
      <c r="B49" s="272"/>
      <c r="C49" s="635"/>
      <c r="D49" s="282">
        <f>D$19</f>
        <v>10</v>
      </c>
      <c r="E49" s="276">
        <f ca="1">OFFSET('Actual RAB roll forward'!H$14,0,D49-1)-SUM('Actual RAB roll forward'!H81:OFFSET('Actual RAB roll forward'!H81,0,Input!$W$7-1))</f>
        <v>0</v>
      </c>
      <c r="F49" s="276">
        <f ca="1">IF(A3stdlife="N/A","n/a",IF(E49=0,0,A3stdlife+D49-Input!$W$7))</f>
        <v>0</v>
      </c>
      <c r="G49" s="277"/>
      <c r="H49" s="635"/>
      <c r="I49" s="282">
        <v>10</v>
      </c>
      <c r="J49" s="276">
        <f ca="1">OFFSET('Tax value roll forward'!G$42,0,I49)-SUM('Tax value roll forward'!G112:OFFSET('Tax value roll forward'!G112,0,Input!$W$7))</f>
        <v>0</v>
      </c>
      <c r="K49" s="276">
        <f ca="1">IF(A3taxstdlife="N/A","n/a",IF(J49=0,0,A3taxstdlife+I49-Input!$W$7))</f>
        <v>0</v>
      </c>
      <c r="L49" s="280"/>
      <c r="M49" s="312"/>
      <c r="N49" s="333"/>
      <c r="O49" s="112"/>
      <c r="P49" s="112"/>
      <c r="Q49" s="112"/>
      <c r="R49" s="112"/>
      <c r="S49" s="259"/>
      <c r="T49" s="259"/>
      <c r="U49" s="259"/>
      <c r="V49" s="259"/>
      <c r="W49" s="259"/>
      <c r="X49" s="259"/>
      <c r="Y49" s="259"/>
      <c r="Z49" s="259"/>
    </row>
    <row r="50" spans="1:26">
      <c r="A50" s="272"/>
      <c r="B50" s="272"/>
      <c r="C50" s="280" t="str">
        <f>Asset3</f>
        <v>Buildings</v>
      </c>
      <c r="D50" s="272"/>
      <c r="E50" s="276">
        <f ca="1">SUM(E38:E49)</f>
        <v>3.3881317890172014E-19</v>
      </c>
      <c r="F50" s="276">
        <f ca="1">IF(E50=0,0,SUMPRODUCT(E38:E49,F38:F49)/E50)</f>
        <v>-5</v>
      </c>
      <c r="G50" s="277"/>
      <c r="H50" s="284"/>
      <c r="I50" s="276"/>
      <c r="J50" s="311">
        <f ca="1">SUM(J38:J49)</f>
        <v>0</v>
      </c>
      <c r="K50" s="311">
        <f ca="1">IF(J50=0,0,SUMPRODUCT(J38:J49,K38:K49)/J50)</f>
        <v>0</v>
      </c>
      <c r="L50" s="280"/>
      <c r="M50" s="312"/>
      <c r="N50" s="333"/>
      <c r="O50" s="336">
        <v>0</v>
      </c>
      <c r="P50" s="112">
        <f>SUM(P38:P49)</f>
        <v>0</v>
      </c>
      <c r="Q50" s="112">
        <f>P50-O50</f>
        <v>0</v>
      </c>
      <c r="R50" s="112"/>
      <c r="S50" s="259"/>
      <c r="T50" s="259"/>
      <c r="U50" s="259"/>
      <c r="V50" s="259"/>
      <c r="W50" s="259"/>
      <c r="X50" s="259"/>
      <c r="Y50" s="259"/>
      <c r="Z50" s="259"/>
    </row>
    <row r="51" spans="1:26" outlineLevel="1">
      <c r="A51" s="272"/>
      <c r="B51" s="272"/>
      <c r="C51" s="280"/>
      <c r="D51" s="272"/>
      <c r="E51" s="276"/>
      <c r="F51" s="276"/>
      <c r="G51" s="277"/>
      <c r="H51" s="276"/>
      <c r="I51" s="276"/>
      <c r="J51" s="290"/>
      <c r="K51" s="276"/>
      <c r="L51" s="280"/>
      <c r="M51" s="312"/>
      <c r="N51" s="333"/>
      <c r="O51" s="112"/>
      <c r="P51" s="112"/>
      <c r="Q51" s="112"/>
      <c r="R51" s="112"/>
      <c r="S51" s="259"/>
      <c r="T51" s="259"/>
      <c r="U51" s="259"/>
      <c r="V51" s="259"/>
      <c r="W51" s="259"/>
      <c r="X51" s="259"/>
      <c r="Y51" s="259"/>
      <c r="Z51" s="259"/>
    </row>
    <row r="52" spans="1:26" outlineLevel="1">
      <c r="A52" s="272"/>
      <c r="B52" s="275" t="str">
        <f>Asset4</f>
        <v>SCADA</v>
      </c>
      <c r="C52" s="272"/>
      <c r="D52" s="272"/>
      <c r="E52" s="276"/>
      <c r="F52" s="276"/>
      <c r="G52" s="277"/>
      <c r="H52" s="276"/>
      <c r="I52" s="276"/>
      <c r="J52" s="290"/>
      <c r="K52" s="276"/>
      <c r="L52" s="280"/>
      <c r="M52" s="312"/>
      <c r="N52" s="333"/>
      <c r="O52" s="112"/>
      <c r="P52" s="112"/>
      <c r="Q52" s="112"/>
      <c r="R52" s="112"/>
      <c r="S52" s="259"/>
      <c r="T52" s="259"/>
      <c r="U52" s="259"/>
      <c r="V52" s="259"/>
      <c r="W52" s="259"/>
      <c r="X52" s="259"/>
      <c r="Y52" s="259"/>
      <c r="Z52" s="259"/>
    </row>
    <row r="53" spans="1:26" ht="12.75" customHeight="1" outlineLevel="1">
      <c r="A53" s="272"/>
      <c r="B53" s="272"/>
      <c r="C53" s="636" t="s">
        <v>28</v>
      </c>
      <c r="D53" s="637"/>
      <c r="E53" s="276">
        <f ca="1">A4value-SUM('Actual RAB roll forward'!H83:OFFSET('Actual RAB roll forward'!H83,0,Input!$W$7-1))</f>
        <v>0</v>
      </c>
      <c r="F53" s="276">
        <f ca="1">IF(A4remlife="N/A","n/a",IF(E53=0,0,A4remlife-Input!$W$7))</f>
        <v>0</v>
      </c>
      <c r="G53" s="277"/>
      <c r="H53" s="278" t="s">
        <v>67</v>
      </c>
      <c r="I53" s="279"/>
      <c r="J53" s="276">
        <f ca="1">A4taxvalue-SUM('Tax value roll forward'!G114:OFFSET('Tax value roll forward'!G114,0,Input!$W$7))</f>
        <v>0</v>
      </c>
      <c r="K53" s="323">
        <f ca="1">IF(A4taxremlife="N/A","n/a",IF(J53=0,0,A4taxremlife-Input!$W$7-1))</f>
        <v>0</v>
      </c>
      <c r="L53" s="280"/>
      <c r="M53" s="312"/>
      <c r="N53" s="333"/>
      <c r="O53" s="112"/>
      <c r="P53" s="112" t="e">
        <f ca="1">E53/F53</f>
        <v>#DIV/0!</v>
      </c>
      <c r="Q53" s="112"/>
      <c r="R53" s="112"/>
      <c r="S53" s="259"/>
      <c r="T53" s="259"/>
      <c r="U53" s="259"/>
      <c r="V53" s="259"/>
      <c r="W53" s="259"/>
      <c r="X53" s="259"/>
      <c r="Y53" s="259"/>
      <c r="Z53" s="259"/>
    </row>
    <row r="54" spans="1:26" ht="12.75" customHeight="1" outlineLevel="1">
      <c r="A54" s="272"/>
      <c r="B54" s="272"/>
      <c r="C54" s="633" t="s">
        <v>84</v>
      </c>
      <c r="D54" s="322">
        <f>D$9</f>
        <v>0</v>
      </c>
      <c r="E54" s="276"/>
      <c r="F54" s="276"/>
      <c r="G54" s="277"/>
      <c r="H54" s="633" t="s">
        <v>84</v>
      </c>
      <c r="I54" s="322">
        <v>0</v>
      </c>
      <c r="J54" s="323">
        <f ca="1">OFFSET('Tax value roll forward'!G$43,0,I54)-SUM('Tax value roll forward'!G116:OFFSET('Tax value roll forward'!G116,0,Input!$W$7))</f>
        <v>0</v>
      </c>
      <c r="K54" s="323">
        <f ca="1">IF(A4taxstdlife="N/A","n/a",IF(J54=0,0,A4taxstdlife+I54-Input!$W$7))</f>
        <v>0</v>
      </c>
      <c r="L54" s="280"/>
      <c r="M54" s="312"/>
      <c r="N54" s="333"/>
      <c r="O54" s="112"/>
      <c r="P54" s="112"/>
      <c r="Q54" s="112"/>
      <c r="R54" s="112"/>
      <c r="S54" s="259"/>
      <c r="T54" s="259"/>
      <c r="U54" s="259"/>
      <c r="V54" s="259"/>
      <c r="W54" s="259"/>
      <c r="X54" s="259"/>
      <c r="Y54" s="259"/>
      <c r="Z54" s="259"/>
    </row>
    <row r="55" spans="1:26" ht="12.75" customHeight="1" outlineLevel="1">
      <c r="A55" s="272"/>
      <c r="B55" s="272"/>
      <c r="C55" s="634"/>
      <c r="D55" s="281">
        <f>D$10</f>
        <v>1</v>
      </c>
      <c r="E55" s="276">
        <f ca="1">OFFSET('Actual RAB roll forward'!H$15,0,D55-1)-SUM('Actual RAB roll forward'!H85:OFFSET('Actual RAB roll forward'!H85,0,Input!$W$7-1))</f>
        <v>-6.3196314200126289E-3</v>
      </c>
      <c r="F55" s="276">
        <f ca="1">IF(A4stdlife="N/A","n/a",IF(E55=0,0,A4stdlife+D55-Input!$W$7))</f>
        <v>11</v>
      </c>
      <c r="G55" s="277"/>
      <c r="H55" s="634"/>
      <c r="I55" s="281">
        <v>1</v>
      </c>
      <c r="J55" s="276">
        <f ca="1">OFFSET('Tax value roll forward'!G$43,0,I55)-SUM('Tax value roll forward'!G117:OFFSET('Tax value roll forward'!G117,0,Input!$W$7))</f>
        <v>0</v>
      </c>
      <c r="K55" s="276">
        <f ca="1">IF(A4taxstdlife="N/A","n/a",IF(J55=0,0,A4taxstdlife+I55-Input!$W$7))</f>
        <v>0</v>
      </c>
      <c r="L55" s="280"/>
      <c r="M55" s="312"/>
      <c r="N55" s="333"/>
      <c r="O55" s="112"/>
      <c r="P55" s="112">
        <f ca="1">E55/F55</f>
        <v>-5.7451194727387532E-4</v>
      </c>
      <c r="Q55" s="112"/>
      <c r="R55" s="112"/>
      <c r="S55" s="259"/>
      <c r="T55" s="259"/>
      <c r="U55" s="259"/>
      <c r="V55" s="259"/>
      <c r="W55" s="259"/>
      <c r="X55" s="259"/>
      <c r="Y55" s="259"/>
      <c r="Z55" s="259"/>
    </row>
    <row r="56" spans="1:26" outlineLevel="1">
      <c r="A56" s="272"/>
      <c r="B56" s="272"/>
      <c r="C56" s="634"/>
      <c r="D56" s="281">
        <f>D$11</f>
        <v>2</v>
      </c>
      <c r="E56" s="276">
        <f ca="1">OFFSET('Actual RAB roll forward'!H$15,0,D56-1)-SUM('Actual RAB roll forward'!H86:OFFSET('Actual RAB roll forward'!H86,0,Input!$W$7-1))</f>
        <v>-5.1898145490483286E-3</v>
      </c>
      <c r="F56" s="276">
        <f ca="1">IF(A4stdlife="N/A","n/a",IF(E56=0,0,A4stdlife+D56-Input!$W$7))</f>
        <v>12</v>
      </c>
      <c r="G56" s="277"/>
      <c r="H56" s="634"/>
      <c r="I56" s="281">
        <v>2</v>
      </c>
      <c r="J56" s="276">
        <f ca="1">OFFSET('Tax value roll forward'!G$43,0,I56)-SUM('Tax value roll forward'!G118:OFFSET('Tax value roll forward'!G118,0,Input!$W$7))</f>
        <v>0</v>
      </c>
      <c r="K56" s="276">
        <f ca="1">IF(A4taxstdlife="N/A","n/a",IF(J56=0,0,A4taxstdlife+I56-Input!$W$7))</f>
        <v>0</v>
      </c>
      <c r="L56" s="280"/>
      <c r="M56" s="312"/>
      <c r="N56" s="333"/>
      <c r="O56" s="112"/>
      <c r="P56" s="112">
        <f t="shared" ref="P56:P58" ca="1" si="6">E56/F56</f>
        <v>-4.3248454575402738E-4</v>
      </c>
      <c r="Q56" s="112"/>
      <c r="R56" s="112"/>
      <c r="S56" s="259"/>
      <c r="T56" s="259"/>
      <c r="U56" s="259"/>
      <c r="V56" s="259"/>
      <c r="W56" s="259"/>
      <c r="X56" s="259"/>
      <c r="Y56" s="259"/>
      <c r="Z56" s="259"/>
    </row>
    <row r="57" spans="1:26" outlineLevel="1">
      <c r="A57" s="272"/>
      <c r="B57" s="272"/>
      <c r="C57" s="634"/>
      <c r="D57" s="281">
        <f>D$12</f>
        <v>3</v>
      </c>
      <c r="E57" s="276">
        <f ca="1">OFFSET('Actual RAB roll forward'!H$15,0,D57-1)-SUM('Actual RAB roll forward'!H87:OFFSET('Actual RAB roll forward'!H87,0,Input!$W$7-1))</f>
        <v>-3.4994814345330767E-3</v>
      </c>
      <c r="F57" s="297">
        <f ca="1">IF(A4stdlife="N/A","n/a",IF(E57=0,0,A4stdlife+D57-Input!$W$7))</f>
        <v>13</v>
      </c>
      <c r="G57" s="277"/>
      <c r="H57" s="634"/>
      <c r="I57" s="281">
        <v>3</v>
      </c>
      <c r="J57" s="276">
        <f ca="1">OFFSET('Tax value roll forward'!G$43,0,I57)-SUM('Tax value roll forward'!G119:OFFSET('Tax value roll forward'!G119,0,Input!$W$7))</f>
        <v>0</v>
      </c>
      <c r="K57" s="276">
        <f ca="1">IF(A4taxstdlife="N/A","n/a",IF(J57=0,0,A4taxstdlife+I57-Input!$W$7))</f>
        <v>0</v>
      </c>
      <c r="L57" s="280"/>
      <c r="M57" s="312"/>
      <c r="N57" s="333"/>
      <c r="O57" s="112"/>
      <c r="P57" s="112">
        <f t="shared" ca="1" si="6"/>
        <v>-2.6919087957946741E-4</v>
      </c>
      <c r="Q57" s="112"/>
      <c r="R57" s="112"/>
      <c r="S57" s="259"/>
      <c r="T57" s="259"/>
      <c r="U57" s="259"/>
      <c r="V57" s="259"/>
      <c r="W57" s="259"/>
      <c r="X57" s="259"/>
      <c r="Y57" s="259"/>
      <c r="Z57" s="259"/>
    </row>
    <row r="58" spans="1:26" outlineLevel="1">
      <c r="A58" s="272"/>
      <c r="B58" s="272"/>
      <c r="C58" s="634"/>
      <c r="D58" s="281">
        <f>D$13</f>
        <v>4</v>
      </c>
      <c r="E58" s="276">
        <f ca="1">OFFSET('Actual RAB roll forward'!H$15,0,D58-1)-SUM('Actual RAB roll forward'!H88:OFFSET('Actual RAB roll forward'!H88,0,Input!$W$7-1))</f>
        <v>-1.8229713447671227E-3</v>
      </c>
      <c r="F58" s="276">
        <f ca="1">IF(A4stdlife="N/A","n/a",IF(E58=0,0,A4stdlife+D58-Input!$W$7))</f>
        <v>14</v>
      </c>
      <c r="G58" s="277"/>
      <c r="H58" s="634"/>
      <c r="I58" s="281">
        <v>4</v>
      </c>
      <c r="J58" s="276">
        <f ca="1">OFFSET('Tax value roll forward'!G$43,0,I58)-SUM('Tax value roll forward'!G120:OFFSET('Tax value roll forward'!G120,0,Input!$W$7))</f>
        <v>0</v>
      </c>
      <c r="K58" s="276">
        <f ca="1">IF(A4taxstdlife="N/A","n/a",IF(J58=0,0,A4taxstdlife+I58-Input!$W$7))</f>
        <v>0</v>
      </c>
      <c r="L58" s="280"/>
      <c r="M58" s="312"/>
      <c r="N58" s="333"/>
      <c r="O58" s="112"/>
      <c r="P58" s="112">
        <f t="shared" ca="1" si="6"/>
        <v>-1.3021223891193735E-4</v>
      </c>
      <c r="Q58" s="112"/>
      <c r="R58" s="112"/>
      <c r="S58" s="259"/>
      <c r="T58" s="259"/>
      <c r="U58" s="259"/>
      <c r="V58" s="259"/>
      <c r="W58" s="259"/>
      <c r="X58" s="259"/>
      <c r="Y58" s="259"/>
      <c r="Z58" s="259"/>
    </row>
    <row r="59" spans="1:26" outlineLevel="1">
      <c r="A59" s="272"/>
      <c r="B59" s="272"/>
      <c r="C59" s="634"/>
      <c r="D59" s="281">
        <f>D$14</f>
        <v>5</v>
      </c>
      <c r="E59" s="276">
        <f ca="1">OFFSET('Actual RAB roll forward'!H$15,0,D59-1)-SUM('Actual RAB roll forward'!H89:OFFSET('Actual RAB roll forward'!H89,0,Input!$W$7-1))</f>
        <v>0</v>
      </c>
      <c r="F59" s="276">
        <f ca="1">IF(A4stdlife="N/A","n/a",IF(E59=0,0,A4stdlife+D59-Input!$W$7))</f>
        <v>0</v>
      </c>
      <c r="G59" s="277"/>
      <c r="H59" s="634"/>
      <c r="I59" s="281">
        <v>5</v>
      </c>
      <c r="J59" s="276">
        <f ca="1">OFFSET('Tax value roll forward'!G$43,0,I59)-SUM('Tax value roll forward'!G121:OFFSET('Tax value roll forward'!G121,0,Input!$W$7))</f>
        <v>0</v>
      </c>
      <c r="K59" s="276">
        <f ca="1">IF(A4taxstdlife="N/A","n/a",IF(J59=0,0,A4taxstdlife+I59-Input!$W$7))</f>
        <v>0</v>
      </c>
      <c r="L59" s="280"/>
      <c r="M59" s="312"/>
      <c r="N59" s="333"/>
      <c r="O59" s="112"/>
      <c r="P59" s="336">
        <v>0</v>
      </c>
      <c r="Q59" s="112"/>
      <c r="R59" s="112"/>
      <c r="S59" s="259"/>
      <c r="T59" s="259"/>
      <c r="U59" s="259"/>
      <c r="V59" s="259"/>
      <c r="W59" s="259"/>
      <c r="X59" s="259"/>
      <c r="Y59" s="259"/>
      <c r="Z59" s="259"/>
    </row>
    <row r="60" spans="1:26" outlineLevel="1">
      <c r="A60" s="272"/>
      <c r="B60" s="272"/>
      <c r="C60" s="634"/>
      <c r="D60" s="281">
        <f>D$15</f>
        <v>6</v>
      </c>
      <c r="E60" s="276">
        <f ca="1">OFFSET('Actual RAB roll forward'!H$15,0,D60-1)-SUM('Actual RAB roll forward'!H90:OFFSET('Actual RAB roll forward'!H90,0,Input!$W$7-1))</f>
        <v>0</v>
      </c>
      <c r="F60" s="276">
        <f ca="1">IF(A4stdlife="N/A","n/a",IF(E60=0,0,A4stdlife+D60-Input!$W$7))</f>
        <v>0</v>
      </c>
      <c r="G60" s="277"/>
      <c r="H60" s="634"/>
      <c r="I60" s="281">
        <v>6</v>
      </c>
      <c r="J60" s="276">
        <f ca="1">OFFSET('Tax value roll forward'!G$43,0,I60)-SUM('Tax value roll forward'!G122:OFFSET('Tax value roll forward'!G122,0,Input!$W$7))</f>
        <v>0</v>
      </c>
      <c r="K60" s="276">
        <f ca="1">IF(A4taxstdlife="N/A","n/a",IF(J60=0,0,A4taxstdlife+I60-Input!$W$7))</f>
        <v>0</v>
      </c>
      <c r="L60" s="280"/>
      <c r="M60" s="312"/>
      <c r="N60" s="333"/>
      <c r="O60" s="112"/>
      <c r="P60" s="112"/>
      <c r="Q60" s="112"/>
      <c r="R60" s="112"/>
      <c r="S60" s="259"/>
      <c r="T60" s="259"/>
      <c r="U60" s="259"/>
      <c r="V60" s="259"/>
      <c r="W60" s="259"/>
      <c r="X60" s="259"/>
      <c r="Y60" s="259"/>
      <c r="Z60" s="259"/>
    </row>
    <row r="61" spans="1:26" outlineLevel="1">
      <c r="A61" s="272"/>
      <c r="B61" s="272"/>
      <c r="C61" s="634"/>
      <c r="D61" s="281">
        <f>D$16</f>
        <v>7</v>
      </c>
      <c r="E61" s="276">
        <f ca="1">OFFSET('Actual RAB roll forward'!H$15,0,D61-1)-SUM('Actual RAB roll forward'!H91:OFFSET('Actual RAB roll forward'!H91,0,Input!$W$7-1))</f>
        <v>0</v>
      </c>
      <c r="F61" s="276">
        <f ca="1">IF(A4stdlife="N/A","n/a",IF(E61=0,0,A4stdlife+D61-Input!$W$7))</f>
        <v>0</v>
      </c>
      <c r="G61" s="277"/>
      <c r="H61" s="634"/>
      <c r="I61" s="281">
        <v>7</v>
      </c>
      <c r="J61" s="276">
        <f ca="1">OFFSET('Tax value roll forward'!G$43,0,I61)-SUM('Tax value roll forward'!G123:OFFSET('Tax value roll forward'!G123,0,Input!$W$7))</f>
        <v>0</v>
      </c>
      <c r="K61" s="276">
        <f ca="1">IF(A4taxstdlife="N/A","n/a",IF(J61=0,0,A4taxstdlife+I61-Input!$W$7))</f>
        <v>0</v>
      </c>
      <c r="L61" s="280"/>
      <c r="M61" s="312"/>
      <c r="N61" s="333"/>
      <c r="O61" s="112"/>
      <c r="P61" s="112"/>
      <c r="Q61" s="112"/>
      <c r="R61" s="112"/>
      <c r="S61" s="259"/>
      <c r="T61" s="259"/>
      <c r="U61" s="259"/>
      <c r="V61" s="259"/>
      <c r="W61" s="259"/>
      <c r="X61" s="259"/>
      <c r="Y61" s="259"/>
      <c r="Z61" s="259"/>
    </row>
    <row r="62" spans="1:26" outlineLevel="1">
      <c r="A62" s="272"/>
      <c r="B62" s="272"/>
      <c r="C62" s="634"/>
      <c r="D62" s="281">
        <f>D$17</f>
        <v>8</v>
      </c>
      <c r="E62" s="276">
        <f ca="1">OFFSET('Actual RAB roll forward'!H$15,0,D62-1)-SUM('Actual RAB roll forward'!H92:OFFSET('Actual RAB roll forward'!H92,0,Input!$W$7-1))</f>
        <v>0</v>
      </c>
      <c r="F62" s="276">
        <f ca="1">IF(A4stdlife="N/A","n/a",IF(E62=0,0,A4stdlife+D62-Input!$W$7))</f>
        <v>0</v>
      </c>
      <c r="G62" s="277"/>
      <c r="H62" s="634"/>
      <c r="I62" s="281">
        <v>8</v>
      </c>
      <c r="J62" s="276">
        <f ca="1">OFFSET('Tax value roll forward'!G$43,0,I62)-SUM('Tax value roll forward'!G124:OFFSET('Tax value roll forward'!G124,0,Input!$W$7))</f>
        <v>0</v>
      </c>
      <c r="K62" s="276">
        <f ca="1">IF(A4taxstdlife="N/A","n/a",IF(J62=0,0,A4taxstdlife+I62-Input!$W$7))</f>
        <v>0</v>
      </c>
      <c r="L62" s="280"/>
      <c r="M62" s="312"/>
      <c r="N62" s="333"/>
      <c r="O62" s="112"/>
      <c r="P62" s="112"/>
      <c r="Q62" s="112"/>
      <c r="R62" s="112"/>
      <c r="S62" s="259"/>
      <c r="T62" s="259"/>
      <c r="U62" s="259"/>
      <c r="V62" s="259"/>
      <c r="W62" s="259"/>
      <c r="X62" s="259"/>
      <c r="Y62" s="259"/>
      <c r="Z62" s="259"/>
    </row>
    <row r="63" spans="1:26" outlineLevel="1">
      <c r="A63" s="272"/>
      <c r="B63" s="272"/>
      <c r="C63" s="634"/>
      <c r="D63" s="281">
        <f>D$18</f>
        <v>9</v>
      </c>
      <c r="E63" s="276">
        <f ca="1">OFFSET('Actual RAB roll forward'!H$15,0,D63-1)-SUM('Actual RAB roll forward'!H93:OFFSET('Actual RAB roll forward'!H93,0,Input!$W$7-1))</f>
        <v>0</v>
      </c>
      <c r="F63" s="276">
        <f ca="1">IF(A4stdlife="N/A","n/a",IF(E63=0,0,A4stdlife+D63-Input!$W$7))</f>
        <v>0</v>
      </c>
      <c r="G63" s="277"/>
      <c r="H63" s="634"/>
      <c r="I63" s="281">
        <v>9</v>
      </c>
      <c r="J63" s="276">
        <f ca="1">OFFSET('Tax value roll forward'!G$43,0,I63)-SUM('Tax value roll forward'!G125:OFFSET('Tax value roll forward'!G125,0,Input!$W$7))</f>
        <v>0</v>
      </c>
      <c r="K63" s="276">
        <f ca="1">IF(A4taxstdlife="N/A","n/a",IF(J63=0,0,A4taxstdlife+I63-Input!$W$7))</f>
        <v>0</v>
      </c>
      <c r="L63" s="280"/>
      <c r="M63" s="312"/>
      <c r="N63" s="333"/>
      <c r="O63" s="112"/>
      <c r="P63" s="112"/>
      <c r="Q63" s="112"/>
      <c r="R63" s="112"/>
      <c r="S63" s="259"/>
      <c r="T63" s="259"/>
      <c r="U63" s="259"/>
      <c r="V63" s="259"/>
      <c r="W63" s="259"/>
      <c r="X63" s="259"/>
      <c r="Y63" s="259"/>
      <c r="Z63" s="259"/>
    </row>
    <row r="64" spans="1:26" outlineLevel="1">
      <c r="A64" s="272"/>
      <c r="B64" s="272"/>
      <c r="C64" s="635"/>
      <c r="D64" s="282">
        <f>D$19</f>
        <v>10</v>
      </c>
      <c r="E64" s="276">
        <f ca="1">OFFSET('Actual RAB roll forward'!H$15,0,D64-1)-SUM('Actual RAB roll forward'!H94:OFFSET('Actual RAB roll forward'!H94,0,Input!$W$7-1))</f>
        <v>0</v>
      </c>
      <c r="F64" s="276">
        <f ca="1">IF(A4stdlife="N/A","n/a",IF(E64=0,0,A4stdlife+D64-Input!$W$7))</f>
        <v>0</v>
      </c>
      <c r="G64" s="277"/>
      <c r="H64" s="635"/>
      <c r="I64" s="282">
        <v>10</v>
      </c>
      <c r="J64" s="276">
        <f ca="1">OFFSET('Tax value roll forward'!G$43,0,I64)-SUM('Tax value roll forward'!G126:OFFSET('Tax value roll forward'!G126,0,Input!$W$7))</f>
        <v>0</v>
      </c>
      <c r="K64" s="276">
        <f ca="1">IF(A4taxstdlife="N/A","n/a",IF(J64=0,0,A4taxstdlife+I64-Input!$W$7))</f>
        <v>0</v>
      </c>
      <c r="M64" s="312"/>
      <c r="N64" s="333"/>
      <c r="O64" s="112"/>
      <c r="P64" s="112"/>
      <c r="Q64" s="112"/>
      <c r="R64" s="112"/>
      <c r="S64" s="259"/>
      <c r="T64" s="259"/>
      <c r="U64" s="259"/>
      <c r="V64" s="259"/>
      <c r="W64" s="259"/>
      <c r="X64" s="259"/>
      <c r="Y64" s="259"/>
      <c r="Z64" s="259"/>
    </row>
    <row r="65" spans="1:26">
      <c r="A65" s="272"/>
      <c r="B65" s="272"/>
      <c r="C65" s="292" t="str">
        <f>Asset4</f>
        <v>SCADA</v>
      </c>
      <c r="D65" s="272"/>
      <c r="E65" s="276">
        <f ca="1">SUM(E53:E64)</f>
        <v>-1.6831898748361156E-2</v>
      </c>
      <c r="F65" s="276">
        <f ca="1">IF(E65=0,0,SUMPRODUCT(E53:E64,F53:F64)/E65)</f>
        <v>12.049061173454072</v>
      </c>
      <c r="G65" s="277"/>
      <c r="H65" s="284"/>
      <c r="I65" s="276"/>
      <c r="J65" s="311">
        <f ca="1">SUM(J53:J64)</f>
        <v>0</v>
      </c>
      <c r="K65" s="311">
        <f ca="1">IF(J65=0,0,SUMPRODUCT(J53:J64,K53:K64)/J65)</f>
        <v>0</v>
      </c>
      <c r="L65" s="280"/>
      <c r="M65" s="312"/>
      <c r="N65" s="333"/>
      <c r="O65" s="112">
        <f ca="1">E65/F65</f>
        <v>-1.396946907817549E-3</v>
      </c>
      <c r="P65" s="112" t="e">
        <f ca="1">SUM(P53:P64)</f>
        <v>#DIV/0!</v>
      </c>
      <c r="Q65" s="112" t="e">
        <f ca="1">P65-O65</f>
        <v>#DIV/0!</v>
      </c>
      <c r="R65" s="112"/>
      <c r="S65" s="259"/>
      <c r="T65" s="259"/>
      <c r="U65" s="259"/>
      <c r="V65" s="259"/>
      <c r="W65" s="259"/>
      <c r="X65" s="259"/>
      <c r="Y65" s="259"/>
      <c r="Z65" s="259"/>
    </row>
    <row r="66" spans="1:26" outlineLevel="1">
      <c r="A66" s="272"/>
      <c r="B66" s="272"/>
      <c r="C66" s="292"/>
      <c r="D66" s="272"/>
      <c r="E66" s="276"/>
      <c r="F66" s="276"/>
      <c r="G66" s="277"/>
      <c r="H66" s="276"/>
      <c r="I66" s="276"/>
      <c r="J66" s="290"/>
      <c r="K66" s="276"/>
      <c r="L66" s="280"/>
      <c r="M66" s="312"/>
      <c r="N66" s="333"/>
      <c r="O66" s="112"/>
      <c r="P66" s="112"/>
      <c r="Q66" s="112"/>
      <c r="R66" s="112"/>
      <c r="S66" s="259"/>
      <c r="T66" s="259"/>
      <c r="U66" s="259"/>
      <c r="V66" s="259"/>
      <c r="W66" s="259"/>
      <c r="X66" s="259"/>
      <c r="Y66" s="259"/>
      <c r="Z66" s="259"/>
    </row>
    <row r="67" spans="1:26" outlineLevel="1">
      <c r="A67" s="272"/>
      <c r="B67" s="275" t="str">
        <f>Asset5</f>
        <v>Computer Equipment</v>
      </c>
      <c r="C67" s="272"/>
      <c r="D67" s="272"/>
      <c r="E67" s="276"/>
      <c r="F67" s="276"/>
      <c r="G67" s="277"/>
      <c r="H67" s="276"/>
      <c r="I67" s="276"/>
      <c r="J67" s="290"/>
      <c r="K67" s="276"/>
      <c r="L67" s="280"/>
      <c r="M67" s="312"/>
      <c r="N67" s="333"/>
      <c r="O67" s="112"/>
      <c r="P67" s="112"/>
      <c r="Q67" s="112"/>
      <c r="R67" s="112"/>
      <c r="S67" s="259"/>
      <c r="T67" s="259"/>
      <c r="U67" s="259"/>
      <c r="V67" s="259"/>
      <c r="W67" s="259"/>
      <c r="X67" s="259"/>
      <c r="Y67" s="259"/>
      <c r="Z67" s="259"/>
    </row>
    <row r="68" spans="1:26" ht="12.75" customHeight="1" outlineLevel="1">
      <c r="A68" s="272"/>
      <c r="B68" s="272"/>
      <c r="C68" s="636" t="s">
        <v>28</v>
      </c>
      <c r="D68" s="637"/>
      <c r="E68" s="276">
        <f ca="1">A5value-SUM('Actual RAB roll forward'!H96:OFFSET('Actual RAB roll forward'!H96,0,Input!$W$7-1))</f>
        <v>0</v>
      </c>
      <c r="F68" s="276">
        <f ca="1">IF(A5remlife="N/A","n/a",IF(E68=0,0,A5remlife-Input!$W$7))</f>
        <v>0</v>
      </c>
      <c r="G68" s="277"/>
      <c r="H68" s="278" t="s">
        <v>67</v>
      </c>
      <c r="I68" s="279"/>
      <c r="J68" s="276">
        <f ca="1">A5taxvalue-SUM('Tax value roll forward'!G128:OFFSET('Tax value roll forward'!G128,0,Input!$W$7))</f>
        <v>0</v>
      </c>
      <c r="K68" s="323">
        <f ca="1">IF(A5taxremlife="N/A","n/a",IF(J68=0,0,A5taxremlife-Input!$W$7-1))</f>
        <v>0</v>
      </c>
      <c r="L68" s="280"/>
      <c r="M68" s="312">
        <f ca="1">E68*F68</f>
        <v>0</v>
      </c>
      <c r="N68" s="333"/>
      <c r="O68" s="112"/>
      <c r="P68" s="112" t="e">
        <f ca="1">E68/F68</f>
        <v>#DIV/0!</v>
      </c>
      <c r="Q68" s="112"/>
      <c r="R68" s="112"/>
      <c r="S68" s="259"/>
      <c r="T68" s="259"/>
      <c r="U68" s="259"/>
      <c r="V68" s="259"/>
      <c r="W68" s="259"/>
      <c r="X68" s="259"/>
      <c r="Y68" s="259"/>
      <c r="Z68" s="259"/>
    </row>
    <row r="69" spans="1:26" ht="12.75" customHeight="1" outlineLevel="1">
      <c r="A69" s="272"/>
      <c r="B69" s="272"/>
      <c r="C69" s="633" t="s">
        <v>84</v>
      </c>
      <c r="D69" s="322">
        <f>D$9</f>
        <v>0</v>
      </c>
      <c r="E69" s="276"/>
      <c r="F69" s="276"/>
      <c r="G69" s="277"/>
      <c r="H69" s="633" t="s">
        <v>84</v>
      </c>
      <c r="I69" s="322">
        <v>0</v>
      </c>
      <c r="J69" s="323">
        <f ca="1">OFFSET('Tax value roll forward'!G$44,0,I69)-SUM('Tax value roll forward'!G130:OFFSET('Tax value roll forward'!G130,0,Input!$W$7))</f>
        <v>0</v>
      </c>
      <c r="K69" s="323">
        <f ca="1">IF(A5taxstdlife="N/A","n/a",IF(J69=0,0,A5taxstdlife+I69-Input!$W$7))</f>
        <v>0</v>
      </c>
      <c r="L69" s="280"/>
      <c r="M69" s="312">
        <f t="shared" ref="M69:M79" si="7">E69*F69</f>
        <v>0</v>
      </c>
      <c r="N69" s="333"/>
      <c r="O69" s="112"/>
      <c r="P69" s="112"/>
      <c r="Q69" s="112"/>
      <c r="R69" s="112"/>
      <c r="S69" s="259"/>
      <c r="T69" s="259"/>
      <c r="U69" s="259"/>
      <c r="V69" s="259"/>
      <c r="W69" s="259"/>
      <c r="X69" s="259"/>
      <c r="Y69" s="259"/>
      <c r="Z69" s="259"/>
    </row>
    <row r="70" spans="1:26" ht="12.75" customHeight="1" outlineLevel="1">
      <c r="A70" s="272"/>
      <c r="B70" s="272"/>
      <c r="C70" s="634"/>
      <c r="D70" s="281">
        <f>D$10</f>
        <v>1</v>
      </c>
      <c r="E70" s="276">
        <f ca="1">OFFSET('Actual RAB roll forward'!H$16,0,D70-1)-SUM('Actual RAB roll forward'!H98:OFFSET('Actual RAB roll forward'!H98,0,Input!$W$7-1))</f>
        <v>-0.14459607397050195</v>
      </c>
      <c r="F70" s="276">
        <f ca="1">IF(A5stdlife="N/A","n/a",IF(E70=0,0,A5stdlife+D70-Input!$W$7))</f>
        <v>1</v>
      </c>
      <c r="G70" s="277"/>
      <c r="H70" s="634"/>
      <c r="I70" s="281">
        <v>1</v>
      </c>
      <c r="J70" s="276">
        <f ca="1">OFFSET('Tax value roll forward'!G$44,0,I70)-SUM('Tax value roll forward'!G131:OFFSET('Tax value roll forward'!G131,0,Input!$W$7))</f>
        <v>0</v>
      </c>
      <c r="K70" s="276">
        <f ca="1">IF(A5taxstdlife="N/A","n/a",IF(J70=0,0,A5taxstdlife+I70-Input!$W$7))</f>
        <v>0</v>
      </c>
      <c r="L70" s="280"/>
      <c r="M70" s="312">
        <f t="shared" ca="1" si="7"/>
        <v>-0.14459607397050195</v>
      </c>
      <c r="N70" s="333"/>
      <c r="O70" s="112"/>
      <c r="P70" s="112">
        <f ca="1">E70/F70</f>
        <v>-0.14459607397050195</v>
      </c>
      <c r="Q70" s="112"/>
      <c r="R70" s="112"/>
      <c r="S70" s="259"/>
      <c r="T70" s="259"/>
      <c r="U70" s="259"/>
      <c r="V70" s="259"/>
      <c r="W70" s="259"/>
      <c r="X70" s="259"/>
      <c r="Y70" s="259"/>
      <c r="Z70" s="259"/>
    </row>
    <row r="71" spans="1:26" outlineLevel="1">
      <c r="A71" s="272"/>
      <c r="B71" s="272"/>
      <c r="C71" s="634"/>
      <c r="D71" s="281">
        <f>D$11</f>
        <v>2</v>
      </c>
      <c r="E71" s="276">
        <f ca="1">OFFSET('Actual RAB roll forward'!H$16,0,D71-1)-SUM('Actual RAB roll forward'!H99:OFFSET('Actual RAB roll forward'!H99,0,Input!$W$7-1))</f>
        <v>-0.21278469005655226</v>
      </c>
      <c r="F71" s="276">
        <f ca="1">IF(A5stdlife="N/A","n/a",IF(E71=0,0,A5stdlife+D71-Input!$W$7))</f>
        <v>2</v>
      </c>
      <c r="G71" s="277"/>
      <c r="H71" s="634"/>
      <c r="I71" s="281">
        <v>2</v>
      </c>
      <c r="J71" s="276">
        <f ca="1">OFFSET('Tax value roll forward'!G$44,0,I71)-SUM('Tax value roll forward'!G132:OFFSET('Tax value roll forward'!G132,0,Input!$W$7))</f>
        <v>0</v>
      </c>
      <c r="K71" s="276">
        <f ca="1">IF(A5taxstdlife="N/A","n/a",IF(J71=0,0,A5taxstdlife+I71-Input!$W$7))</f>
        <v>0</v>
      </c>
      <c r="L71" s="280"/>
      <c r="M71" s="312">
        <f t="shared" ca="1" si="7"/>
        <v>-0.42556938011310452</v>
      </c>
      <c r="N71" s="333"/>
      <c r="O71" s="112"/>
      <c r="P71" s="112">
        <f t="shared" ref="P71:P73" ca="1" si="8">E71/F71</f>
        <v>-0.10639234502827613</v>
      </c>
      <c r="Q71" s="112">
        <f ca="1">P71</f>
        <v>-0.10639234502827613</v>
      </c>
      <c r="R71" s="112"/>
      <c r="S71" s="259"/>
      <c r="T71" s="259"/>
      <c r="U71" s="259"/>
      <c r="V71" s="259"/>
      <c r="W71" s="259"/>
      <c r="X71" s="259"/>
      <c r="Y71" s="259"/>
      <c r="Z71" s="259"/>
    </row>
    <row r="72" spans="1:26" outlineLevel="1">
      <c r="A72" s="272"/>
      <c r="B72" s="272"/>
      <c r="C72" s="634"/>
      <c r="D72" s="281">
        <f>D$12</f>
        <v>3</v>
      </c>
      <c r="E72" s="276">
        <f ca="1">OFFSET('Actual RAB roll forward'!H$16,0,D72-1)-SUM('Actual RAB roll forward'!H100:OFFSET('Actual RAB roll forward'!H100,0,Input!$W$7-1))</f>
        <v>-5.6622747621183078E-2</v>
      </c>
      <c r="F72" s="276">
        <f ca="1">IF(A5stdlife="N/A","n/a",IF(E72=0,0,A5stdlife+D72-Input!$W$7))</f>
        <v>3</v>
      </c>
      <c r="G72" s="277"/>
      <c r="H72" s="634"/>
      <c r="I72" s="281">
        <v>3</v>
      </c>
      <c r="J72" s="276">
        <f ca="1">OFFSET('Tax value roll forward'!G$44,0,I72)-SUM('Tax value roll forward'!G133:OFFSET('Tax value roll forward'!G133,0,Input!$W$7))</f>
        <v>0</v>
      </c>
      <c r="K72" s="276">
        <f ca="1">IF(A5taxstdlife="N/A","n/a",IF(J72=0,0,A5taxstdlife+I72-Input!$W$7))</f>
        <v>0</v>
      </c>
      <c r="L72" s="280"/>
      <c r="M72" s="312">
        <f t="shared" ca="1" si="7"/>
        <v>-0.16986824286354923</v>
      </c>
      <c r="N72" s="333"/>
      <c r="O72" s="112"/>
      <c r="P72" s="112">
        <f t="shared" ca="1" si="8"/>
        <v>-1.8874249207061027E-2</v>
      </c>
      <c r="Q72" s="112">
        <f t="shared" ref="Q72:R74" ca="1" si="9">P72</f>
        <v>-1.8874249207061027E-2</v>
      </c>
      <c r="R72" s="112">
        <f ca="1">Q72</f>
        <v>-1.8874249207061027E-2</v>
      </c>
      <c r="S72" s="259"/>
      <c r="T72" s="259"/>
      <c r="U72" s="259"/>
      <c r="V72" s="259"/>
      <c r="W72" s="259"/>
      <c r="X72" s="259"/>
      <c r="Y72" s="259"/>
      <c r="Z72" s="259"/>
    </row>
    <row r="73" spans="1:26" outlineLevel="1">
      <c r="A73" s="272"/>
      <c r="B73" s="272"/>
      <c r="C73" s="634"/>
      <c r="D73" s="281">
        <f>D$13</f>
        <v>4</v>
      </c>
      <c r="E73" s="276">
        <f ca="1">OFFSET('Actual RAB roll forward'!H$16,0,D73-1)-SUM('Actual RAB roll forward'!H101:OFFSET('Actual RAB roll forward'!H101,0,Input!$W$7-1))</f>
        <v>3.9924074897965268E-2</v>
      </c>
      <c r="F73" s="276">
        <f ca="1">IF(A5stdlife="N/A","n/a",IF(E73=0,0,A5stdlife+D73-Input!$W$7))</f>
        <v>4</v>
      </c>
      <c r="G73" s="277"/>
      <c r="H73" s="634"/>
      <c r="I73" s="281">
        <v>4</v>
      </c>
      <c r="J73" s="276">
        <f ca="1">OFFSET('Tax value roll forward'!G$44,0,I73)-SUM('Tax value roll forward'!G134:OFFSET('Tax value roll forward'!G134,0,Input!$W$7))</f>
        <v>0</v>
      </c>
      <c r="K73" s="276">
        <f ca="1">IF(A5taxstdlife="N/A","n/a",IF(J73=0,0,A5taxstdlife+I73-Input!$W$7))</f>
        <v>0</v>
      </c>
      <c r="L73" s="280"/>
      <c r="M73" s="312">
        <f t="shared" ca="1" si="7"/>
        <v>0.15969629959186107</v>
      </c>
      <c r="N73" s="333"/>
      <c r="O73" s="112"/>
      <c r="P73" s="112">
        <f t="shared" ca="1" si="8"/>
        <v>9.9810187244913171E-3</v>
      </c>
      <c r="Q73" s="112">
        <f t="shared" ca="1" si="9"/>
        <v>9.9810187244913171E-3</v>
      </c>
      <c r="R73" s="112">
        <f t="shared" ca="1" si="9"/>
        <v>9.9810187244913171E-3</v>
      </c>
      <c r="S73" s="335">
        <f ca="1">R73</f>
        <v>9.9810187244913171E-3</v>
      </c>
      <c r="T73" s="259"/>
      <c r="U73" s="259"/>
      <c r="V73" s="259"/>
      <c r="W73" s="259"/>
      <c r="X73" s="259"/>
      <c r="Y73" s="259"/>
      <c r="Z73" s="259"/>
    </row>
    <row r="74" spans="1:26" outlineLevel="1">
      <c r="A74" s="272"/>
      <c r="B74" s="272"/>
      <c r="C74" s="634"/>
      <c r="D74" s="281">
        <f>D$14</f>
        <v>5</v>
      </c>
      <c r="E74" s="276">
        <f ca="1">OFFSET('Actual RAB roll forward'!H$16,0,D74-1)-SUM('Actual RAB roll forward'!H102:OFFSET('Actual RAB roll forward'!H102,0,Input!$W$7-1))</f>
        <v>0.27695189228548717</v>
      </c>
      <c r="F74" s="276">
        <f ca="1">IF(A5stdlife="N/A","n/a",IF(E74=0,0,A5stdlife+D74-Input!$W$7))</f>
        <v>5</v>
      </c>
      <c r="G74" s="277"/>
      <c r="H74" s="634"/>
      <c r="I74" s="281">
        <v>5</v>
      </c>
      <c r="J74" s="276">
        <f ca="1">OFFSET('Tax value roll forward'!G$44,0,I74)-SUM('Tax value roll forward'!G135:OFFSET('Tax value roll forward'!G135,0,Input!$W$7))</f>
        <v>0.29469686686608215</v>
      </c>
      <c r="K74" s="276">
        <f ca="1">IF(A5taxstdlife="N/A","n/a",IF(J74=0,0,A5taxstdlife+I74-Input!$W$7))</f>
        <v>0</v>
      </c>
      <c r="L74" s="280"/>
      <c r="M74" s="312">
        <f t="shared" ca="1" si="7"/>
        <v>1.3847594614274359</v>
      </c>
      <c r="N74" s="333"/>
      <c r="O74" s="112"/>
      <c r="P74" s="336">
        <v>0</v>
      </c>
      <c r="Q74" s="112">
        <f t="shared" si="9"/>
        <v>0</v>
      </c>
      <c r="R74" s="112">
        <f t="shared" si="9"/>
        <v>0</v>
      </c>
      <c r="S74" s="335">
        <f>R74</f>
        <v>0</v>
      </c>
      <c r="T74" s="335">
        <f>S74</f>
        <v>0</v>
      </c>
      <c r="U74" s="259"/>
      <c r="V74" s="259"/>
      <c r="W74" s="259"/>
      <c r="X74" s="259"/>
      <c r="Y74" s="259"/>
      <c r="Z74" s="259"/>
    </row>
    <row r="75" spans="1:26" outlineLevel="1">
      <c r="A75" s="272"/>
      <c r="B75" s="272"/>
      <c r="C75" s="634"/>
      <c r="D75" s="281">
        <f>D$15</f>
        <v>6</v>
      </c>
      <c r="E75" s="276">
        <f ca="1">OFFSET('Actual RAB roll forward'!H$16,0,D75-1)-SUM('Actual RAB roll forward'!H103:OFFSET('Actual RAB roll forward'!H103,0,Input!$W$7-1))</f>
        <v>0</v>
      </c>
      <c r="F75" s="276">
        <f ca="1">IF(A5stdlife="N/A","n/a",IF(E75=0,0,A5stdlife+D75-Input!$W$7))</f>
        <v>0</v>
      </c>
      <c r="G75" s="277"/>
      <c r="H75" s="634"/>
      <c r="I75" s="281">
        <v>6</v>
      </c>
      <c r="J75" s="276">
        <f ca="1">OFFSET('Tax value roll forward'!G$44,0,I75)-SUM('Tax value roll forward'!G136:OFFSET('Tax value roll forward'!G136,0,Input!$W$7))</f>
        <v>0</v>
      </c>
      <c r="K75" s="276">
        <f ca="1">IF(A5taxstdlife="N/A","n/a",IF(J75=0,0,A5taxstdlife+I75-Input!$W$7))</f>
        <v>0</v>
      </c>
      <c r="L75" s="280"/>
      <c r="M75" s="312">
        <f t="shared" ca="1" si="7"/>
        <v>0</v>
      </c>
      <c r="N75" s="333"/>
      <c r="O75" s="112"/>
      <c r="P75" s="112"/>
      <c r="Q75" s="112"/>
      <c r="R75" s="112"/>
      <c r="S75" s="259"/>
      <c r="T75" s="259"/>
      <c r="U75" s="259"/>
      <c r="V75" s="259"/>
      <c r="W75" s="259"/>
      <c r="X75" s="259"/>
      <c r="Y75" s="259"/>
      <c r="Z75" s="259"/>
    </row>
    <row r="76" spans="1:26" outlineLevel="1">
      <c r="A76" s="272"/>
      <c r="B76" s="272"/>
      <c r="C76" s="634"/>
      <c r="D76" s="281">
        <f>D$16</f>
        <v>7</v>
      </c>
      <c r="E76" s="276">
        <f ca="1">OFFSET('Actual RAB roll forward'!H$16,0,D76-1)-SUM('Actual RAB roll forward'!H104:OFFSET('Actual RAB roll forward'!H104,0,Input!$W$7-1))</f>
        <v>0</v>
      </c>
      <c r="F76" s="276">
        <f ca="1">IF(A5stdlife="N/A","n/a",IF(E76=0,0,A5stdlife+D76-Input!$W$7))</f>
        <v>0</v>
      </c>
      <c r="G76" s="277"/>
      <c r="H76" s="634"/>
      <c r="I76" s="281">
        <v>7</v>
      </c>
      <c r="J76" s="276">
        <f ca="1">OFFSET('Tax value roll forward'!G$44,0,I76)-SUM('Tax value roll forward'!G137:OFFSET('Tax value roll forward'!G137,0,Input!$W$7))</f>
        <v>0</v>
      </c>
      <c r="K76" s="276">
        <f ca="1">IF(A5taxstdlife="N/A","n/a",IF(J76=0,0,A5taxstdlife+I76-Input!$W$7))</f>
        <v>0</v>
      </c>
      <c r="L76" s="280"/>
      <c r="M76" s="312">
        <f t="shared" ca="1" si="7"/>
        <v>0</v>
      </c>
      <c r="N76" s="333"/>
      <c r="O76" s="112"/>
      <c r="P76" s="112"/>
      <c r="Q76" s="112"/>
      <c r="R76" s="112"/>
      <c r="S76" s="259"/>
      <c r="T76" s="259"/>
      <c r="U76" s="259"/>
      <c r="V76" s="259"/>
      <c r="W76" s="259"/>
      <c r="X76" s="259"/>
      <c r="Y76" s="259"/>
      <c r="Z76" s="259"/>
    </row>
    <row r="77" spans="1:26" outlineLevel="1">
      <c r="A77" s="272"/>
      <c r="B77" s="272"/>
      <c r="C77" s="634"/>
      <c r="D77" s="281">
        <f>D$17</f>
        <v>8</v>
      </c>
      <c r="E77" s="276">
        <f ca="1">OFFSET('Actual RAB roll forward'!H$16,0,D77-1)-SUM('Actual RAB roll forward'!H105:OFFSET('Actual RAB roll forward'!H105,0,Input!$W$7-1))</f>
        <v>0</v>
      </c>
      <c r="F77" s="276">
        <f ca="1">IF(A5stdlife="N/A","n/a",IF(E77=0,0,A5stdlife+D77-Input!$W$7))</f>
        <v>0</v>
      </c>
      <c r="G77" s="277"/>
      <c r="H77" s="634"/>
      <c r="I77" s="281">
        <v>8</v>
      </c>
      <c r="J77" s="276">
        <f ca="1">OFFSET('Tax value roll forward'!G$44,0,I77)-SUM('Tax value roll forward'!G138:OFFSET('Tax value roll forward'!G138,0,Input!$W$7))</f>
        <v>0</v>
      </c>
      <c r="K77" s="276">
        <f ca="1">IF(A5taxstdlife="N/A","n/a",IF(J77=0,0,A5taxstdlife+I77-Input!$W$7))</f>
        <v>0</v>
      </c>
      <c r="L77" s="280"/>
      <c r="M77" s="312">
        <f t="shared" ca="1" si="7"/>
        <v>0</v>
      </c>
      <c r="N77" s="333"/>
      <c r="O77" s="112"/>
      <c r="P77" s="112"/>
      <c r="Q77" s="112"/>
      <c r="R77" s="112"/>
      <c r="S77" s="259"/>
      <c r="T77" s="259"/>
      <c r="U77" s="259"/>
      <c r="V77" s="259"/>
      <c r="W77" s="259"/>
      <c r="X77" s="259"/>
      <c r="Y77" s="259"/>
      <c r="Z77" s="259"/>
    </row>
    <row r="78" spans="1:26" outlineLevel="1">
      <c r="A78" s="272"/>
      <c r="B78" s="272"/>
      <c r="C78" s="634"/>
      <c r="D78" s="281">
        <f>D$18</f>
        <v>9</v>
      </c>
      <c r="E78" s="276">
        <f ca="1">OFFSET('Actual RAB roll forward'!H$16,0,D78-1)-SUM('Actual RAB roll forward'!H106:OFFSET('Actual RAB roll forward'!H106,0,Input!$W$7-1))</f>
        <v>0</v>
      </c>
      <c r="F78" s="276">
        <f ca="1">IF(A5stdlife="N/A","n/a",IF(E78=0,0,A5stdlife+D78-Input!$W$7))</f>
        <v>0</v>
      </c>
      <c r="G78" s="277"/>
      <c r="H78" s="634"/>
      <c r="I78" s="281">
        <v>9</v>
      </c>
      <c r="J78" s="276">
        <f ca="1">OFFSET('Tax value roll forward'!G$44,0,I78)-SUM('Tax value roll forward'!G139:OFFSET('Tax value roll forward'!G139,0,Input!$W$7))</f>
        <v>0</v>
      </c>
      <c r="K78" s="276">
        <f ca="1">IF(A5taxstdlife="N/A","n/a",IF(J78=0,0,A5taxstdlife+I78-Input!$W$7))</f>
        <v>0</v>
      </c>
      <c r="L78" s="280"/>
      <c r="M78" s="312">
        <f t="shared" ca="1" si="7"/>
        <v>0</v>
      </c>
      <c r="N78" s="333"/>
      <c r="O78" s="112"/>
      <c r="P78" s="112"/>
      <c r="Q78" s="112"/>
      <c r="R78" s="112"/>
      <c r="S78" s="259"/>
      <c r="T78" s="259"/>
      <c r="U78" s="259"/>
      <c r="V78" s="259"/>
      <c r="W78" s="259"/>
      <c r="X78" s="259"/>
      <c r="Y78" s="259"/>
      <c r="Z78" s="259"/>
    </row>
    <row r="79" spans="1:26" outlineLevel="1">
      <c r="A79" s="272"/>
      <c r="B79" s="272"/>
      <c r="C79" s="635"/>
      <c r="D79" s="282">
        <f>D$19</f>
        <v>10</v>
      </c>
      <c r="E79" s="276">
        <f ca="1">OFFSET('Actual RAB roll forward'!H$16,0,D79-1)-SUM('Actual RAB roll forward'!H107:OFFSET('Actual RAB roll forward'!H107,0,Input!$W$7-1))</f>
        <v>0</v>
      </c>
      <c r="F79" s="276">
        <f ca="1">IF(A5stdlife="N/A","n/a",IF(E79=0,0,A5stdlife+D79-Input!$W$7))</f>
        <v>0</v>
      </c>
      <c r="G79" s="277"/>
      <c r="H79" s="635"/>
      <c r="I79" s="282">
        <v>10</v>
      </c>
      <c r="J79" s="276">
        <f ca="1">OFFSET('Tax value roll forward'!G$44,0,I79)-SUM('Tax value roll forward'!G140:OFFSET('Tax value roll forward'!G140,0,Input!$W$7))</f>
        <v>0</v>
      </c>
      <c r="K79" s="276">
        <f ca="1">IF(A5taxstdlife="N/A","n/a",IF(J79=0,0,A5taxstdlife+I79-Input!$W$7))</f>
        <v>0</v>
      </c>
      <c r="M79" s="312">
        <f t="shared" ca="1" si="7"/>
        <v>0</v>
      </c>
      <c r="N79" s="333"/>
      <c r="O79" s="112"/>
      <c r="P79" s="112"/>
      <c r="Q79" s="112"/>
      <c r="R79" s="112"/>
      <c r="S79" s="259"/>
      <c r="T79" s="259"/>
      <c r="U79" s="259"/>
      <c r="V79" s="259"/>
      <c r="W79" s="259"/>
      <c r="X79" s="259"/>
      <c r="Y79" s="259"/>
      <c r="Z79" s="259"/>
    </row>
    <row r="80" spans="1:26">
      <c r="A80" s="272"/>
      <c r="B80" s="272"/>
      <c r="C80" s="292" t="str">
        <f>Asset5</f>
        <v>Computer Equipment</v>
      </c>
      <c r="D80" s="272"/>
      <c r="E80" s="276">
        <f ca="1">SUM(E68:E79)</f>
        <v>-9.7127544464784832E-2</v>
      </c>
      <c r="F80" s="276">
        <f ca="1">IF(E80=0,0,SUMPRODUCT(E68:E79,F68:F79)/E80)</f>
        <v>-8.2821208803831912</v>
      </c>
      <c r="G80" s="277"/>
      <c r="H80" s="284"/>
      <c r="I80" s="276"/>
      <c r="J80" s="311">
        <f ca="1">SUM(J68:J79)</f>
        <v>0.29469686686608215</v>
      </c>
      <c r="K80" s="311">
        <f ca="1">IF(J80=0,0,SUMPRODUCT(J68:J79,K68:K79)/J80)</f>
        <v>0</v>
      </c>
      <c r="L80" s="280"/>
      <c r="M80" s="340">
        <f ca="1">SUM(M68:M79)/E80</f>
        <v>-8.2821208803831912</v>
      </c>
      <c r="N80" s="333"/>
      <c r="O80" s="112">
        <f ca="1">E80/F80</f>
        <v>1.1727375857896318E-2</v>
      </c>
      <c r="P80" s="112" t="e">
        <f ca="1">SUM(P68:P79)</f>
        <v>#DIV/0!</v>
      </c>
      <c r="Q80" s="112" t="e">
        <f ca="1">P80-O80</f>
        <v>#DIV/0!</v>
      </c>
      <c r="R80" s="112"/>
      <c r="S80" s="259"/>
      <c r="T80" s="259"/>
      <c r="U80" s="259"/>
      <c r="V80" s="259"/>
      <c r="W80" s="259"/>
      <c r="X80" s="259"/>
      <c r="Y80" s="259"/>
      <c r="Z80" s="259"/>
    </row>
    <row r="81" spans="1:26" outlineLevel="1">
      <c r="A81" s="272"/>
      <c r="B81" s="272"/>
      <c r="C81" s="292"/>
      <c r="D81" s="272"/>
      <c r="E81" s="276"/>
      <c r="F81" s="276"/>
      <c r="G81" s="277"/>
      <c r="H81" s="276"/>
      <c r="I81" s="276"/>
      <c r="J81" s="290"/>
      <c r="K81" s="276"/>
      <c r="L81" s="280"/>
      <c r="M81" s="312"/>
      <c r="N81" s="333"/>
      <c r="O81" s="112"/>
      <c r="P81" s="112"/>
      <c r="Q81" s="112"/>
      <c r="R81" s="112"/>
      <c r="S81" s="259"/>
      <c r="T81" s="259"/>
      <c r="U81" s="259"/>
      <c r="V81" s="259"/>
      <c r="W81" s="259"/>
      <c r="X81" s="259"/>
      <c r="Y81" s="259"/>
      <c r="Z81" s="259"/>
    </row>
    <row r="82" spans="1:26" outlineLevel="1">
      <c r="A82" s="272"/>
      <c r="B82" s="275" t="str">
        <f>Asset6</f>
        <v>Other Assets</v>
      </c>
      <c r="C82" s="272"/>
      <c r="D82" s="272"/>
      <c r="E82" s="276"/>
      <c r="F82" s="276"/>
      <c r="G82" s="277"/>
      <c r="H82" s="276"/>
      <c r="I82" s="276"/>
      <c r="J82" s="290"/>
      <c r="K82" s="276"/>
      <c r="L82" s="280"/>
      <c r="M82" s="312"/>
      <c r="N82" s="333"/>
      <c r="O82" s="112"/>
      <c r="P82" s="112"/>
      <c r="Q82" s="112"/>
      <c r="R82" s="112"/>
      <c r="S82" s="259"/>
      <c r="T82" s="259"/>
      <c r="U82" s="259"/>
      <c r="V82" s="259"/>
      <c r="W82" s="259"/>
      <c r="X82" s="259"/>
      <c r="Y82" s="259"/>
      <c r="Z82" s="259"/>
    </row>
    <row r="83" spans="1:26" ht="12.75" customHeight="1" outlineLevel="1">
      <c r="A83" s="272"/>
      <c r="B83" s="272"/>
      <c r="C83" s="626" t="s">
        <v>28</v>
      </c>
      <c r="D83" s="627"/>
      <c r="E83" s="276">
        <f ca="1">A6value-SUM('Actual RAB roll forward'!H109:OFFSET('Actual RAB roll forward'!H109,0,Input!$W$7-1))</f>
        <v>0</v>
      </c>
      <c r="F83" s="276">
        <f ca="1">IF(A6remlife="N/A","n/a",IF(E83=0,0,A6remlife-Input!$W$7))</f>
        <v>0</v>
      </c>
      <c r="G83" s="277"/>
      <c r="H83" s="278" t="s">
        <v>67</v>
      </c>
      <c r="I83" s="279"/>
      <c r="J83" s="276">
        <f ca="1">A6taxvalue-SUM('Tax value roll forward'!G142:OFFSET('Tax value roll forward'!G142,0,Input!$W$7))</f>
        <v>0</v>
      </c>
      <c r="K83" s="323">
        <f ca="1">IF(A6taxremlife="N/A","n/a",IF(J83=0,0,A6taxremlife-Input!$W$7-1))</f>
        <v>0</v>
      </c>
      <c r="L83" s="280"/>
      <c r="M83" s="312"/>
      <c r="N83" s="333"/>
      <c r="O83" s="112"/>
      <c r="P83" s="112" t="e">
        <f ca="1">E83/F83</f>
        <v>#DIV/0!</v>
      </c>
      <c r="Q83" s="112"/>
      <c r="R83" s="112"/>
      <c r="S83" s="259"/>
      <c r="T83" s="259"/>
      <c r="U83" s="259"/>
      <c r="V83" s="259"/>
      <c r="W83" s="259"/>
      <c r="X83" s="259"/>
      <c r="Y83" s="259"/>
      <c r="Z83" s="259"/>
    </row>
    <row r="84" spans="1:26" ht="12.75" customHeight="1" outlineLevel="1">
      <c r="A84" s="272"/>
      <c r="B84" s="272"/>
      <c r="C84" s="633" t="s">
        <v>84</v>
      </c>
      <c r="D84" s="322">
        <f>D$9</f>
        <v>0</v>
      </c>
      <c r="E84" s="276"/>
      <c r="F84" s="276"/>
      <c r="G84" s="277"/>
      <c r="H84" s="633" t="s">
        <v>84</v>
      </c>
      <c r="I84" s="322">
        <v>0</v>
      </c>
      <c r="J84" s="323">
        <f ca="1">OFFSET('Tax value roll forward'!G$45,0,I84)-SUM('Tax value roll forward'!G144:OFFSET('Tax value roll forward'!G144,0,Input!$W$7))</f>
        <v>0</v>
      </c>
      <c r="K84" s="323">
        <f ca="1">IF(A6taxstdlife="N/A","n/a",IF(J84=0,0,A6taxstdlife+I84-Input!$W$7))</f>
        <v>0</v>
      </c>
      <c r="L84" s="280"/>
      <c r="M84" s="312"/>
      <c r="N84" s="333"/>
      <c r="O84" s="112"/>
      <c r="P84" s="112"/>
      <c r="Q84" s="112"/>
      <c r="R84" s="112"/>
      <c r="S84" s="259"/>
      <c r="T84" s="259"/>
      <c r="U84" s="259"/>
      <c r="V84" s="259"/>
      <c r="W84" s="259"/>
      <c r="X84" s="259"/>
      <c r="Y84" s="259"/>
      <c r="Z84" s="259"/>
    </row>
    <row r="85" spans="1:26" ht="12.75" customHeight="1" outlineLevel="1">
      <c r="A85" s="272"/>
      <c r="B85" s="272"/>
      <c r="C85" s="634"/>
      <c r="D85" s="281">
        <f>D$10</f>
        <v>1</v>
      </c>
      <c r="E85" s="276">
        <f ca="1">OFFSET('Actual RAB roll forward'!H$17,0,D85-1)-SUM('Actual RAB roll forward'!H111:OFFSET('Actual RAB roll forward'!H111,0,Input!$W$7-1))</f>
        <v>5.8601338567194183E-2</v>
      </c>
      <c r="F85" s="276">
        <f ca="1">IF(A6stdlife="N/A","n/a",IF(E85=0,0,A6stdlife+D85-Input!$W$7))</f>
        <v>11</v>
      </c>
      <c r="G85" s="277"/>
      <c r="H85" s="634"/>
      <c r="I85" s="281">
        <v>1</v>
      </c>
      <c r="J85" s="276">
        <f ca="1">OFFSET('Tax value roll forward'!G$45,0,I85)-SUM('Tax value roll forward'!G145:OFFSET('Tax value roll forward'!G145,0,Input!$W$7))</f>
        <v>0</v>
      </c>
      <c r="K85" s="276">
        <f ca="1">IF(A6taxstdlife="N/A","n/a",IF(J85=0,0,A6taxstdlife+I85-Input!$W$7))</f>
        <v>0</v>
      </c>
      <c r="L85" s="280"/>
      <c r="M85" s="312"/>
      <c r="N85" s="333"/>
      <c r="O85" s="112"/>
      <c r="P85" s="112">
        <f ca="1">E85/F85</f>
        <v>5.3273944151994712E-3</v>
      </c>
      <c r="Q85" s="112"/>
      <c r="R85" s="112"/>
      <c r="S85" s="259"/>
      <c r="T85" s="259"/>
      <c r="U85" s="259"/>
      <c r="V85" s="259"/>
      <c r="W85" s="259"/>
      <c r="X85" s="259"/>
      <c r="Y85" s="259"/>
      <c r="Z85" s="259"/>
    </row>
    <row r="86" spans="1:26" outlineLevel="1">
      <c r="A86" s="272"/>
      <c r="B86" s="272"/>
      <c r="C86" s="634"/>
      <c r="D86" s="281">
        <f>D$11</f>
        <v>2</v>
      </c>
      <c r="E86" s="276">
        <f ca="1">OFFSET('Actual RAB roll forward'!H$17,0,D86-1)-SUM('Actual RAB roll forward'!H112:OFFSET('Actual RAB roll forward'!H112,0,Input!$W$7-1))</f>
        <v>6.0815772736138404E-2</v>
      </c>
      <c r="F86" s="276">
        <f ca="1">IF(A6stdlife="N/A","n/a",IF(E86=0,0,A6stdlife+D86-Input!$W$7))</f>
        <v>12</v>
      </c>
      <c r="G86" s="277"/>
      <c r="H86" s="634"/>
      <c r="I86" s="281">
        <v>2</v>
      </c>
      <c r="J86" s="276">
        <f ca="1">OFFSET('Tax value roll forward'!G$45,0,I86)-SUM('Tax value roll forward'!G146:OFFSET('Tax value roll forward'!G146,0,Input!$W$7))</f>
        <v>0</v>
      </c>
      <c r="K86" s="276">
        <f ca="1">IF(A6taxstdlife="N/A","n/a",IF(J86=0,0,A6taxstdlife+I86-Input!$W$7))</f>
        <v>0</v>
      </c>
      <c r="L86" s="280"/>
      <c r="M86" s="312"/>
      <c r="N86" s="333"/>
      <c r="O86" s="112"/>
      <c r="P86" s="112">
        <f t="shared" ref="P86:P88" ca="1" si="10">E86/F86</f>
        <v>5.0679810613448667E-3</v>
      </c>
      <c r="Q86" s="112"/>
      <c r="R86" s="112"/>
      <c r="S86" s="259"/>
      <c r="T86" s="259"/>
      <c r="U86" s="259"/>
      <c r="V86" s="259"/>
      <c r="W86" s="259"/>
      <c r="X86" s="259"/>
      <c r="Y86" s="259"/>
      <c r="Z86" s="259"/>
    </row>
    <row r="87" spans="1:26" outlineLevel="1">
      <c r="A87" s="272"/>
      <c r="B87" s="272"/>
      <c r="C87" s="634"/>
      <c r="D87" s="281">
        <f>D$12</f>
        <v>3</v>
      </c>
      <c r="E87" s="276">
        <f ca="1">OFFSET('Actual RAB roll forward'!H$17,0,D87-1)-SUM('Actual RAB roll forward'!H113:OFFSET('Actual RAB roll forward'!H113,0,Input!$W$7-1))</f>
        <v>5.0047740118441444E-2</v>
      </c>
      <c r="F87" s="276">
        <f ca="1">IF(A6stdlife="N/A","n/a",IF(E87=0,0,A6stdlife+D87-Input!$W$7))</f>
        <v>13</v>
      </c>
      <c r="G87" s="277"/>
      <c r="H87" s="634"/>
      <c r="I87" s="281">
        <v>3</v>
      </c>
      <c r="J87" s="276">
        <f ca="1">OFFSET('Tax value roll forward'!G$45,0,I87)-SUM('Tax value roll forward'!G147:OFFSET('Tax value roll forward'!G147,0,Input!$W$7))</f>
        <v>0</v>
      </c>
      <c r="K87" s="276">
        <f ca="1">IF(A6taxstdlife="N/A","n/a",IF(J87=0,0,A6taxstdlife+I87-Input!$W$7))</f>
        <v>0</v>
      </c>
      <c r="L87" s="280"/>
      <c r="M87" s="312"/>
      <c r="N87" s="333"/>
      <c r="O87" s="112"/>
      <c r="P87" s="112">
        <f t="shared" ca="1" si="10"/>
        <v>3.8498261629570344E-3</v>
      </c>
      <c r="Q87" s="112"/>
      <c r="R87" s="112"/>
      <c r="S87" s="259"/>
      <c r="T87" s="259"/>
      <c r="U87" s="259"/>
      <c r="V87" s="259"/>
      <c r="W87" s="259"/>
      <c r="X87" s="259"/>
      <c r="Y87" s="259"/>
      <c r="Z87" s="259"/>
    </row>
    <row r="88" spans="1:26" outlineLevel="1">
      <c r="A88" s="272"/>
      <c r="B88" s="272"/>
      <c r="C88" s="634"/>
      <c r="D88" s="281">
        <f>D$13</f>
        <v>4</v>
      </c>
      <c r="E88" s="276">
        <f ca="1">OFFSET('Actual RAB roll forward'!H$17,0,D88-1)-SUM('Actual RAB roll forward'!H114:OFFSET('Actual RAB roll forward'!H114,0,Input!$W$7-1))</f>
        <v>8.2769502771343845E-2</v>
      </c>
      <c r="F88" s="276">
        <f ca="1">IF(A6stdlife="N/A","n/a",IF(E88=0,0,A6stdlife+D88-Input!$W$7))</f>
        <v>14</v>
      </c>
      <c r="G88" s="277"/>
      <c r="H88" s="634"/>
      <c r="I88" s="281">
        <v>4</v>
      </c>
      <c r="J88" s="276">
        <f ca="1">OFFSET('Tax value roll forward'!G$45,0,I88)-SUM('Tax value roll forward'!G148:OFFSET('Tax value roll forward'!G148,0,Input!$W$7))</f>
        <v>0</v>
      </c>
      <c r="K88" s="276">
        <f ca="1">IF(A6taxstdlife="N/A","n/a",IF(J88=0,0,A6taxstdlife+I88-Input!$W$7))</f>
        <v>0</v>
      </c>
      <c r="L88" s="280"/>
      <c r="M88" s="312"/>
      <c r="N88" s="333"/>
      <c r="O88" s="112"/>
      <c r="P88" s="112">
        <f t="shared" ca="1" si="10"/>
        <v>5.9121073408102747E-3</v>
      </c>
      <c r="Q88" s="112"/>
      <c r="R88" s="112"/>
      <c r="S88" s="259"/>
      <c r="T88" s="259"/>
      <c r="U88" s="259"/>
      <c r="V88" s="259"/>
      <c r="W88" s="259"/>
      <c r="X88" s="259"/>
      <c r="Y88" s="259"/>
      <c r="Z88" s="259"/>
    </row>
    <row r="89" spans="1:26" outlineLevel="1">
      <c r="A89" s="272"/>
      <c r="B89" s="272"/>
      <c r="C89" s="634"/>
      <c r="D89" s="281">
        <f>D$14</f>
        <v>5</v>
      </c>
      <c r="E89" s="276">
        <f ca="1">OFFSET('Actual RAB roll forward'!H$17,0,D89-1)-SUM('Actual RAB roll forward'!H115:OFFSET('Actual RAB roll forward'!H115,0,Input!$W$7-1))</f>
        <v>0.11175688807918707</v>
      </c>
      <c r="F89" s="276">
        <f ca="1">IF(A6stdlife="N/A","n/a",IF(E89=0,0,A6stdlife+D89-Input!$W$7))</f>
        <v>15</v>
      </c>
      <c r="G89" s="277"/>
      <c r="H89" s="634"/>
      <c r="I89" s="281">
        <v>5</v>
      </c>
      <c r="J89" s="276">
        <f ca="1">OFFSET('Tax value roll forward'!G$45,0,I89)-SUM('Tax value roll forward'!G149:OFFSET('Tax value roll forward'!G149,0,Input!$W$7))</f>
        <v>0.1189174209854845</v>
      </c>
      <c r="K89" s="276">
        <f ca="1">IF(A6taxstdlife="N/A","n/a",IF(J89=0,0,A6taxstdlife+I89-Input!$W$7))</f>
        <v>0</v>
      </c>
      <c r="L89" s="280"/>
      <c r="M89" s="312"/>
      <c r="N89" s="333"/>
      <c r="O89" s="112"/>
      <c r="P89" s="336">
        <v>0</v>
      </c>
      <c r="Q89" s="112"/>
      <c r="R89" s="112"/>
      <c r="S89" s="259"/>
      <c r="T89" s="259"/>
      <c r="U89" s="259"/>
      <c r="V89" s="259"/>
      <c r="W89" s="259"/>
      <c r="X89" s="259"/>
      <c r="Y89" s="259"/>
      <c r="Z89" s="259"/>
    </row>
    <row r="90" spans="1:26" outlineLevel="1">
      <c r="A90" s="272"/>
      <c r="B90" s="272"/>
      <c r="C90" s="634"/>
      <c r="D90" s="281">
        <f>D$15</f>
        <v>6</v>
      </c>
      <c r="E90" s="276">
        <f ca="1">OFFSET('Actual RAB roll forward'!H$17,0,D90-1)-SUM('Actual RAB roll forward'!H116:OFFSET('Actual RAB roll forward'!H116,0,Input!$W$7-1))</f>
        <v>0</v>
      </c>
      <c r="F90" s="276">
        <f ca="1">IF(A6stdlife="N/A","n/a",IF(E90=0,0,A6stdlife+D90-Input!$W$7))</f>
        <v>0</v>
      </c>
      <c r="G90" s="277"/>
      <c r="H90" s="634"/>
      <c r="I90" s="281">
        <v>6</v>
      </c>
      <c r="J90" s="276">
        <f ca="1">OFFSET('Tax value roll forward'!G$45,0,I90)-SUM('Tax value roll forward'!G150:OFFSET('Tax value roll forward'!G150,0,Input!$W$7))</f>
        <v>0</v>
      </c>
      <c r="K90" s="276">
        <f ca="1">IF(A6taxstdlife="N/A","n/a",IF(J90=0,0,A6taxstdlife+I90-Input!$W$7))</f>
        <v>0</v>
      </c>
      <c r="L90" s="280"/>
      <c r="M90" s="312"/>
      <c r="N90" s="333"/>
      <c r="O90" s="112"/>
      <c r="P90" s="112"/>
      <c r="Q90" s="112"/>
      <c r="R90" s="112"/>
      <c r="S90" s="259"/>
      <c r="T90" s="259"/>
      <c r="U90" s="259"/>
      <c r="V90" s="259"/>
      <c r="W90" s="259"/>
      <c r="X90" s="259"/>
      <c r="Y90" s="259"/>
      <c r="Z90" s="259"/>
    </row>
    <row r="91" spans="1:26" outlineLevel="1">
      <c r="A91" s="272"/>
      <c r="B91" s="272"/>
      <c r="C91" s="634"/>
      <c r="D91" s="281">
        <f>D$16</f>
        <v>7</v>
      </c>
      <c r="E91" s="276">
        <f ca="1">OFFSET('Actual RAB roll forward'!H$17,0,D91-1)-SUM('Actual RAB roll forward'!H117:OFFSET('Actual RAB roll forward'!H117,0,Input!$W$7-1))</f>
        <v>0</v>
      </c>
      <c r="F91" s="276">
        <f ca="1">IF(A6stdlife="N/A","n/a",IF(E91=0,0,A6stdlife+D91-Input!$W$7))</f>
        <v>0</v>
      </c>
      <c r="G91" s="277"/>
      <c r="H91" s="634"/>
      <c r="I91" s="281">
        <v>7</v>
      </c>
      <c r="J91" s="276">
        <f ca="1">OFFSET('Tax value roll forward'!G$45,0,I91)-SUM('Tax value roll forward'!G151:OFFSET('Tax value roll forward'!G151,0,Input!$W$7))</f>
        <v>0</v>
      </c>
      <c r="K91" s="276">
        <f ca="1">IF(A6taxstdlife="N/A","n/a",IF(J91=0,0,A6taxstdlife+I91-Input!$W$7))</f>
        <v>0</v>
      </c>
      <c r="L91" s="280"/>
      <c r="M91" s="312"/>
      <c r="N91" s="333"/>
      <c r="O91" s="112"/>
      <c r="P91" s="112"/>
      <c r="Q91" s="112"/>
      <c r="R91" s="112"/>
      <c r="S91" s="259"/>
      <c r="T91" s="259"/>
      <c r="U91" s="259"/>
      <c r="V91" s="259"/>
      <c r="W91" s="259"/>
      <c r="X91" s="259"/>
      <c r="Y91" s="259"/>
      <c r="Z91" s="259"/>
    </row>
    <row r="92" spans="1:26" outlineLevel="1">
      <c r="A92" s="272"/>
      <c r="B92" s="272"/>
      <c r="C92" s="634"/>
      <c r="D92" s="281">
        <f>D$17</f>
        <v>8</v>
      </c>
      <c r="E92" s="276">
        <f ca="1">OFFSET('Actual RAB roll forward'!H$17,0,D92-1)-SUM('Actual RAB roll forward'!H118:OFFSET('Actual RAB roll forward'!H118,0,Input!$W$7-1))</f>
        <v>0</v>
      </c>
      <c r="F92" s="276">
        <f ca="1">IF(A6stdlife="N/A","n/a",IF(E92=0,0,A6stdlife+D92-Input!$W$7))</f>
        <v>0</v>
      </c>
      <c r="G92" s="277"/>
      <c r="H92" s="634"/>
      <c r="I92" s="281">
        <v>8</v>
      </c>
      <c r="J92" s="276">
        <f ca="1">OFFSET('Tax value roll forward'!G$45,0,I92)-SUM('Tax value roll forward'!G152:OFFSET('Tax value roll forward'!G152,0,Input!$W$7))</f>
        <v>0</v>
      </c>
      <c r="K92" s="276">
        <f ca="1">IF(A6taxstdlife="N/A","n/a",IF(J92=0,0,A6taxstdlife+I92-Input!$W$7))</f>
        <v>0</v>
      </c>
      <c r="L92" s="280"/>
      <c r="M92" s="312"/>
      <c r="N92" s="333"/>
      <c r="O92" s="112"/>
      <c r="P92" s="112"/>
      <c r="Q92" s="112"/>
      <c r="R92" s="112"/>
      <c r="S92" s="259"/>
      <c r="T92" s="259"/>
      <c r="U92" s="259"/>
      <c r="V92" s="259"/>
      <c r="W92" s="259"/>
      <c r="X92" s="259"/>
      <c r="Y92" s="259"/>
      <c r="Z92" s="259"/>
    </row>
    <row r="93" spans="1:26" outlineLevel="1">
      <c r="A93" s="272"/>
      <c r="B93" s="272"/>
      <c r="C93" s="634"/>
      <c r="D93" s="281">
        <f>D$18</f>
        <v>9</v>
      </c>
      <c r="E93" s="276">
        <f ca="1">OFFSET('Actual RAB roll forward'!H$17,0,D93-1)-SUM('Actual RAB roll forward'!H119:OFFSET('Actual RAB roll forward'!H119,0,Input!$W$7-1))</f>
        <v>0</v>
      </c>
      <c r="F93" s="276">
        <f ca="1">IF(A6stdlife="N/A","n/a",IF(E93=0,0,A6stdlife+D93-Input!$W$7))</f>
        <v>0</v>
      </c>
      <c r="G93" s="277"/>
      <c r="H93" s="634"/>
      <c r="I93" s="281">
        <v>9</v>
      </c>
      <c r="J93" s="276">
        <f ca="1">OFFSET('Tax value roll forward'!G$45,0,I93)-SUM('Tax value roll forward'!G153:OFFSET('Tax value roll forward'!G153,0,Input!$W$7))</f>
        <v>0</v>
      </c>
      <c r="K93" s="276">
        <f ca="1">IF(A6taxstdlife="N/A","n/a",IF(J93=0,0,A6taxstdlife+I93-Input!$W$7))</f>
        <v>0</v>
      </c>
      <c r="L93" s="280"/>
      <c r="M93" s="312"/>
      <c r="N93" s="333"/>
      <c r="O93" s="112"/>
      <c r="P93" s="112"/>
      <c r="Q93" s="112"/>
      <c r="R93" s="112"/>
      <c r="S93" s="259"/>
      <c r="T93" s="259"/>
      <c r="U93" s="259"/>
      <c r="V93" s="259"/>
      <c r="W93" s="259"/>
      <c r="X93" s="259"/>
      <c r="Y93" s="259"/>
      <c r="Z93" s="259"/>
    </row>
    <row r="94" spans="1:26" outlineLevel="1">
      <c r="A94" s="272"/>
      <c r="B94" s="272"/>
      <c r="C94" s="635"/>
      <c r="D94" s="282">
        <f>D$19</f>
        <v>10</v>
      </c>
      <c r="E94" s="276">
        <f ca="1">OFFSET('Actual RAB roll forward'!H$17,0,D94-1)-SUM('Actual RAB roll forward'!H120:OFFSET('Actual RAB roll forward'!H120,0,Input!$W$7-1))</f>
        <v>0</v>
      </c>
      <c r="F94" s="276">
        <f ca="1">IF(A6stdlife="N/A","n/a",IF(E94=0,0,A6stdlife+D94-Input!$W$7))</f>
        <v>0</v>
      </c>
      <c r="G94" s="277"/>
      <c r="H94" s="635"/>
      <c r="I94" s="282">
        <v>10</v>
      </c>
      <c r="J94" s="276">
        <f ca="1">OFFSET('Tax value roll forward'!G$45,0,I94)-SUM('Tax value roll forward'!G154:OFFSET('Tax value roll forward'!G154,0,Input!$W$7))</f>
        <v>0</v>
      </c>
      <c r="K94" s="276">
        <f ca="1">IF(A6taxstdlife="N/A","n/a",IF(J94=0,0,A6taxstdlife+I94-Input!$W$7))</f>
        <v>0</v>
      </c>
      <c r="L94" s="280"/>
      <c r="M94" s="312"/>
      <c r="N94" s="333"/>
      <c r="O94" s="112"/>
      <c r="P94" s="112"/>
      <c r="Q94" s="112"/>
      <c r="R94" s="112"/>
      <c r="S94" s="259"/>
      <c r="T94" s="259"/>
      <c r="U94" s="259"/>
      <c r="V94" s="259"/>
      <c r="W94" s="259"/>
      <c r="X94" s="259"/>
      <c r="Y94" s="259"/>
      <c r="Z94" s="259"/>
    </row>
    <row r="95" spans="1:26">
      <c r="A95" s="272"/>
      <c r="B95" s="272"/>
      <c r="C95" s="292" t="str">
        <f>Asset6</f>
        <v>Other Assets</v>
      </c>
      <c r="D95" s="272"/>
      <c r="E95" s="276">
        <f ca="1">SUM(E83:E94)</f>
        <v>0.36399124227230495</v>
      </c>
      <c r="F95" s="276">
        <f ca="1">IF(E95=0,0,SUMPRODUCT(E83:E94,F83:F94)/E95)</f>
        <v>13.352384382268284</v>
      </c>
      <c r="G95" s="277"/>
      <c r="H95" s="284"/>
      <c r="I95" s="276"/>
      <c r="J95" s="311">
        <f ca="1">SUM(J83:J94)</f>
        <v>0.1189174209854845</v>
      </c>
      <c r="K95" s="311">
        <f ca="1">IF(J95=0,0,SUMPRODUCT(J83:J94,K83:K94)/J95)</f>
        <v>0</v>
      </c>
      <c r="L95" s="280"/>
      <c r="M95" s="312"/>
      <c r="N95" s="333"/>
      <c r="O95" s="112">
        <f ca="1">E95/F95</f>
        <v>2.7260392739717598E-2</v>
      </c>
      <c r="P95" s="112" t="e">
        <f ca="1">SUM(P83:P94)</f>
        <v>#DIV/0!</v>
      </c>
      <c r="Q95" s="112" t="e">
        <f ca="1">P95-O95</f>
        <v>#DIV/0!</v>
      </c>
      <c r="R95" s="112"/>
      <c r="S95" s="259"/>
      <c r="T95" s="259"/>
      <c r="U95" s="259"/>
      <c r="V95" s="259"/>
      <c r="W95" s="259"/>
      <c r="X95" s="259"/>
      <c r="Y95" s="259"/>
      <c r="Z95" s="259"/>
    </row>
    <row r="96" spans="1:26" outlineLevel="1">
      <c r="A96" s="272"/>
      <c r="B96" s="272"/>
      <c r="C96" s="292"/>
      <c r="D96" s="272"/>
      <c r="E96" s="276"/>
      <c r="F96" s="276"/>
      <c r="G96" s="277"/>
      <c r="H96" s="276"/>
      <c r="I96" s="276"/>
      <c r="J96" s="290"/>
      <c r="K96" s="276"/>
      <c r="L96" s="280"/>
      <c r="M96" s="312"/>
      <c r="N96" s="312"/>
      <c r="O96" s="272"/>
      <c r="P96" s="272"/>
      <c r="Q96" s="272"/>
      <c r="R96" s="272"/>
      <c r="S96" s="259"/>
      <c r="T96" s="259"/>
      <c r="U96" s="259"/>
      <c r="V96" s="259"/>
      <c r="W96" s="259"/>
      <c r="X96" s="259"/>
      <c r="Y96" s="259"/>
      <c r="Z96" s="259"/>
    </row>
    <row r="97" spans="1:26" outlineLevel="1">
      <c r="A97" s="272"/>
      <c r="B97" s="275" t="str">
        <f>Asset7</f>
        <v>Equity Raising Costs</v>
      </c>
      <c r="C97" s="272"/>
      <c r="D97" s="269"/>
      <c r="E97" s="276"/>
      <c r="F97" s="276"/>
      <c r="G97" s="277"/>
      <c r="H97" s="276"/>
      <c r="I97" s="276"/>
      <c r="J97" s="290"/>
      <c r="K97" s="276"/>
      <c r="L97" s="280"/>
      <c r="M97" s="312"/>
      <c r="N97" s="312"/>
      <c r="O97" s="272"/>
      <c r="P97" s="272"/>
      <c r="Q97" s="272"/>
      <c r="R97" s="272"/>
      <c r="S97" s="259"/>
      <c r="T97" s="259"/>
      <c r="U97" s="259"/>
      <c r="V97" s="259"/>
      <c r="W97" s="259"/>
      <c r="X97" s="259"/>
      <c r="Y97" s="259"/>
      <c r="Z97" s="259"/>
    </row>
    <row r="98" spans="1:26" ht="12.75" customHeight="1" outlineLevel="1">
      <c r="A98" s="272"/>
      <c r="B98" s="272"/>
      <c r="C98" s="626" t="s">
        <v>28</v>
      </c>
      <c r="D98" s="627"/>
      <c r="E98" s="276">
        <f ca="1">A7value-SUM('Actual RAB roll forward'!H122:OFFSET('Actual RAB roll forward'!H122,0,Input!$W$7-1))</f>
        <v>0</v>
      </c>
      <c r="F98" s="276">
        <f ca="1">IF(A7remlife="N/A","n/a",IF(E98=0,0,A7remlife-Input!$W$7))</f>
        <v>0</v>
      </c>
      <c r="G98" s="277"/>
      <c r="H98" s="278" t="s">
        <v>67</v>
      </c>
      <c r="I98" s="279"/>
      <c r="J98" s="276">
        <f ca="1">A7taxvalue-SUM('Tax value roll forward'!G156:OFFSET('Tax value roll forward'!G156,0,Input!$W$7))</f>
        <v>0</v>
      </c>
      <c r="K98" s="323">
        <f ca="1">IF(A7taxremlife="N/A","n/a",IF(J98=0,0,A7taxremlife-Input!$W$7-1))</f>
        <v>0</v>
      </c>
      <c r="L98" s="280"/>
      <c r="M98" s="312"/>
      <c r="N98" s="312"/>
      <c r="O98" s="272"/>
      <c r="P98" s="272"/>
      <c r="Q98" s="272"/>
      <c r="R98" s="272"/>
      <c r="S98" s="259"/>
      <c r="T98" s="259"/>
      <c r="U98" s="259"/>
      <c r="V98" s="259"/>
      <c r="W98" s="259"/>
      <c r="X98" s="259"/>
      <c r="Y98" s="259"/>
      <c r="Z98" s="259"/>
    </row>
    <row r="99" spans="1:26" ht="12.75" customHeight="1" outlineLevel="1">
      <c r="A99" s="272"/>
      <c r="B99" s="272"/>
      <c r="C99" s="633" t="s">
        <v>84</v>
      </c>
      <c r="D99" s="322">
        <f>D$9</f>
        <v>0</v>
      </c>
      <c r="E99" s="276"/>
      <c r="F99" s="276"/>
      <c r="G99" s="277"/>
      <c r="H99" s="633" t="s">
        <v>84</v>
      </c>
      <c r="I99" s="322">
        <v>0</v>
      </c>
      <c r="J99" s="323">
        <f ca="1">OFFSET('Tax value roll forward'!G$46,0,I99)-SUM('Tax value roll forward'!G158:OFFSET('Tax value roll forward'!G158,0,Input!$W$7))</f>
        <v>0</v>
      </c>
      <c r="K99" s="323">
        <f ca="1">IF(A7taxstdlife="N/A","n/a",IF(J99=0,0,A7taxstdlife+I99-Input!$W$7))</f>
        <v>0</v>
      </c>
      <c r="L99" s="280"/>
      <c r="M99" s="312"/>
      <c r="N99" s="312"/>
      <c r="O99" s="272"/>
      <c r="P99" s="272"/>
      <c r="Q99" s="272"/>
      <c r="R99" s="272"/>
      <c r="S99" s="259"/>
      <c r="T99" s="259"/>
      <c r="U99" s="259"/>
      <c r="V99" s="259"/>
      <c r="W99" s="259"/>
      <c r="X99" s="259"/>
      <c r="Y99" s="259"/>
      <c r="Z99" s="259"/>
    </row>
    <row r="100" spans="1:26" ht="12.75" customHeight="1" outlineLevel="1">
      <c r="A100" s="272"/>
      <c r="B100" s="272"/>
      <c r="C100" s="634"/>
      <c r="D100" s="281">
        <f>D$10</f>
        <v>1</v>
      </c>
      <c r="E100" s="276">
        <f ca="1">OFFSET('Actual RAB roll forward'!H$18,0,D100-1)-SUM('Actual RAB roll forward'!H124:OFFSET('Actual RAB roll forward'!H124,0,Input!$W$7-1))</f>
        <v>0</v>
      </c>
      <c r="F100" s="276" t="str">
        <f>IF(A7stdlife="N/A","n/a",IF(E100=0,0,A7stdlife+D100-Input!$W$7))</f>
        <v>n/a</v>
      </c>
      <c r="G100" s="277"/>
      <c r="H100" s="634"/>
      <c r="I100" s="281">
        <v>1</v>
      </c>
      <c r="J100" s="276">
        <f ca="1">OFFSET('Tax value roll forward'!G$46,0,I100)-SUM('Tax value roll forward'!G159:OFFSET('Tax value roll forward'!G159,0,Input!$W$7))</f>
        <v>0</v>
      </c>
      <c r="K100" s="276">
        <f ca="1">IF(A7taxstdlife="N/A","n/a",IF(J100=0,0,A7taxstdlife+I100-Input!$W$7))</f>
        <v>0</v>
      </c>
      <c r="L100" s="280"/>
      <c r="M100" s="312"/>
      <c r="N100" s="312"/>
      <c r="O100" s="272"/>
      <c r="P100" s="272"/>
      <c r="Q100" s="272"/>
      <c r="R100" s="272"/>
      <c r="S100" s="259"/>
      <c r="T100" s="259"/>
      <c r="U100" s="259"/>
      <c r="V100" s="259"/>
      <c r="W100" s="259"/>
      <c r="X100" s="259"/>
      <c r="Y100" s="259"/>
      <c r="Z100" s="259"/>
    </row>
    <row r="101" spans="1:26" outlineLevel="1">
      <c r="A101" s="272"/>
      <c r="B101" s="272"/>
      <c r="C101" s="634"/>
      <c r="D101" s="281">
        <f>D$11</f>
        <v>2</v>
      </c>
      <c r="E101" s="276">
        <f ca="1">OFFSET('Actual RAB roll forward'!H$18,0,D101-1)-SUM('Actual RAB roll forward'!H125:OFFSET('Actual RAB roll forward'!H125,0,Input!$W$7-1))</f>
        <v>0</v>
      </c>
      <c r="F101" s="276" t="str">
        <f>IF(A7stdlife="N/A","n/a",IF(E101=0,0,A7stdlife+D101-Input!$W$7))</f>
        <v>n/a</v>
      </c>
      <c r="G101" s="277"/>
      <c r="H101" s="634"/>
      <c r="I101" s="281">
        <v>2</v>
      </c>
      <c r="J101" s="276">
        <f ca="1">OFFSET('Tax value roll forward'!G$46,0,I101)-SUM('Tax value roll forward'!G160:OFFSET('Tax value roll forward'!G160,0,Input!$W$7))</f>
        <v>0</v>
      </c>
      <c r="K101" s="276">
        <f ca="1">IF(A7taxstdlife="N/A","n/a",IF(J101=0,0,A7taxstdlife+I101-Input!$W$7))</f>
        <v>0</v>
      </c>
      <c r="L101" s="280"/>
      <c r="M101" s="312"/>
      <c r="N101" s="312"/>
      <c r="O101" s="272"/>
      <c r="P101" s="272"/>
      <c r="Q101" s="272"/>
      <c r="R101" s="272"/>
      <c r="S101" s="259"/>
      <c r="T101" s="259"/>
      <c r="U101" s="259"/>
      <c r="V101" s="259"/>
      <c r="W101" s="259"/>
      <c r="X101" s="259"/>
      <c r="Y101" s="259"/>
      <c r="Z101" s="259"/>
    </row>
    <row r="102" spans="1:26" outlineLevel="1">
      <c r="A102" s="272"/>
      <c r="B102" s="272"/>
      <c r="C102" s="634"/>
      <c r="D102" s="281">
        <f>D$12</f>
        <v>3</v>
      </c>
      <c r="E102" s="276">
        <f ca="1">OFFSET('Actual RAB roll forward'!H$18,0,D102-1)-SUM('Actual RAB roll forward'!H126:OFFSET('Actual RAB roll forward'!H126,0,Input!$W$7-1))</f>
        <v>0</v>
      </c>
      <c r="F102" s="276" t="str">
        <f>IF(A7stdlife="N/A","n/a",IF(E102=0,0,A7stdlife+D102-Input!$W$7))</f>
        <v>n/a</v>
      </c>
      <c r="G102" s="277"/>
      <c r="H102" s="634"/>
      <c r="I102" s="281">
        <v>3</v>
      </c>
      <c r="J102" s="276">
        <f ca="1">OFFSET('Tax value roll forward'!G$46,0,I102)-SUM('Tax value roll forward'!G161:OFFSET('Tax value roll forward'!G161,0,Input!$W$7))</f>
        <v>0</v>
      </c>
      <c r="K102" s="276">
        <f ca="1">IF(A7taxstdlife="N/A","n/a",IF(J102=0,0,A7taxstdlife+I102-Input!$W$7))</f>
        <v>0</v>
      </c>
      <c r="L102" s="280"/>
      <c r="M102" s="312"/>
      <c r="N102" s="312"/>
      <c r="O102" s="272"/>
      <c r="P102" s="272"/>
      <c r="Q102" s="272"/>
      <c r="R102" s="272"/>
      <c r="S102" s="259"/>
      <c r="T102" s="259"/>
      <c r="U102" s="259"/>
      <c r="V102" s="259"/>
      <c r="W102" s="259"/>
      <c r="X102" s="259"/>
      <c r="Y102" s="259"/>
      <c r="Z102" s="259"/>
    </row>
    <row r="103" spans="1:26" outlineLevel="1">
      <c r="A103" s="272"/>
      <c r="B103" s="272"/>
      <c r="C103" s="634"/>
      <c r="D103" s="281">
        <f>D$13</f>
        <v>4</v>
      </c>
      <c r="E103" s="276">
        <f ca="1">OFFSET('Actual RAB roll forward'!H$18,0,D103-1)-SUM('Actual RAB roll forward'!H127:OFFSET('Actual RAB roll forward'!H127,0,Input!$W$7-1))</f>
        <v>0</v>
      </c>
      <c r="F103" s="276" t="str">
        <f>IF(A7stdlife="N/A","n/a",IF(E103=0,0,A7stdlife+D103-Input!$W$7))</f>
        <v>n/a</v>
      </c>
      <c r="G103" s="277"/>
      <c r="H103" s="634"/>
      <c r="I103" s="281">
        <v>4</v>
      </c>
      <c r="J103" s="276">
        <f ca="1">OFFSET('Tax value roll forward'!G$46,0,I103)-SUM('Tax value roll forward'!G162:OFFSET('Tax value roll forward'!G162,0,Input!$W$7))</f>
        <v>0</v>
      </c>
      <c r="K103" s="276">
        <f ca="1">IF(A7taxstdlife="N/A","n/a",IF(J103=0,0,A7taxstdlife+I103-Input!$W$7))</f>
        <v>0</v>
      </c>
      <c r="L103" s="280"/>
      <c r="M103" s="312"/>
      <c r="N103" s="312"/>
      <c r="O103" s="272"/>
      <c r="P103" s="272"/>
      <c r="Q103" s="272"/>
      <c r="R103" s="272"/>
      <c r="S103" s="259"/>
      <c r="T103" s="259"/>
      <c r="U103" s="259"/>
      <c r="V103" s="259"/>
      <c r="W103" s="259"/>
      <c r="X103" s="259"/>
      <c r="Y103" s="259"/>
      <c r="Z103" s="259"/>
    </row>
    <row r="104" spans="1:26" outlineLevel="1">
      <c r="A104" s="272"/>
      <c r="B104" s="272"/>
      <c r="C104" s="634"/>
      <c r="D104" s="281">
        <f>D$14</f>
        <v>5</v>
      </c>
      <c r="E104" s="276">
        <f ca="1">OFFSET('Actual RAB roll forward'!H$18,0,D104-1)-SUM('Actual RAB roll forward'!H128:OFFSET('Actual RAB roll forward'!H128,0,Input!$W$7-1))</f>
        <v>0</v>
      </c>
      <c r="F104" s="276" t="str">
        <f>IF(A7stdlife="N/A","n/a",IF(E104=0,0,A7stdlife+D104-Input!$W$7))</f>
        <v>n/a</v>
      </c>
      <c r="G104" s="277"/>
      <c r="H104" s="634"/>
      <c r="I104" s="281">
        <v>5</v>
      </c>
      <c r="J104" s="276">
        <f ca="1">OFFSET('Tax value roll forward'!G$46,0,I104)-SUM('Tax value roll forward'!G163:OFFSET('Tax value roll forward'!G163,0,Input!$W$7))</f>
        <v>0</v>
      </c>
      <c r="K104" s="276">
        <f ca="1">IF(A7taxstdlife="N/A","n/a",IF(J104=0,0,A7taxstdlife+I104-Input!$W$7))</f>
        <v>0</v>
      </c>
      <c r="L104" s="280"/>
      <c r="M104" s="312"/>
      <c r="N104" s="312"/>
      <c r="O104" s="272"/>
      <c r="P104" s="272"/>
      <c r="Q104" s="272"/>
      <c r="R104" s="272"/>
      <c r="S104" s="259"/>
      <c r="T104" s="259"/>
      <c r="U104" s="259"/>
      <c r="V104" s="259"/>
      <c r="W104" s="259"/>
      <c r="X104" s="259"/>
      <c r="Y104" s="259"/>
      <c r="Z104" s="259"/>
    </row>
    <row r="105" spans="1:26" outlineLevel="1">
      <c r="A105" s="272"/>
      <c r="B105" s="272"/>
      <c r="C105" s="634"/>
      <c r="D105" s="281">
        <f>D$15</f>
        <v>6</v>
      </c>
      <c r="E105" s="276">
        <f ca="1">OFFSET('Actual RAB roll forward'!H$18,0,D105-1)-SUM('Actual RAB roll forward'!H129:OFFSET('Actual RAB roll forward'!H129,0,Input!$W$7-1))</f>
        <v>0</v>
      </c>
      <c r="F105" s="276" t="str">
        <f>IF(A7stdlife="N/A","n/a",IF(E105=0,0,A7stdlife+D105-Input!$W$7))</f>
        <v>n/a</v>
      </c>
      <c r="G105" s="277"/>
      <c r="H105" s="634"/>
      <c r="I105" s="281">
        <v>6</v>
      </c>
      <c r="J105" s="276">
        <f ca="1">OFFSET('Tax value roll forward'!G$46,0,I105)-SUM('Tax value roll forward'!G164:OFFSET('Tax value roll forward'!G164,0,Input!$W$7))</f>
        <v>0</v>
      </c>
      <c r="K105" s="276">
        <f ca="1">IF(A7taxstdlife="N/A","n/a",IF(J105=0,0,A7taxstdlife+I105-Input!$W$7))</f>
        <v>0</v>
      </c>
      <c r="L105" s="280"/>
      <c r="M105" s="312"/>
      <c r="N105" s="312"/>
      <c r="O105" s="272"/>
      <c r="P105" s="272"/>
      <c r="Q105" s="272"/>
      <c r="R105" s="272"/>
      <c r="S105" s="259"/>
      <c r="T105" s="259"/>
      <c r="U105" s="259"/>
      <c r="V105" s="259"/>
      <c r="W105" s="259"/>
      <c r="X105" s="259"/>
      <c r="Y105" s="259"/>
      <c r="Z105" s="259"/>
    </row>
    <row r="106" spans="1:26" outlineLevel="1">
      <c r="A106" s="272"/>
      <c r="B106" s="272"/>
      <c r="C106" s="634"/>
      <c r="D106" s="281">
        <f>D$16</f>
        <v>7</v>
      </c>
      <c r="E106" s="276">
        <f ca="1">OFFSET('Actual RAB roll forward'!H$18,0,D106-1)-SUM('Actual RAB roll forward'!H130:OFFSET('Actual RAB roll forward'!H130,0,Input!$W$7-1))</f>
        <v>0</v>
      </c>
      <c r="F106" s="276" t="str">
        <f>IF(A7stdlife="N/A","n/a",IF(E106=0,0,A7stdlife+D106-Input!$W$7))</f>
        <v>n/a</v>
      </c>
      <c r="G106" s="277"/>
      <c r="H106" s="634"/>
      <c r="I106" s="281">
        <v>7</v>
      </c>
      <c r="J106" s="276">
        <f ca="1">OFFSET('Tax value roll forward'!G$46,0,I106)-SUM('Tax value roll forward'!G165:OFFSET('Tax value roll forward'!G165,0,Input!$W$7))</f>
        <v>0</v>
      </c>
      <c r="K106" s="276">
        <f ca="1">IF(A7taxstdlife="N/A","n/a",IF(J106=0,0,A7taxstdlife+I106-Input!$W$7))</f>
        <v>0</v>
      </c>
      <c r="L106" s="280"/>
      <c r="M106" s="312"/>
      <c r="N106" s="312"/>
      <c r="O106" s="272"/>
      <c r="P106" s="272"/>
      <c r="Q106" s="272"/>
      <c r="R106" s="272"/>
      <c r="S106" s="259"/>
      <c r="T106" s="259"/>
      <c r="U106" s="259"/>
      <c r="V106" s="259"/>
      <c r="W106" s="259"/>
      <c r="X106" s="259"/>
      <c r="Y106" s="259"/>
      <c r="Z106" s="259"/>
    </row>
    <row r="107" spans="1:26" outlineLevel="1">
      <c r="A107" s="272"/>
      <c r="B107" s="272"/>
      <c r="C107" s="634"/>
      <c r="D107" s="281">
        <f>D$17</f>
        <v>8</v>
      </c>
      <c r="E107" s="276">
        <f ca="1">OFFSET('Actual RAB roll forward'!H$18,0,D107-1)-SUM('Actual RAB roll forward'!H131:OFFSET('Actual RAB roll forward'!H131,0,Input!$W$7-1))</f>
        <v>0</v>
      </c>
      <c r="F107" s="276" t="str">
        <f>IF(A7stdlife="N/A","n/a",IF(E107=0,0,A7stdlife+D107-Input!$W$7))</f>
        <v>n/a</v>
      </c>
      <c r="G107" s="277"/>
      <c r="H107" s="634"/>
      <c r="I107" s="281">
        <v>8</v>
      </c>
      <c r="J107" s="276">
        <f ca="1">OFFSET('Tax value roll forward'!G$46,0,I107)-SUM('Tax value roll forward'!G166:OFFSET('Tax value roll forward'!G166,0,Input!$W$7))</f>
        <v>0</v>
      </c>
      <c r="K107" s="276">
        <f ca="1">IF(A7taxstdlife="N/A","n/a",IF(J107=0,0,A7taxstdlife+I107-Input!$W$7))</f>
        <v>0</v>
      </c>
      <c r="L107" s="280"/>
      <c r="M107" s="312"/>
      <c r="N107" s="312"/>
      <c r="O107" s="272"/>
      <c r="P107" s="272"/>
      <c r="Q107" s="272"/>
      <c r="R107" s="272"/>
      <c r="S107" s="259"/>
      <c r="T107" s="259"/>
      <c r="U107" s="259"/>
      <c r="V107" s="259"/>
      <c r="W107" s="259"/>
      <c r="X107" s="259"/>
      <c r="Y107" s="259"/>
      <c r="Z107" s="259"/>
    </row>
    <row r="108" spans="1:26" outlineLevel="1">
      <c r="A108" s="272"/>
      <c r="B108" s="272"/>
      <c r="C108" s="634"/>
      <c r="D108" s="281">
        <f>D$18</f>
        <v>9</v>
      </c>
      <c r="E108" s="276">
        <f ca="1">OFFSET('Actual RAB roll forward'!H$18,0,D108-1)-SUM('Actual RAB roll forward'!H132:OFFSET('Actual RAB roll forward'!H132,0,Input!$W$7-1))</f>
        <v>0</v>
      </c>
      <c r="F108" s="276" t="str">
        <f>IF(A7stdlife="N/A","n/a",IF(E108=0,0,A7stdlife+D108-Input!$W$7))</f>
        <v>n/a</v>
      </c>
      <c r="G108" s="277"/>
      <c r="H108" s="634"/>
      <c r="I108" s="281">
        <v>9</v>
      </c>
      <c r="J108" s="276">
        <f ca="1">OFFSET('Tax value roll forward'!G$46,0,I108)-SUM('Tax value roll forward'!G167:OFFSET('Tax value roll forward'!G167,0,Input!$W$7))</f>
        <v>0</v>
      </c>
      <c r="K108" s="276">
        <f ca="1">IF(A7taxstdlife="N/A","n/a",IF(J108=0,0,A7taxstdlife+I108-Input!$W$7))</f>
        <v>0</v>
      </c>
      <c r="L108" s="280"/>
      <c r="M108" s="312"/>
      <c r="N108" s="312"/>
      <c r="O108" s="272"/>
      <c r="P108" s="272"/>
      <c r="Q108" s="272"/>
      <c r="R108" s="272"/>
      <c r="S108" s="259"/>
      <c r="T108" s="259"/>
      <c r="U108" s="259"/>
      <c r="V108" s="259"/>
      <c r="W108" s="259"/>
      <c r="X108" s="259"/>
      <c r="Y108" s="259"/>
      <c r="Z108" s="259"/>
    </row>
    <row r="109" spans="1:26" outlineLevel="1">
      <c r="A109" s="272"/>
      <c r="B109" s="272"/>
      <c r="C109" s="635"/>
      <c r="D109" s="282">
        <f>D$19</f>
        <v>10</v>
      </c>
      <c r="E109" s="276">
        <f ca="1">OFFSET('Actual RAB roll forward'!H$18,0,D109-1)-SUM('Actual RAB roll forward'!H133:OFFSET('Actual RAB roll forward'!H133,0,Input!$W$7-1))</f>
        <v>0</v>
      </c>
      <c r="F109" s="276" t="str">
        <f>IF(A7stdlife="N/A","n/a",IF(E109=0,0,A7stdlife+D109-Input!$W$7))</f>
        <v>n/a</v>
      </c>
      <c r="G109" s="277"/>
      <c r="H109" s="635"/>
      <c r="I109" s="282">
        <v>10</v>
      </c>
      <c r="J109" s="276">
        <f ca="1">OFFSET('Tax value roll forward'!G$46,0,I109)-SUM('Tax value roll forward'!G168:OFFSET('Tax value roll forward'!G168,0,Input!$W$7))</f>
        <v>0</v>
      </c>
      <c r="K109" s="276">
        <f ca="1">IF(A7taxstdlife="N/A","n/a",IF(J109=0,0,A7taxstdlife+I109-Input!$W$7))</f>
        <v>0</v>
      </c>
      <c r="M109" s="312"/>
      <c r="N109" s="312"/>
      <c r="O109" s="272"/>
      <c r="P109" s="272"/>
      <c r="Q109" s="272"/>
      <c r="R109" s="272"/>
      <c r="S109" s="259"/>
      <c r="T109" s="259"/>
      <c r="U109" s="259"/>
      <c r="V109" s="259"/>
      <c r="W109" s="259"/>
      <c r="X109" s="259"/>
      <c r="Y109" s="259"/>
      <c r="Z109" s="259"/>
    </row>
    <row r="110" spans="1:26">
      <c r="A110" s="272"/>
      <c r="B110" s="272"/>
      <c r="C110" s="292" t="str">
        <f>Asset7</f>
        <v>Equity Raising Costs</v>
      </c>
      <c r="D110" s="272"/>
      <c r="E110" s="276">
        <f ca="1">SUM(E98:E109)</f>
        <v>0</v>
      </c>
      <c r="F110" s="276">
        <f ca="1">IF(E110=0,0,SUMPRODUCT(E98:E109,F98:F109)/E110)</f>
        <v>0</v>
      </c>
      <c r="G110" s="277"/>
      <c r="H110" s="284"/>
      <c r="I110" s="276"/>
      <c r="J110" s="311">
        <f ca="1">SUM(J98:J109)</f>
        <v>0</v>
      </c>
      <c r="K110" s="311">
        <f ca="1">IF(J110=0,0,SUMPRODUCT(J98:J109,K98:K109)/J110)</f>
        <v>0</v>
      </c>
      <c r="L110" s="280"/>
      <c r="M110" s="312"/>
      <c r="N110" s="312"/>
      <c r="O110" s="272"/>
      <c r="P110" s="272"/>
      <c r="Q110" s="272"/>
      <c r="R110" s="272"/>
      <c r="S110" s="259"/>
      <c r="T110" s="259"/>
      <c r="U110" s="259"/>
      <c r="V110" s="259"/>
      <c r="W110" s="259"/>
      <c r="X110" s="259"/>
      <c r="Y110" s="259"/>
      <c r="Z110" s="259"/>
    </row>
    <row r="111" spans="1:26" outlineLevel="1">
      <c r="A111" s="272"/>
      <c r="B111" s="272"/>
      <c r="C111" s="292"/>
      <c r="D111" s="272"/>
      <c r="E111" s="276"/>
      <c r="F111" s="276"/>
      <c r="G111" s="277"/>
      <c r="H111" s="276"/>
      <c r="I111" s="276"/>
      <c r="J111" s="290"/>
      <c r="K111" s="276"/>
      <c r="L111" s="280"/>
      <c r="M111" s="312"/>
      <c r="N111" s="312"/>
      <c r="O111" s="272"/>
      <c r="P111" s="272"/>
      <c r="Q111" s="272"/>
      <c r="R111" s="272"/>
      <c r="S111" s="259"/>
      <c r="T111" s="259"/>
      <c r="U111" s="259"/>
      <c r="V111" s="259"/>
      <c r="W111" s="259"/>
      <c r="X111" s="259"/>
      <c r="Y111" s="259"/>
      <c r="Z111" s="259"/>
    </row>
    <row r="112" spans="1:26" outlineLevel="1">
      <c r="A112" s="272"/>
      <c r="B112" s="275" t="str">
        <f>Asset8</f>
        <v>Land</v>
      </c>
      <c r="C112" s="272"/>
      <c r="D112" s="272"/>
      <c r="E112" s="276"/>
      <c r="F112" s="276"/>
      <c r="G112" s="277"/>
      <c r="H112" s="276"/>
      <c r="I112" s="276"/>
      <c r="J112" s="290"/>
      <c r="K112" s="276"/>
      <c r="L112" s="280"/>
      <c r="M112" s="312"/>
      <c r="N112" s="312"/>
      <c r="O112" s="272"/>
      <c r="P112" s="272"/>
      <c r="Q112" s="272"/>
      <c r="R112" s="272"/>
      <c r="S112" s="259"/>
      <c r="T112" s="259"/>
      <c r="U112" s="259"/>
      <c r="V112" s="259"/>
      <c r="W112" s="259"/>
      <c r="X112" s="259"/>
      <c r="Y112" s="259"/>
      <c r="Z112" s="259"/>
    </row>
    <row r="113" spans="1:26" ht="12.75" customHeight="1" outlineLevel="1">
      <c r="A113" s="272"/>
      <c r="B113" s="272"/>
      <c r="C113" s="626" t="s">
        <v>28</v>
      </c>
      <c r="D113" s="627"/>
      <c r="E113" s="276">
        <f ca="1">A8value-SUM('Actual RAB roll forward'!H135:OFFSET('Actual RAB roll forward'!H135,0,Input!$W$7-1))</f>
        <v>0</v>
      </c>
      <c r="F113" s="276">
        <f ca="1">IF(A8remlife="N/A","n/a",IF(E113=0,0,A8remlife-Input!$W$7))</f>
        <v>0</v>
      </c>
      <c r="G113" s="277"/>
      <c r="H113" s="278" t="s">
        <v>67</v>
      </c>
      <c r="I113" s="279"/>
      <c r="J113" s="276">
        <f ca="1">A8taxvalue-SUM('Tax value roll forward'!G170:OFFSET('Tax value roll forward'!G170,0,Input!$W$7))</f>
        <v>0</v>
      </c>
      <c r="K113" s="276">
        <f ca="1">IF(A8taxremlife="N/A","n/a",IF(J113=0,0,A8taxremlife-Input!$W$7-1))</f>
        <v>0</v>
      </c>
      <c r="L113" s="280"/>
      <c r="M113" s="312"/>
      <c r="N113" s="312"/>
      <c r="O113" s="272"/>
      <c r="P113" s="272"/>
      <c r="Q113" s="272"/>
      <c r="R113" s="272"/>
      <c r="S113" s="259"/>
      <c r="T113" s="259"/>
      <c r="U113" s="259"/>
      <c r="V113" s="259"/>
      <c r="W113" s="259"/>
      <c r="X113" s="259"/>
      <c r="Y113" s="259"/>
      <c r="Z113" s="259"/>
    </row>
    <row r="114" spans="1:26" ht="12.75" customHeight="1" outlineLevel="1">
      <c r="A114" s="272"/>
      <c r="B114" s="272"/>
      <c r="C114" s="633" t="s">
        <v>84</v>
      </c>
      <c r="D114" s="322">
        <f>D$9</f>
        <v>0</v>
      </c>
      <c r="E114" s="276"/>
      <c r="F114" s="276"/>
      <c r="G114" s="277"/>
      <c r="H114" s="633" t="s">
        <v>84</v>
      </c>
      <c r="I114" s="322">
        <v>0</v>
      </c>
      <c r="J114" s="276">
        <f ca="1">OFFSET('Tax value roll forward'!G$47,0,I114)-SUM('Tax value roll forward'!G172:OFFSET('Tax value roll forward'!G172,0,Input!$W$7))</f>
        <v>0</v>
      </c>
      <c r="K114" s="276">
        <f ca="1">IF(A8taxstdlife="N/A","n/a",IF(J114=0,0,A8taxstdlife+I114-Input!$W$7))</f>
        <v>0</v>
      </c>
      <c r="L114" s="280"/>
      <c r="M114" s="312"/>
      <c r="N114" s="312"/>
      <c r="O114" s="272"/>
      <c r="P114" s="272"/>
      <c r="Q114" s="272"/>
      <c r="R114" s="272"/>
      <c r="S114" s="259"/>
      <c r="T114" s="259"/>
      <c r="U114" s="259"/>
      <c r="V114" s="259"/>
      <c r="W114" s="259"/>
      <c r="X114" s="259"/>
      <c r="Y114" s="259"/>
      <c r="Z114" s="259"/>
    </row>
    <row r="115" spans="1:26" ht="12.75" customHeight="1" outlineLevel="1">
      <c r="A115" s="272"/>
      <c r="B115" s="272"/>
      <c r="C115" s="634"/>
      <c r="D115" s="281">
        <f>D$10</f>
        <v>1</v>
      </c>
      <c r="E115" s="276">
        <f ca="1">OFFSET('Actual RAB roll forward'!H$19,0,D115-1)-SUM('Actual RAB roll forward'!H137:OFFSET('Actual RAB roll forward'!H137,0,Input!$W$7-1))</f>
        <v>0</v>
      </c>
      <c r="F115" s="276" t="str">
        <f>IF(A8stdlife="N/A","n/a",IF(E115=0,0,A8stdlife+D115-Input!$W$7))</f>
        <v>n/a</v>
      </c>
      <c r="G115" s="277"/>
      <c r="H115" s="634"/>
      <c r="I115" s="281">
        <v>1</v>
      </c>
      <c r="J115" s="276">
        <f ca="1">OFFSET('Tax value roll forward'!G$47,0,I115)-SUM('Tax value roll forward'!G173:OFFSET('Tax value roll forward'!G173,0,Input!$W$7))</f>
        <v>0</v>
      </c>
      <c r="K115" s="276">
        <f ca="1">IF(A8taxstdlife="N/A","n/a",IF(J115=0,0,A8taxstdlife+I115-Input!$W$7))</f>
        <v>0</v>
      </c>
      <c r="L115" s="280"/>
      <c r="M115" s="312"/>
      <c r="N115" s="312"/>
      <c r="O115" s="272"/>
      <c r="P115" s="272"/>
      <c r="Q115" s="272"/>
      <c r="R115" s="272"/>
      <c r="S115" s="259"/>
      <c r="T115" s="259"/>
      <c r="U115" s="259"/>
      <c r="V115" s="259"/>
      <c r="W115" s="259"/>
      <c r="X115" s="259"/>
      <c r="Y115" s="259"/>
      <c r="Z115" s="259"/>
    </row>
    <row r="116" spans="1:26" outlineLevel="1">
      <c r="A116" s="272"/>
      <c r="B116" s="272"/>
      <c r="C116" s="634"/>
      <c r="D116" s="281">
        <f>D$11</f>
        <v>2</v>
      </c>
      <c r="E116" s="276">
        <f ca="1">OFFSET('Actual RAB roll forward'!H$19,0,D116-1)-SUM('Actual RAB roll forward'!H138:OFFSET('Actual RAB roll forward'!H138,0,Input!$W$7-1))</f>
        <v>0</v>
      </c>
      <c r="F116" s="276" t="str">
        <f>IF(A8stdlife="N/A","n/a",IF(E116=0,0,A8stdlife+D116-Input!$W$7))</f>
        <v>n/a</v>
      </c>
      <c r="G116" s="277"/>
      <c r="H116" s="634"/>
      <c r="I116" s="281">
        <v>2</v>
      </c>
      <c r="J116" s="276">
        <f ca="1">OFFSET('Tax value roll forward'!G$47,0,I116)-SUM('Tax value roll forward'!G174:OFFSET('Tax value roll forward'!G174,0,Input!$W$7))</f>
        <v>0</v>
      </c>
      <c r="K116" s="276">
        <f ca="1">IF(A8taxstdlife="N/A","n/a",IF(J116=0,0,A8taxstdlife+I116-Input!$W$7))</f>
        <v>0</v>
      </c>
      <c r="L116" s="280"/>
      <c r="M116" s="312"/>
      <c r="N116" s="312"/>
      <c r="O116" s="272"/>
      <c r="P116" s="272"/>
      <c r="Q116" s="272"/>
      <c r="R116" s="272"/>
      <c r="S116" s="259"/>
      <c r="T116" s="259"/>
      <c r="U116" s="259"/>
      <c r="V116" s="259"/>
      <c r="W116" s="259"/>
      <c r="X116" s="259"/>
      <c r="Y116" s="259"/>
      <c r="Z116" s="259"/>
    </row>
    <row r="117" spans="1:26" outlineLevel="1">
      <c r="A117" s="272"/>
      <c r="B117" s="272"/>
      <c r="C117" s="634"/>
      <c r="D117" s="281">
        <f>D$12</f>
        <v>3</v>
      </c>
      <c r="E117" s="276">
        <f ca="1">OFFSET('Actual RAB roll forward'!H$19,0,D117-1)-SUM('Actual RAB roll forward'!H139:OFFSET('Actual RAB roll forward'!H139,0,Input!$W$7-1))</f>
        <v>0</v>
      </c>
      <c r="F117" s="276" t="str">
        <f>IF(A8stdlife="N/A","n/a",IF(E117=0,0,A8stdlife+D117-Input!$W$7))</f>
        <v>n/a</v>
      </c>
      <c r="G117" s="277"/>
      <c r="H117" s="634"/>
      <c r="I117" s="281">
        <v>3</v>
      </c>
      <c r="J117" s="276">
        <f ca="1">OFFSET('Tax value roll forward'!G$47,0,I117)-SUM('Tax value roll forward'!G175:OFFSET('Tax value roll forward'!G175,0,Input!$W$7))</f>
        <v>0</v>
      </c>
      <c r="K117" s="276">
        <f ca="1">IF(A8taxstdlife="N/A","n/a",IF(J117=0,0,A8taxstdlife+I117-Input!$W$7))</f>
        <v>0</v>
      </c>
      <c r="L117" s="280"/>
      <c r="M117" s="312"/>
      <c r="N117" s="312"/>
      <c r="O117" s="272"/>
      <c r="P117" s="272"/>
      <c r="Q117" s="272"/>
      <c r="R117" s="272"/>
      <c r="S117" s="259"/>
      <c r="T117" s="259"/>
      <c r="U117" s="259"/>
      <c r="V117" s="259"/>
      <c r="W117" s="259"/>
      <c r="X117" s="259"/>
      <c r="Y117" s="259"/>
      <c r="Z117" s="259"/>
    </row>
    <row r="118" spans="1:26" outlineLevel="1">
      <c r="A118" s="272"/>
      <c r="B118" s="272"/>
      <c r="C118" s="634"/>
      <c r="D118" s="281">
        <f>D$13</f>
        <v>4</v>
      </c>
      <c r="E118" s="276">
        <f ca="1">OFFSET('Actual RAB roll forward'!H$19,0,D118-1)-SUM('Actual RAB roll forward'!H140:OFFSET('Actual RAB roll forward'!H140,0,Input!$W$7-1))</f>
        <v>0</v>
      </c>
      <c r="F118" s="276" t="str">
        <f>IF(A8stdlife="N/A","n/a",IF(E118=0,0,A8stdlife+D118-Input!$W$7))</f>
        <v>n/a</v>
      </c>
      <c r="G118" s="277"/>
      <c r="H118" s="634"/>
      <c r="I118" s="281">
        <v>4</v>
      </c>
      <c r="J118" s="276">
        <f ca="1">OFFSET('Tax value roll forward'!G$47,0,I118)-SUM('Tax value roll forward'!G176:OFFSET('Tax value roll forward'!G176,0,Input!$W$7))</f>
        <v>0</v>
      </c>
      <c r="K118" s="276">
        <f ca="1">IF(A8taxstdlife="N/A","n/a",IF(J118=0,0,A8taxstdlife+I118-Input!$W$7))</f>
        <v>0</v>
      </c>
      <c r="L118" s="280"/>
      <c r="M118" s="312"/>
      <c r="N118" s="312"/>
      <c r="O118" s="272"/>
      <c r="P118" s="272"/>
      <c r="Q118" s="272"/>
      <c r="R118" s="272"/>
      <c r="S118" s="259"/>
      <c r="T118" s="259"/>
      <c r="U118" s="259"/>
      <c r="V118" s="259"/>
      <c r="W118" s="259"/>
      <c r="X118" s="259"/>
      <c r="Y118" s="259"/>
      <c r="Z118" s="259"/>
    </row>
    <row r="119" spans="1:26" outlineLevel="1">
      <c r="A119" s="272"/>
      <c r="B119" s="272"/>
      <c r="C119" s="634"/>
      <c r="D119" s="281">
        <f>D$14</f>
        <v>5</v>
      </c>
      <c r="E119" s="276">
        <f ca="1">OFFSET('Actual RAB roll forward'!H$19,0,D119-1)-SUM('Actual RAB roll forward'!H141:OFFSET('Actual RAB roll forward'!H141,0,Input!$W$7-1))</f>
        <v>0</v>
      </c>
      <c r="F119" s="276" t="str">
        <f>IF(A8stdlife="N/A","n/a",IF(E119=0,0,A8stdlife+D119-Input!$W$7))</f>
        <v>n/a</v>
      </c>
      <c r="G119" s="277"/>
      <c r="H119" s="634"/>
      <c r="I119" s="281">
        <v>5</v>
      </c>
      <c r="J119" s="276">
        <f ca="1">OFFSET('Tax value roll forward'!G$47,0,I119)-SUM('Tax value roll forward'!G177:OFFSET('Tax value roll forward'!G177,0,Input!$W$7))</f>
        <v>0</v>
      </c>
      <c r="K119" s="276">
        <f ca="1">IF(A8taxstdlife="N/A","n/a",IF(J119=0,0,A8taxstdlife+I119-Input!$W$7))</f>
        <v>0</v>
      </c>
      <c r="L119" s="280"/>
      <c r="M119" s="312"/>
      <c r="N119" s="312"/>
      <c r="O119" s="272"/>
      <c r="P119" s="272"/>
      <c r="Q119" s="272"/>
      <c r="R119" s="272"/>
      <c r="S119" s="259"/>
      <c r="T119" s="259"/>
      <c r="U119" s="259"/>
      <c r="V119" s="259"/>
      <c r="W119" s="259"/>
      <c r="X119" s="259"/>
      <c r="Y119" s="259"/>
      <c r="Z119" s="259"/>
    </row>
    <row r="120" spans="1:26" outlineLevel="1">
      <c r="A120" s="272"/>
      <c r="B120" s="272"/>
      <c r="C120" s="634"/>
      <c r="D120" s="281">
        <f>D$15</f>
        <v>6</v>
      </c>
      <c r="E120" s="276">
        <f ca="1">OFFSET('Actual RAB roll forward'!H$19,0,D120-1)-SUM('Actual RAB roll forward'!H142:OFFSET('Actual RAB roll forward'!H142,0,Input!$W$7-1))</f>
        <v>0</v>
      </c>
      <c r="F120" s="276" t="str">
        <f>IF(A8stdlife="N/A","n/a",IF(E120=0,0,A8stdlife+D120-Input!$W$7))</f>
        <v>n/a</v>
      </c>
      <c r="G120" s="277"/>
      <c r="H120" s="634"/>
      <c r="I120" s="281">
        <v>6</v>
      </c>
      <c r="J120" s="276">
        <f ca="1">OFFSET('Tax value roll forward'!G$47,0,I120)-SUM('Tax value roll forward'!G178:OFFSET('Tax value roll forward'!G178,0,Input!$W$7))</f>
        <v>0</v>
      </c>
      <c r="K120" s="276">
        <f ca="1">IF(A8taxstdlife="N/A","n/a",IF(J120=0,0,A8taxstdlife+I120-Input!$W$7))</f>
        <v>0</v>
      </c>
      <c r="L120" s="280"/>
      <c r="M120" s="312"/>
      <c r="N120" s="312"/>
      <c r="O120" s="272"/>
      <c r="P120" s="272"/>
      <c r="Q120" s="272"/>
      <c r="R120" s="272"/>
      <c r="S120" s="259"/>
      <c r="T120" s="259"/>
      <c r="U120" s="259"/>
      <c r="V120" s="259"/>
      <c r="W120" s="259"/>
      <c r="X120" s="259"/>
      <c r="Y120" s="259"/>
      <c r="Z120" s="259"/>
    </row>
    <row r="121" spans="1:26" outlineLevel="1">
      <c r="A121" s="272"/>
      <c r="B121" s="272"/>
      <c r="C121" s="634"/>
      <c r="D121" s="281">
        <f>D$16</f>
        <v>7</v>
      </c>
      <c r="E121" s="276">
        <f ca="1">OFFSET('Actual RAB roll forward'!H$19,0,D121-1)-SUM('Actual RAB roll forward'!H143:OFFSET('Actual RAB roll forward'!H143,0,Input!$W$7-1))</f>
        <v>0</v>
      </c>
      <c r="F121" s="276" t="str">
        <f>IF(A8stdlife="N/A","n/a",IF(E121=0,0,A8stdlife+D121-Input!$W$7))</f>
        <v>n/a</v>
      </c>
      <c r="G121" s="277"/>
      <c r="H121" s="634"/>
      <c r="I121" s="281">
        <v>7</v>
      </c>
      <c r="J121" s="276">
        <f ca="1">OFFSET('Tax value roll forward'!G$47,0,I121)-SUM('Tax value roll forward'!G179:OFFSET('Tax value roll forward'!G179,0,Input!$W$7))</f>
        <v>0</v>
      </c>
      <c r="K121" s="276">
        <f ca="1">IF(A8taxstdlife="N/A","n/a",IF(J121=0,0,A8taxstdlife+I121-Input!$W$7))</f>
        <v>0</v>
      </c>
      <c r="L121" s="280"/>
      <c r="M121" s="312"/>
      <c r="N121" s="312"/>
      <c r="O121" s="272"/>
      <c r="P121" s="272"/>
      <c r="Q121" s="272"/>
      <c r="R121" s="272"/>
      <c r="S121" s="259"/>
      <c r="T121" s="259"/>
      <c r="U121" s="259"/>
      <c r="V121" s="259"/>
      <c r="W121" s="259"/>
      <c r="X121" s="259"/>
      <c r="Y121" s="259"/>
      <c r="Z121" s="259"/>
    </row>
    <row r="122" spans="1:26" outlineLevel="1">
      <c r="A122" s="272"/>
      <c r="B122" s="272"/>
      <c r="C122" s="634"/>
      <c r="D122" s="281">
        <f>D$17</f>
        <v>8</v>
      </c>
      <c r="E122" s="276">
        <f ca="1">OFFSET('Actual RAB roll forward'!H$19,0,D122-1)-SUM('Actual RAB roll forward'!H144:OFFSET('Actual RAB roll forward'!H144,0,Input!$W$7-1))</f>
        <v>0</v>
      </c>
      <c r="F122" s="276" t="str">
        <f>IF(A8stdlife="N/A","n/a",IF(E122=0,0,A8stdlife+D122-Input!$W$7))</f>
        <v>n/a</v>
      </c>
      <c r="G122" s="277"/>
      <c r="H122" s="634"/>
      <c r="I122" s="281">
        <v>8</v>
      </c>
      <c r="J122" s="276">
        <f ca="1">OFFSET('Tax value roll forward'!G$47,0,I122)-SUM('Tax value roll forward'!G180:OFFSET('Tax value roll forward'!G180,0,Input!$W$7))</f>
        <v>0</v>
      </c>
      <c r="K122" s="276">
        <f ca="1">IF(A8taxstdlife="N/A","n/a",IF(J122=0,0,A8taxstdlife+I122-Input!$W$7))</f>
        <v>0</v>
      </c>
      <c r="L122" s="280"/>
      <c r="M122" s="312"/>
      <c r="N122" s="312"/>
      <c r="O122" s="272"/>
      <c r="P122" s="272"/>
      <c r="Q122" s="272"/>
      <c r="R122" s="272"/>
      <c r="S122" s="259"/>
      <c r="T122" s="259"/>
      <c r="U122" s="259"/>
      <c r="V122" s="259"/>
      <c r="W122" s="259"/>
      <c r="X122" s="259"/>
      <c r="Y122" s="259"/>
      <c r="Z122" s="259"/>
    </row>
    <row r="123" spans="1:26" outlineLevel="1">
      <c r="A123" s="272"/>
      <c r="B123" s="272"/>
      <c r="C123" s="634"/>
      <c r="D123" s="281">
        <f>D$18</f>
        <v>9</v>
      </c>
      <c r="E123" s="276">
        <f ca="1">OFFSET('Actual RAB roll forward'!H$19,0,D123-1)-SUM('Actual RAB roll forward'!H145:OFFSET('Actual RAB roll forward'!H145,0,Input!$W$7-1))</f>
        <v>0</v>
      </c>
      <c r="F123" s="276" t="str">
        <f>IF(A8stdlife="N/A","n/a",IF(E123=0,0,A8stdlife+D123-Input!$W$7))</f>
        <v>n/a</v>
      </c>
      <c r="G123" s="277"/>
      <c r="H123" s="634"/>
      <c r="I123" s="281">
        <v>9</v>
      </c>
      <c r="J123" s="276">
        <f ca="1">OFFSET('Tax value roll forward'!G$47,0,I123)-SUM('Tax value roll forward'!G181:OFFSET('Tax value roll forward'!G181,0,Input!$W$7))</f>
        <v>0</v>
      </c>
      <c r="K123" s="276">
        <f ca="1">IF(A8taxstdlife="N/A","n/a",IF(J123=0,0,A8taxstdlife+I123-Input!$W$7))</f>
        <v>0</v>
      </c>
      <c r="L123" s="280"/>
      <c r="M123" s="312"/>
      <c r="N123" s="312"/>
      <c r="O123" s="272"/>
      <c r="P123" s="272"/>
      <c r="Q123" s="272"/>
      <c r="R123" s="272"/>
      <c r="S123" s="259"/>
      <c r="T123" s="259"/>
      <c r="U123" s="259"/>
      <c r="V123" s="259"/>
      <c r="W123" s="259"/>
      <c r="X123" s="259"/>
      <c r="Y123" s="259"/>
      <c r="Z123" s="259"/>
    </row>
    <row r="124" spans="1:26" outlineLevel="1">
      <c r="A124" s="272"/>
      <c r="B124" s="272"/>
      <c r="C124" s="635"/>
      <c r="D124" s="282">
        <f>D$19</f>
        <v>10</v>
      </c>
      <c r="E124" s="276">
        <f ca="1">OFFSET('Actual RAB roll forward'!H$19,0,D124-1)-SUM('Actual RAB roll forward'!H146:OFFSET('Actual RAB roll forward'!H146,0,Input!$W$7-1))</f>
        <v>0</v>
      </c>
      <c r="F124" s="276" t="str">
        <f>IF(A8stdlife="N/A","n/a",IF(E124=0,0,A8stdlife+D124-Input!$W$7))</f>
        <v>n/a</v>
      </c>
      <c r="G124" s="277"/>
      <c r="H124" s="635"/>
      <c r="I124" s="282">
        <v>10</v>
      </c>
      <c r="J124" s="276">
        <f ca="1">OFFSET('Tax value roll forward'!G$47,0,I124)-SUM('Tax value roll forward'!G182:OFFSET('Tax value roll forward'!G182,0,Input!$W$7))</f>
        <v>0</v>
      </c>
      <c r="K124" s="276">
        <f ca="1">IF(A8taxstdlife="N/A","n/a",IF(J124=0,0,A8taxstdlife+I124-Input!$W$7))</f>
        <v>0</v>
      </c>
      <c r="M124" s="312"/>
      <c r="N124" s="312"/>
      <c r="O124" s="272"/>
      <c r="P124" s="272"/>
      <c r="Q124" s="272"/>
      <c r="R124" s="272"/>
      <c r="S124" s="259"/>
      <c r="T124" s="259"/>
      <c r="U124" s="259"/>
      <c r="V124" s="259"/>
      <c r="W124" s="259"/>
      <c r="X124" s="259"/>
      <c r="Y124" s="259"/>
      <c r="Z124" s="259"/>
    </row>
    <row r="125" spans="1:26">
      <c r="A125" s="272"/>
      <c r="B125" s="272"/>
      <c r="C125" s="292" t="str">
        <f>Asset8</f>
        <v>Land</v>
      </c>
      <c r="D125" s="272"/>
      <c r="E125" s="276">
        <f ca="1">SUM(E113:E124)</f>
        <v>0</v>
      </c>
      <c r="F125" s="276">
        <f ca="1">IF(E125=0,0,SUMPRODUCT(E113:E124,F113:F124)/E125)</f>
        <v>0</v>
      </c>
      <c r="G125" s="277"/>
      <c r="H125" s="284"/>
      <c r="I125" s="276"/>
      <c r="J125" s="311">
        <f ca="1">SUM(J113:J124)</f>
        <v>0</v>
      </c>
      <c r="K125" s="311">
        <f ca="1">IF(J125=0,0,SUMPRODUCT(J113:J124,K113:K124)/J125)</f>
        <v>0</v>
      </c>
      <c r="L125" s="280"/>
      <c r="M125" s="312"/>
      <c r="N125" s="312"/>
      <c r="O125" s="272"/>
      <c r="P125" s="272"/>
      <c r="Q125" s="272"/>
      <c r="R125" s="272"/>
      <c r="S125" s="259"/>
      <c r="T125" s="259"/>
      <c r="U125" s="259"/>
      <c r="V125" s="259"/>
      <c r="W125" s="259"/>
      <c r="X125" s="259"/>
      <c r="Y125" s="259"/>
      <c r="Z125" s="259"/>
    </row>
    <row r="126" spans="1:26" outlineLevel="1">
      <c r="A126" s="272"/>
      <c r="B126" s="272"/>
      <c r="C126" s="292"/>
      <c r="D126" s="272"/>
      <c r="E126" s="276"/>
      <c r="F126" s="276"/>
      <c r="G126" s="277"/>
      <c r="H126" s="276"/>
      <c r="I126" s="276"/>
      <c r="J126" s="290"/>
      <c r="K126" s="276"/>
      <c r="L126" s="280"/>
      <c r="M126" s="312"/>
      <c r="N126" s="312"/>
      <c r="O126" s="272"/>
      <c r="P126" s="272"/>
      <c r="Q126" s="272"/>
      <c r="R126" s="272"/>
      <c r="S126" s="259"/>
      <c r="T126" s="259"/>
      <c r="U126" s="259"/>
      <c r="V126" s="259"/>
      <c r="W126" s="259"/>
      <c r="X126" s="259"/>
      <c r="Y126" s="259"/>
      <c r="Z126" s="259"/>
    </row>
    <row r="127" spans="1:26" outlineLevel="1">
      <c r="A127" s="272"/>
      <c r="B127" s="275">
        <f>Asset9</f>
        <v>0</v>
      </c>
      <c r="C127" s="272"/>
      <c r="D127" s="272"/>
      <c r="E127" s="280"/>
      <c r="F127" s="280"/>
      <c r="G127" s="277"/>
      <c r="H127" s="276"/>
      <c r="I127" s="276"/>
      <c r="J127" s="290"/>
      <c r="K127" s="276"/>
      <c r="L127" s="280"/>
      <c r="M127" s="312"/>
      <c r="N127" s="312"/>
      <c r="O127" s="272"/>
      <c r="P127" s="272"/>
      <c r="Q127" s="272"/>
      <c r="R127" s="272"/>
      <c r="S127" s="259"/>
      <c r="T127" s="259"/>
      <c r="U127" s="259"/>
      <c r="V127" s="259"/>
      <c r="W127" s="259"/>
      <c r="X127" s="259"/>
      <c r="Y127" s="259"/>
      <c r="Z127" s="259"/>
    </row>
    <row r="128" spans="1:26" ht="12.75" customHeight="1" outlineLevel="1">
      <c r="A128" s="272"/>
      <c r="B128" s="272"/>
      <c r="C128" s="626" t="s">
        <v>28</v>
      </c>
      <c r="D128" s="627"/>
      <c r="E128" s="276">
        <f ca="1">A9value-SUM('Actual RAB roll forward'!H148:OFFSET('Actual RAB roll forward'!H148,0,Input!$W$7-1))</f>
        <v>0</v>
      </c>
      <c r="F128" s="276">
        <f ca="1">IF(A9remlife="N/A","n/a",IF(E128=0,0,A9remlife-Input!$W$7))</f>
        <v>0</v>
      </c>
      <c r="G128" s="277"/>
      <c r="H128" s="278" t="s">
        <v>67</v>
      </c>
      <c r="I128" s="279"/>
      <c r="J128" s="276">
        <f ca="1">A9taxvalue-SUM('Tax value roll forward'!G184:OFFSET('Tax value roll forward'!G184,0,Input!$W$7))</f>
        <v>0</v>
      </c>
      <c r="K128" s="276">
        <f ca="1">IF(A9taxremlife="N/A","n/a",IF(J128=0,0,A9taxremlife-Input!$W$7-1))</f>
        <v>0</v>
      </c>
      <c r="L128" s="280"/>
      <c r="M128" s="312"/>
      <c r="N128" s="312"/>
      <c r="O128" s="272"/>
      <c r="P128" s="272"/>
      <c r="Q128" s="272"/>
      <c r="R128" s="272"/>
      <c r="S128" s="259"/>
      <c r="T128" s="259"/>
      <c r="U128" s="259"/>
      <c r="V128" s="259"/>
      <c r="W128" s="259"/>
      <c r="X128" s="259"/>
      <c r="Y128" s="259"/>
      <c r="Z128" s="259"/>
    </row>
    <row r="129" spans="1:26" ht="12.75" customHeight="1" outlineLevel="1">
      <c r="A129" s="272"/>
      <c r="B129" s="272"/>
      <c r="C129" s="633" t="s">
        <v>84</v>
      </c>
      <c r="D129" s="322">
        <f>D$9</f>
        <v>0</v>
      </c>
      <c r="E129" s="276"/>
      <c r="F129" s="276"/>
      <c r="G129" s="277"/>
      <c r="H129" s="633" t="s">
        <v>84</v>
      </c>
      <c r="I129" s="322">
        <v>0</v>
      </c>
      <c r="J129" s="276">
        <f ca="1">OFFSET('Tax value roll forward'!G$48,0,I129)-SUM('Tax value roll forward'!G186:OFFSET('Tax value roll forward'!G186,0,Input!$W$7))</f>
        <v>0</v>
      </c>
      <c r="K129" s="276">
        <f ca="1">IF(A9taxstdlife="N/A","n/a",IF(J129=0,0,A9taxstdlife+I129-Input!$W$7))</f>
        <v>0</v>
      </c>
      <c r="L129" s="280"/>
      <c r="M129" s="312"/>
      <c r="N129" s="312"/>
      <c r="O129" s="272"/>
      <c r="P129" s="272"/>
      <c r="Q129" s="272"/>
      <c r="R129" s="272"/>
      <c r="S129" s="259"/>
      <c r="T129" s="259"/>
      <c r="U129" s="259"/>
      <c r="V129" s="259"/>
      <c r="W129" s="259"/>
      <c r="X129" s="259"/>
      <c r="Y129" s="259"/>
      <c r="Z129" s="259"/>
    </row>
    <row r="130" spans="1:26" ht="12.75" customHeight="1" outlineLevel="1">
      <c r="A130" s="272"/>
      <c r="B130" s="272"/>
      <c r="C130" s="634"/>
      <c r="D130" s="281">
        <f>D$10</f>
        <v>1</v>
      </c>
      <c r="E130" s="276">
        <f ca="1">OFFSET('Actual RAB roll forward'!H$20,0,D130-1)-SUM('Actual RAB roll forward'!H150:OFFSET('Actual RAB roll forward'!H150,0,Input!$W$7-1))</f>
        <v>0</v>
      </c>
      <c r="F130" s="276">
        <f ca="1">IF(A9stdlife="N/A","n/a",IF(E130=0,0,A9stdlife+D130-Input!$W$7))</f>
        <v>0</v>
      </c>
      <c r="G130" s="277"/>
      <c r="H130" s="634"/>
      <c r="I130" s="281">
        <v>1</v>
      </c>
      <c r="J130" s="276">
        <f ca="1">OFFSET('Tax value roll forward'!G$48,0,I130)-SUM('Tax value roll forward'!G187:OFFSET('Tax value roll forward'!G187,0,Input!$W$7))</f>
        <v>0</v>
      </c>
      <c r="K130" s="276">
        <f ca="1">IF(A9taxstdlife="N/A","n/a",IF(J130=0,0,A9taxstdlife+I130-Input!$W$7))</f>
        <v>0</v>
      </c>
      <c r="L130" s="280"/>
      <c r="M130" s="312"/>
      <c r="N130" s="312"/>
      <c r="O130" s="272"/>
      <c r="P130" s="272"/>
      <c r="Q130" s="272"/>
      <c r="R130" s="272"/>
      <c r="S130" s="259"/>
      <c r="T130" s="259"/>
      <c r="U130" s="259"/>
      <c r="V130" s="259"/>
      <c r="W130" s="259"/>
      <c r="X130" s="259"/>
      <c r="Y130" s="259"/>
      <c r="Z130" s="259"/>
    </row>
    <row r="131" spans="1:26" outlineLevel="1">
      <c r="A131" s="272"/>
      <c r="B131" s="272"/>
      <c r="C131" s="634"/>
      <c r="D131" s="281">
        <f>D$11</f>
        <v>2</v>
      </c>
      <c r="E131" s="276">
        <f ca="1">OFFSET('Actual RAB roll forward'!H$20,0,D131-1)-SUM('Actual RAB roll forward'!H151:OFFSET('Actual RAB roll forward'!H151,0,Input!$W$7-1))</f>
        <v>0</v>
      </c>
      <c r="F131" s="276">
        <f ca="1">IF(A9stdlife="N/A","n/a",IF(E131=0,0,A9stdlife+D131-Input!$W$7))</f>
        <v>0</v>
      </c>
      <c r="G131" s="277"/>
      <c r="H131" s="634"/>
      <c r="I131" s="281">
        <v>2</v>
      </c>
      <c r="J131" s="276">
        <f ca="1">OFFSET('Tax value roll forward'!G$48,0,I131)-SUM('Tax value roll forward'!G188:OFFSET('Tax value roll forward'!G188,0,Input!$W$7))</f>
        <v>0</v>
      </c>
      <c r="K131" s="276">
        <f ca="1">IF(A9taxstdlife="N/A","n/a",IF(J131=0,0,A9taxstdlife+I131-Input!$W$7))</f>
        <v>0</v>
      </c>
      <c r="L131" s="280"/>
      <c r="M131" s="312"/>
      <c r="N131" s="312"/>
      <c r="O131" s="272"/>
      <c r="P131" s="272"/>
      <c r="Q131" s="272"/>
      <c r="R131" s="272"/>
      <c r="S131" s="259"/>
      <c r="T131" s="259"/>
      <c r="U131" s="259"/>
      <c r="V131" s="259"/>
      <c r="W131" s="259"/>
      <c r="X131" s="259"/>
      <c r="Y131" s="259"/>
      <c r="Z131" s="259"/>
    </row>
    <row r="132" spans="1:26" outlineLevel="1">
      <c r="A132" s="272"/>
      <c r="B132" s="272"/>
      <c r="C132" s="634"/>
      <c r="D132" s="281">
        <f>D$12</f>
        <v>3</v>
      </c>
      <c r="E132" s="276">
        <f ca="1">OFFSET('Actual RAB roll forward'!H$20,0,D132-1)-SUM('Actual RAB roll forward'!H152:OFFSET('Actual RAB roll forward'!H152,0,Input!$W$7-1))</f>
        <v>0</v>
      </c>
      <c r="F132" s="276">
        <f ca="1">IF(A9stdlife="N/A","n/a",IF(E132=0,0,A9stdlife+D132-Input!$W$7))</f>
        <v>0</v>
      </c>
      <c r="G132" s="277"/>
      <c r="H132" s="634"/>
      <c r="I132" s="281">
        <v>3</v>
      </c>
      <c r="J132" s="276">
        <f ca="1">OFFSET('Tax value roll forward'!G$48,0,I132)-SUM('Tax value roll forward'!G189:OFFSET('Tax value roll forward'!G189,0,Input!$W$7))</f>
        <v>0</v>
      </c>
      <c r="K132" s="276">
        <f ca="1">IF(A9taxstdlife="N/A","n/a",IF(J132=0,0,A9taxstdlife+I132-Input!$W$7))</f>
        <v>0</v>
      </c>
      <c r="L132" s="280"/>
      <c r="M132" s="312"/>
      <c r="N132" s="312"/>
      <c r="O132" s="272"/>
      <c r="P132" s="272"/>
      <c r="Q132" s="272"/>
      <c r="R132" s="272"/>
      <c r="S132" s="259"/>
      <c r="T132" s="259"/>
      <c r="U132" s="259"/>
      <c r="V132" s="259"/>
      <c r="W132" s="259"/>
      <c r="X132" s="259"/>
      <c r="Y132" s="259"/>
      <c r="Z132" s="259"/>
    </row>
    <row r="133" spans="1:26" outlineLevel="1">
      <c r="A133" s="272"/>
      <c r="B133" s="272"/>
      <c r="C133" s="634"/>
      <c r="D133" s="281">
        <f>D$13</f>
        <v>4</v>
      </c>
      <c r="E133" s="276">
        <f ca="1">OFFSET('Actual RAB roll forward'!H$20,0,D133-1)-SUM('Actual RAB roll forward'!H153:OFFSET('Actual RAB roll forward'!H153,0,Input!$W$7-1))</f>
        <v>0</v>
      </c>
      <c r="F133" s="276">
        <f ca="1">IF(A9stdlife="N/A","n/a",IF(E133=0,0,A9stdlife+D133-Input!$W$7))</f>
        <v>0</v>
      </c>
      <c r="G133" s="277"/>
      <c r="H133" s="634"/>
      <c r="I133" s="281">
        <v>4</v>
      </c>
      <c r="J133" s="276">
        <f ca="1">OFFSET('Tax value roll forward'!G$48,0,I133)-SUM('Tax value roll forward'!G190:OFFSET('Tax value roll forward'!G190,0,Input!$W$7))</f>
        <v>0</v>
      </c>
      <c r="K133" s="276">
        <f ca="1">IF(A9taxstdlife="N/A","n/a",IF(J133=0,0,A9taxstdlife+I133-Input!$W$7))</f>
        <v>0</v>
      </c>
      <c r="L133" s="280"/>
      <c r="M133" s="312"/>
      <c r="N133" s="312"/>
      <c r="O133" s="272"/>
      <c r="P133" s="272"/>
      <c r="Q133" s="272"/>
      <c r="R133" s="272"/>
      <c r="S133" s="259"/>
      <c r="T133" s="259"/>
      <c r="U133" s="259"/>
      <c r="V133" s="259"/>
      <c r="W133" s="259"/>
      <c r="X133" s="259"/>
      <c r="Y133" s="259"/>
      <c r="Z133" s="259"/>
    </row>
    <row r="134" spans="1:26" outlineLevel="1">
      <c r="A134" s="272"/>
      <c r="B134" s="272"/>
      <c r="C134" s="634"/>
      <c r="D134" s="281">
        <f>D$14</f>
        <v>5</v>
      </c>
      <c r="E134" s="276">
        <f ca="1">OFFSET('Actual RAB roll forward'!H$20,0,D134-1)-SUM('Actual RAB roll forward'!H154:OFFSET('Actual RAB roll forward'!H154,0,Input!$W$7-1))</f>
        <v>0</v>
      </c>
      <c r="F134" s="276">
        <f ca="1">IF(A9stdlife="N/A","n/a",IF(E134=0,0,A9stdlife+D134-Input!$W$7))</f>
        <v>0</v>
      </c>
      <c r="G134" s="277"/>
      <c r="H134" s="634"/>
      <c r="I134" s="281">
        <v>5</v>
      </c>
      <c r="J134" s="276">
        <f ca="1">OFFSET('Tax value roll forward'!G$48,0,I134)-SUM('Tax value roll forward'!G191:OFFSET('Tax value roll forward'!G191,0,Input!$W$7))</f>
        <v>0</v>
      </c>
      <c r="K134" s="276">
        <f ca="1">IF(A9taxstdlife="N/A","n/a",IF(J134=0,0,A9taxstdlife+I134-Input!$W$7))</f>
        <v>0</v>
      </c>
      <c r="L134" s="280"/>
      <c r="M134" s="312"/>
      <c r="N134" s="312"/>
      <c r="O134" s="272"/>
      <c r="P134" s="272"/>
      <c r="Q134" s="272"/>
      <c r="R134" s="272"/>
      <c r="S134" s="259"/>
      <c r="T134" s="259"/>
      <c r="U134" s="259"/>
      <c r="V134" s="259"/>
      <c r="W134" s="259"/>
      <c r="X134" s="259"/>
      <c r="Y134" s="259"/>
      <c r="Z134" s="259"/>
    </row>
    <row r="135" spans="1:26" outlineLevel="1">
      <c r="A135" s="272"/>
      <c r="B135" s="272"/>
      <c r="C135" s="634"/>
      <c r="D135" s="281">
        <f>D$15</f>
        <v>6</v>
      </c>
      <c r="E135" s="276">
        <f ca="1">OFFSET('Actual RAB roll forward'!H$20,0,D135-1)-SUM('Actual RAB roll forward'!H155:OFFSET('Actual RAB roll forward'!H155,0,Input!$W$7-1))</f>
        <v>0</v>
      </c>
      <c r="F135" s="276">
        <f ca="1">IF(A9stdlife="N/A","n/a",IF(E135=0,0,A9stdlife+D135-Input!$W$7))</f>
        <v>0</v>
      </c>
      <c r="G135" s="277"/>
      <c r="H135" s="634"/>
      <c r="I135" s="281">
        <v>6</v>
      </c>
      <c r="J135" s="276">
        <f ca="1">OFFSET('Tax value roll forward'!G$48,0,I135)-SUM('Tax value roll forward'!G192:OFFSET('Tax value roll forward'!G192,0,Input!$W$7))</f>
        <v>0</v>
      </c>
      <c r="K135" s="276">
        <f ca="1">IF(A9taxstdlife="N/A","n/a",IF(J135=0,0,A9taxstdlife+I135-Input!$W$7))</f>
        <v>0</v>
      </c>
      <c r="L135" s="280"/>
      <c r="M135" s="312"/>
      <c r="N135" s="312"/>
      <c r="O135" s="272"/>
      <c r="P135" s="272"/>
      <c r="Q135" s="272"/>
      <c r="R135" s="272"/>
      <c r="S135" s="259"/>
      <c r="T135" s="259"/>
      <c r="U135" s="259"/>
      <c r="V135" s="259"/>
      <c r="W135" s="259"/>
      <c r="X135" s="259"/>
      <c r="Y135" s="259"/>
      <c r="Z135" s="259"/>
    </row>
    <row r="136" spans="1:26" outlineLevel="1">
      <c r="A136" s="272"/>
      <c r="B136" s="272"/>
      <c r="C136" s="634"/>
      <c r="D136" s="281">
        <f>D$16</f>
        <v>7</v>
      </c>
      <c r="E136" s="276">
        <f ca="1">OFFSET('Actual RAB roll forward'!H$20,0,D136-1)-SUM('Actual RAB roll forward'!H156:OFFSET('Actual RAB roll forward'!H156,0,Input!$W$7-1))</f>
        <v>0</v>
      </c>
      <c r="F136" s="276">
        <f ca="1">IF(A9stdlife="N/A","n/a",IF(E136=0,0,A9stdlife+D136-Input!$W$7))</f>
        <v>0</v>
      </c>
      <c r="G136" s="277"/>
      <c r="H136" s="634"/>
      <c r="I136" s="281">
        <v>7</v>
      </c>
      <c r="J136" s="276">
        <f ca="1">OFFSET('Tax value roll forward'!G$48,0,I136)-SUM('Tax value roll forward'!G193:OFFSET('Tax value roll forward'!G193,0,Input!$W$7))</f>
        <v>0</v>
      </c>
      <c r="K136" s="276">
        <f ca="1">IF(A9taxstdlife="N/A","n/a",IF(J136=0,0,A9taxstdlife+I136-Input!$W$7))</f>
        <v>0</v>
      </c>
      <c r="L136" s="280"/>
      <c r="M136" s="312"/>
      <c r="N136" s="312"/>
      <c r="O136" s="272"/>
      <c r="P136" s="272"/>
      <c r="Q136" s="272"/>
      <c r="R136" s="272"/>
      <c r="S136" s="259"/>
      <c r="T136" s="259"/>
      <c r="U136" s="259"/>
      <c r="V136" s="259"/>
      <c r="W136" s="259"/>
      <c r="X136" s="259"/>
      <c r="Y136" s="259"/>
      <c r="Z136" s="259"/>
    </row>
    <row r="137" spans="1:26" outlineLevel="1">
      <c r="A137" s="272"/>
      <c r="B137" s="272"/>
      <c r="C137" s="634"/>
      <c r="D137" s="281">
        <f>D$17</f>
        <v>8</v>
      </c>
      <c r="E137" s="276">
        <f ca="1">OFFSET('Actual RAB roll forward'!H$20,0,D137-1)-SUM('Actual RAB roll forward'!H157:OFFSET('Actual RAB roll forward'!H157,0,Input!$W$7-1))</f>
        <v>0</v>
      </c>
      <c r="F137" s="276">
        <f ca="1">IF(A9stdlife="N/A","n/a",IF(E137=0,0,A9stdlife+D137-Input!$W$7))</f>
        <v>0</v>
      </c>
      <c r="G137" s="277"/>
      <c r="H137" s="634"/>
      <c r="I137" s="281">
        <v>8</v>
      </c>
      <c r="J137" s="276">
        <f ca="1">OFFSET('Tax value roll forward'!G$48,0,I137)-SUM('Tax value roll forward'!G194:OFFSET('Tax value roll forward'!G194,0,Input!$W$7))</f>
        <v>0</v>
      </c>
      <c r="K137" s="276">
        <f ca="1">IF(A9taxstdlife="N/A","n/a",IF(J137=0,0,A9taxstdlife+I137-Input!$W$7))</f>
        <v>0</v>
      </c>
      <c r="L137" s="280"/>
      <c r="M137" s="312"/>
      <c r="N137" s="312"/>
      <c r="O137" s="272"/>
      <c r="P137" s="272"/>
      <c r="Q137" s="272"/>
      <c r="R137" s="272"/>
      <c r="S137" s="259"/>
      <c r="T137" s="259"/>
      <c r="U137" s="259"/>
      <c r="V137" s="259"/>
      <c r="W137" s="259"/>
      <c r="X137" s="259"/>
      <c r="Y137" s="259"/>
      <c r="Z137" s="259"/>
    </row>
    <row r="138" spans="1:26" outlineLevel="1">
      <c r="A138" s="272"/>
      <c r="B138" s="272"/>
      <c r="C138" s="634"/>
      <c r="D138" s="281">
        <f>D$18</f>
        <v>9</v>
      </c>
      <c r="E138" s="276">
        <f ca="1">OFFSET('Actual RAB roll forward'!H$20,0,D138-1)-SUM('Actual RAB roll forward'!H158:OFFSET('Actual RAB roll forward'!H158,0,Input!$W$7-1))</f>
        <v>0</v>
      </c>
      <c r="F138" s="276">
        <f ca="1">IF(A9stdlife="N/A","n/a",IF(E138=0,0,A9stdlife+D138-Input!$W$7))</f>
        <v>0</v>
      </c>
      <c r="G138" s="277"/>
      <c r="H138" s="634"/>
      <c r="I138" s="281">
        <v>9</v>
      </c>
      <c r="J138" s="276">
        <f ca="1">OFFSET('Tax value roll forward'!G$48,0,I138)-SUM('Tax value roll forward'!G195:OFFSET('Tax value roll forward'!G195,0,Input!$W$7))</f>
        <v>0</v>
      </c>
      <c r="K138" s="276">
        <f ca="1">IF(A9taxstdlife="N/A","n/a",IF(J138=0,0,A9taxstdlife+I138-Input!$W$7))</f>
        <v>0</v>
      </c>
      <c r="L138" s="280"/>
      <c r="M138" s="312"/>
      <c r="N138" s="312"/>
      <c r="O138" s="272"/>
      <c r="P138" s="272"/>
      <c r="Q138" s="272"/>
      <c r="R138" s="272"/>
      <c r="S138" s="259"/>
      <c r="T138" s="259"/>
      <c r="U138" s="259"/>
      <c r="V138" s="259"/>
      <c r="W138" s="259"/>
      <c r="X138" s="259"/>
      <c r="Y138" s="259"/>
      <c r="Z138" s="259"/>
    </row>
    <row r="139" spans="1:26" outlineLevel="1">
      <c r="A139" s="272"/>
      <c r="B139" s="272"/>
      <c r="C139" s="635"/>
      <c r="D139" s="282">
        <f>D$19</f>
        <v>10</v>
      </c>
      <c r="E139" s="276">
        <f ca="1">OFFSET('Actual RAB roll forward'!H$20,0,D139-1)-SUM('Actual RAB roll forward'!H159:OFFSET('Actual RAB roll forward'!H159,0,Input!$W$7-1))</f>
        <v>0</v>
      </c>
      <c r="F139" s="276">
        <f ca="1">IF(A9stdlife="N/A","n/a",IF(E139=0,0,A9stdlife+D139-Input!$W$7))</f>
        <v>0</v>
      </c>
      <c r="G139" s="277"/>
      <c r="H139" s="635"/>
      <c r="I139" s="282">
        <v>10</v>
      </c>
      <c r="J139" s="276">
        <f ca="1">OFFSET('Tax value roll forward'!G$48,0,I139)-SUM('Tax value roll forward'!G196:OFFSET('Tax value roll forward'!G196,0,Input!$W$7))</f>
        <v>0</v>
      </c>
      <c r="K139" s="276">
        <f ca="1">IF(A9taxstdlife="N/A","n/a",IF(J139=0,0,A9taxstdlife+I139-Input!$W$7))</f>
        <v>0</v>
      </c>
      <c r="M139" s="312"/>
      <c r="N139" s="312"/>
      <c r="O139" s="272"/>
      <c r="P139" s="272"/>
      <c r="Q139" s="272"/>
      <c r="R139" s="272"/>
      <c r="S139" s="259"/>
      <c r="T139" s="259"/>
      <c r="U139" s="259"/>
      <c r="V139" s="259"/>
      <c r="W139" s="259"/>
      <c r="X139" s="259"/>
      <c r="Y139" s="259"/>
      <c r="Z139" s="259"/>
    </row>
    <row r="140" spans="1:26">
      <c r="A140" s="272"/>
      <c r="B140" s="272"/>
      <c r="C140" s="292">
        <f>Asset9</f>
        <v>0</v>
      </c>
      <c r="D140" s="272"/>
      <c r="E140" s="276">
        <f ca="1">SUM(E128:E139)</f>
        <v>0</v>
      </c>
      <c r="F140" s="276">
        <f ca="1">IF(E140=0,0,SUMPRODUCT(E128:E139,F128:F139)/E140)</f>
        <v>0</v>
      </c>
      <c r="G140" s="277"/>
      <c r="H140" s="284"/>
      <c r="I140" s="276"/>
      <c r="J140" s="311">
        <f ca="1">SUM(J128:J139)</f>
        <v>0</v>
      </c>
      <c r="K140" s="311">
        <f ca="1">IF(J140=0,0,SUMPRODUCT(J128:J139,K128:K139)/J140)</f>
        <v>0</v>
      </c>
      <c r="L140" s="280"/>
      <c r="M140" s="312"/>
      <c r="N140" s="312"/>
      <c r="O140" s="272"/>
      <c r="P140" s="272"/>
      <c r="Q140" s="272"/>
      <c r="R140" s="272"/>
      <c r="S140" s="259"/>
      <c r="T140" s="259"/>
      <c r="U140" s="259"/>
      <c r="V140" s="259"/>
      <c r="W140" s="259"/>
      <c r="X140" s="259"/>
      <c r="Y140" s="259"/>
      <c r="Z140" s="259"/>
    </row>
    <row r="141" spans="1:26" outlineLevel="1">
      <c r="A141" s="272"/>
      <c r="B141" s="272"/>
      <c r="C141" s="292"/>
      <c r="D141" s="272"/>
      <c r="E141" s="276"/>
      <c r="F141" s="276"/>
      <c r="G141" s="277"/>
      <c r="H141" s="276"/>
      <c r="I141" s="276"/>
      <c r="J141" s="290"/>
      <c r="K141" s="276"/>
      <c r="L141" s="280"/>
      <c r="M141" s="312"/>
      <c r="N141" s="312"/>
      <c r="O141" s="272"/>
      <c r="P141" s="272"/>
      <c r="Q141" s="272"/>
      <c r="R141" s="272"/>
      <c r="S141" s="259"/>
      <c r="T141" s="259"/>
      <c r="U141" s="259"/>
      <c r="V141" s="259"/>
      <c r="W141" s="259"/>
      <c r="X141" s="259"/>
      <c r="Y141" s="259"/>
      <c r="Z141" s="259"/>
    </row>
    <row r="142" spans="1:26" outlineLevel="1">
      <c r="A142" s="272"/>
      <c r="B142" s="275">
        <f>Asset10</f>
        <v>0</v>
      </c>
      <c r="C142" s="272"/>
      <c r="D142" s="272"/>
      <c r="E142" s="293"/>
      <c r="F142" s="293"/>
      <c r="G142" s="277"/>
      <c r="H142" s="276"/>
      <c r="I142" s="276"/>
      <c r="J142" s="290"/>
      <c r="K142" s="276"/>
      <c r="L142" s="280"/>
      <c r="M142" s="312"/>
      <c r="N142" s="312"/>
      <c r="O142" s="272"/>
      <c r="P142" s="272"/>
      <c r="Q142" s="272"/>
      <c r="R142" s="272"/>
      <c r="S142" s="259"/>
      <c r="T142" s="259"/>
      <c r="U142" s="259"/>
      <c r="V142" s="259"/>
      <c r="W142" s="259"/>
      <c r="X142" s="259"/>
      <c r="Y142" s="259"/>
      <c r="Z142" s="259"/>
    </row>
    <row r="143" spans="1:26" ht="12.75" customHeight="1" outlineLevel="1">
      <c r="A143" s="272"/>
      <c r="B143" s="272"/>
      <c r="C143" s="626" t="s">
        <v>28</v>
      </c>
      <c r="D143" s="627"/>
      <c r="E143" s="276">
        <f ca="1">A10value-SUM('Actual RAB roll forward'!H161:OFFSET('Actual RAB roll forward'!H161,0,Input!$W$7-1))</f>
        <v>0</v>
      </c>
      <c r="F143" s="276">
        <f ca="1">IF(A10remlife="N/A","n/a",IF(E143=0,0,A10remlife-Input!$W$7))</f>
        <v>0</v>
      </c>
      <c r="G143" s="277"/>
      <c r="H143" s="278" t="s">
        <v>67</v>
      </c>
      <c r="I143" s="279"/>
      <c r="J143" s="276">
        <f ca="1">A10taxvalue-SUM('Tax value roll forward'!G198:OFFSET('Tax value roll forward'!G198,0,Input!$W$7))</f>
        <v>0</v>
      </c>
      <c r="K143" s="276">
        <f ca="1">IF(A10taxremlife="N/A","n/a",IF(J143=0,0,A10taxremlife-Input!$W$7-1))</f>
        <v>0</v>
      </c>
      <c r="L143" s="280"/>
      <c r="M143" s="312"/>
      <c r="N143" s="312"/>
      <c r="O143" s="272"/>
      <c r="P143" s="272"/>
      <c r="Q143" s="272"/>
      <c r="R143" s="272"/>
      <c r="S143" s="259"/>
      <c r="T143" s="259"/>
      <c r="U143" s="259"/>
      <c r="V143" s="259"/>
      <c r="W143" s="259"/>
      <c r="X143" s="259"/>
      <c r="Y143" s="259"/>
      <c r="Z143" s="259"/>
    </row>
    <row r="144" spans="1:26" ht="12.75" customHeight="1" outlineLevel="1">
      <c r="A144" s="272"/>
      <c r="B144" s="272"/>
      <c r="C144" s="633" t="s">
        <v>84</v>
      </c>
      <c r="D144" s="322">
        <f>D$9</f>
        <v>0</v>
      </c>
      <c r="E144" s="276"/>
      <c r="F144" s="276"/>
      <c r="G144" s="277"/>
      <c r="H144" s="633" t="s">
        <v>84</v>
      </c>
      <c r="I144" s="322">
        <v>0</v>
      </c>
      <c r="J144" s="276">
        <f ca="1">OFFSET('Tax value roll forward'!G$49,0,I144)-SUM('Tax value roll forward'!G200:OFFSET('Tax value roll forward'!G200,0,Input!$W$7))</f>
        <v>0</v>
      </c>
      <c r="K144" s="276">
        <f ca="1">IF(A10taxstdlife="N/A","n/a",IF(J144=0,0,A10taxstdlife+I144-Input!$W$7))</f>
        <v>0</v>
      </c>
      <c r="L144" s="280"/>
      <c r="M144" s="312"/>
      <c r="N144" s="312"/>
      <c r="O144" s="272"/>
      <c r="P144" s="272"/>
      <c r="Q144" s="272"/>
      <c r="R144" s="272"/>
      <c r="S144" s="259"/>
      <c r="T144" s="259"/>
      <c r="U144" s="259"/>
      <c r="V144" s="259"/>
      <c r="W144" s="259"/>
      <c r="X144" s="259"/>
      <c r="Y144" s="259"/>
      <c r="Z144" s="259"/>
    </row>
    <row r="145" spans="1:26" ht="12.75" customHeight="1" outlineLevel="1">
      <c r="A145" s="272"/>
      <c r="B145" s="272"/>
      <c r="C145" s="634"/>
      <c r="D145" s="281">
        <f>D$10</f>
        <v>1</v>
      </c>
      <c r="E145" s="276">
        <f ca="1">OFFSET('Actual RAB roll forward'!H$21,0,D145-1)-SUM('Actual RAB roll forward'!H163:OFFSET('Actual RAB roll forward'!H163,0,Input!$W$7-1))</f>
        <v>0</v>
      </c>
      <c r="F145" s="276">
        <f ca="1">IF(A10stdlife="N/A","n/a",IF(E145=0,0,A10stdlife+D145-Input!$W$7))</f>
        <v>0</v>
      </c>
      <c r="G145" s="277"/>
      <c r="H145" s="634"/>
      <c r="I145" s="281">
        <v>1</v>
      </c>
      <c r="J145" s="276">
        <f ca="1">OFFSET('Tax value roll forward'!G$49,0,I145)-SUM('Tax value roll forward'!G201:OFFSET('Tax value roll forward'!G201,0,Input!$W$7))</f>
        <v>0</v>
      </c>
      <c r="K145" s="276">
        <f ca="1">IF(A10taxstdlife="N/A","n/a",IF(J145=0,0,A10taxstdlife+I145-Input!$W$7))</f>
        <v>0</v>
      </c>
      <c r="L145" s="280"/>
      <c r="M145" s="312"/>
      <c r="N145" s="312"/>
      <c r="O145" s="272"/>
      <c r="P145" s="272"/>
      <c r="Q145" s="272"/>
      <c r="R145" s="272"/>
      <c r="S145" s="259"/>
      <c r="T145" s="259"/>
      <c r="U145" s="259"/>
      <c r="V145" s="259"/>
      <c r="W145" s="259"/>
      <c r="X145" s="259"/>
      <c r="Y145" s="259"/>
      <c r="Z145" s="259"/>
    </row>
    <row r="146" spans="1:26" outlineLevel="1">
      <c r="A146" s="272"/>
      <c r="B146" s="272"/>
      <c r="C146" s="634"/>
      <c r="D146" s="281">
        <f>D$11</f>
        <v>2</v>
      </c>
      <c r="E146" s="276">
        <f ca="1">OFFSET('Actual RAB roll forward'!H$21,0,D146-1)-SUM('Actual RAB roll forward'!H164:OFFSET('Actual RAB roll forward'!H164,0,Input!$W$7-1))</f>
        <v>0</v>
      </c>
      <c r="F146" s="276">
        <f ca="1">IF(A10stdlife="N/A","n/a",IF(E146=0,0,A10stdlife+D146-Input!$W$7))</f>
        <v>0</v>
      </c>
      <c r="G146" s="277"/>
      <c r="H146" s="634"/>
      <c r="I146" s="281">
        <v>2</v>
      </c>
      <c r="J146" s="276">
        <f ca="1">OFFSET('Tax value roll forward'!G$49,0,I146)-SUM('Tax value roll forward'!G202:OFFSET('Tax value roll forward'!G202,0,Input!$W$7))</f>
        <v>0</v>
      </c>
      <c r="K146" s="276">
        <f ca="1">IF(A10taxstdlife="N/A","n/a",IF(J146=0,0,A10taxstdlife+I146-Input!$W$7))</f>
        <v>0</v>
      </c>
      <c r="L146" s="280"/>
      <c r="M146" s="312"/>
      <c r="N146" s="312"/>
      <c r="O146" s="272"/>
      <c r="P146" s="272"/>
      <c r="Q146" s="272"/>
      <c r="R146" s="272"/>
      <c r="S146" s="259"/>
      <c r="T146" s="259"/>
      <c r="U146" s="259"/>
      <c r="V146" s="259"/>
      <c r="W146" s="259"/>
      <c r="X146" s="259"/>
      <c r="Y146" s="259"/>
      <c r="Z146" s="259"/>
    </row>
    <row r="147" spans="1:26" outlineLevel="1">
      <c r="A147" s="272"/>
      <c r="B147" s="272"/>
      <c r="C147" s="634"/>
      <c r="D147" s="281">
        <f>D$12</f>
        <v>3</v>
      </c>
      <c r="E147" s="276">
        <f ca="1">OFFSET('Actual RAB roll forward'!H$21,0,D147-1)-SUM('Actual RAB roll forward'!H165:OFFSET('Actual RAB roll forward'!H165,0,Input!$W$7-1))</f>
        <v>0</v>
      </c>
      <c r="F147" s="276">
        <f ca="1">IF(A10stdlife="N/A","n/a",IF(E147=0,0,A10stdlife+D147-Input!$W$7))</f>
        <v>0</v>
      </c>
      <c r="G147" s="277"/>
      <c r="H147" s="634"/>
      <c r="I147" s="281">
        <v>3</v>
      </c>
      <c r="J147" s="276">
        <f ca="1">OFFSET('Tax value roll forward'!G$49,0,I147)-SUM('Tax value roll forward'!G203:OFFSET('Tax value roll forward'!G203,0,Input!$W$7))</f>
        <v>0</v>
      </c>
      <c r="K147" s="276">
        <f ca="1">IF(A10taxstdlife="N/A","n/a",IF(J147=0,0,A10taxstdlife+I147-Input!$W$7))</f>
        <v>0</v>
      </c>
      <c r="L147" s="280"/>
      <c r="M147" s="312"/>
      <c r="N147" s="312"/>
      <c r="O147" s="272"/>
      <c r="P147" s="272"/>
      <c r="Q147" s="272"/>
      <c r="R147" s="272"/>
      <c r="S147" s="259"/>
      <c r="T147" s="259"/>
      <c r="U147" s="259"/>
      <c r="V147" s="259"/>
      <c r="W147" s="259"/>
      <c r="X147" s="259"/>
      <c r="Y147" s="259"/>
      <c r="Z147" s="259"/>
    </row>
    <row r="148" spans="1:26" outlineLevel="1">
      <c r="A148" s="272"/>
      <c r="B148" s="272"/>
      <c r="C148" s="634"/>
      <c r="D148" s="281">
        <f>D$13</f>
        <v>4</v>
      </c>
      <c r="E148" s="276">
        <f ca="1">OFFSET('Actual RAB roll forward'!H$21,0,D148-1)-SUM('Actual RAB roll forward'!H166:OFFSET('Actual RAB roll forward'!H166,0,Input!$W$7-1))</f>
        <v>0</v>
      </c>
      <c r="F148" s="276">
        <f ca="1">IF(A10stdlife="N/A","n/a",IF(E148=0,0,A10stdlife+D148-Input!$W$7))</f>
        <v>0</v>
      </c>
      <c r="G148" s="277"/>
      <c r="H148" s="634"/>
      <c r="I148" s="281">
        <v>4</v>
      </c>
      <c r="J148" s="276">
        <f ca="1">OFFSET('Tax value roll forward'!G$49,0,I148)-SUM('Tax value roll forward'!G204:OFFSET('Tax value roll forward'!G204,0,Input!$W$7))</f>
        <v>0</v>
      </c>
      <c r="K148" s="276">
        <f ca="1">IF(A10taxstdlife="N/A","n/a",IF(J148=0,0,A10taxstdlife+I148-Input!$W$7))</f>
        <v>0</v>
      </c>
      <c r="L148" s="280"/>
      <c r="M148" s="312"/>
      <c r="N148" s="312"/>
      <c r="O148" s="272"/>
      <c r="P148" s="272"/>
      <c r="Q148" s="272"/>
      <c r="R148" s="272"/>
      <c r="S148" s="259"/>
      <c r="T148" s="259"/>
      <c r="U148" s="259"/>
      <c r="V148" s="259"/>
      <c r="W148" s="259"/>
      <c r="X148" s="259"/>
      <c r="Y148" s="259"/>
      <c r="Z148" s="259"/>
    </row>
    <row r="149" spans="1:26" outlineLevel="1">
      <c r="A149" s="272"/>
      <c r="B149" s="272"/>
      <c r="C149" s="634"/>
      <c r="D149" s="281">
        <f>D$14</f>
        <v>5</v>
      </c>
      <c r="E149" s="276">
        <f ca="1">OFFSET('Actual RAB roll forward'!H$21,0,D149-1)-SUM('Actual RAB roll forward'!H167:OFFSET('Actual RAB roll forward'!H167,0,Input!$W$7-1))</f>
        <v>0</v>
      </c>
      <c r="F149" s="276">
        <f ca="1">IF(A10stdlife="N/A","n/a",IF(E149=0,0,A10stdlife+D149-Input!$W$7))</f>
        <v>0</v>
      </c>
      <c r="G149" s="277"/>
      <c r="H149" s="634"/>
      <c r="I149" s="281">
        <v>5</v>
      </c>
      <c r="J149" s="276">
        <f ca="1">OFFSET('Tax value roll forward'!G$49,0,I149)-SUM('Tax value roll forward'!G205:OFFSET('Tax value roll forward'!G205,0,Input!$W$7))</f>
        <v>0</v>
      </c>
      <c r="K149" s="276">
        <f ca="1">IF(A10taxstdlife="N/A","n/a",IF(J149=0,0,A10taxstdlife+I149-Input!$W$7))</f>
        <v>0</v>
      </c>
      <c r="L149" s="280"/>
      <c r="M149" s="312"/>
      <c r="N149" s="312"/>
      <c r="O149" s="272"/>
      <c r="P149" s="272"/>
      <c r="Q149" s="272"/>
      <c r="R149" s="272"/>
      <c r="S149" s="259"/>
      <c r="T149" s="259"/>
      <c r="U149" s="259"/>
      <c r="V149" s="259"/>
      <c r="W149" s="259"/>
      <c r="X149" s="259"/>
      <c r="Y149" s="259"/>
      <c r="Z149" s="259"/>
    </row>
    <row r="150" spans="1:26" outlineLevel="1">
      <c r="A150" s="272"/>
      <c r="B150" s="272"/>
      <c r="C150" s="634"/>
      <c r="D150" s="281">
        <f>D$15</f>
        <v>6</v>
      </c>
      <c r="E150" s="276">
        <f ca="1">OFFSET('Actual RAB roll forward'!H$21,0,D150-1)-SUM('Actual RAB roll forward'!H168:OFFSET('Actual RAB roll forward'!H168,0,Input!$W$7-1))</f>
        <v>0</v>
      </c>
      <c r="F150" s="276">
        <f ca="1">IF(A10stdlife="N/A","n/a",IF(E150=0,0,A10stdlife+D150-Input!$W$7))</f>
        <v>0</v>
      </c>
      <c r="G150" s="277"/>
      <c r="H150" s="634"/>
      <c r="I150" s="281">
        <v>6</v>
      </c>
      <c r="J150" s="276">
        <f ca="1">OFFSET('Tax value roll forward'!G$49,0,I150)-SUM('Tax value roll forward'!G206:OFFSET('Tax value roll forward'!G206,0,Input!$W$7))</f>
        <v>0</v>
      </c>
      <c r="K150" s="276">
        <f ca="1">IF(A10taxstdlife="N/A","n/a",IF(J150=0,0,A10taxstdlife+I150-Input!$W$7))</f>
        <v>0</v>
      </c>
      <c r="L150" s="280"/>
      <c r="M150" s="312"/>
      <c r="N150" s="312"/>
      <c r="O150" s="272"/>
      <c r="P150" s="272"/>
      <c r="Q150" s="272"/>
      <c r="R150" s="272"/>
      <c r="S150" s="259"/>
      <c r="T150" s="259"/>
      <c r="U150" s="259"/>
      <c r="V150" s="259"/>
      <c r="W150" s="259"/>
      <c r="X150" s="259"/>
      <c r="Y150" s="259"/>
      <c r="Z150" s="259"/>
    </row>
    <row r="151" spans="1:26" outlineLevel="1">
      <c r="A151" s="272"/>
      <c r="B151" s="272"/>
      <c r="C151" s="634"/>
      <c r="D151" s="281">
        <f>D$16</f>
        <v>7</v>
      </c>
      <c r="E151" s="276">
        <f ca="1">OFFSET('Actual RAB roll forward'!H$21,0,D151-1)-SUM('Actual RAB roll forward'!H169:OFFSET('Actual RAB roll forward'!H169,0,Input!$W$7-1))</f>
        <v>0</v>
      </c>
      <c r="F151" s="276">
        <f ca="1">IF(A10stdlife="N/A","n/a",IF(E151=0,0,A10stdlife+D151-Input!$W$7))</f>
        <v>0</v>
      </c>
      <c r="G151" s="277"/>
      <c r="H151" s="634"/>
      <c r="I151" s="281">
        <v>7</v>
      </c>
      <c r="J151" s="276">
        <f ca="1">OFFSET('Tax value roll forward'!G$49,0,I151)-SUM('Tax value roll forward'!G207:OFFSET('Tax value roll forward'!G207,0,Input!$W$7))</f>
        <v>0</v>
      </c>
      <c r="K151" s="276">
        <f ca="1">IF(A10taxstdlife="N/A","n/a",IF(J151=0,0,A10taxstdlife+I151-Input!$W$7))</f>
        <v>0</v>
      </c>
      <c r="L151" s="280"/>
      <c r="M151" s="312"/>
      <c r="N151" s="312"/>
      <c r="O151" s="272"/>
      <c r="P151" s="272"/>
      <c r="Q151" s="272"/>
      <c r="R151" s="272"/>
      <c r="S151" s="259"/>
      <c r="T151" s="259"/>
      <c r="U151" s="259"/>
      <c r="V151" s="259"/>
      <c r="W151" s="259"/>
      <c r="X151" s="259"/>
      <c r="Y151" s="259"/>
      <c r="Z151" s="259"/>
    </row>
    <row r="152" spans="1:26" outlineLevel="1">
      <c r="A152" s="272"/>
      <c r="B152" s="272"/>
      <c r="C152" s="634"/>
      <c r="D152" s="281">
        <f>D$17</f>
        <v>8</v>
      </c>
      <c r="E152" s="276">
        <f ca="1">OFFSET('Actual RAB roll forward'!H$21,0,D152-1)-SUM('Actual RAB roll forward'!H170:OFFSET('Actual RAB roll forward'!H170,0,Input!$W$7-1))</f>
        <v>0</v>
      </c>
      <c r="F152" s="276">
        <f ca="1">IF(A10stdlife="N/A","n/a",IF(E152=0,0,A10stdlife+D152-Input!$W$7))</f>
        <v>0</v>
      </c>
      <c r="G152" s="277"/>
      <c r="H152" s="634"/>
      <c r="I152" s="281">
        <v>8</v>
      </c>
      <c r="J152" s="276">
        <f ca="1">OFFSET('Tax value roll forward'!G$49,0,I152)-SUM('Tax value roll forward'!G208:OFFSET('Tax value roll forward'!G208,0,Input!$W$7))</f>
        <v>0</v>
      </c>
      <c r="K152" s="276">
        <f ca="1">IF(A10taxstdlife="N/A","n/a",IF(J152=0,0,A10taxstdlife+I152-Input!$W$7))</f>
        <v>0</v>
      </c>
      <c r="L152" s="280"/>
      <c r="M152" s="312"/>
      <c r="N152" s="312"/>
      <c r="O152" s="272"/>
      <c r="P152" s="272"/>
      <c r="Q152" s="272"/>
      <c r="R152" s="272"/>
      <c r="S152" s="259"/>
      <c r="T152" s="259"/>
      <c r="U152" s="259"/>
      <c r="V152" s="259"/>
      <c r="W152" s="259"/>
      <c r="X152" s="259"/>
      <c r="Y152" s="259"/>
      <c r="Z152" s="259"/>
    </row>
    <row r="153" spans="1:26" outlineLevel="1">
      <c r="A153" s="272"/>
      <c r="B153" s="272"/>
      <c r="C153" s="634"/>
      <c r="D153" s="281">
        <f>D$18</f>
        <v>9</v>
      </c>
      <c r="E153" s="276">
        <f ca="1">OFFSET('Actual RAB roll forward'!H$21,0,D153-1)-SUM('Actual RAB roll forward'!H171:OFFSET('Actual RAB roll forward'!H171,0,Input!$W$7-1))</f>
        <v>0</v>
      </c>
      <c r="F153" s="276">
        <f ca="1">IF(A10stdlife="N/A","n/a",IF(E153=0,0,A10stdlife+D153-Input!$W$7))</f>
        <v>0</v>
      </c>
      <c r="G153" s="277"/>
      <c r="H153" s="634"/>
      <c r="I153" s="281">
        <v>9</v>
      </c>
      <c r="J153" s="276">
        <f ca="1">OFFSET('Tax value roll forward'!G$49,0,I153)-SUM('Tax value roll forward'!G209:OFFSET('Tax value roll forward'!G209,0,Input!$W$7))</f>
        <v>0</v>
      </c>
      <c r="K153" s="276">
        <f ca="1">IF(A10taxstdlife="N/A","n/a",IF(J153=0,0,A10taxstdlife+I153-Input!$W$7))</f>
        <v>0</v>
      </c>
      <c r="L153" s="280"/>
      <c r="M153" s="312"/>
      <c r="N153" s="312"/>
      <c r="O153" s="272"/>
      <c r="P153" s="272"/>
      <c r="Q153" s="272"/>
      <c r="R153" s="272"/>
      <c r="S153" s="259"/>
      <c r="T153" s="259"/>
      <c r="U153" s="259"/>
      <c r="V153" s="259"/>
      <c r="W153" s="259"/>
      <c r="X153" s="259"/>
      <c r="Y153" s="259"/>
      <c r="Z153" s="259"/>
    </row>
    <row r="154" spans="1:26" outlineLevel="1">
      <c r="A154" s="272"/>
      <c r="B154" s="272"/>
      <c r="C154" s="635"/>
      <c r="D154" s="282">
        <f>D$19</f>
        <v>10</v>
      </c>
      <c r="E154" s="276">
        <f ca="1">OFFSET('Actual RAB roll forward'!H$21,0,D154-1)-SUM('Actual RAB roll forward'!H172:OFFSET('Actual RAB roll forward'!H172,0,Input!$W$7-1))</f>
        <v>0</v>
      </c>
      <c r="F154" s="276">
        <f ca="1">IF(A10stdlife="N/A","n/a",IF(E154=0,0,A10stdlife+D154-Input!$W$7))</f>
        <v>0</v>
      </c>
      <c r="G154" s="277"/>
      <c r="H154" s="635"/>
      <c r="I154" s="282">
        <v>10</v>
      </c>
      <c r="J154" s="276">
        <f ca="1">OFFSET('Tax value roll forward'!G$49,0,I154)-SUM('Tax value roll forward'!G210:OFFSET('Tax value roll forward'!G210,0,Input!$W$7))</f>
        <v>0</v>
      </c>
      <c r="K154" s="276">
        <f ca="1">IF(A10taxstdlife="N/A","n/a",IF(J154=0,0,A10taxstdlife+I154-Input!$W$7))</f>
        <v>0</v>
      </c>
      <c r="M154" s="312"/>
      <c r="N154" s="312"/>
      <c r="O154" s="272"/>
      <c r="P154" s="272"/>
      <c r="Q154" s="272"/>
      <c r="R154" s="272"/>
      <c r="S154" s="259"/>
      <c r="T154" s="259"/>
      <c r="U154" s="259"/>
      <c r="V154" s="259"/>
      <c r="W154" s="259"/>
      <c r="X154" s="259"/>
      <c r="Y154" s="259"/>
      <c r="Z154" s="259"/>
    </row>
    <row r="155" spans="1:26">
      <c r="A155" s="272"/>
      <c r="B155" s="272"/>
      <c r="C155" s="292">
        <f>Asset10</f>
        <v>0</v>
      </c>
      <c r="D155" s="272"/>
      <c r="E155" s="276">
        <f ca="1">SUM(E143:E154)</f>
        <v>0</v>
      </c>
      <c r="F155" s="276">
        <f ca="1">IF(E155=0,0,SUMPRODUCT(E143:E154,F143:F154)/E155)</f>
        <v>0</v>
      </c>
      <c r="G155" s="277"/>
      <c r="H155" s="284"/>
      <c r="I155" s="276"/>
      <c r="J155" s="311">
        <f ca="1">SUM(J143:J154)</f>
        <v>0</v>
      </c>
      <c r="K155" s="311">
        <f ca="1">IF(J155=0,0,SUMPRODUCT(J143:J154,K143:K154)/J155)</f>
        <v>0</v>
      </c>
      <c r="L155" s="280"/>
      <c r="M155" s="312"/>
      <c r="N155" s="312"/>
      <c r="O155" s="272"/>
      <c r="P155" s="272"/>
      <c r="Q155" s="272"/>
      <c r="R155" s="272"/>
      <c r="S155" s="259"/>
      <c r="T155" s="259"/>
      <c r="U155" s="259"/>
      <c r="V155" s="259"/>
      <c r="W155" s="259"/>
      <c r="X155" s="259"/>
      <c r="Y155" s="259"/>
      <c r="Z155" s="259"/>
    </row>
    <row r="156" spans="1:26" outlineLevel="1">
      <c r="A156" s="272"/>
      <c r="B156" s="272"/>
      <c r="C156" s="292"/>
      <c r="D156" s="272"/>
      <c r="E156" s="276"/>
      <c r="F156" s="276"/>
      <c r="G156" s="277"/>
      <c r="H156" s="276"/>
      <c r="I156" s="276"/>
      <c r="J156" s="290"/>
      <c r="K156" s="276"/>
      <c r="L156" s="280"/>
      <c r="M156" s="312"/>
      <c r="N156" s="312"/>
      <c r="O156" s="272"/>
      <c r="P156" s="272"/>
      <c r="Q156" s="272"/>
      <c r="R156" s="272"/>
      <c r="S156" s="259"/>
      <c r="T156" s="259"/>
      <c r="U156" s="259"/>
      <c r="V156" s="259"/>
      <c r="W156" s="259"/>
      <c r="X156" s="259"/>
      <c r="Y156" s="259"/>
      <c r="Z156" s="259"/>
    </row>
    <row r="157" spans="1:26" outlineLevel="1">
      <c r="A157" s="272"/>
      <c r="B157" s="275">
        <f>Asset11</f>
        <v>0</v>
      </c>
      <c r="C157" s="272"/>
      <c r="D157" s="272"/>
      <c r="E157" s="293"/>
      <c r="F157" s="293"/>
      <c r="G157" s="277"/>
      <c r="H157" s="276"/>
      <c r="I157" s="276"/>
      <c r="J157" s="290"/>
      <c r="K157" s="276"/>
      <c r="L157" s="280"/>
      <c r="M157" s="312"/>
      <c r="N157" s="312"/>
      <c r="O157" s="272"/>
      <c r="P157" s="272"/>
      <c r="Q157" s="272"/>
      <c r="R157" s="272"/>
      <c r="S157" s="259"/>
      <c r="T157" s="259"/>
      <c r="U157" s="259"/>
      <c r="V157" s="259"/>
      <c r="W157" s="259"/>
      <c r="X157" s="259"/>
      <c r="Y157" s="259"/>
      <c r="Z157" s="259"/>
    </row>
    <row r="158" spans="1:26" ht="12.75" customHeight="1" outlineLevel="1">
      <c r="A158" s="272"/>
      <c r="B158" s="272"/>
      <c r="C158" s="626" t="s">
        <v>28</v>
      </c>
      <c r="D158" s="627"/>
      <c r="E158" s="276">
        <f ca="1">A11value-SUM('Actual RAB roll forward'!H174:OFFSET('Actual RAB roll forward'!H174,0,Input!$W$7-1))</f>
        <v>0</v>
      </c>
      <c r="F158" s="276">
        <f ca="1">IF(A11remlife="N/A","n/a",IF(E158=0,0,A11remlife-Input!$W$7))</f>
        <v>0</v>
      </c>
      <c r="G158" s="277"/>
      <c r="H158" s="278" t="s">
        <v>67</v>
      </c>
      <c r="I158" s="279"/>
      <c r="J158" s="276">
        <f ca="1">A11taxvalue-SUM('Tax value roll forward'!G212:OFFSET('Tax value roll forward'!G212,0,Input!$W$7))</f>
        <v>0</v>
      </c>
      <c r="K158" s="276">
        <f ca="1">IF(A11taxremlife="N/A","n/a",IF(J158=0,0,A11taxremlife-Input!$W$7-1))</f>
        <v>0</v>
      </c>
      <c r="L158" s="280"/>
      <c r="M158" s="312"/>
      <c r="N158" s="312"/>
      <c r="O158" s="272"/>
      <c r="P158" s="272"/>
      <c r="Q158" s="272"/>
      <c r="R158" s="272"/>
      <c r="S158" s="259"/>
      <c r="T158" s="259"/>
      <c r="U158" s="259"/>
      <c r="V158" s="259"/>
      <c r="W158" s="259"/>
      <c r="X158" s="259"/>
      <c r="Y158" s="259"/>
      <c r="Z158" s="259"/>
    </row>
    <row r="159" spans="1:26" ht="12.75" customHeight="1" outlineLevel="1">
      <c r="A159" s="272"/>
      <c r="B159" s="272"/>
      <c r="C159" s="633" t="s">
        <v>84</v>
      </c>
      <c r="D159" s="322">
        <f>D$9</f>
        <v>0</v>
      </c>
      <c r="E159" s="276"/>
      <c r="F159" s="276"/>
      <c r="G159" s="277"/>
      <c r="H159" s="633" t="s">
        <v>84</v>
      </c>
      <c r="I159" s="322">
        <v>0</v>
      </c>
      <c r="J159" s="276">
        <f ca="1">OFFSET('Tax value roll forward'!G$50,0,I159)-SUM('Tax value roll forward'!G214:OFFSET('Tax value roll forward'!G214,0,Input!$W$7))</f>
        <v>0</v>
      </c>
      <c r="K159" s="276">
        <f ca="1">IF(A11taxstdlife="N/A","n/a",IF(J159=0,0,A11taxstdlife+I159-Input!$W$7))</f>
        <v>0</v>
      </c>
      <c r="L159" s="280"/>
      <c r="M159" s="312"/>
      <c r="N159" s="312"/>
      <c r="O159" s="272"/>
      <c r="P159" s="272"/>
      <c r="Q159" s="272"/>
      <c r="R159" s="272"/>
      <c r="S159" s="259"/>
      <c r="T159" s="259"/>
      <c r="U159" s="259"/>
      <c r="V159" s="259"/>
      <c r="W159" s="259"/>
      <c r="X159" s="259"/>
      <c r="Y159" s="259"/>
      <c r="Z159" s="259"/>
    </row>
    <row r="160" spans="1:26" ht="12.75" customHeight="1" outlineLevel="1">
      <c r="A160" s="272"/>
      <c r="B160" s="272"/>
      <c r="C160" s="634"/>
      <c r="D160" s="281">
        <f>D$10</f>
        <v>1</v>
      </c>
      <c r="E160" s="276">
        <f ca="1">OFFSET('Actual RAB roll forward'!H$22,0,D160-1)-SUM('Actual RAB roll forward'!H176:OFFSET('Actual RAB roll forward'!H176,0,Input!$W$7-1))</f>
        <v>0</v>
      </c>
      <c r="F160" s="276">
        <f ca="1">IF(A11stdlife="N/A","n/a",IF(E160=0,0,A11stdlife+D160-Input!$W$7))</f>
        <v>0</v>
      </c>
      <c r="G160" s="277"/>
      <c r="H160" s="634"/>
      <c r="I160" s="281">
        <v>1</v>
      </c>
      <c r="J160" s="276">
        <f ca="1">OFFSET('Tax value roll forward'!G$50,0,I160)-SUM('Tax value roll forward'!G215:OFFSET('Tax value roll forward'!G215,0,Input!$W$7))</f>
        <v>0</v>
      </c>
      <c r="K160" s="276">
        <f ca="1">IF(A11taxstdlife="N/A","n/a",IF(J160=0,0,A11taxstdlife+I160-Input!$W$7))</f>
        <v>0</v>
      </c>
      <c r="L160" s="280"/>
      <c r="M160" s="312"/>
      <c r="N160" s="312"/>
      <c r="O160" s="272"/>
      <c r="P160" s="272"/>
      <c r="Q160" s="272"/>
      <c r="R160" s="272"/>
      <c r="S160" s="259"/>
      <c r="T160" s="259"/>
      <c r="U160" s="259"/>
      <c r="V160" s="259"/>
      <c r="W160" s="259"/>
      <c r="X160" s="259"/>
      <c r="Y160" s="259"/>
      <c r="Z160" s="259"/>
    </row>
    <row r="161" spans="1:26" outlineLevel="1">
      <c r="A161" s="272"/>
      <c r="B161" s="272"/>
      <c r="C161" s="634"/>
      <c r="D161" s="281">
        <f>D$11</f>
        <v>2</v>
      </c>
      <c r="E161" s="276">
        <f ca="1">OFFSET('Actual RAB roll forward'!H$22,0,D161-1)-SUM('Actual RAB roll forward'!H177:OFFSET('Actual RAB roll forward'!H177,0,Input!$W$7-1))</f>
        <v>0</v>
      </c>
      <c r="F161" s="276">
        <f ca="1">IF(A11stdlife="N/A","n/a",IF(E161=0,0,A11stdlife+D161-Input!$W$7))</f>
        <v>0</v>
      </c>
      <c r="G161" s="277"/>
      <c r="H161" s="634"/>
      <c r="I161" s="281">
        <v>2</v>
      </c>
      <c r="J161" s="276">
        <f ca="1">OFFSET('Tax value roll forward'!G$50,0,I161)-SUM('Tax value roll forward'!G216:OFFSET('Tax value roll forward'!G216,0,Input!$W$7))</f>
        <v>0</v>
      </c>
      <c r="K161" s="276">
        <f ca="1">IF(A11taxstdlife="N/A","n/a",IF(J161=0,0,A11taxstdlife+I161-Input!$W$7))</f>
        <v>0</v>
      </c>
      <c r="L161" s="280"/>
      <c r="M161" s="312"/>
      <c r="N161" s="312"/>
      <c r="O161" s="272"/>
      <c r="P161" s="272"/>
      <c r="Q161" s="272"/>
      <c r="R161" s="272"/>
      <c r="S161" s="259"/>
      <c r="T161" s="259"/>
      <c r="U161" s="259"/>
      <c r="V161" s="259"/>
      <c r="W161" s="259"/>
      <c r="X161" s="259"/>
      <c r="Y161" s="259"/>
      <c r="Z161" s="259"/>
    </row>
    <row r="162" spans="1:26" outlineLevel="1">
      <c r="A162" s="272"/>
      <c r="B162" s="272"/>
      <c r="C162" s="634"/>
      <c r="D162" s="281">
        <f>D$12</f>
        <v>3</v>
      </c>
      <c r="E162" s="276">
        <f ca="1">OFFSET('Actual RAB roll forward'!H$22,0,D162-1)-SUM('Actual RAB roll forward'!H178:OFFSET('Actual RAB roll forward'!H178,0,Input!$W$7-1))</f>
        <v>0</v>
      </c>
      <c r="F162" s="276">
        <f ca="1">IF(A11stdlife="N/A","n/a",IF(E162=0,0,A11stdlife+D162-Input!$W$7))</f>
        <v>0</v>
      </c>
      <c r="G162" s="277"/>
      <c r="H162" s="634"/>
      <c r="I162" s="281">
        <v>3</v>
      </c>
      <c r="J162" s="276">
        <f ca="1">OFFSET('Tax value roll forward'!G$50,0,I162)-SUM('Tax value roll forward'!G217:OFFSET('Tax value roll forward'!G217,0,Input!$W$7))</f>
        <v>0</v>
      </c>
      <c r="K162" s="276">
        <f ca="1">IF(A11taxstdlife="N/A","n/a",IF(J162=0,0,A11taxstdlife+I162-Input!$W$7))</f>
        <v>0</v>
      </c>
      <c r="L162" s="280"/>
      <c r="M162" s="312"/>
      <c r="N162" s="312"/>
      <c r="O162" s="272"/>
      <c r="P162" s="272"/>
      <c r="Q162" s="272"/>
      <c r="R162" s="272"/>
      <c r="S162" s="259"/>
      <c r="T162" s="259"/>
      <c r="U162" s="259"/>
      <c r="V162" s="259"/>
      <c r="W162" s="259"/>
      <c r="X162" s="259"/>
      <c r="Y162" s="259"/>
      <c r="Z162" s="259"/>
    </row>
    <row r="163" spans="1:26" outlineLevel="1">
      <c r="A163" s="272"/>
      <c r="B163" s="272"/>
      <c r="C163" s="634"/>
      <c r="D163" s="281">
        <f>D$13</f>
        <v>4</v>
      </c>
      <c r="E163" s="276">
        <f ca="1">OFFSET('Actual RAB roll forward'!H$22,0,D163-1)-SUM('Actual RAB roll forward'!H179:OFFSET('Actual RAB roll forward'!H179,0,Input!$W$7-1))</f>
        <v>0</v>
      </c>
      <c r="F163" s="276">
        <f ca="1">IF(A11stdlife="N/A","n/a",IF(E163=0,0,A11stdlife+D163-Input!$W$7))</f>
        <v>0</v>
      </c>
      <c r="G163" s="277"/>
      <c r="H163" s="634"/>
      <c r="I163" s="281">
        <v>4</v>
      </c>
      <c r="J163" s="276">
        <f ca="1">OFFSET('Tax value roll forward'!G$50,0,I163)-SUM('Tax value roll forward'!G218:OFFSET('Tax value roll forward'!G218,0,Input!$W$7))</f>
        <v>0</v>
      </c>
      <c r="K163" s="276">
        <f ca="1">IF(A11taxstdlife="N/A","n/a",IF(J163=0,0,A11taxstdlife+I163-Input!$W$7))</f>
        <v>0</v>
      </c>
      <c r="L163" s="280"/>
      <c r="M163" s="312"/>
      <c r="N163" s="312"/>
      <c r="O163" s="272"/>
      <c r="P163" s="272"/>
      <c r="Q163" s="272"/>
      <c r="R163" s="272"/>
      <c r="S163" s="259"/>
      <c r="T163" s="259"/>
      <c r="U163" s="259"/>
      <c r="V163" s="259"/>
      <c r="W163" s="259"/>
      <c r="X163" s="259"/>
      <c r="Y163" s="259"/>
      <c r="Z163" s="259"/>
    </row>
    <row r="164" spans="1:26" outlineLevel="1">
      <c r="A164" s="272"/>
      <c r="B164" s="272"/>
      <c r="C164" s="634"/>
      <c r="D164" s="281">
        <f>D$14</f>
        <v>5</v>
      </c>
      <c r="E164" s="276">
        <f ca="1">OFFSET('Actual RAB roll forward'!H$22,0,D164-1)-SUM('Actual RAB roll forward'!H180:OFFSET('Actual RAB roll forward'!H180,0,Input!$W$7-1))</f>
        <v>0</v>
      </c>
      <c r="F164" s="276">
        <f ca="1">IF(A11stdlife="N/A","n/a",IF(E164=0,0,A11stdlife+D164-Input!$W$7))</f>
        <v>0</v>
      </c>
      <c r="G164" s="277"/>
      <c r="H164" s="634"/>
      <c r="I164" s="281">
        <v>5</v>
      </c>
      <c r="J164" s="276">
        <f ca="1">OFFSET('Tax value roll forward'!G$50,0,I164)-SUM('Tax value roll forward'!G219:OFFSET('Tax value roll forward'!G219,0,Input!$W$7))</f>
        <v>0</v>
      </c>
      <c r="K164" s="276">
        <f ca="1">IF(A11taxstdlife="N/A","n/a",IF(J164=0,0,A11taxstdlife+I164-Input!$W$7))</f>
        <v>0</v>
      </c>
      <c r="L164" s="280"/>
      <c r="M164" s="312"/>
      <c r="N164" s="312"/>
      <c r="O164" s="272"/>
      <c r="P164" s="272"/>
      <c r="Q164" s="272"/>
      <c r="R164" s="272"/>
      <c r="S164" s="259"/>
      <c r="T164" s="259"/>
      <c r="U164" s="259"/>
      <c r="V164" s="259"/>
      <c r="W164" s="259"/>
      <c r="X164" s="259"/>
      <c r="Y164" s="259"/>
      <c r="Z164" s="259"/>
    </row>
    <row r="165" spans="1:26" outlineLevel="1">
      <c r="A165" s="272"/>
      <c r="B165" s="272"/>
      <c r="C165" s="634"/>
      <c r="D165" s="281">
        <f>D$15</f>
        <v>6</v>
      </c>
      <c r="E165" s="276">
        <f ca="1">OFFSET('Actual RAB roll forward'!H$22,0,D165-1)-SUM('Actual RAB roll forward'!H181:OFFSET('Actual RAB roll forward'!H181,0,Input!$W$7-1))</f>
        <v>0</v>
      </c>
      <c r="F165" s="276">
        <f ca="1">IF(A11stdlife="N/A","n/a",IF(E165=0,0,A11stdlife+D165-Input!$W$7))</f>
        <v>0</v>
      </c>
      <c r="G165" s="277"/>
      <c r="H165" s="634"/>
      <c r="I165" s="281">
        <v>6</v>
      </c>
      <c r="J165" s="276">
        <f ca="1">OFFSET('Tax value roll forward'!G$50,0,I165)-SUM('Tax value roll forward'!G220:OFFSET('Tax value roll forward'!G220,0,Input!$W$7))</f>
        <v>0</v>
      </c>
      <c r="K165" s="276">
        <f ca="1">IF(A11taxstdlife="N/A","n/a",IF(J165=0,0,A11taxstdlife+I165-Input!$W$7))</f>
        <v>0</v>
      </c>
      <c r="L165" s="280"/>
      <c r="M165" s="312"/>
      <c r="N165" s="312"/>
      <c r="O165" s="272"/>
      <c r="P165" s="272"/>
      <c r="Q165" s="272"/>
      <c r="R165" s="272"/>
      <c r="S165" s="259"/>
      <c r="T165" s="259"/>
      <c r="U165" s="259"/>
      <c r="V165" s="259"/>
      <c r="W165" s="259"/>
      <c r="X165" s="259"/>
      <c r="Y165" s="259"/>
      <c r="Z165" s="259"/>
    </row>
    <row r="166" spans="1:26" outlineLevel="1">
      <c r="A166" s="272"/>
      <c r="B166" s="272"/>
      <c r="C166" s="634"/>
      <c r="D166" s="281">
        <f>D$16</f>
        <v>7</v>
      </c>
      <c r="E166" s="276">
        <f ca="1">OFFSET('Actual RAB roll forward'!H$22,0,D166-1)-SUM('Actual RAB roll forward'!H182:OFFSET('Actual RAB roll forward'!H182,0,Input!$W$7-1))</f>
        <v>0</v>
      </c>
      <c r="F166" s="276">
        <f ca="1">IF(A11stdlife="N/A","n/a",IF(E166=0,0,A11stdlife+D166-Input!$W$7))</f>
        <v>0</v>
      </c>
      <c r="G166" s="277"/>
      <c r="H166" s="634"/>
      <c r="I166" s="281">
        <v>7</v>
      </c>
      <c r="J166" s="276">
        <f ca="1">OFFSET('Tax value roll forward'!G$50,0,I166)-SUM('Tax value roll forward'!G221:OFFSET('Tax value roll forward'!G221,0,Input!$W$7))</f>
        <v>0</v>
      </c>
      <c r="K166" s="276">
        <f ca="1">IF(A11taxstdlife="N/A","n/a",IF(J166=0,0,A11taxstdlife+I166-Input!$W$7))</f>
        <v>0</v>
      </c>
      <c r="L166" s="280"/>
      <c r="M166" s="312"/>
      <c r="N166" s="312"/>
      <c r="O166" s="272"/>
      <c r="P166" s="272"/>
      <c r="Q166" s="272"/>
      <c r="R166" s="272"/>
      <c r="S166" s="259"/>
      <c r="T166" s="259"/>
      <c r="U166" s="259"/>
      <c r="V166" s="259"/>
      <c r="W166" s="259"/>
      <c r="X166" s="259"/>
      <c r="Y166" s="259"/>
      <c r="Z166" s="259"/>
    </row>
    <row r="167" spans="1:26" outlineLevel="1">
      <c r="A167" s="272"/>
      <c r="B167" s="272"/>
      <c r="C167" s="634"/>
      <c r="D167" s="281">
        <f>D$17</f>
        <v>8</v>
      </c>
      <c r="E167" s="276">
        <f ca="1">OFFSET('Actual RAB roll forward'!H$22,0,D167-1)-SUM('Actual RAB roll forward'!H183:OFFSET('Actual RAB roll forward'!H183,0,Input!$W$7-1))</f>
        <v>0</v>
      </c>
      <c r="F167" s="276">
        <f ca="1">IF(A11stdlife="N/A","n/a",IF(E167=0,0,A11stdlife+D167-Input!$W$7))</f>
        <v>0</v>
      </c>
      <c r="G167" s="277"/>
      <c r="H167" s="634"/>
      <c r="I167" s="281">
        <v>8</v>
      </c>
      <c r="J167" s="276">
        <f ca="1">OFFSET('Tax value roll forward'!G$50,0,I167)-SUM('Tax value roll forward'!G222:OFFSET('Tax value roll forward'!G222,0,Input!$W$7))</f>
        <v>0</v>
      </c>
      <c r="K167" s="276">
        <f ca="1">IF(A11taxstdlife="N/A","n/a",IF(J167=0,0,A11taxstdlife+I167-Input!$W$7))</f>
        <v>0</v>
      </c>
      <c r="L167" s="280"/>
      <c r="M167" s="312"/>
      <c r="N167" s="312"/>
      <c r="O167" s="272"/>
      <c r="P167" s="272"/>
      <c r="Q167" s="272"/>
      <c r="R167" s="272"/>
      <c r="S167" s="259"/>
      <c r="T167" s="259"/>
      <c r="U167" s="259"/>
      <c r="V167" s="259"/>
      <c r="W167" s="259"/>
      <c r="X167" s="259"/>
      <c r="Y167" s="259"/>
      <c r="Z167" s="259"/>
    </row>
    <row r="168" spans="1:26" outlineLevel="1">
      <c r="A168" s="272"/>
      <c r="B168" s="272"/>
      <c r="C168" s="634"/>
      <c r="D168" s="281">
        <f>D$18</f>
        <v>9</v>
      </c>
      <c r="E168" s="276">
        <f ca="1">OFFSET('Actual RAB roll forward'!H$22,0,D168-1)-SUM('Actual RAB roll forward'!H184:OFFSET('Actual RAB roll forward'!H184,0,Input!$W$7-1))</f>
        <v>0</v>
      </c>
      <c r="F168" s="276">
        <f ca="1">IF(A11stdlife="N/A","n/a",IF(E168=0,0,A11stdlife+D168-Input!$W$7))</f>
        <v>0</v>
      </c>
      <c r="G168" s="277"/>
      <c r="H168" s="634"/>
      <c r="I168" s="281">
        <v>9</v>
      </c>
      <c r="J168" s="276">
        <f ca="1">OFFSET('Tax value roll forward'!G$50,0,I168)-SUM('Tax value roll forward'!G223:OFFSET('Tax value roll forward'!G223,0,Input!$W$7))</f>
        <v>0</v>
      </c>
      <c r="K168" s="276">
        <f ca="1">IF(A11taxstdlife="N/A","n/a",IF(J168=0,0,A11taxstdlife+I168-Input!$W$7))</f>
        <v>0</v>
      </c>
      <c r="L168" s="280"/>
      <c r="M168" s="312"/>
      <c r="N168" s="312"/>
      <c r="O168" s="272"/>
      <c r="P168" s="272"/>
      <c r="Q168" s="272"/>
      <c r="R168" s="272"/>
      <c r="S168" s="259"/>
      <c r="T168" s="259"/>
      <c r="U168" s="259"/>
      <c r="V168" s="259"/>
      <c r="W168" s="259"/>
      <c r="X168" s="259"/>
      <c r="Y168" s="259"/>
      <c r="Z168" s="259"/>
    </row>
    <row r="169" spans="1:26" outlineLevel="1">
      <c r="A169" s="272"/>
      <c r="B169" s="272"/>
      <c r="C169" s="635"/>
      <c r="D169" s="282">
        <f>D$19</f>
        <v>10</v>
      </c>
      <c r="E169" s="276">
        <f ca="1">OFFSET('Actual RAB roll forward'!H$22,0,D169-1)-SUM('Actual RAB roll forward'!H185:OFFSET('Actual RAB roll forward'!H185,0,Input!$W$7-1))</f>
        <v>0</v>
      </c>
      <c r="F169" s="276">
        <f ca="1">IF(A11stdlife="N/A","n/a",IF(E169=0,0,A11stdlife+D169-Input!$W$7))</f>
        <v>0</v>
      </c>
      <c r="G169" s="277"/>
      <c r="H169" s="635"/>
      <c r="I169" s="282">
        <v>10</v>
      </c>
      <c r="J169" s="276">
        <f ca="1">OFFSET('Tax value roll forward'!G$50,0,I169)-SUM('Tax value roll forward'!G224:OFFSET('Tax value roll forward'!G224,0,Input!$W$7))</f>
        <v>0</v>
      </c>
      <c r="K169" s="276">
        <f ca="1">IF(A11taxstdlife="N/A","n/a",IF(J169=0,0,A11taxstdlife+I169-Input!$W$7))</f>
        <v>0</v>
      </c>
      <c r="M169" s="312"/>
      <c r="N169" s="312"/>
      <c r="O169" s="272"/>
      <c r="P169" s="272"/>
      <c r="Q169" s="272"/>
      <c r="R169" s="272"/>
      <c r="S169" s="259"/>
      <c r="T169" s="259"/>
      <c r="U169" s="259"/>
      <c r="V169" s="259"/>
      <c r="W169" s="259"/>
      <c r="X169" s="259"/>
      <c r="Y169" s="259"/>
      <c r="Z169" s="259"/>
    </row>
    <row r="170" spans="1:26">
      <c r="A170" s="272"/>
      <c r="B170" s="272"/>
      <c r="C170" s="292">
        <f>Asset11</f>
        <v>0</v>
      </c>
      <c r="D170" s="272"/>
      <c r="E170" s="276">
        <f ca="1">SUM(E158:E169)</f>
        <v>0</v>
      </c>
      <c r="F170" s="276">
        <f ca="1">IF(E170=0,0,SUMPRODUCT(E158:E169,F158:F169)/E170)</f>
        <v>0</v>
      </c>
      <c r="G170" s="277"/>
      <c r="H170" s="284"/>
      <c r="I170" s="276"/>
      <c r="J170" s="311">
        <f ca="1">SUM(J158:J169)</f>
        <v>0</v>
      </c>
      <c r="K170" s="311">
        <f ca="1">IF(J170=0,0,SUMPRODUCT(J158:J169,K158:K169)/J170)</f>
        <v>0</v>
      </c>
      <c r="L170" s="280"/>
      <c r="M170" s="312"/>
      <c r="N170" s="312"/>
      <c r="O170" s="272"/>
      <c r="P170" s="272"/>
      <c r="Q170" s="272"/>
      <c r="R170" s="272"/>
      <c r="S170" s="259"/>
      <c r="T170" s="259"/>
      <c r="U170" s="259"/>
      <c r="V170" s="259"/>
      <c r="W170" s="259"/>
      <c r="X170" s="259"/>
      <c r="Y170" s="259"/>
      <c r="Z170" s="259"/>
    </row>
    <row r="171" spans="1:26" outlineLevel="1">
      <c r="A171" s="272"/>
      <c r="B171" s="272"/>
      <c r="C171" s="292"/>
      <c r="D171" s="272"/>
      <c r="E171" s="276"/>
      <c r="F171" s="276"/>
      <c r="G171" s="277"/>
      <c r="H171" s="276"/>
      <c r="I171" s="276"/>
      <c r="J171" s="290"/>
      <c r="K171" s="276"/>
      <c r="L171" s="280"/>
      <c r="M171" s="312"/>
      <c r="N171" s="312"/>
      <c r="O171" s="272"/>
      <c r="P171" s="272"/>
      <c r="Q171" s="272"/>
      <c r="R171" s="272"/>
      <c r="S171" s="259"/>
      <c r="T171" s="259"/>
      <c r="U171" s="259"/>
      <c r="V171" s="259"/>
      <c r="W171" s="259"/>
      <c r="X171" s="259"/>
      <c r="Y171" s="259"/>
      <c r="Z171" s="259"/>
    </row>
    <row r="172" spans="1:26" outlineLevel="1">
      <c r="A172" s="272"/>
      <c r="B172" s="275">
        <f>Asset12</f>
        <v>0</v>
      </c>
      <c r="C172" s="272"/>
      <c r="D172" s="272"/>
      <c r="E172" s="293"/>
      <c r="F172" s="293"/>
      <c r="G172" s="277"/>
      <c r="H172" s="276"/>
      <c r="I172" s="276"/>
      <c r="J172" s="290"/>
      <c r="K172" s="276"/>
      <c r="L172" s="280"/>
      <c r="M172" s="312"/>
      <c r="N172" s="312"/>
      <c r="O172" s="272"/>
      <c r="P172" s="272"/>
      <c r="Q172" s="272"/>
      <c r="R172" s="272"/>
      <c r="S172" s="259"/>
      <c r="T172" s="259"/>
      <c r="U172" s="259"/>
      <c r="V172" s="259"/>
      <c r="W172" s="259"/>
      <c r="X172" s="259"/>
      <c r="Y172" s="259"/>
      <c r="Z172" s="259"/>
    </row>
    <row r="173" spans="1:26" ht="12.75" customHeight="1" outlineLevel="1">
      <c r="A173" s="272"/>
      <c r="B173" s="272"/>
      <c r="C173" s="626" t="s">
        <v>28</v>
      </c>
      <c r="D173" s="627"/>
      <c r="E173" s="276">
        <f ca="1">A12value-SUM('Actual RAB roll forward'!H187:OFFSET('Actual RAB roll forward'!H187,0,Input!$W$7-1))</f>
        <v>0</v>
      </c>
      <c r="F173" s="276">
        <f ca="1">IF(A12remlife="N/A","n/a",IF(E173=0,0,A12remlife-Input!$W$7))</f>
        <v>0</v>
      </c>
      <c r="G173" s="277"/>
      <c r="H173" s="278" t="s">
        <v>67</v>
      </c>
      <c r="I173" s="279"/>
      <c r="J173" s="276">
        <f ca="1">A12taxvalue-SUM('Tax value roll forward'!G226:OFFSET('Tax value roll forward'!G226,0,Input!$W$7))</f>
        <v>0</v>
      </c>
      <c r="K173" s="276">
        <f ca="1">IF(A12taxremlife="N/A","n/a",IF(J173=0,0,A12taxremlife-Input!$W$7-1))</f>
        <v>0</v>
      </c>
      <c r="L173" s="280"/>
      <c r="M173" s="312"/>
      <c r="N173" s="312"/>
      <c r="O173" s="272"/>
      <c r="P173" s="272"/>
      <c r="Q173" s="272"/>
      <c r="R173" s="272"/>
      <c r="S173" s="259"/>
      <c r="T173" s="259"/>
      <c r="U173" s="259"/>
      <c r="V173" s="259"/>
      <c r="W173" s="259"/>
      <c r="X173" s="259"/>
      <c r="Y173" s="259"/>
      <c r="Z173" s="259"/>
    </row>
    <row r="174" spans="1:26" ht="12.75" customHeight="1" outlineLevel="1">
      <c r="A174" s="272"/>
      <c r="B174" s="272"/>
      <c r="C174" s="633" t="s">
        <v>84</v>
      </c>
      <c r="D174" s="322">
        <f>D$9</f>
        <v>0</v>
      </c>
      <c r="E174" s="276"/>
      <c r="F174" s="276"/>
      <c r="G174" s="277"/>
      <c r="H174" s="633" t="s">
        <v>84</v>
      </c>
      <c r="I174" s="322">
        <v>0</v>
      </c>
      <c r="J174" s="276">
        <f ca="1">OFFSET('Tax value roll forward'!G$51,0,I174)-SUM('Tax value roll forward'!G228:OFFSET('Tax value roll forward'!G228,0,Input!$W$7))</f>
        <v>0</v>
      </c>
      <c r="K174" s="276">
        <f ca="1">IF(A12taxstdlife="N/A","n/a",IF(J174=0,0,A12taxstdlife+I174-Input!$W$7))</f>
        <v>0</v>
      </c>
      <c r="L174" s="280"/>
      <c r="M174" s="312"/>
      <c r="N174" s="312"/>
      <c r="O174" s="272"/>
      <c r="P174" s="272"/>
      <c r="Q174" s="272"/>
      <c r="R174" s="272"/>
      <c r="S174" s="259"/>
      <c r="T174" s="259"/>
      <c r="U174" s="259"/>
      <c r="V174" s="259"/>
      <c r="W174" s="259"/>
      <c r="X174" s="259"/>
      <c r="Y174" s="259"/>
      <c r="Z174" s="259"/>
    </row>
    <row r="175" spans="1:26" ht="12.75" customHeight="1" outlineLevel="1">
      <c r="A175" s="272"/>
      <c r="B175" s="272"/>
      <c r="C175" s="634"/>
      <c r="D175" s="281">
        <f>D$10</f>
        <v>1</v>
      </c>
      <c r="E175" s="276">
        <f ca="1">OFFSET('Actual RAB roll forward'!H$23,0,D175-1)-SUM('Actual RAB roll forward'!H189:OFFSET('Actual RAB roll forward'!H189,0,Input!$W$7-1))</f>
        <v>0</v>
      </c>
      <c r="F175" s="276">
        <f ca="1">IF(A12stdlife="N/A","n/a",IF(E175=0,0,A12stdlife+D175-Input!$W$7))</f>
        <v>0</v>
      </c>
      <c r="G175" s="277"/>
      <c r="H175" s="634"/>
      <c r="I175" s="281">
        <v>1</v>
      </c>
      <c r="J175" s="276">
        <f ca="1">OFFSET('Tax value roll forward'!G$51,0,I175)-SUM('Tax value roll forward'!G229:OFFSET('Tax value roll forward'!G229,0,Input!$W$7))</f>
        <v>0</v>
      </c>
      <c r="K175" s="276">
        <f ca="1">IF(A12taxstdlife="N/A","n/a",IF(J175=0,0,A12taxstdlife+I175-Input!$W$7))</f>
        <v>0</v>
      </c>
      <c r="L175" s="280"/>
      <c r="M175" s="312"/>
      <c r="N175" s="312"/>
      <c r="O175" s="272"/>
      <c r="P175" s="272"/>
      <c r="Q175" s="272"/>
      <c r="R175" s="272"/>
      <c r="S175" s="259"/>
      <c r="T175" s="259"/>
      <c r="U175" s="259"/>
      <c r="V175" s="259"/>
      <c r="W175" s="259"/>
      <c r="X175" s="259"/>
      <c r="Y175" s="259"/>
      <c r="Z175" s="259"/>
    </row>
    <row r="176" spans="1:26" outlineLevel="1">
      <c r="A176" s="272"/>
      <c r="B176" s="272"/>
      <c r="C176" s="634"/>
      <c r="D176" s="281">
        <f>D$11</f>
        <v>2</v>
      </c>
      <c r="E176" s="276">
        <f ca="1">OFFSET('Actual RAB roll forward'!H$23,0,D176-1)-SUM('Actual RAB roll forward'!H190:OFFSET('Actual RAB roll forward'!H190,0,Input!$W$7-1))</f>
        <v>0</v>
      </c>
      <c r="F176" s="276">
        <f ca="1">IF(A12stdlife="N/A","n/a",IF(E176=0,0,A12stdlife+D176-Input!$W$7))</f>
        <v>0</v>
      </c>
      <c r="G176" s="277"/>
      <c r="H176" s="634"/>
      <c r="I176" s="281">
        <v>2</v>
      </c>
      <c r="J176" s="276">
        <f ca="1">OFFSET('Tax value roll forward'!G$51,0,I176)-SUM('Tax value roll forward'!G230:OFFSET('Tax value roll forward'!G230,0,Input!$W$7))</f>
        <v>0</v>
      </c>
      <c r="K176" s="276">
        <f ca="1">IF(A12taxstdlife="N/A","n/a",IF(J176=0,0,A12taxstdlife+I176-Input!$W$7))</f>
        <v>0</v>
      </c>
      <c r="L176" s="280"/>
      <c r="M176" s="312"/>
      <c r="N176" s="312"/>
      <c r="O176" s="272"/>
      <c r="P176" s="272"/>
      <c r="Q176" s="272"/>
      <c r="R176" s="272"/>
      <c r="S176" s="259"/>
      <c r="T176" s="259"/>
      <c r="U176" s="259"/>
      <c r="V176" s="259"/>
      <c r="W176" s="259"/>
      <c r="X176" s="259"/>
      <c r="Y176" s="259"/>
      <c r="Z176" s="259"/>
    </row>
    <row r="177" spans="1:26" outlineLevel="1">
      <c r="A177" s="272"/>
      <c r="B177" s="272"/>
      <c r="C177" s="634"/>
      <c r="D177" s="281">
        <f>D$12</f>
        <v>3</v>
      </c>
      <c r="E177" s="276">
        <f ca="1">OFFSET('Actual RAB roll forward'!H$23,0,D177-1)-SUM('Actual RAB roll forward'!H191:OFFSET('Actual RAB roll forward'!H191,0,Input!$W$7-1))</f>
        <v>0</v>
      </c>
      <c r="F177" s="276">
        <f ca="1">IF(A12stdlife="N/A","n/a",IF(E177=0,0,A12stdlife+D177-Input!$W$7))</f>
        <v>0</v>
      </c>
      <c r="G177" s="277"/>
      <c r="H177" s="634"/>
      <c r="I177" s="281">
        <v>3</v>
      </c>
      <c r="J177" s="276">
        <f ca="1">OFFSET('Tax value roll forward'!G$51,0,I177)-SUM('Tax value roll forward'!G231:OFFSET('Tax value roll forward'!G231,0,Input!$W$7))</f>
        <v>0</v>
      </c>
      <c r="K177" s="276">
        <f ca="1">IF(A12taxstdlife="N/A","n/a",IF(J177=0,0,A12taxstdlife+I177-Input!$W$7))</f>
        <v>0</v>
      </c>
      <c r="L177" s="280"/>
      <c r="M177" s="312"/>
      <c r="N177" s="312"/>
      <c r="O177" s="272"/>
      <c r="P177" s="272"/>
      <c r="Q177" s="272"/>
      <c r="R177" s="272"/>
      <c r="S177" s="259"/>
      <c r="T177" s="259"/>
      <c r="U177" s="259"/>
      <c r="V177" s="259"/>
      <c r="W177" s="259"/>
      <c r="X177" s="259"/>
      <c r="Y177" s="259"/>
      <c r="Z177" s="259"/>
    </row>
    <row r="178" spans="1:26" outlineLevel="1">
      <c r="A178" s="272"/>
      <c r="B178" s="272"/>
      <c r="C178" s="634"/>
      <c r="D178" s="281">
        <f>D$13</f>
        <v>4</v>
      </c>
      <c r="E178" s="276">
        <f ca="1">OFFSET('Actual RAB roll forward'!H$23,0,D178-1)-SUM('Actual RAB roll forward'!H192:OFFSET('Actual RAB roll forward'!H192,0,Input!$W$7-1))</f>
        <v>0</v>
      </c>
      <c r="F178" s="276">
        <f ca="1">IF(A12stdlife="N/A","n/a",IF(E178=0,0,A12stdlife+D178-Input!$W$7))</f>
        <v>0</v>
      </c>
      <c r="G178" s="277"/>
      <c r="H178" s="634"/>
      <c r="I178" s="281">
        <v>4</v>
      </c>
      <c r="J178" s="276">
        <f ca="1">OFFSET('Tax value roll forward'!G$51,0,I178)-SUM('Tax value roll forward'!G232:OFFSET('Tax value roll forward'!G232,0,Input!$W$7))</f>
        <v>0</v>
      </c>
      <c r="K178" s="276">
        <f ca="1">IF(A12taxstdlife="N/A","n/a",IF(J178=0,0,A12taxstdlife+I178-Input!$W$7))</f>
        <v>0</v>
      </c>
      <c r="L178" s="280"/>
      <c r="M178" s="312"/>
      <c r="N178" s="312"/>
      <c r="O178" s="272"/>
      <c r="P178" s="272"/>
      <c r="Q178" s="272"/>
      <c r="R178" s="272"/>
      <c r="S178" s="259"/>
      <c r="T178" s="259"/>
      <c r="U178" s="259"/>
      <c r="V178" s="259"/>
      <c r="W178" s="259"/>
      <c r="X178" s="259"/>
      <c r="Y178" s="259"/>
      <c r="Z178" s="259"/>
    </row>
    <row r="179" spans="1:26" outlineLevel="1">
      <c r="A179" s="272"/>
      <c r="B179" s="272"/>
      <c r="C179" s="634"/>
      <c r="D179" s="281">
        <f>D$14</f>
        <v>5</v>
      </c>
      <c r="E179" s="276">
        <f ca="1">OFFSET('Actual RAB roll forward'!H$23,0,D179-1)-SUM('Actual RAB roll forward'!H193:OFFSET('Actual RAB roll forward'!H193,0,Input!$W$7-1))</f>
        <v>0</v>
      </c>
      <c r="F179" s="276">
        <f ca="1">IF(A12stdlife="N/A","n/a",IF(E179=0,0,A12stdlife+D179-Input!$W$7))</f>
        <v>0</v>
      </c>
      <c r="G179" s="277"/>
      <c r="H179" s="634"/>
      <c r="I179" s="281">
        <v>5</v>
      </c>
      <c r="J179" s="276">
        <f ca="1">OFFSET('Tax value roll forward'!G$51,0,I179)-SUM('Tax value roll forward'!G233:OFFSET('Tax value roll forward'!G233,0,Input!$W$7))</f>
        <v>0</v>
      </c>
      <c r="K179" s="276">
        <f ca="1">IF(A12taxstdlife="N/A","n/a",IF(J179=0,0,A12taxstdlife+I179-Input!$W$7))</f>
        <v>0</v>
      </c>
      <c r="L179" s="280"/>
      <c r="M179" s="312"/>
      <c r="N179" s="312"/>
      <c r="O179" s="272"/>
      <c r="P179" s="272"/>
      <c r="Q179" s="272"/>
      <c r="R179" s="272"/>
      <c r="S179" s="259"/>
      <c r="T179" s="259"/>
      <c r="U179" s="259"/>
      <c r="V179" s="259"/>
      <c r="W179" s="259"/>
      <c r="X179" s="259"/>
      <c r="Y179" s="259"/>
      <c r="Z179" s="259"/>
    </row>
    <row r="180" spans="1:26" outlineLevel="1">
      <c r="A180" s="272"/>
      <c r="B180" s="272"/>
      <c r="C180" s="634"/>
      <c r="D180" s="281">
        <f>D$15</f>
        <v>6</v>
      </c>
      <c r="E180" s="276">
        <f ca="1">OFFSET('Actual RAB roll forward'!H$23,0,D180-1)-SUM('Actual RAB roll forward'!H194:OFFSET('Actual RAB roll forward'!H194,0,Input!$W$7-1))</f>
        <v>0</v>
      </c>
      <c r="F180" s="276">
        <f ca="1">IF(A12stdlife="N/A","n/a",IF(E180=0,0,A12stdlife+D180-Input!$W$7))</f>
        <v>0</v>
      </c>
      <c r="G180" s="277"/>
      <c r="H180" s="634"/>
      <c r="I180" s="281">
        <v>6</v>
      </c>
      <c r="J180" s="276">
        <f ca="1">OFFSET('Tax value roll forward'!G$51,0,I180)-SUM('Tax value roll forward'!G234:OFFSET('Tax value roll forward'!G234,0,Input!$W$7))</f>
        <v>0</v>
      </c>
      <c r="K180" s="276">
        <f ca="1">IF(A12taxstdlife="N/A","n/a",IF(J180=0,0,A12taxstdlife+I180-Input!$W$7))</f>
        <v>0</v>
      </c>
      <c r="L180" s="280"/>
      <c r="M180" s="312"/>
      <c r="N180" s="312"/>
      <c r="O180" s="272"/>
      <c r="P180" s="272"/>
      <c r="Q180" s="272"/>
      <c r="R180" s="272"/>
      <c r="S180" s="259"/>
      <c r="T180" s="259"/>
      <c r="U180" s="259"/>
      <c r="V180" s="259"/>
      <c r="W180" s="259"/>
      <c r="X180" s="259"/>
      <c r="Y180" s="259"/>
      <c r="Z180" s="259"/>
    </row>
    <row r="181" spans="1:26" outlineLevel="1">
      <c r="A181" s="272"/>
      <c r="B181" s="272"/>
      <c r="C181" s="634"/>
      <c r="D181" s="281">
        <f>D$16</f>
        <v>7</v>
      </c>
      <c r="E181" s="276">
        <f ca="1">OFFSET('Actual RAB roll forward'!H$23,0,D181-1)-SUM('Actual RAB roll forward'!H195:OFFSET('Actual RAB roll forward'!H195,0,Input!$W$7-1))</f>
        <v>0</v>
      </c>
      <c r="F181" s="276">
        <f ca="1">IF(A12stdlife="N/A","n/a",IF(E181=0,0,A12stdlife+D181-Input!$W$7))</f>
        <v>0</v>
      </c>
      <c r="G181" s="277"/>
      <c r="H181" s="634"/>
      <c r="I181" s="281">
        <v>7</v>
      </c>
      <c r="J181" s="276">
        <f ca="1">OFFSET('Tax value roll forward'!G$51,0,I181)-SUM('Tax value roll forward'!G235:OFFSET('Tax value roll forward'!G235,0,Input!$W$7))</f>
        <v>0</v>
      </c>
      <c r="K181" s="276">
        <f ca="1">IF(A12taxstdlife="N/A","n/a",IF(J181=0,0,A12taxstdlife+I181-Input!$W$7))</f>
        <v>0</v>
      </c>
      <c r="L181" s="280"/>
      <c r="M181" s="312"/>
      <c r="N181" s="312"/>
      <c r="O181" s="272"/>
      <c r="P181" s="272"/>
      <c r="Q181" s="272"/>
      <c r="R181" s="272"/>
      <c r="S181" s="259"/>
      <c r="T181" s="259"/>
      <c r="U181" s="259"/>
      <c r="V181" s="259"/>
      <c r="W181" s="259"/>
      <c r="X181" s="259"/>
      <c r="Y181" s="259"/>
      <c r="Z181" s="259"/>
    </row>
    <row r="182" spans="1:26" outlineLevel="1">
      <c r="A182" s="272"/>
      <c r="B182" s="272"/>
      <c r="C182" s="634"/>
      <c r="D182" s="281">
        <f>D$17</f>
        <v>8</v>
      </c>
      <c r="E182" s="276">
        <f ca="1">OFFSET('Actual RAB roll forward'!H$23,0,D182-1)-SUM('Actual RAB roll forward'!H196:OFFSET('Actual RAB roll forward'!H196,0,Input!$W$7-1))</f>
        <v>0</v>
      </c>
      <c r="F182" s="276">
        <f ca="1">IF(A12stdlife="N/A","n/a",IF(E182=0,0,A12stdlife+D182-Input!$W$7))</f>
        <v>0</v>
      </c>
      <c r="G182" s="277"/>
      <c r="H182" s="634"/>
      <c r="I182" s="281">
        <v>8</v>
      </c>
      <c r="J182" s="276">
        <f ca="1">OFFSET('Tax value roll forward'!G$51,0,I182)-SUM('Tax value roll forward'!G236:OFFSET('Tax value roll forward'!G236,0,Input!$W$7))</f>
        <v>0</v>
      </c>
      <c r="K182" s="276">
        <f ca="1">IF(A12taxstdlife="N/A","n/a",IF(J182=0,0,A12taxstdlife+I182-Input!$W$7))</f>
        <v>0</v>
      </c>
      <c r="L182" s="280"/>
      <c r="M182" s="312"/>
      <c r="N182" s="312"/>
      <c r="O182" s="272"/>
      <c r="P182" s="272"/>
      <c r="Q182" s="272"/>
      <c r="R182" s="272"/>
      <c r="S182" s="259"/>
      <c r="T182" s="259"/>
      <c r="U182" s="259"/>
      <c r="V182" s="259"/>
      <c r="W182" s="259"/>
      <c r="X182" s="259"/>
      <c r="Y182" s="259"/>
      <c r="Z182" s="259"/>
    </row>
    <row r="183" spans="1:26" outlineLevel="1">
      <c r="A183" s="272"/>
      <c r="B183" s="272"/>
      <c r="C183" s="634"/>
      <c r="D183" s="281">
        <f>D$18</f>
        <v>9</v>
      </c>
      <c r="E183" s="276">
        <f ca="1">OFFSET('Actual RAB roll forward'!H$23,0,D183-1)-SUM('Actual RAB roll forward'!H197:OFFSET('Actual RAB roll forward'!H197,0,Input!$W$7-1))</f>
        <v>0</v>
      </c>
      <c r="F183" s="276">
        <f ca="1">IF(A12stdlife="N/A","n/a",IF(E183=0,0,A12stdlife+D183-Input!$W$7))</f>
        <v>0</v>
      </c>
      <c r="G183" s="277"/>
      <c r="H183" s="634"/>
      <c r="I183" s="281">
        <v>9</v>
      </c>
      <c r="J183" s="276">
        <f ca="1">OFFSET('Tax value roll forward'!G$51,0,I183)-SUM('Tax value roll forward'!G237:OFFSET('Tax value roll forward'!G237,0,Input!$W$7))</f>
        <v>0</v>
      </c>
      <c r="K183" s="276">
        <f ca="1">IF(A12taxstdlife="N/A","n/a",IF(J183=0,0,A12taxstdlife+I183-Input!$W$7))</f>
        <v>0</v>
      </c>
      <c r="L183" s="280"/>
      <c r="M183" s="312"/>
      <c r="N183" s="312"/>
      <c r="O183" s="272"/>
      <c r="P183" s="272"/>
      <c r="Q183" s="272"/>
      <c r="R183" s="272"/>
      <c r="S183" s="259"/>
      <c r="T183" s="259"/>
      <c r="U183" s="259"/>
      <c r="V183" s="259"/>
      <c r="W183" s="259"/>
      <c r="X183" s="259"/>
      <c r="Y183" s="259"/>
      <c r="Z183" s="259"/>
    </row>
    <row r="184" spans="1:26" outlineLevel="1">
      <c r="A184" s="272"/>
      <c r="B184" s="272"/>
      <c r="C184" s="635"/>
      <c r="D184" s="282">
        <f>D$19</f>
        <v>10</v>
      </c>
      <c r="E184" s="276">
        <f ca="1">OFFSET('Actual RAB roll forward'!H$23,0,D184-1)-SUM('Actual RAB roll forward'!H198:OFFSET('Actual RAB roll forward'!H198,0,Input!$W$7-1))</f>
        <v>0</v>
      </c>
      <c r="F184" s="276">
        <f ca="1">IF(A12stdlife="N/A","n/a",IF(E184=0,0,A12stdlife+D184-Input!$W$7))</f>
        <v>0</v>
      </c>
      <c r="G184" s="277"/>
      <c r="H184" s="635"/>
      <c r="I184" s="282">
        <v>10</v>
      </c>
      <c r="J184" s="276">
        <f ca="1">OFFSET('Tax value roll forward'!G$51,0,I184)-SUM('Tax value roll forward'!G238:OFFSET('Tax value roll forward'!G238,0,Input!$W$7))</f>
        <v>0</v>
      </c>
      <c r="K184" s="276">
        <f ca="1">IF(A12taxstdlife="N/A","n/a",IF(J184=0,0,A12taxstdlife+I184-Input!$W$7))</f>
        <v>0</v>
      </c>
      <c r="M184" s="312"/>
      <c r="N184" s="312"/>
      <c r="O184" s="272"/>
      <c r="P184" s="272"/>
      <c r="Q184" s="272"/>
      <c r="R184" s="272"/>
      <c r="S184" s="259"/>
      <c r="T184" s="259"/>
      <c r="U184" s="259"/>
      <c r="V184" s="259"/>
      <c r="W184" s="259"/>
      <c r="X184" s="259"/>
      <c r="Y184" s="259"/>
      <c r="Z184" s="259"/>
    </row>
    <row r="185" spans="1:26">
      <c r="A185" s="272"/>
      <c r="B185" s="272"/>
      <c r="C185" s="292">
        <f>Asset12</f>
        <v>0</v>
      </c>
      <c r="D185" s="272"/>
      <c r="E185" s="276">
        <f ca="1">SUM(E173:E184)</f>
        <v>0</v>
      </c>
      <c r="F185" s="276">
        <f ca="1">IF(E185=0,0,SUMPRODUCT(E173:E184,F173:F184)/E185)</f>
        <v>0</v>
      </c>
      <c r="G185" s="277"/>
      <c r="H185" s="284"/>
      <c r="I185" s="276"/>
      <c r="J185" s="311">
        <f ca="1">SUM(J173:J184)</f>
        <v>0</v>
      </c>
      <c r="K185" s="311">
        <f ca="1">IF(J185=0,0,SUMPRODUCT(J173:J184,K173:K184)/J185)</f>
        <v>0</v>
      </c>
      <c r="L185" s="280"/>
      <c r="M185" s="312"/>
      <c r="N185" s="312"/>
      <c r="O185" s="272"/>
      <c r="P185" s="272"/>
      <c r="Q185" s="272"/>
      <c r="R185" s="272"/>
      <c r="S185" s="259"/>
      <c r="T185" s="259"/>
      <c r="U185" s="259"/>
      <c r="V185" s="259"/>
      <c r="W185" s="259"/>
      <c r="X185" s="259"/>
      <c r="Y185" s="259"/>
      <c r="Z185" s="259"/>
    </row>
    <row r="186" spans="1:26" outlineLevel="1">
      <c r="A186" s="272"/>
      <c r="B186" s="272"/>
      <c r="C186" s="292"/>
      <c r="D186" s="272"/>
      <c r="E186" s="276"/>
      <c r="F186" s="276"/>
      <c r="G186" s="277"/>
      <c r="H186" s="276"/>
      <c r="I186" s="276"/>
      <c r="J186" s="290"/>
      <c r="K186" s="276"/>
      <c r="L186" s="280"/>
      <c r="M186" s="312"/>
      <c r="N186" s="312"/>
      <c r="O186" s="272"/>
      <c r="P186" s="272"/>
      <c r="Q186" s="272"/>
      <c r="R186" s="272"/>
      <c r="S186" s="259"/>
      <c r="T186" s="259"/>
      <c r="U186" s="259"/>
      <c r="V186" s="259"/>
      <c r="W186" s="259"/>
      <c r="X186" s="259"/>
      <c r="Y186" s="259"/>
      <c r="Z186" s="259"/>
    </row>
    <row r="187" spans="1:26" outlineLevel="1">
      <c r="A187" s="272"/>
      <c r="B187" s="275">
        <f>Asset13</f>
        <v>0</v>
      </c>
      <c r="C187" s="272"/>
      <c r="D187" s="272"/>
      <c r="E187" s="293"/>
      <c r="F187" s="293"/>
      <c r="G187" s="277"/>
      <c r="H187" s="276"/>
      <c r="I187" s="276"/>
      <c r="J187" s="290"/>
      <c r="K187" s="276"/>
      <c r="L187" s="280"/>
      <c r="M187" s="312"/>
      <c r="N187" s="312"/>
      <c r="O187" s="272"/>
      <c r="P187" s="272"/>
      <c r="Q187" s="272"/>
      <c r="R187" s="272"/>
      <c r="S187" s="259"/>
      <c r="T187" s="259"/>
      <c r="U187" s="259"/>
      <c r="V187" s="259"/>
      <c r="W187" s="259"/>
      <c r="X187" s="259"/>
      <c r="Y187" s="259"/>
      <c r="Z187" s="259"/>
    </row>
    <row r="188" spans="1:26" ht="12.75" customHeight="1" outlineLevel="1">
      <c r="A188" s="272"/>
      <c r="B188" s="272"/>
      <c r="C188" s="626" t="s">
        <v>28</v>
      </c>
      <c r="D188" s="627"/>
      <c r="E188" s="276">
        <f ca="1">A13value-SUM('Actual RAB roll forward'!H200:OFFSET('Actual RAB roll forward'!H200,0,Input!$W$7-1))</f>
        <v>0</v>
      </c>
      <c r="F188" s="276">
        <f ca="1">IF(A13remlife="N/A","n/a",IF(E188=0,0,A13remlife-Input!$W$7))</f>
        <v>0</v>
      </c>
      <c r="G188" s="277"/>
      <c r="H188" s="278" t="s">
        <v>67</v>
      </c>
      <c r="I188" s="279"/>
      <c r="J188" s="276">
        <f ca="1">A13taxvalue-SUM('Tax value roll forward'!G240:OFFSET('Tax value roll forward'!G240,0,Input!$W$7))</f>
        <v>0</v>
      </c>
      <c r="K188" s="276">
        <f ca="1">IF(A13taxremlife="N/A","n/a",IF(J188=0,0,A13taxremlife-Input!$W$7-1))</f>
        <v>0</v>
      </c>
      <c r="L188" s="280"/>
      <c r="M188" s="312"/>
      <c r="N188" s="312"/>
      <c r="O188" s="272"/>
      <c r="P188" s="272"/>
      <c r="Q188" s="272"/>
      <c r="R188" s="272"/>
      <c r="S188" s="259"/>
      <c r="T188" s="259"/>
      <c r="U188" s="259"/>
      <c r="V188" s="259"/>
      <c r="W188" s="259"/>
      <c r="X188" s="259"/>
      <c r="Y188" s="259"/>
      <c r="Z188" s="259"/>
    </row>
    <row r="189" spans="1:26" ht="12.75" customHeight="1" outlineLevel="1">
      <c r="A189" s="272"/>
      <c r="B189" s="272"/>
      <c r="C189" s="633" t="s">
        <v>84</v>
      </c>
      <c r="D189" s="322">
        <f>D$9</f>
        <v>0</v>
      </c>
      <c r="E189" s="276"/>
      <c r="F189" s="276"/>
      <c r="G189" s="277"/>
      <c r="H189" s="633" t="s">
        <v>84</v>
      </c>
      <c r="I189" s="322">
        <v>0</v>
      </c>
      <c r="J189" s="276">
        <f ca="1">OFFSET('Tax value roll forward'!G$52,0,I189)-SUM('Tax value roll forward'!G242:OFFSET('Tax value roll forward'!G242,0,Input!$W$7))</f>
        <v>0</v>
      </c>
      <c r="K189" s="276">
        <f ca="1">IF(A13taxstdlife="N/A","n/a",IF(J189=0,0,A13taxstdlife+I189-Input!$W$7))</f>
        <v>0</v>
      </c>
      <c r="L189" s="280"/>
      <c r="M189" s="312"/>
      <c r="N189" s="312"/>
      <c r="O189" s="272"/>
      <c r="P189" s="272"/>
      <c r="Q189" s="272"/>
      <c r="R189" s="272"/>
      <c r="S189" s="259"/>
      <c r="T189" s="259"/>
      <c r="U189" s="259"/>
      <c r="V189" s="259"/>
      <c r="W189" s="259"/>
      <c r="X189" s="259"/>
      <c r="Y189" s="259"/>
      <c r="Z189" s="259"/>
    </row>
    <row r="190" spans="1:26" ht="12.75" customHeight="1" outlineLevel="1">
      <c r="A190" s="272"/>
      <c r="B190" s="272"/>
      <c r="C190" s="634"/>
      <c r="D190" s="281">
        <f>D$10</f>
        <v>1</v>
      </c>
      <c r="E190" s="276">
        <f ca="1">OFFSET('Actual RAB roll forward'!H$24,0,D190-1)-SUM('Actual RAB roll forward'!H202:OFFSET('Actual RAB roll forward'!H202,0,Input!$W$7-1))</f>
        <v>0</v>
      </c>
      <c r="F190" s="276">
        <f ca="1">IF(A13stdlife="N/A","n/a",IF(E190=0,0,A13stdlife+D190-Input!$W$7))</f>
        <v>0</v>
      </c>
      <c r="G190" s="277"/>
      <c r="H190" s="634"/>
      <c r="I190" s="281">
        <v>1</v>
      </c>
      <c r="J190" s="276">
        <f ca="1">OFFSET('Tax value roll forward'!G$52,0,I190)-SUM('Tax value roll forward'!G243:OFFSET('Tax value roll forward'!G243,0,Input!$W$7))</f>
        <v>0</v>
      </c>
      <c r="K190" s="276">
        <f ca="1">IF(A13taxstdlife="N/A","n/a",IF(J190=0,0,A13taxstdlife+I190-Input!$W$7))</f>
        <v>0</v>
      </c>
      <c r="L190" s="280"/>
      <c r="M190" s="312"/>
      <c r="N190" s="312"/>
      <c r="O190" s="272"/>
      <c r="P190" s="272"/>
      <c r="Q190" s="272"/>
      <c r="R190" s="272"/>
      <c r="S190" s="259"/>
      <c r="T190" s="259"/>
      <c r="U190" s="259"/>
      <c r="V190" s="259"/>
      <c r="W190" s="259"/>
      <c r="X190" s="259"/>
      <c r="Y190" s="259"/>
      <c r="Z190" s="259"/>
    </row>
    <row r="191" spans="1:26" outlineLevel="1">
      <c r="A191" s="272"/>
      <c r="B191" s="272"/>
      <c r="C191" s="634"/>
      <c r="D191" s="281">
        <f>D$11</f>
        <v>2</v>
      </c>
      <c r="E191" s="276">
        <f ca="1">OFFSET('Actual RAB roll forward'!H$24,0,D191-1)-SUM('Actual RAB roll forward'!H203:OFFSET('Actual RAB roll forward'!H203,0,Input!$W$7-1))</f>
        <v>0</v>
      </c>
      <c r="F191" s="276">
        <f ca="1">IF(A13stdlife="N/A","n/a",IF(E191=0,0,A13stdlife+D191-Input!$W$7))</f>
        <v>0</v>
      </c>
      <c r="G191" s="277"/>
      <c r="H191" s="634"/>
      <c r="I191" s="281">
        <v>2</v>
      </c>
      <c r="J191" s="276">
        <f ca="1">OFFSET('Tax value roll forward'!G$52,0,I191)-SUM('Tax value roll forward'!G244:OFFSET('Tax value roll forward'!G244,0,Input!$W$7))</f>
        <v>0</v>
      </c>
      <c r="K191" s="276">
        <f ca="1">IF(A13taxstdlife="N/A","n/a",IF(J191=0,0,A13taxstdlife+I191-Input!$W$7))</f>
        <v>0</v>
      </c>
      <c r="L191" s="280"/>
      <c r="M191" s="312"/>
      <c r="N191" s="312"/>
      <c r="O191" s="272"/>
      <c r="P191" s="272"/>
      <c r="Q191" s="272"/>
      <c r="R191" s="272"/>
      <c r="S191" s="259"/>
      <c r="T191" s="259"/>
      <c r="U191" s="259"/>
      <c r="V191" s="259"/>
      <c r="W191" s="259"/>
      <c r="X191" s="259"/>
      <c r="Y191" s="259"/>
      <c r="Z191" s="259"/>
    </row>
    <row r="192" spans="1:26" outlineLevel="1">
      <c r="A192" s="272"/>
      <c r="B192" s="272"/>
      <c r="C192" s="634"/>
      <c r="D192" s="281">
        <f>D$12</f>
        <v>3</v>
      </c>
      <c r="E192" s="276">
        <f ca="1">OFFSET('Actual RAB roll forward'!H$24,0,D192-1)-SUM('Actual RAB roll forward'!H204:OFFSET('Actual RAB roll forward'!H204,0,Input!$W$7-1))</f>
        <v>0</v>
      </c>
      <c r="F192" s="276">
        <f ca="1">IF(A13stdlife="N/A","n/a",IF(E192=0,0,A13stdlife+D192-Input!$W$7))</f>
        <v>0</v>
      </c>
      <c r="G192" s="277"/>
      <c r="H192" s="634"/>
      <c r="I192" s="281">
        <v>3</v>
      </c>
      <c r="J192" s="276">
        <f ca="1">OFFSET('Tax value roll forward'!G$52,0,I192)-SUM('Tax value roll forward'!G245:OFFSET('Tax value roll forward'!G245,0,Input!$W$7))</f>
        <v>0</v>
      </c>
      <c r="K192" s="276">
        <f ca="1">IF(A13taxstdlife="N/A","n/a",IF(J192=0,0,A13taxstdlife+I192-Input!$W$7))</f>
        <v>0</v>
      </c>
      <c r="L192" s="280"/>
      <c r="M192" s="312"/>
      <c r="N192" s="312"/>
      <c r="O192" s="272"/>
      <c r="P192" s="272"/>
      <c r="Q192" s="272"/>
      <c r="R192" s="272"/>
      <c r="S192" s="259"/>
      <c r="T192" s="259"/>
      <c r="U192" s="259"/>
      <c r="V192" s="259"/>
      <c r="W192" s="259"/>
      <c r="X192" s="259"/>
      <c r="Y192" s="259"/>
      <c r="Z192" s="259"/>
    </row>
    <row r="193" spans="1:26" outlineLevel="1">
      <c r="A193" s="272"/>
      <c r="B193" s="272"/>
      <c r="C193" s="634"/>
      <c r="D193" s="281">
        <f>D$13</f>
        <v>4</v>
      </c>
      <c r="E193" s="276">
        <f ca="1">OFFSET('Actual RAB roll forward'!H$24,0,D193-1)-SUM('Actual RAB roll forward'!H205:OFFSET('Actual RAB roll forward'!H205,0,Input!$W$7-1))</f>
        <v>0</v>
      </c>
      <c r="F193" s="276">
        <f ca="1">IF(A13stdlife="N/A","n/a",IF(E193=0,0,A13stdlife+D193-Input!$W$7))</f>
        <v>0</v>
      </c>
      <c r="G193" s="277"/>
      <c r="H193" s="634"/>
      <c r="I193" s="281">
        <v>4</v>
      </c>
      <c r="J193" s="276">
        <f ca="1">OFFSET('Tax value roll forward'!G$52,0,I193)-SUM('Tax value roll forward'!G246:OFFSET('Tax value roll forward'!G246,0,Input!$W$7))</f>
        <v>0</v>
      </c>
      <c r="K193" s="276">
        <f ca="1">IF(A13taxstdlife="N/A","n/a",IF(J193=0,0,A13taxstdlife+I193-Input!$W$7))</f>
        <v>0</v>
      </c>
      <c r="L193" s="280"/>
      <c r="M193" s="312"/>
      <c r="N193" s="312"/>
      <c r="O193" s="272"/>
      <c r="P193" s="272"/>
      <c r="Q193" s="272"/>
      <c r="R193" s="272"/>
      <c r="S193" s="259"/>
      <c r="T193" s="259"/>
      <c r="U193" s="259"/>
      <c r="V193" s="259"/>
      <c r="W193" s="259"/>
      <c r="X193" s="259"/>
      <c r="Y193" s="259"/>
      <c r="Z193" s="259"/>
    </row>
    <row r="194" spans="1:26" outlineLevel="1">
      <c r="A194" s="272"/>
      <c r="B194" s="272"/>
      <c r="C194" s="634"/>
      <c r="D194" s="281">
        <f>D$14</f>
        <v>5</v>
      </c>
      <c r="E194" s="276">
        <f ca="1">OFFSET('Actual RAB roll forward'!H$24,0,D194-1)-SUM('Actual RAB roll forward'!H206:OFFSET('Actual RAB roll forward'!H206,0,Input!$W$7-1))</f>
        <v>0</v>
      </c>
      <c r="F194" s="276">
        <f ca="1">IF(A13stdlife="N/A","n/a",IF(E194=0,0,A13stdlife+D194-Input!$W$7))</f>
        <v>0</v>
      </c>
      <c r="G194" s="277"/>
      <c r="H194" s="634"/>
      <c r="I194" s="281">
        <v>5</v>
      </c>
      <c r="J194" s="276">
        <f ca="1">OFFSET('Tax value roll forward'!G$52,0,I194)-SUM('Tax value roll forward'!G247:OFFSET('Tax value roll forward'!G247,0,Input!$W$7))</f>
        <v>0</v>
      </c>
      <c r="K194" s="276">
        <f ca="1">IF(A13taxstdlife="N/A","n/a",IF(J194=0,0,A13taxstdlife+I194-Input!$W$7))</f>
        <v>0</v>
      </c>
      <c r="L194" s="280"/>
      <c r="M194" s="312"/>
      <c r="N194" s="312"/>
      <c r="O194" s="272"/>
      <c r="P194" s="272"/>
      <c r="Q194" s="272"/>
      <c r="R194" s="272"/>
      <c r="S194" s="259"/>
      <c r="T194" s="259"/>
      <c r="U194" s="259"/>
      <c r="V194" s="259"/>
      <c r="W194" s="259"/>
      <c r="X194" s="259"/>
      <c r="Y194" s="259"/>
      <c r="Z194" s="259"/>
    </row>
    <row r="195" spans="1:26" outlineLevel="1">
      <c r="A195" s="272"/>
      <c r="B195" s="272"/>
      <c r="C195" s="634"/>
      <c r="D195" s="281">
        <f>D$15</f>
        <v>6</v>
      </c>
      <c r="E195" s="276">
        <f ca="1">OFFSET('Actual RAB roll forward'!H$24,0,D195-1)-SUM('Actual RAB roll forward'!H207:OFFSET('Actual RAB roll forward'!H207,0,Input!$W$7-1))</f>
        <v>0</v>
      </c>
      <c r="F195" s="276">
        <f ca="1">IF(A13stdlife="N/A","n/a",IF(E195=0,0,A13stdlife+D195-Input!$W$7))</f>
        <v>0</v>
      </c>
      <c r="G195" s="277"/>
      <c r="H195" s="634"/>
      <c r="I195" s="281">
        <v>6</v>
      </c>
      <c r="J195" s="276">
        <f ca="1">OFFSET('Tax value roll forward'!G$52,0,I195)-SUM('Tax value roll forward'!G248:OFFSET('Tax value roll forward'!G248,0,Input!$W$7))</f>
        <v>0</v>
      </c>
      <c r="K195" s="276">
        <f ca="1">IF(A13taxstdlife="N/A","n/a",IF(J195=0,0,A13taxstdlife+I195-Input!$W$7))</f>
        <v>0</v>
      </c>
      <c r="L195" s="280"/>
      <c r="M195" s="312"/>
      <c r="N195" s="312"/>
      <c r="O195" s="272"/>
      <c r="P195" s="272"/>
      <c r="Q195" s="272"/>
      <c r="R195" s="272"/>
      <c r="S195" s="259"/>
      <c r="T195" s="259"/>
      <c r="U195" s="259"/>
      <c r="V195" s="259"/>
      <c r="W195" s="259"/>
      <c r="X195" s="259"/>
      <c r="Y195" s="259"/>
      <c r="Z195" s="259"/>
    </row>
    <row r="196" spans="1:26" outlineLevel="1">
      <c r="A196" s="272"/>
      <c r="B196" s="272"/>
      <c r="C196" s="634"/>
      <c r="D196" s="281">
        <f>D$16</f>
        <v>7</v>
      </c>
      <c r="E196" s="276">
        <f ca="1">OFFSET('Actual RAB roll forward'!H$24,0,D196-1)-SUM('Actual RAB roll forward'!H208:OFFSET('Actual RAB roll forward'!H208,0,Input!$W$7-1))</f>
        <v>0</v>
      </c>
      <c r="F196" s="276">
        <f ca="1">IF(A13stdlife="N/A","n/a",IF(E196=0,0,A13stdlife+D196-Input!$W$7))</f>
        <v>0</v>
      </c>
      <c r="G196" s="277"/>
      <c r="H196" s="634"/>
      <c r="I196" s="281">
        <v>7</v>
      </c>
      <c r="J196" s="276">
        <f ca="1">OFFSET('Tax value roll forward'!G$52,0,I196)-SUM('Tax value roll forward'!G249:OFFSET('Tax value roll forward'!G249,0,Input!$W$7))</f>
        <v>0</v>
      </c>
      <c r="K196" s="276">
        <f ca="1">IF(A13taxstdlife="N/A","n/a",IF(J196=0,0,A13taxstdlife+I196-Input!$W$7))</f>
        <v>0</v>
      </c>
      <c r="L196" s="280"/>
      <c r="M196" s="312"/>
      <c r="N196" s="312"/>
      <c r="O196" s="272"/>
      <c r="P196" s="272"/>
      <c r="Q196" s="272"/>
      <c r="R196" s="272"/>
      <c r="S196" s="259"/>
      <c r="T196" s="259"/>
      <c r="U196" s="259"/>
      <c r="V196" s="259"/>
      <c r="W196" s="259"/>
      <c r="X196" s="259"/>
      <c r="Y196" s="259"/>
      <c r="Z196" s="259"/>
    </row>
    <row r="197" spans="1:26" outlineLevel="1">
      <c r="A197" s="272"/>
      <c r="B197" s="272"/>
      <c r="C197" s="634"/>
      <c r="D197" s="281">
        <f>D$17</f>
        <v>8</v>
      </c>
      <c r="E197" s="276">
        <f ca="1">OFFSET('Actual RAB roll forward'!H$24,0,D197-1)-SUM('Actual RAB roll forward'!H209:OFFSET('Actual RAB roll forward'!H209,0,Input!$W$7-1))</f>
        <v>0</v>
      </c>
      <c r="F197" s="276">
        <f ca="1">IF(A13stdlife="N/A","n/a",IF(E197=0,0,A13stdlife+D197-Input!$W$7))</f>
        <v>0</v>
      </c>
      <c r="G197" s="277"/>
      <c r="H197" s="634"/>
      <c r="I197" s="281">
        <v>8</v>
      </c>
      <c r="J197" s="276">
        <f ca="1">OFFSET('Tax value roll forward'!G$52,0,I197)-SUM('Tax value roll forward'!G250:OFFSET('Tax value roll forward'!G250,0,Input!$W$7))</f>
        <v>0</v>
      </c>
      <c r="K197" s="276">
        <f ca="1">IF(A13taxstdlife="N/A","n/a",IF(J197=0,0,A13taxstdlife+I197-Input!$W$7))</f>
        <v>0</v>
      </c>
      <c r="L197" s="280"/>
      <c r="M197" s="312"/>
      <c r="N197" s="312"/>
      <c r="O197" s="272"/>
      <c r="P197" s="272"/>
      <c r="Q197" s="272"/>
      <c r="R197" s="272"/>
      <c r="S197" s="259"/>
      <c r="T197" s="259"/>
      <c r="U197" s="259"/>
      <c r="V197" s="259"/>
      <c r="W197" s="259"/>
      <c r="X197" s="259"/>
      <c r="Y197" s="259"/>
      <c r="Z197" s="259"/>
    </row>
    <row r="198" spans="1:26" outlineLevel="1">
      <c r="A198" s="272"/>
      <c r="B198" s="272"/>
      <c r="C198" s="634"/>
      <c r="D198" s="281">
        <f>D$18</f>
        <v>9</v>
      </c>
      <c r="E198" s="276">
        <f ca="1">OFFSET('Actual RAB roll forward'!H$24,0,D198-1)-SUM('Actual RAB roll forward'!H210:OFFSET('Actual RAB roll forward'!H210,0,Input!$W$7-1))</f>
        <v>0</v>
      </c>
      <c r="F198" s="276">
        <f ca="1">IF(A13stdlife="N/A","n/a",IF(E198=0,0,A13stdlife+D198-Input!$W$7))</f>
        <v>0</v>
      </c>
      <c r="G198" s="277"/>
      <c r="H198" s="634"/>
      <c r="I198" s="281">
        <v>9</v>
      </c>
      <c r="J198" s="276">
        <f ca="1">OFFSET('Tax value roll forward'!G$52,0,I198)-SUM('Tax value roll forward'!G251:OFFSET('Tax value roll forward'!G251,0,Input!$W$7))</f>
        <v>0</v>
      </c>
      <c r="K198" s="276">
        <f ca="1">IF(A13taxstdlife="N/A","n/a",IF(J198=0,0,A13taxstdlife+I198-Input!$W$7))</f>
        <v>0</v>
      </c>
      <c r="L198" s="280"/>
      <c r="M198" s="312"/>
      <c r="N198" s="312"/>
      <c r="O198" s="272"/>
      <c r="P198" s="272"/>
      <c r="Q198" s="272"/>
      <c r="R198" s="272"/>
      <c r="S198" s="259"/>
      <c r="T198" s="259"/>
      <c r="U198" s="259"/>
      <c r="V198" s="259"/>
      <c r="W198" s="259"/>
      <c r="X198" s="259"/>
      <c r="Y198" s="259"/>
      <c r="Z198" s="259"/>
    </row>
    <row r="199" spans="1:26" outlineLevel="1">
      <c r="A199" s="272"/>
      <c r="B199" s="272"/>
      <c r="C199" s="635"/>
      <c r="D199" s="282">
        <f>D$19</f>
        <v>10</v>
      </c>
      <c r="E199" s="276">
        <f ca="1">OFFSET('Actual RAB roll forward'!H$24,0,D199-1)-SUM('Actual RAB roll forward'!H211:OFFSET('Actual RAB roll forward'!H211,0,Input!$W$7-1))</f>
        <v>0</v>
      </c>
      <c r="F199" s="276">
        <f ca="1">IF(A13stdlife="N/A","n/a",IF(E199=0,0,A13stdlife+D199-Input!$W$7))</f>
        <v>0</v>
      </c>
      <c r="G199" s="277"/>
      <c r="H199" s="635"/>
      <c r="I199" s="282">
        <v>10</v>
      </c>
      <c r="J199" s="276">
        <f ca="1">OFFSET('Tax value roll forward'!G$52,0,I199)-SUM('Tax value roll forward'!G252:OFFSET('Tax value roll forward'!G252,0,Input!$W$7))</f>
        <v>0</v>
      </c>
      <c r="K199" s="276">
        <f ca="1">IF(A13taxstdlife="N/A","n/a",IF(J199=0,0,A13taxstdlife+I199-Input!$W$7))</f>
        <v>0</v>
      </c>
      <c r="M199" s="312"/>
      <c r="N199" s="312"/>
      <c r="O199" s="272"/>
      <c r="P199" s="272"/>
      <c r="Q199" s="272"/>
      <c r="R199" s="272"/>
      <c r="S199" s="259"/>
      <c r="T199" s="259"/>
      <c r="U199" s="259"/>
      <c r="V199" s="259"/>
      <c r="W199" s="259"/>
      <c r="X199" s="259"/>
      <c r="Y199" s="259"/>
      <c r="Z199" s="259"/>
    </row>
    <row r="200" spans="1:26">
      <c r="A200" s="272"/>
      <c r="B200" s="272"/>
      <c r="C200" s="292">
        <f>Asset13</f>
        <v>0</v>
      </c>
      <c r="D200" s="272"/>
      <c r="E200" s="276">
        <f ca="1">SUM(E188:E199)</f>
        <v>0</v>
      </c>
      <c r="F200" s="276">
        <f ca="1">IF(E200=0,0,SUMPRODUCT(E188:E199,F188:F199)/E200)</f>
        <v>0</v>
      </c>
      <c r="G200" s="277"/>
      <c r="H200" s="284"/>
      <c r="I200" s="276"/>
      <c r="J200" s="311">
        <f ca="1">SUM(J188:J199)</f>
        <v>0</v>
      </c>
      <c r="K200" s="311">
        <f ca="1">IF(J200=0,0,SUMPRODUCT(J188:J199,K188:K199)/J200)</f>
        <v>0</v>
      </c>
      <c r="L200" s="280"/>
      <c r="M200" s="312"/>
      <c r="N200" s="312"/>
      <c r="O200" s="272"/>
      <c r="P200" s="272"/>
      <c r="Q200" s="272"/>
      <c r="R200" s="272"/>
      <c r="S200" s="259"/>
      <c r="T200" s="259"/>
      <c r="U200" s="259"/>
      <c r="V200" s="259"/>
      <c r="W200" s="259"/>
      <c r="X200" s="259"/>
      <c r="Y200" s="259"/>
      <c r="Z200" s="259"/>
    </row>
    <row r="201" spans="1:26" outlineLevel="1">
      <c r="A201" s="272"/>
      <c r="B201" s="272"/>
      <c r="C201" s="292"/>
      <c r="D201" s="272"/>
      <c r="E201" s="276"/>
      <c r="F201" s="276"/>
      <c r="G201" s="277"/>
      <c r="H201" s="276"/>
      <c r="I201" s="276"/>
      <c r="J201" s="290"/>
      <c r="K201" s="276"/>
      <c r="L201" s="280"/>
      <c r="M201" s="312"/>
      <c r="N201" s="312"/>
      <c r="O201" s="272"/>
      <c r="P201" s="272"/>
      <c r="Q201" s="272"/>
      <c r="R201" s="272"/>
      <c r="S201" s="259"/>
      <c r="T201" s="259"/>
      <c r="U201" s="259"/>
      <c r="V201" s="259"/>
      <c r="W201" s="259"/>
      <c r="X201" s="259"/>
      <c r="Y201" s="259"/>
      <c r="Z201" s="259"/>
    </row>
    <row r="202" spans="1:26" outlineLevel="1">
      <c r="A202" s="272"/>
      <c r="B202" s="275">
        <f>Asset14</f>
        <v>0</v>
      </c>
      <c r="C202" s="272"/>
      <c r="D202" s="272"/>
      <c r="E202" s="293"/>
      <c r="F202" s="293"/>
      <c r="G202" s="277"/>
      <c r="H202" s="276"/>
      <c r="I202" s="276"/>
      <c r="J202" s="290"/>
      <c r="K202" s="276"/>
      <c r="L202" s="280"/>
      <c r="M202" s="312"/>
      <c r="N202" s="312"/>
      <c r="O202" s="272"/>
      <c r="P202" s="272"/>
      <c r="Q202" s="272"/>
      <c r="R202" s="272"/>
      <c r="S202" s="259"/>
      <c r="T202" s="259"/>
      <c r="U202" s="259"/>
      <c r="V202" s="259"/>
      <c r="W202" s="259"/>
      <c r="X202" s="259"/>
      <c r="Y202" s="259"/>
      <c r="Z202" s="259"/>
    </row>
    <row r="203" spans="1:26" ht="12.75" customHeight="1" outlineLevel="1">
      <c r="A203" s="272"/>
      <c r="B203" s="272"/>
      <c r="C203" s="626" t="s">
        <v>28</v>
      </c>
      <c r="D203" s="627"/>
      <c r="E203" s="276">
        <f ca="1">A14value-SUM('Actual RAB roll forward'!H213:OFFSET('Actual RAB roll forward'!H213,0,Input!$W$7-1))</f>
        <v>0</v>
      </c>
      <c r="F203" s="276">
        <f ca="1">IF(A14remlife="N/A","n/a",IF(E203=0,0,A14remlife-Input!$W$7))</f>
        <v>0</v>
      </c>
      <c r="G203" s="277"/>
      <c r="H203" s="278" t="s">
        <v>67</v>
      </c>
      <c r="I203" s="279"/>
      <c r="J203" s="276">
        <f ca="1">A14taxvalue-SUM('Tax value roll forward'!G254:OFFSET('Tax value roll forward'!G254,0,Input!$W$7))</f>
        <v>0</v>
      </c>
      <c r="K203" s="276">
        <f ca="1">IF(A14taxremlife="N/A","n/a",IF(J203=0,0,A14taxremlife-Input!$W$7-1))</f>
        <v>0</v>
      </c>
      <c r="L203" s="280"/>
      <c r="M203" s="312"/>
      <c r="N203" s="312"/>
      <c r="O203" s="272"/>
      <c r="P203" s="272"/>
      <c r="Q203" s="272"/>
      <c r="R203" s="272"/>
      <c r="S203" s="259"/>
      <c r="T203" s="259"/>
      <c r="U203" s="259"/>
      <c r="V203" s="259"/>
      <c r="W203" s="259"/>
      <c r="X203" s="259"/>
      <c r="Y203" s="259"/>
      <c r="Z203" s="259"/>
    </row>
    <row r="204" spans="1:26" ht="12.75" customHeight="1" outlineLevel="1">
      <c r="A204" s="272"/>
      <c r="B204" s="272"/>
      <c r="C204" s="633" t="s">
        <v>84</v>
      </c>
      <c r="D204" s="322">
        <f>D$9</f>
        <v>0</v>
      </c>
      <c r="E204" s="276"/>
      <c r="F204" s="276"/>
      <c r="G204" s="277"/>
      <c r="H204" s="633" t="s">
        <v>84</v>
      </c>
      <c r="I204" s="322">
        <v>0</v>
      </c>
      <c r="J204" s="276">
        <f ca="1">OFFSET('Tax value roll forward'!G$53,0,I204)-SUM('Tax value roll forward'!G256:OFFSET('Tax value roll forward'!G256,0,Input!$W$7))</f>
        <v>0</v>
      </c>
      <c r="K204" s="276">
        <f ca="1">IF(A14taxstdlife="N/A","n/a",IF(J204=0,0,A14taxstdlife+I204-Input!$W$7))</f>
        <v>0</v>
      </c>
      <c r="L204" s="280"/>
      <c r="M204" s="312"/>
      <c r="N204" s="312"/>
      <c r="O204" s="272"/>
      <c r="P204" s="272"/>
      <c r="Q204" s="272"/>
      <c r="R204" s="272"/>
      <c r="S204" s="259"/>
      <c r="T204" s="259"/>
      <c r="U204" s="259"/>
      <c r="V204" s="259"/>
      <c r="W204" s="259"/>
      <c r="X204" s="259"/>
      <c r="Y204" s="259"/>
      <c r="Z204" s="259"/>
    </row>
    <row r="205" spans="1:26" ht="12.75" customHeight="1" outlineLevel="1">
      <c r="A205" s="272"/>
      <c r="B205" s="272"/>
      <c r="C205" s="634"/>
      <c r="D205" s="281">
        <f>D$10</f>
        <v>1</v>
      </c>
      <c r="E205" s="276">
        <f ca="1">OFFSET('Actual RAB roll forward'!H$25,0,D205-1)-SUM('Actual RAB roll forward'!H215:OFFSET('Actual RAB roll forward'!H215,0,Input!$W$7-1))</f>
        <v>0</v>
      </c>
      <c r="F205" s="276">
        <f ca="1">IF(A14stdlife="N/A","n/a",IF(E205=0,0,A14stdlife+D205-Input!$W$7))</f>
        <v>0</v>
      </c>
      <c r="G205" s="277"/>
      <c r="H205" s="634"/>
      <c r="I205" s="281">
        <v>1</v>
      </c>
      <c r="J205" s="276">
        <f ca="1">OFFSET('Tax value roll forward'!G$53,0,I205)-SUM('Tax value roll forward'!G257:OFFSET('Tax value roll forward'!G257,0,Input!$W$7))</f>
        <v>0</v>
      </c>
      <c r="K205" s="276">
        <f ca="1">IF(A14taxstdlife="N/A","n/a",IF(J205=0,0,A14taxstdlife+I205-Input!$W$7))</f>
        <v>0</v>
      </c>
      <c r="L205" s="280"/>
      <c r="M205" s="312"/>
      <c r="N205" s="312"/>
      <c r="O205" s="272"/>
      <c r="P205" s="272"/>
      <c r="Q205" s="272"/>
      <c r="R205" s="272"/>
      <c r="S205" s="259"/>
      <c r="T205" s="259"/>
      <c r="U205" s="259"/>
      <c r="V205" s="259"/>
      <c r="W205" s="259"/>
      <c r="X205" s="259"/>
      <c r="Y205" s="259"/>
      <c r="Z205" s="259"/>
    </row>
    <row r="206" spans="1:26" outlineLevel="1">
      <c r="A206" s="272"/>
      <c r="B206" s="272"/>
      <c r="C206" s="634"/>
      <c r="D206" s="281">
        <f>D$11</f>
        <v>2</v>
      </c>
      <c r="E206" s="276">
        <f ca="1">OFFSET('Actual RAB roll forward'!H$25,0,D206-1)-SUM('Actual RAB roll forward'!H216:OFFSET('Actual RAB roll forward'!H216,0,Input!$W$7-1))</f>
        <v>0</v>
      </c>
      <c r="F206" s="276">
        <f ca="1">IF(A14stdlife="N/A","n/a",IF(E206=0,0,A14stdlife+D206-Input!$W$7))</f>
        <v>0</v>
      </c>
      <c r="G206" s="277"/>
      <c r="H206" s="634"/>
      <c r="I206" s="281">
        <v>2</v>
      </c>
      <c r="J206" s="276">
        <f ca="1">OFFSET('Tax value roll forward'!G$53,0,I206)-SUM('Tax value roll forward'!G258:OFFSET('Tax value roll forward'!G258,0,Input!$W$7))</f>
        <v>0</v>
      </c>
      <c r="K206" s="276">
        <f ca="1">IF(A14taxstdlife="N/A","n/a",IF(J206=0,0,A14taxstdlife+I206-Input!$W$7))</f>
        <v>0</v>
      </c>
      <c r="L206" s="280"/>
      <c r="M206" s="312"/>
      <c r="N206" s="312"/>
      <c r="O206" s="272"/>
      <c r="P206" s="272"/>
      <c r="Q206" s="272"/>
      <c r="R206" s="272"/>
      <c r="S206" s="259"/>
      <c r="T206" s="259"/>
      <c r="U206" s="259"/>
      <c r="V206" s="259"/>
      <c r="W206" s="259"/>
      <c r="X206" s="259"/>
      <c r="Y206" s="259"/>
      <c r="Z206" s="259"/>
    </row>
    <row r="207" spans="1:26" outlineLevel="1">
      <c r="A207" s="272"/>
      <c r="B207" s="272"/>
      <c r="C207" s="634"/>
      <c r="D207" s="281">
        <f>D$12</f>
        <v>3</v>
      </c>
      <c r="E207" s="276">
        <f ca="1">OFFSET('Actual RAB roll forward'!H$25,0,D207-1)-SUM('Actual RAB roll forward'!H217:OFFSET('Actual RAB roll forward'!H217,0,Input!$W$7-1))</f>
        <v>0</v>
      </c>
      <c r="F207" s="276">
        <f ca="1">IF(A14stdlife="N/A","n/a",IF(E207=0,0,A14stdlife+D207-Input!$W$7))</f>
        <v>0</v>
      </c>
      <c r="G207" s="277"/>
      <c r="H207" s="634"/>
      <c r="I207" s="281">
        <v>3</v>
      </c>
      <c r="J207" s="276">
        <f ca="1">OFFSET('Tax value roll forward'!G$53,0,I207)-SUM('Tax value roll forward'!G259:OFFSET('Tax value roll forward'!G259,0,Input!$W$7))</f>
        <v>0</v>
      </c>
      <c r="K207" s="276">
        <f ca="1">IF(A14taxstdlife="N/A","n/a",IF(J207=0,0,A14taxstdlife+I207-Input!$W$7))</f>
        <v>0</v>
      </c>
      <c r="L207" s="280"/>
      <c r="M207" s="312"/>
      <c r="N207" s="312"/>
      <c r="O207" s="272"/>
      <c r="P207" s="272"/>
      <c r="Q207" s="272"/>
      <c r="R207" s="272"/>
      <c r="S207" s="259"/>
      <c r="T207" s="259"/>
      <c r="U207" s="259"/>
      <c r="V207" s="259"/>
      <c r="W207" s="259"/>
      <c r="X207" s="259"/>
      <c r="Y207" s="259"/>
      <c r="Z207" s="259"/>
    </row>
    <row r="208" spans="1:26" outlineLevel="1">
      <c r="A208" s="272"/>
      <c r="B208" s="272"/>
      <c r="C208" s="634"/>
      <c r="D208" s="281">
        <f>D$13</f>
        <v>4</v>
      </c>
      <c r="E208" s="276">
        <f ca="1">OFFSET('Actual RAB roll forward'!H$25,0,D208-1)-SUM('Actual RAB roll forward'!H218:OFFSET('Actual RAB roll forward'!H218,0,Input!$W$7-1))</f>
        <v>0</v>
      </c>
      <c r="F208" s="276">
        <f ca="1">IF(A14stdlife="N/A","n/a",IF(E208=0,0,A14stdlife+D208-Input!$W$7))</f>
        <v>0</v>
      </c>
      <c r="G208" s="277"/>
      <c r="H208" s="634"/>
      <c r="I208" s="281">
        <v>4</v>
      </c>
      <c r="J208" s="276">
        <f ca="1">OFFSET('Tax value roll forward'!G$53,0,I208)-SUM('Tax value roll forward'!G260:OFFSET('Tax value roll forward'!G260,0,Input!$W$7))</f>
        <v>0</v>
      </c>
      <c r="K208" s="276">
        <f ca="1">IF(A14taxstdlife="N/A","n/a",IF(J208=0,0,A14taxstdlife+I208-Input!$W$7))</f>
        <v>0</v>
      </c>
      <c r="L208" s="280"/>
      <c r="M208" s="312"/>
      <c r="N208" s="312"/>
      <c r="O208" s="272"/>
      <c r="P208" s="272"/>
      <c r="Q208" s="272"/>
      <c r="R208" s="272"/>
      <c r="S208" s="259"/>
      <c r="T208" s="259"/>
      <c r="U208" s="259"/>
      <c r="V208" s="259"/>
      <c r="W208" s="259"/>
      <c r="X208" s="259"/>
      <c r="Y208" s="259"/>
      <c r="Z208" s="259"/>
    </row>
    <row r="209" spans="1:26" outlineLevel="1">
      <c r="A209" s="272"/>
      <c r="B209" s="272"/>
      <c r="C209" s="634"/>
      <c r="D209" s="281">
        <f>D$14</f>
        <v>5</v>
      </c>
      <c r="E209" s="276">
        <f ca="1">OFFSET('Actual RAB roll forward'!H$25,0,D209-1)-SUM('Actual RAB roll forward'!H219:OFFSET('Actual RAB roll forward'!H219,0,Input!$W$7-1))</f>
        <v>0</v>
      </c>
      <c r="F209" s="276">
        <f ca="1">IF(A14stdlife="N/A","n/a",IF(E209=0,0,A14stdlife+D209-Input!$W$7))</f>
        <v>0</v>
      </c>
      <c r="G209" s="277"/>
      <c r="H209" s="634"/>
      <c r="I209" s="281">
        <v>5</v>
      </c>
      <c r="J209" s="276">
        <f ca="1">OFFSET('Tax value roll forward'!G$53,0,I209)-SUM('Tax value roll forward'!G261:OFFSET('Tax value roll forward'!G261,0,Input!$W$7))</f>
        <v>0</v>
      </c>
      <c r="K209" s="276">
        <f ca="1">IF(A14taxstdlife="N/A","n/a",IF(J209=0,0,A14taxstdlife+I209-Input!$W$7))</f>
        <v>0</v>
      </c>
      <c r="L209" s="280"/>
      <c r="M209" s="312"/>
      <c r="N209" s="312"/>
      <c r="O209" s="272"/>
      <c r="P209" s="272"/>
      <c r="Q209" s="272"/>
      <c r="R209" s="272"/>
      <c r="S209" s="259"/>
      <c r="T209" s="259"/>
      <c r="U209" s="259"/>
      <c r="V209" s="259"/>
      <c r="W209" s="259"/>
      <c r="X209" s="259"/>
      <c r="Y209" s="259"/>
      <c r="Z209" s="259"/>
    </row>
    <row r="210" spans="1:26" outlineLevel="1">
      <c r="A210" s="272"/>
      <c r="B210" s="272"/>
      <c r="C210" s="634"/>
      <c r="D210" s="281">
        <f>D$15</f>
        <v>6</v>
      </c>
      <c r="E210" s="276">
        <f ca="1">OFFSET('Actual RAB roll forward'!H$25,0,D210-1)-SUM('Actual RAB roll forward'!H220:OFFSET('Actual RAB roll forward'!H220,0,Input!$W$7-1))</f>
        <v>0</v>
      </c>
      <c r="F210" s="276">
        <f ca="1">IF(A14stdlife="N/A","n/a",IF(E210=0,0,A14stdlife+D210-Input!$W$7))</f>
        <v>0</v>
      </c>
      <c r="G210" s="277"/>
      <c r="H210" s="634"/>
      <c r="I210" s="281">
        <v>6</v>
      </c>
      <c r="J210" s="276">
        <f ca="1">OFFSET('Tax value roll forward'!G$53,0,I210)-SUM('Tax value roll forward'!G262:OFFSET('Tax value roll forward'!G262,0,Input!$W$7))</f>
        <v>0</v>
      </c>
      <c r="K210" s="276">
        <f ca="1">IF(A14taxstdlife="N/A","n/a",IF(J210=0,0,A14taxstdlife+I210-Input!$W$7))</f>
        <v>0</v>
      </c>
      <c r="L210" s="280"/>
      <c r="M210" s="312"/>
      <c r="N210" s="312"/>
      <c r="O210" s="272"/>
      <c r="P210" s="272"/>
      <c r="Q210" s="272"/>
      <c r="R210" s="272"/>
      <c r="S210" s="259"/>
      <c r="T210" s="259"/>
      <c r="U210" s="259"/>
      <c r="V210" s="259"/>
      <c r="W210" s="259"/>
      <c r="X210" s="259"/>
      <c r="Y210" s="259"/>
      <c r="Z210" s="259"/>
    </row>
    <row r="211" spans="1:26" outlineLevel="1">
      <c r="A211" s="272"/>
      <c r="B211" s="272"/>
      <c r="C211" s="634"/>
      <c r="D211" s="281">
        <f>D$16</f>
        <v>7</v>
      </c>
      <c r="E211" s="276">
        <f ca="1">OFFSET('Actual RAB roll forward'!H$25,0,D211-1)-SUM('Actual RAB roll forward'!H221:OFFSET('Actual RAB roll forward'!H221,0,Input!$W$7-1))</f>
        <v>0</v>
      </c>
      <c r="F211" s="276">
        <f ca="1">IF(A14stdlife="N/A","n/a",IF(E211=0,0,A14stdlife+D211-Input!$W$7))</f>
        <v>0</v>
      </c>
      <c r="G211" s="277"/>
      <c r="H211" s="634"/>
      <c r="I211" s="281">
        <v>7</v>
      </c>
      <c r="J211" s="276">
        <f ca="1">OFFSET('Tax value roll forward'!G$53,0,I211)-SUM('Tax value roll forward'!G263:OFFSET('Tax value roll forward'!G263,0,Input!$W$7))</f>
        <v>0</v>
      </c>
      <c r="K211" s="276">
        <f ca="1">IF(A14taxstdlife="N/A","n/a",IF(J211=0,0,A14taxstdlife+I211-Input!$W$7))</f>
        <v>0</v>
      </c>
      <c r="L211" s="280"/>
      <c r="M211" s="312"/>
      <c r="N211" s="312"/>
      <c r="O211" s="272"/>
      <c r="P211" s="272"/>
      <c r="Q211" s="272"/>
      <c r="R211" s="272"/>
      <c r="S211" s="259"/>
      <c r="T211" s="259"/>
      <c r="U211" s="259"/>
      <c r="V211" s="259"/>
      <c r="W211" s="259"/>
      <c r="X211" s="259"/>
      <c r="Y211" s="259"/>
      <c r="Z211" s="259"/>
    </row>
    <row r="212" spans="1:26" outlineLevel="1">
      <c r="A212" s="272"/>
      <c r="B212" s="272"/>
      <c r="C212" s="634"/>
      <c r="D212" s="281">
        <f>D$17</f>
        <v>8</v>
      </c>
      <c r="E212" s="276">
        <f ca="1">OFFSET('Actual RAB roll forward'!H$25,0,D212-1)-SUM('Actual RAB roll forward'!H222:OFFSET('Actual RAB roll forward'!H222,0,Input!$W$7-1))</f>
        <v>0</v>
      </c>
      <c r="F212" s="276">
        <f ca="1">IF(A14stdlife="N/A","n/a",IF(E212=0,0,A14stdlife+D212-Input!$W$7))</f>
        <v>0</v>
      </c>
      <c r="G212" s="277"/>
      <c r="H212" s="634"/>
      <c r="I212" s="281">
        <v>8</v>
      </c>
      <c r="J212" s="276">
        <f ca="1">OFFSET('Tax value roll forward'!G$53,0,I212)-SUM('Tax value roll forward'!G264:OFFSET('Tax value roll forward'!G264,0,Input!$W$7))</f>
        <v>0</v>
      </c>
      <c r="K212" s="276">
        <f ca="1">IF(A14taxstdlife="N/A","n/a",IF(J212=0,0,A14taxstdlife+I212-Input!$W$7))</f>
        <v>0</v>
      </c>
      <c r="L212" s="280"/>
      <c r="M212" s="312"/>
      <c r="N212" s="312"/>
      <c r="O212" s="272"/>
      <c r="P212" s="272"/>
      <c r="Q212" s="272"/>
      <c r="R212" s="272"/>
      <c r="S212" s="259"/>
      <c r="T212" s="259"/>
      <c r="U212" s="259"/>
      <c r="V212" s="259"/>
      <c r="W212" s="259"/>
      <c r="X212" s="259"/>
      <c r="Y212" s="259"/>
      <c r="Z212" s="259"/>
    </row>
    <row r="213" spans="1:26" outlineLevel="1">
      <c r="A213" s="272"/>
      <c r="B213" s="272"/>
      <c r="C213" s="634"/>
      <c r="D213" s="281">
        <f>D$18</f>
        <v>9</v>
      </c>
      <c r="E213" s="276">
        <f ca="1">OFFSET('Actual RAB roll forward'!H$25,0,D213-1)-SUM('Actual RAB roll forward'!H223:OFFSET('Actual RAB roll forward'!H223,0,Input!$W$7-1))</f>
        <v>0</v>
      </c>
      <c r="F213" s="276">
        <f ca="1">IF(A14stdlife="N/A","n/a",IF(E213=0,0,A14stdlife+D213-Input!$W$7))</f>
        <v>0</v>
      </c>
      <c r="G213" s="277"/>
      <c r="H213" s="634"/>
      <c r="I213" s="281">
        <v>9</v>
      </c>
      <c r="J213" s="276">
        <f ca="1">OFFSET('Tax value roll forward'!G$53,0,I213)-SUM('Tax value roll forward'!G265:OFFSET('Tax value roll forward'!G265,0,Input!$W$7))</f>
        <v>0</v>
      </c>
      <c r="K213" s="276">
        <f ca="1">IF(A14taxstdlife="N/A","n/a",IF(J213=0,0,A14taxstdlife+I213-Input!$W$7))</f>
        <v>0</v>
      </c>
      <c r="L213" s="280"/>
      <c r="M213" s="312"/>
      <c r="N213" s="312"/>
      <c r="O213" s="272"/>
      <c r="P213" s="272"/>
      <c r="Q213" s="272"/>
      <c r="R213" s="272"/>
      <c r="S213" s="259"/>
      <c r="T213" s="259"/>
      <c r="U213" s="259"/>
      <c r="V213" s="259"/>
      <c r="W213" s="259"/>
      <c r="X213" s="259"/>
      <c r="Y213" s="259"/>
      <c r="Z213" s="259"/>
    </row>
    <row r="214" spans="1:26" outlineLevel="1">
      <c r="A214" s="272"/>
      <c r="B214" s="272"/>
      <c r="C214" s="635"/>
      <c r="D214" s="282">
        <f>D$19</f>
        <v>10</v>
      </c>
      <c r="E214" s="276">
        <f ca="1">OFFSET('Actual RAB roll forward'!H$25,0,D214-1)-SUM('Actual RAB roll forward'!H224:OFFSET('Actual RAB roll forward'!H224,0,Input!$W$7-1))</f>
        <v>0</v>
      </c>
      <c r="F214" s="276">
        <f ca="1">IF(A14stdlife="N/A","n/a",IF(E214=0,0,A14stdlife+D214-Input!$W$7))</f>
        <v>0</v>
      </c>
      <c r="G214" s="277"/>
      <c r="H214" s="635"/>
      <c r="I214" s="282">
        <v>10</v>
      </c>
      <c r="J214" s="276">
        <f ca="1">OFFSET('Tax value roll forward'!G$53,0,I214)-SUM('Tax value roll forward'!G266:OFFSET('Tax value roll forward'!G266,0,Input!$W$7))</f>
        <v>0</v>
      </c>
      <c r="K214" s="276">
        <f ca="1">IF(A14taxstdlife="N/A","n/a",IF(J214=0,0,A14taxstdlife+I214-Input!$W$7))</f>
        <v>0</v>
      </c>
      <c r="M214" s="312"/>
      <c r="N214" s="312"/>
      <c r="O214" s="272"/>
      <c r="P214" s="272"/>
      <c r="Q214" s="272"/>
      <c r="R214" s="272"/>
      <c r="S214" s="259"/>
      <c r="T214" s="259"/>
      <c r="U214" s="259"/>
      <c r="V214" s="259"/>
      <c r="W214" s="259"/>
      <c r="X214" s="259"/>
      <c r="Y214" s="259"/>
      <c r="Z214" s="259"/>
    </row>
    <row r="215" spans="1:26">
      <c r="A215" s="272"/>
      <c r="B215" s="272"/>
      <c r="C215" s="292">
        <f>Asset14</f>
        <v>0</v>
      </c>
      <c r="D215" s="272"/>
      <c r="E215" s="276">
        <f ca="1">SUM(E203:E214)</f>
        <v>0</v>
      </c>
      <c r="F215" s="276">
        <f ca="1">IF(E215=0,0,SUMPRODUCT(E203:E214,F203:F214)/E215)</f>
        <v>0</v>
      </c>
      <c r="G215" s="277"/>
      <c r="H215" s="284"/>
      <c r="I215" s="276"/>
      <c r="J215" s="311">
        <f ca="1">SUM(J203:J214)</f>
        <v>0</v>
      </c>
      <c r="K215" s="311">
        <f ca="1">IF(J215=0,0,SUMPRODUCT(J203:J214,K203:K214)/J215)</f>
        <v>0</v>
      </c>
      <c r="L215" s="280"/>
      <c r="M215" s="312"/>
      <c r="N215" s="312"/>
      <c r="O215" s="272"/>
      <c r="P215" s="272"/>
      <c r="Q215" s="272"/>
      <c r="R215" s="272"/>
      <c r="S215" s="259"/>
      <c r="T215" s="259"/>
      <c r="U215" s="259"/>
      <c r="V215" s="259"/>
      <c r="W215" s="259"/>
      <c r="X215" s="259"/>
      <c r="Y215" s="259"/>
      <c r="Z215" s="259"/>
    </row>
    <row r="216" spans="1:26" outlineLevel="1">
      <c r="A216" s="272"/>
      <c r="B216" s="272"/>
      <c r="C216" s="292"/>
      <c r="D216" s="272"/>
      <c r="E216" s="276"/>
      <c r="F216" s="276"/>
      <c r="G216" s="277"/>
      <c r="H216" s="276"/>
      <c r="I216" s="276"/>
      <c r="J216" s="290"/>
      <c r="K216" s="276"/>
      <c r="L216" s="280"/>
      <c r="M216" s="312"/>
      <c r="N216" s="312"/>
      <c r="O216" s="272"/>
      <c r="P216" s="272"/>
      <c r="Q216" s="272"/>
      <c r="R216" s="272"/>
      <c r="S216" s="259"/>
      <c r="T216" s="259"/>
      <c r="U216" s="259"/>
      <c r="V216" s="259"/>
      <c r="W216" s="259"/>
      <c r="X216" s="259"/>
      <c r="Y216" s="259"/>
      <c r="Z216" s="259"/>
    </row>
    <row r="217" spans="1:26" outlineLevel="1">
      <c r="A217" s="272"/>
      <c r="B217" s="275">
        <f>Asset15</f>
        <v>0</v>
      </c>
      <c r="C217" s="272"/>
      <c r="D217" s="272"/>
      <c r="E217" s="293"/>
      <c r="F217" s="293"/>
      <c r="G217" s="277"/>
      <c r="H217" s="276"/>
      <c r="I217" s="276"/>
      <c r="J217" s="290"/>
      <c r="K217" s="276"/>
      <c r="L217" s="280"/>
      <c r="M217" s="312"/>
      <c r="N217" s="312"/>
      <c r="O217" s="272"/>
      <c r="P217" s="272"/>
      <c r="Q217" s="272"/>
      <c r="R217" s="272"/>
      <c r="S217" s="259"/>
      <c r="T217" s="259"/>
      <c r="U217" s="259"/>
      <c r="V217" s="259"/>
      <c r="W217" s="259"/>
      <c r="X217" s="259"/>
      <c r="Y217" s="259"/>
      <c r="Z217" s="259"/>
    </row>
    <row r="218" spans="1:26" ht="12.75" customHeight="1" outlineLevel="1">
      <c r="A218" s="272"/>
      <c r="B218" s="272"/>
      <c r="C218" s="626" t="s">
        <v>28</v>
      </c>
      <c r="D218" s="627"/>
      <c r="E218" s="276">
        <f ca="1">A15value-SUM('Actual RAB roll forward'!H226:OFFSET('Actual RAB roll forward'!H226,0,Input!$W$7-1))</f>
        <v>0</v>
      </c>
      <c r="F218" s="276">
        <f ca="1">IF(A15remlife="N/A","n/a",IF(E218=0,0,A15remlife-Input!$W$7))</f>
        <v>0</v>
      </c>
      <c r="G218" s="277"/>
      <c r="H218" s="278" t="s">
        <v>67</v>
      </c>
      <c r="I218" s="279"/>
      <c r="J218" s="276">
        <f ca="1">A15taxvalue-SUM('Tax value roll forward'!G268:OFFSET('Tax value roll forward'!G268,0,Input!$W$7))</f>
        <v>0</v>
      </c>
      <c r="K218" s="276">
        <f ca="1">IF(A15taxremlife="N/A","n/a",IF(J218=0,0,A15taxremlife-Input!$W$7-1))</f>
        <v>0</v>
      </c>
      <c r="L218" s="280"/>
      <c r="M218" s="312"/>
      <c r="N218" s="312"/>
      <c r="O218" s="272"/>
      <c r="P218" s="272"/>
      <c r="Q218" s="272"/>
      <c r="R218" s="272"/>
      <c r="S218" s="259"/>
      <c r="T218" s="259"/>
      <c r="U218" s="259"/>
      <c r="V218" s="259"/>
      <c r="W218" s="259"/>
      <c r="X218" s="259"/>
      <c r="Y218" s="259"/>
      <c r="Z218" s="259"/>
    </row>
    <row r="219" spans="1:26" ht="12.75" customHeight="1" outlineLevel="1">
      <c r="A219" s="272"/>
      <c r="B219" s="272"/>
      <c r="C219" s="633" t="s">
        <v>84</v>
      </c>
      <c r="D219" s="322">
        <f>D$9</f>
        <v>0</v>
      </c>
      <c r="E219" s="276"/>
      <c r="F219" s="276"/>
      <c r="G219" s="277"/>
      <c r="H219" s="633" t="s">
        <v>84</v>
      </c>
      <c r="I219" s="322">
        <v>0</v>
      </c>
      <c r="J219" s="276">
        <f ca="1">OFFSET('Tax value roll forward'!G$54,0,I219)-SUM('Tax value roll forward'!G270:OFFSET('Tax value roll forward'!G270,0,Input!$W$7))</f>
        <v>0</v>
      </c>
      <c r="K219" s="276">
        <f ca="1">IF(A15taxstdlife="N/A","n/a",IF(J219=0,0,A15taxstdlife+I219-Input!$W$7))</f>
        <v>0</v>
      </c>
      <c r="L219" s="280"/>
      <c r="M219" s="312"/>
      <c r="N219" s="312"/>
      <c r="O219" s="272"/>
      <c r="P219" s="272"/>
      <c r="Q219" s="272"/>
      <c r="R219" s="272"/>
      <c r="S219" s="259"/>
      <c r="T219" s="259"/>
      <c r="U219" s="259"/>
      <c r="V219" s="259"/>
      <c r="W219" s="259"/>
      <c r="X219" s="259"/>
      <c r="Y219" s="259"/>
      <c r="Z219" s="259"/>
    </row>
    <row r="220" spans="1:26" ht="12.75" customHeight="1" outlineLevel="1">
      <c r="A220" s="272"/>
      <c r="B220" s="272"/>
      <c r="C220" s="634"/>
      <c r="D220" s="281">
        <f>D$10</f>
        <v>1</v>
      </c>
      <c r="E220" s="276">
        <f ca="1">OFFSET('Actual RAB roll forward'!H$26,0,D220-1)-SUM('Actual RAB roll forward'!H228:OFFSET('Actual RAB roll forward'!H228,0,Input!$W$7-1))</f>
        <v>0</v>
      </c>
      <c r="F220" s="276">
        <f ca="1">IF(A15stdlife="N/A","n/a",IF(E220=0,0,A15stdlife+D220-Input!$W$7))</f>
        <v>0</v>
      </c>
      <c r="G220" s="277"/>
      <c r="H220" s="634"/>
      <c r="I220" s="281">
        <v>1</v>
      </c>
      <c r="J220" s="276">
        <f ca="1">OFFSET('Tax value roll forward'!G$54,0,I220)-SUM('Tax value roll forward'!G271:OFFSET('Tax value roll forward'!G271,0,Input!$W$7))</f>
        <v>0</v>
      </c>
      <c r="K220" s="276">
        <f ca="1">IF(A15taxstdlife="N/A","n/a",IF(J220=0,0,A15taxstdlife+I220-Input!$W$7))</f>
        <v>0</v>
      </c>
      <c r="L220" s="280"/>
      <c r="M220" s="312"/>
      <c r="N220" s="312"/>
      <c r="O220" s="272"/>
      <c r="P220" s="272"/>
      <c r="Q220" s="272"/>
      <c r="R220" s="272"/>
      <c r="S220" s="259"/>
      <c r="T220" s="259"/>
      <c r="U220" s="259"/>
      <c r="V220" s="259"/>
      <c r="W220" s="259"/>
      <c r="X220" s="259"/>
      <c r="Y220" s="259"/>
      <c r="Z220" s="259"/>
    </row>
    <row r="221" spans="1:26" outlineLevel="1">
      <c r="A221" s="272"/>
      <c r="B221" s="272"/>
      <c r="C221" s="634"/>
      <c r="D221" s="281">
        <f>D$11</f>
        <v>2</v>
      </c>
      <c r="E221" s="276">
        <f ca="1">OFFSET('Actual RAB roll forward'!H$26,0,D221-1)-SUM('Actual RAB roll forward'!H229:OFFSET('Actual RAB roll forward'!H229,0,Input!$W$7-1))</f>
        <v>0</v>
      </c>
      <c r="F221" s="276">
        <f ca="1">IF(A15stdlife="N/A","n/a",IF(E221=0,0,A15stdlife+D221-Input!$W$7))</f>
        <v>0</v>
      </c>
      <c r="G221" s="277"/>
      <c r="H221" s="634"/>
      <c r="I221" s="281">
        <v>2</v>
      </c>
      <c r="J221" s="276">
        <f ca="1">OFFSET('Tax value roll forward'!G$54,0,I221)-SUM('Tax value roll forward'!G272:OFFSET('Tax value roll forward'!G272,0,Input!$W$7))</f>
        <v>0</v>
      </c>
      <c r="K221" s="276">
        <f ca="1">IF(A15taxstdlife="N/A","n/a",IF(J221=0,0,A15taxstdlife+I221-Input!$W$7))</f>
        <v>0</v>
      </c>
      <c r="L221" s="280"/>
      <c r="M221" s="312"/>
      <c r="N221" s="312"/>
      <c r="O221" s="272"/>
      <c r="P221" s="272"/>
      <c r="Q221" s="272"/>
      <c r="R221" s="272"/>
      <c r="S221" s="259"/>
      <c r="T221" s="259"/>
      <c r="U221" s="259"/>
      <c r="V221" s="259"/>
      <c r="W221" s="259"/>
      <c r="X221" s="259"/>
      <c r="Y221" s="259"/>
      <c r="Z221" s="259"/>
    </row>
    <row r="222" spans="1:26" outlineLevel="1">
      <c r="A222" s="272"/>
      <c r="B222" s="272"/>
      <c r="C222" s="634"/>
      <c r="D222" s="281">
        <f>D$12</f>
        <v>3</v>
      </c>
      <c r="E222" s="276">
        <f ca="1">OFFSET('Actual RAB roll forward'!H$26,0,D222-1)-SUM('Actual RAB roll forward'!H230:OFFSET('Actual RAB roll forward'!H230,0,Input!$W$7-1))</f>
        <v>0</v>
      </c>
      <c r="F222" s="276">
        <f ca="1">IF(A15stdlife="N/A","n/a",IF(E222=0,0,A15stdlife+D222-Input!$W$7))</f>
        <v>0</v>
      </c>
      <c r="G222" s="277"/>
      <c r="H222" s="634"/>
      <c r="I222" s="281">
        <v>3</v>
      </c>
      <c r="J222" s="276">
        <f ca="1">OFFSET('Tax value roll forward'!G$54,0,I222)-SUM('Tax value roll forward'!G273:OFFSET('Tax value roll forward'!G273,0,Input!$W$7))</f>
        <v>0</v>
      </c>
      <c r="K222" s="276">
        <f ca="1">IF(A15taxstdlife="N/A","n/a",IF(J222=0,0,A15taxstdlife+I222-Input!$W$7))</f>
        <v>0</v>
      </c>
      <c r="L222" s="280"/>
      <c r="M222" s="312"/>
      <c r="N222" s="312"/>
      <c r="O222" s="272"/>
      <c r="P222" s="272"/>
      <c r="Q222" s="272"/>
      <c r="R222" s="272"/>
      <c r="S222" s="259"/>
      <c r="T222" s="259"/>
      <c r="U222" s="259"/>
      <c r="V222" s="259"/>
      <c r="W222" s="259"/>
      <c r="X222" s="259"/>
      <c r="Y222" s="259"/>
      <c r="Z222" s="259"/>
    </row>
    <row r="223" spans="1:26" outlineLevel="1">
      <c r="A223" s="272"/>
      <c r="B223" s="272"/>
      <c r="C223" s="634"/>
      <c r="D223" s="281">
        <f>D$13</f>
        <v>4</v>
      </c>
      <c r="E223" s="276">
        <f ca="1">OFFSET('Actual RAB roll forward'!H$26,0,D223-1)-SUM('Actual RAB roll forward'!H231:OFFSET('Actual RAB roll forward'!H231,0,Input!$W$7-1))</f>
        <v>0</v>
      </c>
      <c r="F223" s="276">
        <f ca="1">IF(A15stdlife="N/A","n/a",IF(E223=0,0,A15stdlife+D223-Input!$W$7))</f>
        <v>0</v>
      </c>
      <c r="G223" s="277"/>
      <c r="H223" s="634"/>
      <c r="I223" s="281">
        <v>4</v>
      </c>
      <c r="J223" s="276">
        <f ca="1">OFFSET('Tax value roll forward'!G$54,0,I223)-SUM('Tax value roll forward'!G274:OFFSET('Tax value roll forward'!G274,0,Input!$W$7))</f>
        <v>0</v>
      </c>
      <c r="K223" s="276">
        <f ca="1">IF(A15taxstdlife="N/A","n/a",IF(J223=0,0,A15taxstdlife+I223-Input!$W$7))</f>
        <v>0</v>
      </c>
      <c r="L223" s="280"/>
      <c r="M223" s="312"/>
      <c r="N223" s="312"/>
      <c r="O223" s="272"/>
      <c r="P223" s="272"/>
      <c r="Q223" s="272"/>
      <c r="R223" s="272"/>
      <c r="S223" s="259"/>
      <c r="T223" s="259"/>
      <c r="U223" s="259"/>
      <c r="V223" s="259"/>
      <c r="W223" s="259"/>
      <c r="X223" s="259"/>
      <c r="Y223" s="259"/>
      <c r="Z223" s="259"/>
    </row>
    <row r="224" spans="1:26" outlineLevel="1">
      <c r="A224" s="272"/>
      <c r="B224" s="272"/>
      <c r="C224" s="634"/>
      <c r="D224" s="281">
        <f>D$14</f>
        <v>5</v>
      </c>
      <c r="E224" s="276">
        <f ca="1">OFFSET('Actual RAB roll forward'!H$26,0,D224-1)-SUM('Actual RAB roll forward'!H232:OFFSET('Actual RAB roll forward'!H232,0,Input!$W$7-1))</f>
        <v>0</v>
      </c>
      <c r="F224" s="276">
        <f ca="1">IF(A15stdlife="N/A","n/a",IF(E224=0,0,A15stdlife+D224-Input!$W$7))</f>
        <v>0</v>
      </c>
      <c r="G224" s="277"/>
      <c r="H224" s="634"/>
      <c r="I224" s="281">
        <v>5</v>
      </c>
      <c r="J224" s="276">
        <f ca="1">OFFSET('Tax value roll forward'!G$54,0,I224)-SUM('Tax value roll forward'!G275:OFFSET('Tax value roll forward'!G275,0,Input!$W$7))</f>
        <v>0</v>
      </c>
      <c r="K224" s="276">
        <f ca="1">IF(A15taxstdlife="N/A","n/a",IF(J224=0,0,A15taxstdlife+I224-Input!$W$7))</f>
        <v>0</v>
      </c>
      <c r="L224" s="280"/>
      <c r="M224" s="312"/>
      <c r="N224" s="312"/>
      <c r="O224" s="272"/>
      <c r="P224" s="272"/>
      <c r="Q224" s="272"/>
      <c r="R224" s="272"/>
      <c r="S224" s="259"/>
      <c r="T224" s="259"/>
      <c r="U224" s="259"/>
      <c r="V224" s="259"/>
      <c r="W224" s="259"/>
      <c r="X224" s="259"/>
      <c r="Y224" s="259"/>
      <c r="Z224" s="259"/>
    </row>
    <row r="225" spans="1:26" outlineLevel="1">
      <c r="A225" s="272"/>
      <c r="B225" s="272"/>
      <c r="C225" s="634"/>
      <c r="D225" s="281">
        <f>D$15</f>
        <v>6</v>
      </c>
      <c r="E225" s="276">
        <f ca="1">OFFSET('Actual RAB roll forward'!H$26,0,D225-1)-SUM('Actual RAB roll forward'!H233:OFFSET('Actual RAB roll forward'!H233,0,Input!$W$7-1))</f>
        <v>0</v>
      </c>
      <c r="F225" s="276">
        <f ca="1">IF(A15stdlife="N/A","n/a",IF(E225=0,0,A15stdlife+D225-Input!$W$7))</f>
        <v>0</v>
      </c>
      <c r="G225" s="277"/>
      <c r="H225" s="634"/>
      <c r="I225" s="281">
        <v>6</v>
      </c>
      <c r="J225" s="276">
        <f ca="1">OFFSET('Tax value roll forward'!G$54,0,I225)-SUM('Tax value roll forward'!G276:OFFSET('Tax value roll forward'!G276,0,Input!$W$7))</f>
        <v>0</v>
      </c>
      <c r="K225" s="276">
        <f ca="1">IF(A15taxstdlife="N/A","n/a",IF(J225=0,0,A15taxstdlife+I225-Input!$W$7))</f>
        <v>0</v>
      </c>
      <c r="L225" s="280"/>
      <c r="M225" s="312"/>
      <c r="N225" s="312"/>
      <c r="O225" s="272"/>
      <c r="P225" s="272"/>
      <c r="Q225" s="272"/>
      <c r="R225" s="272"/>
      <c r="S225" s="259"/>
      <c r="T225" s="259"/>
      <c r="U225" s="259"/>
      <c r="V225" s="259"/>
      <c r="W225" s="259"/>
      <c r="X225" s="259"/>
      <c r="Y225" s="259"/>
      <c r="Z225" s="259"/>
    </row>
    <row r="226" spans="1:26" outlineLevel="1">
      <c r="A226" s="272"/>
      <c r="B226" s="272"/>
      <c r="C226" s="634"/>
      <c r="D226" s="281">
        <f>D$16</f>
        <v>7</v>
      </c>
      <c r="E226" s="276">
        <f ca="1">OFFSET('Actual RAB roll forward'!H$26,0,D226-1)-SUM('Actual RAB roll forward'!H234:OFFSET('Actual RAB roll forward'!H234,0,Input!$W$7-1))</f>
        <v>0</v>
      </c>
      <c r="F226" s="276">
        <f ca="1">IF(A15stdlife="N/A","n/a",IF(E226=0,0,A15stdlife+D226-Input!$W$7))</f>
        <v>0</v>
      </c>
      <c r="G226" s="277"/>
      <c r="H226" s="634"/>
      <c r="I226" s="281">
        <v>7</v>
      </c>
      <c r="J226" s="276">
        <f ca="1">OFFSET('Tax value roll forward'!G$54,0,I226)-SUM('Tax value roll forward'!G277:OFFSET('Tax value roll forward'!G277,0,Input!$W$7))</f>
        <v>0</v>
      </c>
      <c r="K226" s="276">
        <f ca="1">IF(A15taxstdlife="N/A","n/a",IF(J226=0,0,A15taxstdlife+I226-Input!$W$7))</f>
        <v>0</v>
      </c>
      <c r="L226" s="280"/>
      <c r="M226" s="312"/>
      <c r="N226" s="312"/>
      <c r="O226" s="272"/>
      <c r="P226" s="272"/>
      <c r="Q226" s="272"/>
      <c r="R226" s="272"/>
      <c r="S226" s="259"/>
      <c r="T226" s="259"/>
      <c r="U226" s="259"/>
      <c r="V226" s="259"/>
      <c r="W226" s="259"/>
      <c r="X226" s="259"/>
      <c r="Y226" s="259"/>
      <c r="Z226" s="259"/>
    </row>
    <row r="227" spans="1:26" outlineLevel="1">
      <c r="A227" s="272"/>
      <c r="B227" s="272"/>
      <c r="C227" s="634"/>
      <c r="D227" s="281">
        <f>D$17</f>
        <v>8</v>
      </c>
      <c r="E227" s="276">
        <f ca="1">OFFSET('Actual RAB roll forward'!H$26,0,D227-1)-SUM('Actual RAB roll forward'!H235:OFFSET('Actual RAB roll forward'!H235,0,Input!$W$7-1))</f>
        <v>0</v>
      </c>
      <c r="F227" s="276">
        <f ca="1">IF(A15stdlife="N/A","n/a",IF(E227=0,0,A15stdlife+D227-Input!$W$7))</f>
        <v>0</v>
      </c>
      <c r="G227" s="277"/>
      <c r="H227" s="634"/>
      <c r="I227" s="281">
        <v>8</v>
      </c>
      <c r="J227" s="276">
        <f ca="1">OFFSET('Tax value roll forward'!G$54,0,I227)-SUM('Tax value roll forward'!G278:OFFSET('Tax value roll forward'!G278,0,Input!$W$7))</f>
        <v>0</v>
      </c>
      <c r="K227" s="276">
        <f ca="1">IF(A15taxstdlife="N/A","n/a",IF(J227=0,0,A15taxstdlife+I227-Input!$W$7))</f>
        <v>0</v>
      </c>
      <c r="L227" s="280"/>
      <c r="M227" s="312"/>
      <c r="N227" s="312"/>
      <c r="O227" s="272"/>
      <c r="P227" s="272"/>
      <c r="Q227" s="272"/>
      <c r="R227" s="272"/>
      <c r="S227" s="259"/>
      <c r="T227" s="259"/>
      <c r="U227" s="259"/>
      <c r="V227" s="259"/>
      <c r="W227" s="259"/>
      <c r="X227" s="259"/>
      <c r="Y227" s="259"/>
      <c r="Z227" s="259"/>
    </row>
    <row r="228" spans="1:26" outlineLevel="1">
      <c r="A228" s="272"/>
      <c r="B228" s="272"/>
      <c r="C228" s="634"/>
      <c r="D228" s="281">
        <f>D$18</f>
        <v>9</v>
      </c>
      <c r="E228" s="276">
        <f ca="1">OFFSET('Actual RAB roll forward'!H$26,0,D228-1)-SUM('Actual RAB roll forward'!H236:OFFSET('Actual RAB roll forward'!H236,0,Input!$W$7-1))</f>
        <v>0</v>
      </c>
      <c r="F228" s="276">
        <f ca="1">IF(A15stdlife="N/A","n/a",IF(E228=0,0,A15stdlife+D228-Input!$W$7))</f>
        <v>0</v>
      </c>
      <c r="G228" s="277"/>
      <c r="H228" s="634"/>
      <c r="I228" s="281">
        <v>9</v>
      </c>
      <c r="J228" s="276">
        <f ca="1">OFFSET('Tax value roll forward'!G$54,0,I228)-SUM('Tax value roll forward'!G279:OFFSET('Tax value roll forward'!G279,0,Input!$W$7))</f>
        <v>0</v>
      </c>
      <c r="K228" s="276">
        <f ca="1">IF(A15taxstdlife="N/A","n/a",IF(J228=0,0,A15taxstdlife+I228-Input!$W$7))</f>
        <v>0</v>
      </c>
      <c r="L228" s="280"/>
      <c r="M228" s="312"/>
      <c r="N228" s="312"/>
      <c r="O228" s="272"/>
      <c r="P228" s="272"/>
      <c r="Q228" s="272"/>
      <c r="R228" s="272"/>
      <c r="S228" s="259"/>
      <c r="T228" s="259"/>
      <c r="U228" s="259"/>
      <c r="V228" s="259"/>
      <c r="W228" s="259"/>
      <c r="X228" s="259"/>
      <c r="Y228" s="259"/>
      <c r="Z228" s="259"/>
    </row>
    <row r="229" spans="1:26" outlineLevel="1">
      <c r="A229" s="272"/>
      <c r="B229" s="272"/>
      <c r="C229" s="635"/>
      <c r="D229" s="282">
        <f>D$19</f>
        <v>10</v>
      </c>
      <c r="E229" s="276">
        <f ca="1">OFFSET('Actual RAB roll forward'!H$26,0,D229-1)-SUM('Actual RAB roll forward'!H237:OFFSET('Actual RAB roll forward'!H237,0,Input!$W$7-1))</f>
        <v>0</v>
      </c>
      <c r="F229" s="276">
        <f ca="1">IF(A15stdlife="N/A","n/a",IF(E229=0,0,A15stdlife+D229-Input!$W$7))</f>
        <v>0</v>
      </c>
      <c r="G229" s="277"/>
      <c r="H229" s="635"/>
      <c r="I229" s="282">
        <v>10</v>
      </c>
      <c r="J229" s="276">
        <f ca="1">OFFSET('Tax value roll forward'!G$54,0,I229)-SUM('Tax value roll forward'!G280:OFFSET('Tax value roll forward'!G280,0,Input!$W$7))</f>
        <v>0</v>
      </c>
      <c r="K229" s="276">
        <f ca="1">IF(A15taxstdlife="N/A","n/a",IF(J229=0,0,A15taxstdlife+I229-Input!$W$7))</f>
        <v>0</v>
      </c>
      <c r="M229" s="312"/>
      <c r="N229" s="312"/>
      <c r="O229" s="272"/>
      <c r="P229" s="272"/>
      <c r="Q229" s="272"/>
      <c r="R229" s="272"/>
      <c r="S229" s="259"/>
      <c r="T229" s="259"/>
      <c r="U229" s="259"/>
      <c r="V229" s="259"/>
      <c r="W229" s="259"/>
      <c r="X229" s="259"/>
      <c r="Y229" s="259"/>
      <c r="Z229" s="259"/>
    </row>
    <row r="230" spans="1:26">
      <c r="A230" s="272"/>
      <c r="B230" s="272"/>
      <c r="C230" s="292">
        <f>Asset15</f>
        <v>0</v>
      </c>
      <c r="D230" s="272"/>
      <c r="E230" s="276">
        <f ca="1">SUM(E218:E229)</f>
        <v>0</v>
      </c>
      <c r="F230" s="276">
        <f ca="1">IF(E230=0,0,SUMPRODUCT(E218:E229,F218:F229)/E230)</f>
        <v>0</v>
      </c>
      <c r="G230" s="277"/>
      <c r="H230" s="284"/>
      <c r="I230" s="276"/>
      <c r="J230" s="311">
        <f ca="1">SUM(J218:J229)</f>
        <v>0</v>
      </c>
      <c r="K230" s="311">
        <f ca="1">IF(J230=0,0,SUMPRODUCT(J218:J229,K218:K229)/J230)</f>
        <v>0</v>
      </c>
      <c r="L230" s="280"/>
      <c r="M230" s="312"/>
      <c r="N230" s="312"/>
      <c r="O230" s="272"/>
      <c r="P230" s="272"/>
      <c r="Q230" s="272"/>
      <c r="R230" s="272"/>
      <c r="S230" s="259"/>
      <c r="T230" s="259"/>
      <c r="U230" s="259"/>
      <c r="V230" s="259"/>
      <c r="W230" s="259"/>
      <c r="X230" s="259"/>
      <c r="Y230" s="259"/>
      <c r="Z230" s="259"/>
    </row>
    <row r="231" spans="1:26" outlineLevel="1">
      <c r="A231" s="272"/>
      <c r="B231" s="272"/>
      <c r="C231" s="292"/>
      <c r="D231" s="272"/>
      <c r="E231" s="276"/>
      <c r="F231" s="276"/>
      <c r="G231" s="277"/>
      <c r="H231" s="276"/>
      <c r="I231" s="276"/>
      <c r="J231" s="290"/>
      <c r="K231" s="276"/>
      <c r="L231" s="280"/>
      <c r="M231" s="312"/>
      <c r="N231" s="312"/>
      <c r="O231" s="272"/>
      <c r="P231" s="272"/>
      <c r="Q231" s="272"/>
      <c r="R231" s="272"/>
      <c r="S231" s="259"/>
      <c r="T231" s="259"/>
      <c r="U231" s="259"/>
      <c r="V231" s="259"/>
      <c r="W231" s="259"/>
      <c r="X231" s="259"/>
      <c r="Y231" s="259"/>
      <c r="Z231" s="259"/>
    </row>
    <row r="232" spans="1:26" outlineLevel="1">
      <c r="A232" s="272"/>
      <c r="B232" s="275">
        <f>Asset16</f>
        <v>0</v>
      </c>
      <c r="C232" s="272"/>
      <c r="D232" s="272"/>
      <c r="E232" s="293"/>
      <c r="F232" s="293"/>
      <c r="G232" s="277"/>
      <c r="H232" s="276"/>
      <c r="I232" s="276"/>
      <c r="J232" s="290"/>
      <c r="K232" s="276"/>
      <c r="L232" s="280"/>
      <c r="M232" s="312"/>
      <c r="N232" s="312"/>
      <c r="O232" s="272"/>
      <c r="P232" s="272"/>
      <c r="Q232" s="272"/>
      <c r="R232" s="272"/>
      <c r="S232" s="259"/>
      <c r="T232" s="259"/>
      <c r="U232" s="259"/>
      <c r="V232" s="259"/>
      <c r="W232" s="259"/>
      <c r="X232" s="259"/>
      <c r="Y232" s="259"/>
      <c r="Z232" s="259"/>
    </row>
    <row r="233" spans="1:26" ht="12.75" customHeight="1" outlineLevel="1">
      <c r="A233" s="272"/>
      <c r="B233" s="293"/>
      <c r="C233" s="626" t="s">
        <v>28</v>
      </c>
      <c r="D233" s="627"/>
      <c r="E233" s="276">
        <f ca="1">A16value-SUM('Actual RAB roll forward'!H239:OFFSET('Actual RAB roll forward'!H239,0,Input!$W$7-1))</f>
        <v>0</v>
      </c>
      <c r="F233" s="276">
        <f ca="1">IF(A16remlife="N/A","n/a",IF(E233=0,0,A16remlife-Input!$W$7))</f>
        <v>0</v>
      </c>
      <c r="G233" s="277"/>
      <c r="H233" s="278" t="s">
        <v>67</v>
      </c>
      <c r="I233" s="279"/>
      <c r="J233" s="276">
        <f ca="1">A16taxvalue-SUM('Tax value roll forward'!G282:OFFSET('Tax value roll forward'!G282,0,Input!$W$7))</f>
        <v>0</v>
      </c>
      <c r="K233" s="276">
        <f ca="1">IF(A16taxremlife="N/A","n/a",IF(J233=0,0,A16taxremlife-Input!$W$7-1))</f>
        <v>0</v>
      </c>
      <c r="L233" s="280"/>
      <c r="M233" s="312"/>
      <c r="N233" s="312"/>
      <c r="O233" s="272"/>
      <c r="P233" s="272"/>
      <c r="Q233" s="272"/>
      <c r="R233" s="272"/>
      <c r="S233" s="259"/>
      <c r="T233" s="259"/>
      <c r="U233" s="259"/>
      <c r="V233" s="259"/>
      <c r="W233" s="259"/>
      <c r="X233" s="259"/>
      <c r="Y233" s="259"/>
      <c r="Z233" s="259"/>
    </row>
    <row r="234" spans="1:26" ht="12.75" customHeight="1" outlineLevel="1">
      <c r="A234" s="272"/>
      <c r="B234" s="293"/>
      <c r="C234" s="633" t="s">
        <v>84</v>
      </c>
      <c r="D234" s="322">
        <f>D$9</f>
        <v>0</v>
      </c>
      <c r="E234" s="276"/>
      <c r="F234" s="276"/>
      <c r="G234" s="277"/>
      <c r="H234" s="633" t="s">
        <v>84</v>
      </c>
      <c r="I234" s="322">
        <v>0</v>
      </c>
      <c r="J234" s="276">
        <f ca="1">OFFSET('Tax value roll forward'!G$55,0,I234)-SUM('Tax value roll forward'!G284:OFFSET('Tax value roll forward'!G284,0,Input!$W$7))</f>
        <v>0</v>
      </c>
      <c r="K234" s="276">
        <f ca="1">IF(A16taxstdlife="N/A","n/a",IF(J234=0,0,A16taxstdlife+I234-Input!$W$7))</f>
        <v>0</v>
      </c>
      <c r="L234" s="280"/>
      <c r="M234" s="312"/>
      <c r="N234" s="312"/>
      <c r="O234" s="272"/>
      <c r="P234" s="272"/>
      <c r="Q234" s="272"/>
      <c r="R234" s="272"/>
      <c r="S234" s="259"/>
      <c r="T234" s="259"/>
      <c r="U234" s="259"/>
      <c r="V234" s="259"/>
      <c r="W234" s="259"/>
      <c r="X234" s="259"/>
      <c r="Y234" s="259"/>
      <c r="Z234" s="259"/>
    </row>
    <row r="235" spans="1:26" ht="12.75" customHeight="1" outlineLevel="1">
      <c r="A235" s="272"/>
      <c r="B235" s="272"/>
      <c r="C235" s="634"/>
      <c r="D235" s="281">
        <f>D$10</f>
        <v>1</v>
      </c>
      <c r="E235" s="276">
        <f ca="1">OFFSET('Actual RAB roll forward'!H$27,0,D235-1)-SUM('Actual RAB roll forward'!H241:OFFSET('Actual RAB roll forward'!H241,0,Input!$W$7-1))</f>
        <v>0</v>
      </c>
      <c r="F235" s="276">
        <f ca="1">IF(A16stdlife="N/A","n/a",IF(E235=0,0,A16stdlife+D235-Input!$W$7))</f>
        <v>0</v>
      </c>
      <c r="G235" s="277"/>
      <c r="H235" s="634"/>
      <c r="I235" s="281">
        <v>1</v>
      </c>
      <c r="J235" s="276">
        <f ca="1">OFFSET('Tax value roll forward'!G$55,0,I235)-SUM('Tax value roll forward'!G285:OFFSET('Tax value roll forward'!G285,0,Input!$W$7))</f>
        <v>0</v>
      </c>
      <c r="K235" s="276">
        <f ca="1">IF(A16taxstdlife="N/A","n/a",IF(J235=0,0,A16taxstdlife+I235-Input!$W$7))</f>
        <v>0</v>
      </c>
      <c r="L235" s="280"/>
      <c r="M235" s="312"/>
      <c r="N235" s="312"/>
      <c r="O235" s="272"/>
      <c r="P235" s="272"/>
      <c r="Q235" s="272"/>
      <c r="R235" s="272"/>
      <c r="S235" s="259"/>
      <c r="T235" s="259"/>
      <c r="U235" s="259"/>
      <c r="V235" s="259"/>
      <c r="W235" s="259"/>
      <c r="X235" s="259"/>
      <c r="Y235" s="259"/>
      <c r="Z235" s="259"/>
    </row>
    <row r="236" spans="1:26" outlineLevel="1">
      <c r="A236" s="272"/>
      <c r="B236" s="272"/>
      <c r="C236" s="634"/>
      <c r="D236" s="281">
        <f>D$11</f>
        <v>2</v>
      </c>
      <c r="E236" s="276">
        <f ca="1">OFFSET('Actual RAB roll forward'!H$27,0,D236-1)-SUM('Actual RAB roll forward'!H242:OFFSET('Actual RAB roll forward'!H242,0,Input!$W$7-1))</f>
        <v>0</v>
      </c>
      <c r="F236" s="276">
        <f ca="1">IF(A16stdlife="N/A","n/a",IF(E236=0,0,A16stdlife+D236-Input!$W$7))</f>
        <v>0</v>
      </c>
      <c r="G236" s="277"/>
      <c r="H236" s="634"/>
      <c r="I236" s="281">
        <v>2</v>
      </c>
      <c r="J236" s="276">
        <f ca="1">OFFSET('Tax value roll forward'!G$55,0,I236)-SUM('Tax value roll forward'!G286:OFFSET('Tax value roll forward'!G286,0,Input!$W$7))</f>
        <v>0</v>
      </c>
      <c r="K236" s="276">
        <f ca="1">IF(A16taxstdlife="N/A","n/a",IF(J236=0,0,A16taxstdlife+I236-Input!$W$7))</f>
        <v>0</v>
      </c>
      <c r="L236" s="280"/>
      <c r="M236" s="312"/>
      <c r="N236" s="312"/>
      <c r="O236" s="272"/>
      <c r="P236" s="272"/>
      <c r="Q236" s="272"/>
      <c r="R236" s="272"/>
      <c r="S236" s="259"/>
      <c r="T236" s="259"/>
      <c r="U236" s="259"/>
      <c r="V236" s="259"/>
      <c r="W236" s="259"/>
      <c r="X236" s="259"/>
      <c r="Y236" s="259"/>
      <c r="Z236" s="259"/>
    </row>
    <row r="237" spans="1:26" outlineLevel="1">
      <c r="A237" s="272"/>
      <c r="B237" s="272"/>
      <c r="C237" s="634"/>
      <c r="D237" s="281">
        <f>D$12</f>
        <v>3</v>
      </c>
      <c r="E237" s="276">
        <f ca="1">OFFSET('Actual RAB roll forward'!H$27,0,D237-1)-SUM('Actual RAB roll forward'!H243:OFFSET('Actual RAB roll forward'!H243,0,Input!$W$7-1))</f>
        <v>0</v>
      </c>
      <c r="F237" s="276">
        <f ca="1">IF(A16stdlife="N/A","n/a",IF(E237=0,0,A16stdlife+D237-Input!$W$7))</f>
        <v>0</v>
      </c>
      <c r="G237" s="277"/>
      <c r="H237" s="634"/>
      <c r="I237" s="281">
        <v>3</v>
      </c>
      <c r="J237" s="276">
        <f ca="1">OFFSET('Tax value roll forward'!G$55,0,I237)-SUM('Tax value roll forward'!G287:OFFSET('Tax value roll forward'!G287,0,Input!$W$7))</f>
        <v>0</v>
      </c>
      <c r="K237" s="276">
        <f ca="1">IF(A16taxstdlife="N/A","n/a",IF(J237=0,0,A16taxstdlife+I237-Input!$W$7))</f>
        <v>0</v>
      </c>
      <c r="L237" s="280"/>
      <c r="M237" s="312"/>
      <c r="N237" s="312"/>
      <c r="O237" s="272"/>
      <c r="P237" s="272"/>
      <c r="Q237" s="272"/>
      <c r="R237" s="272"/>
      <c r="S237" s="259"/>
      <c r="T237" s="259"/>
      <c r="U237" s="259"/>
      <c r="V237" s="259"/>
      <c r="W237" s="259"/>
      <c r="X237" s="259"/>
      <c r="Y237" s="259"/>
      <c r="Z237" s="259"/>
    </row>
    <row r="238" spans="1:26" outlineLevel="1">
      <c r="A238" s="272"/>
      <c r="B238" s="272"/>
      <c r="C238" s="634"/>
      <c r="D238" s="281">
        <f>D$13</f>
        <v>4</v>
      </c>
      <c r="E238" s="276">
        <f ca="1">OFFSET('Actual RAB roll forward'!H$27,0,D238-1)-SUM('Actual RAB roll forward'!H244:OFFSET('Actual RAB roll forward'!H244,0,Input!$W$7-1))</f>
        <v>0</v>
      </c>
      <c r="F238" s="276">
        <f ca="1">IF(A16stdlife="N/A","n/a",IF(E238=0,0,A16stdlife+D238-Input!$W$7))</f>
        <v>0</v>
      </c>
      <c r="G238" s="277"/>
      <c r="H238" s="634"/>
      <c r="I238" s="281">
        <v>4</v>
      </c>
      <c r="J238" s="276">
        <f ca="1">OFFSET('Tax value roll forward'!G$55,0,I238)-SUM('Tax value roll forward'!G288:OFFSET('Tax value roll forward'!G288,0,Input!$W$7))</f>
        <v>0</v>
      </c>
      <c r="K238" s="276">
        <f ca="1">IF(A16taxstdlife="N/A","n/a",IF(J238=0,0,A16taxstdlife+I238-Input!$W$7))</f>
        <v>0</v>
      </c>
      <c r="L238" s="280"/>
      <c r="M238" s="312"/>
      <c r="N238" s="312"/>
      <c r="O238" s="272"/>
      <c r="P238" s="272"/>
      <c r="Q238" s="272"/>
      <c r="R238" s="272"/>
      <c r="S238" s="259"/>
      <c r="T238" s="259"/>
      <c r="U238" s="259"/>
      <c r="V238" s="259"/>
      <c r="W238" s="259"/>
      <c r="X238" s="259"/>
      <c r="Y238" s="259"/>
      <c r="Z238" s="259"/>
    </row>
    <row r="239" spans="1:26" outlineLevel="1">
      <c r="A239" s="272"/>
      <c r="B239" s="272"/>
      <c r="C239" s="634"/>
      <c r="D239" s="281">
        <f>D$14</f>
        <v>5</v>
      </c>
      <c r="E239" s="276">
        <f ca="1">OFFSET('Actual RAB roll forward'!H$27,0,D239-1)-SUM('Actual RAB roll forward'!H245:OFFSET('Actual RAB roll forward'!H245,0,Input!$W$7-1))</f>
        <v>0</v>
      </c>
      <c r="F239" s="276">
        <f ca="1">IF(A16stdlife="N/A","n/a",IF(E239=0,0,A16stdlife+D239-Input!$W$7))</f>
        <v>0</v>
      </c>
      <c r="G239" s="277"/>
      <c r="H239" s="634"/>
      <c r="I239" s="281">
        <v>5</v>
      </c>
      <c r="J239" s="276">
        <f ca="1">OFFSET('Tax value roll forward'!G$55,0,I239)-SUM('Tax value roll forward'!G289:OFFSET('Tax value roll forward'!G289,0,Input!$W$7))</f>
        <v>0</v>
      </c>
      <c r="K239" s="276">
        <f ca="1">IF(A16taxstdlife="N/A","n/a",IF(J239=0,0,A16taxstdlife+I239-Input!$W$7))</f>
        <v>0</v>
      </c>
      <c r="L239" s="280"/>
      <c r="M239" s="312"/>
      <c r="N239" s="312"/>
      <c r="O239" s="272"/>
      <c r="P239" s="272"/>
      <c r="Q239" s="272"/>
      <c r="R239" s="272"/>
      <c r="S239" s="259"/>
      <c r="T239" s="259"/>
      <c r="U239" s="259"/>
      <c r="V239" s="259"/>
      <c r="W239" s="259"/>
      <c r="X239" s="259"/>
      <c r="Y239" s="259"/>
      <c r="Z239" s="259"/>
    </row>
    <row r="240" spans="1:26" outlineLevel="1">
      <c r="A240" s="272"/>
      <c r="B240" s="272"/>
      <c r="C240" s="634"/>
      <c r="D240" s="281">
        <f>D$15</f>
        <v>6</v>
      </c>
      <c r="E240" s="276">
        <f ca="1">OFFSET('Actual RAB roll forward'!H$27,0,D240-1)-SUM('Actual RAB roll forward'!H246:OFFSET('Actual RAB roll forward'!H246,0,Input!$W$7-1))</f>
        <v>0</v>
      </c>
      <c r="F240" s="276">
        <f ca="1">IF(A16stdlife="N/A","n/a",IF(E240=0,0,A16stdlife+D240-Input!$W$7))</f>
        <v>0</v>
      </c>
      <c r="G240" s="277"/>
      <c r="H240" s="634"/>
      <c r="I240" s="281">
        <v>6</v>
      </c>
      <c r="J240" s="276">
        <f ca="1">OFFSET('Tax value roll forward'!G$55,0,I240)-SUM('Tax value roll forward'!G290:OFFSET('Tax value roll forward'!G290,0,Input!$W$7))</f>
        <v>0</v>
      </c>
      <c r="K240" s="276">
        <f ca="1">IF(A16taxstdlife="N/A","n/a",IF(J240=0,0,A16taxstdlife+I240-Input!$W$7))</f>
        <v>0</v>
      </c>
      <c r="L240" s="280"/>
      <c r="M240" s="312"/>
      <c r="N240" s="312"/>
      <c r="O240" s="272"/>
      <c r="P240" s="272"/>
      <c r="Q240" s="272"/>
      <c r="R240" s="272"/>
      <c r="S240" s="259"/>
      <c r="T240" s="259"/>
      <c r="U240" s="259"/>
      <c r="V240" s="259"/>
      <c r="W240" s="259"/>
      <c r="X240" s="259"/>
      <c r="Y240" s="259"/>
      <c r="Z240" s="259"/>
    </row>
    <row r="241" spans="1:26" outlineLevel="1">
      <c r="A241" s="272"/>
      <c r="B241" s="272"/>
      <c r="C241" s="634"/>
      <c r="D241" s="281">
        <f>D$16</f>
        <v>7</v>
      </c>
      <c r="E241" s="276">
        <f ca="1">OFFSET('Actual RAB roll forward'!H$27,0,D241-1)-SUM('Actual RAB roll forward'!H247:OFFSET('Actual RAB roll forward'!H247,0,Input!$W$7-1))</f>
        <v>0</v>
      </c>
      <c r="F241" s="276">
        <f ca="1">IF(A16stdlife="N/A","n/a",IF(E241=0,0,A16stdlife+D241-Input!$W$7))</f>
        <v>0</v>
      </c>
      <c r="G241" s="277"/>
      <c r="H241" s="634"/>
      <c r="I241" s="281">
        <v>7</v>
      </c>
      <c r="J241" s="276">
        <f ca="1">OFFSET('Tax value roll forward'!G$55,0,I241)-SUM('Tax value roll forward'!G291:OFFSET('Tax value roll forward'!G291,0,Input!$W$7))</f>
        <v>0</v>
      </c>
      <c r="K241" s="276">
        <f ca="1">IF(A16taxstdlife="N/A","n/a",IF(J241=0,0,A16taxstdlife+I241-Input!$W$7))</f>
        <v>0</v>
      </c>
      <c r="L241" s="280"/>
      <c r="M241" s="312"/>
      <c r="N241" s="312"/>
      <c r="O241" s="272"/>
      <c r="P241" s="272"/>
      <c r="Q241" s="272"/>
      <c r="R241" s="272"/>
      <c r="S241" s="259"/>
      <c r="T241" s="259"/>
      <c r="U241" s="259"/>
      <c r="V241" s="259"/>
      <c r="W241" s="259"/>
      <c r="X241" s="259"/>
      <c r="Y241" s="259"/>
      <c r="Z241" s="259"/>
    </row>
    <row r="242" spans="1:26" outlineLevel="1">
      <c r="A242" s="272"/>
      <c r="B242" s="272"/>
      <c r="C242" s="634"/>
      <c r="D242" s="281">
        <f>D$17</f>
        <v>8</v>
      </c>
      <c r="E242" s="276">
        <f ca="1">OFFSET('Actual RAB roll forward'!H$27,0,D242-1)-SUM('Actual RAB roll forward'!H248:OFFSET('Actual RAB roll forward'!H248,0,Input!$W$7-1))</f>
        <v>0</v>
      </c>
      <c r="F242" s="276">
        <f ca="1">IF(A16stdlife="N/A","n/a",IF(E242=0,0,A16stdlife+D242-Input!$W$7))</f>
        <v>0</v>
      </c>
      <c r="G242" s="277"/>
      <c r="H242" s="634"/>
      <c r="I242" s="281">
        <v>8</v>
      </c>
      <c r="J242" s="276">
        <f ca="1">OFFSET('Tax value roll forward'!G$55,0,I242)-SUM('Tax value roll forward'!G292:OFFSET('Tax value roll forward'!G292,0,Input!$W$7))</f>
        <v>0</v>
      </c>
      <c r="K242" s="276">
        <f ca="1">IF(A16taxstdlife="N/A","n/a",IF(J242=0,0,A16taxstdlife+I242-Input!$W$7))</f>
        <v>0</v>
      </c>
      <c r="L242" s="280"/>
      <c r="M242" s="312"/>
      <c r="N242" s="312"/>
      <c r="O242" s="272"/>
      <c r="P242" s="272"/>
      <c r="Q242" s="272"/>
      <c r="R242" s="272"/>
      <c r="S242" s="259"/>
      <c r="T242" s="259"/>
      <c r="U242" s="259"/>
      <c r="V242" s="259"/>
      <c r="W242" s="259"/>
      <c r="X242" s="259"/>
      <c r="Y242" s="259"/>
      <c r="Z242" s="259"/>
    </row>
    <row r="243" spans="1:26" outlineLevel="1">
      <c r="A243" s="272"/>
      <c r="B243" s="272"/>
      <c r="C243" s="634"/>
      <c r="D243" s="281">
        <f>D$18</f>
        <v>9</v>
      </c>
      <c r="E243" s="276">
        <f ca="1">OFFSET('Actual RAB roll forward'!H$27,0,D243-1)-SUM('Actual RAB roll forward'!H249:OFFSET('Actual RAB roll forward'!H249,0,Input!$W$7-1))</f>
        <v>0</v>
      </c>
      <c r="F243" s="276">
        <f ca="1">IF(A16stdlife="N/A","n/a",IF(E243=0,0,A16stdlife+D243-Input!$W$7))</f>
        <v>0</v>
      </c>
      <c r="G243" s="277"/>
      <c r="H243" s="634"/>
      <c r="I243" s="281">
        <v>9</v>
      </c>
      <c r="J243" s="276">
        <f ca="1">OFFSET('Tax value roll forward'!G$55,0,I243)-SUM('Tax value roll forward'!G293:OFFSET('Tax value roll forward'!G293,0,Input!$W$7))</f>
        <v>0</v>
      </c>
      <c r="K243" s="276">
        <f ca="1">IF(A16taxstdlife="N/A","n/a",IF(J243=0,0,A16taxstdlife+I243-Input!$W$7))</f>
        <v>0</v>
      </c>
      <c r="L243" s="280"/>
      <c r="M243" s="312"/>
      <c r="N243" s="312"/>
      <c r="O243" s="272"/>
      <c r="P243" s="272"/>
      <c r="Q243" s="272"/>
      <c r="R243" s="272"/>
      <c r="S243" s="259"/>
      <c r="T243" s="259"/>
      <c r="U243" s="259"/>
      <c r="V243" s="259"/>
      <c r="W243" s="259"/>
      <c r="X243" s="259"/>
      <c r="Y243" s="259"/>
      <c r="Z243" s="259"/>
    </row>
    <row r="244" spans="1:26" outlineLevel="1">
      <c r="A244" s="272"/>
      <c r="B244" s="272"/>
      <c r="C244" s="635"/>
      <c r="D244" s="282">
        <f>D$19</f>
        <v>10</v>
      </c>
      <c r="E244" s="276">
        <f ca="1">OFFSET('Actual RAB roll forward'!H$27,0,D244-1)-SUM('Actual RAB roll forward'!H250:OFFSET('Actual RAB roll forward'!H250,0,Input!$W$7-1))</f>
        <v>0</v>
      </c>
      <c r="F244" s="276">
        <f ca="1">IF(A16stdlife="N/A","n/a",IF(E244=0,0,A16stdlife+D244-Input!$W$7))</f>
        <v>0</v>
      </c>
      <c r="G244" s="277"/>
      <c r="H244" s="635"/>
      <c r="I244" s="282">
        <v>10</v>
      </c>
      <c r="J244" s="276">
        <f ca="1">OFFSET('Tax value roll forward'!G$55,0,I244)-SUM('Tax value roll forward'!G294:OFFSET('Tax value roll forward'!G294,0,Input!$W$7))</f>
        <v>0</v>
      </c>
      <c r="K244" s="276">
        <f ca="1">IF(A16taxstdlife="N/A","n/a",IF(J244=0,0,A16taxstdlife+I244-Input!$W$7))</f>
        <v>0</v>
      </c>
      <c r="M244" s="312"/>
      <c r="N244" s="312"/>
      <c r="O244" s="272"/>
      <c r="P244" s="272"/>
      <c r="Q244" s="272"/>
      <c r="R244" s="272"/>
      <c r="S244" s="259"/>
      <c r="T244" s="259"/>
      <c r="U244" s="259"/>
      <c r="V244" s="259"/>
      <c r="W244" s="259"/>
      <c r="X244" s="259"/>
      <c r="Y244" s="259"/>
      <c r="Z244" s="259"/>
    </row>
    <row r="245" spans="1:26">
      <c r="A245" s="272"/>
      <c r="B245" s="272"/>
      <c r="C245" s="292">
        <f>Asset16</f>
        <v>0</v>
      </c>
      <c r="D245" s="272"/>
      <c r="E245" s="276">
        <f ca="1">SUM(E233:E244)</f>
        <v>0</v>
      </c>
      <c r="F245" s="276">
        <f ca="1">IF(E245=0,0,SUMPRODUCT(E233:E244,F233:F244)/E245)</f>
        <v>0</v>
      </c>
      <c r="G245" s="277"/>
      <c r="H245" s="284"/>
      <c r="I245" s="276"/>
      <c r="J245" s="311">
        <f ca="1">SUM(J233:J244)</f>
        <v>0</v>
      </c>
      <c r="K245" s="311">
        <f ca="1">IF(J245=0,0,SUMPRODUCT(J233:J244,K233:K244)/J245)</f>
        <v>0</v>
      </c>
      <c r="L245" s="280"/>
      <c r="M245" s="312"/>
      <c r="N245" s="312"/>
      <c r="O245" s="272"/>
      <c r="P245" s="272"/>
      <c r="Q245" s="272"/>
      <c r="R245" s="272"/>
      <c r="S245" s="259"/>
      <c r="T245" s="259"/>
      <c r="U245" s="259"/>
      <c r="V245" s="259"/>
      <c r="W245" s="259"/>
      <c r="X245" s="259"/>
      <c r="Y245" s="259"/>
      <c r="Z245" s="259"/>
    </row>
    <row r="246" spans="1:26" outlineLevel="1">
      <c r="A246" s="272"/>
      <c r="B246" s="272"/>
      <c r="C246" s="292"/>
      <c r="D246" s="272"/>
      <c r="E246" s="276"/>
      <c r="F246" s="276"/>
      <c r="G246" s="277"/>
      <c r="H246" s="276"/>
      <c r="I246" s="276"/>
      <c r="J246" s="290"/>
      <c r="K246" s="276"/>
      <c r="L246" s="280"/>
      <c r="M246" s="312"/>
      <c r="N246" s="312"/>
      <c r="O246" s="272"/>
      <c r="P246" s="272"/>
      <c r="Q246" s="272"/>
      <c r="R246" s="272"/>
      <c r="S246" s="259"/>
      <c r="T246" s="259"/>
      <c r="U246" s="259"/>
      <c r="V246" s="259"/>
      <c r="W246" s="259"/>
      <c r="X246" s="259"/>
      <c r="Y246" s="259"/>
      <c r="Z246" s="259"/>
    </row>
    <row r="247" spans="1:26" outlineLevel="1">
      <c r="A247" s="272"/>
      <c r="B247" s="275">
        <f>Asset17</f>
        <v>0</v>
      </c>
      <c r="C247" s="272"/>
      <c r="D247" s="272"/>
      <c r="E247" s="293"/>
      <c r="F247" s="293"/>
      <c r="G247" s="277"/>
      <c r="H247" s="276"/>
      <c r="I247" s="276"/>
      <c r="J247" s="290"/>
      <c r="K247" s="276"/>
      <c r="L247" s="280"/>
      <c r="M247" s="312"/>
      <c r="N247" s="312"/>
      <c r="O247" s="272"/>
      <c r="P247" s="272"/>
      <c r="Q247" s="272"/>
      <c r="R247" s="272"/>
      <c r="S247" s="259"/>
      <c r="T247" s="259"/>
      <c r="U247" s="259"/>
      <c r="V247" s="259"/>
      <c r="W247" s="259"/>
      <c r="X247" s="259"/>
      <c r="Y247" s="259"/>
      <c r="Z247" s="259"/>
    </row>
    <row r="248" spans="1:26" ht="12.75" customHeight="1" outlineLevel="1">
      <c r="A248" s="272"/>
      <c r="B248" s="272"/>
      <c r="C248" s="626" t="s">
        <v>28</v>
      </c>
      <c r="D248" s="627"/>
      <c r="E248" s="276">
        <f ca="1">A17value-SUM('Actual RAB roll forward'!H252:OFFSET('Actual RAB roll forward'!H252,0,Input!$W$7-1))</f>
        <v>0</v>
      </c>
      <c r="F248" s="276">
        <f ca="1">IF(A17remlife="N/A","n/a",IF(E248=0,0,A17remlife-Input!$W$7))</f>
        <v>0</v>
      </c>
      <c r="G248" s="277"/>
      <c r="H248" s="278" t="s">
        <v>67</v>
      </c>
      <c r="I248" s="279"/>
      <c r="J248" s="276">
        <f ca="1">A17taxvalue-SUM('Tax value roll forward'!G296:OFFSET('Tax value roll forward'!G296,0,Input!$W$7))</f>
        <v>0</v>
      </c>
      <c r="K248" s="276">
        <f ca="1">IF(A17taxremlife="N/A","n/a",IF(J248=0,0,A17taxremlife-Input!$W$7-1))</f>
        <v>0</v>
      </c>
      <c r="L248" s="280"/>
      <c r="M248" s="312"/>
      <c r="N248" s="312"/>
      <c r="O248" s="272"/>
      <c r="P248" s="272"/>
      <c r="Q248" s="272"/>
      <c r="R248" s="272"/>
      <c r="S248" s="259"/>
      <c r="T248" s="259"/>
      <c r="U248" s="259"/>
      <c r="V248" s="259"/>
      <c r="W248" s="259"/>
      <c r="X248" s="259"/>
      <c r="Y248" s="259"/>
      <c r="Z248" s="259"/>
    </row>
    <row r="249" spans="1:26" ht="12.75" customHeight="1" outlineLevel="1">
      <c r="A249" s="272"/>
      <c r="B249" s="272"/>
      <c r="C249" s="633" t="s">
        <v>84</v>
      </c>
      <c r="D249" s="322">
        <f>D$9</f>
        <v>0</v>
      </c>
      <c r="E249" s="276"/>
      <c r="F249" s="276"/>
      <c r="G249" s="277"/>
      <c r="H249" s="633" t="s">
        <v>84</v>
      </c>
      <c r="I249" s="322">
        <v>0</v>
      </c>
      <c r="J249" s="276">
        <f ca="1">OFFSET('Tax value roll forward'!G$56,0,I249)-SUM('Tax value roll forward'!G298:OFFSET('Tax value roll forward'!G298,0,Input!$W$7))</f>
        <v>0</v>
      </c>
      <c r="K249" s="276">
        <f ca="1">IF(A17taxstdlife="N/A","n/a",IF(J249=0,0,A17taxstdlife+I249-Input!$W$7))</f>
        <v>0</v>
      </c>
      <c r="L249" s="280"/>
      <c r="M249" s="312"/>
      <c r="N249" s="312"/>
      <c r="O249" s="272"/>
      <c r="P249" s="272"/>
      <c r="Q249" s="272"/>
      <c r="R249" s="272"/>
      <c r="S249" s="259"/>
      <c r="T249" s="259"/>
      <c r="U249" s="259"/>
      <c r="V249" s="259"/>
      <c r="W249" s="259"/>
      <c r="X249" s="259"/>
      <c r="Y249" s="259"/>
      <c r="Z249" s="259"/>
    </row>
    <row r="250" spans="1:26" ht="12.75" customHeight="1" outlineLevel="1">
      <c r="A250" s="272"/>
      <c r="B250" s="272"/>
      <c r="C250" s="634"/>
      <c r="D250" s="281">
        <f>D$10</f>
        <v>1</v>
      </c>
      <c r="E250" s="276">
        <f ca="1">OFFSET('Actual RAB roll forward'!H$28,0,D250-1)-SUM('Actual RAB roll forward'!H254:OFFSET('Actual RAB roll forward'!H254,0,Input!$W$7-1))</f>
        <v>0</v>
      </c>
      <c r="F250" s="276">
        <f ca="1">IF(A17stdlife="N/A","n/a",IF(E250=0,0,A17stdlife+D250-Input!$W$7))</f>
        <v>0</v>
      </c>
      <c r="G250" s="277"/>
      <c r="H250" s="634"/>
      <c r="I250" s="281">
        <v>1</v>
      </c>
      <c r="J250" s="276">
        <f ca="1">OFFSET('Tax value roll forward'!G$56,0,I250)-SUM('Tax value roll forward'!G299:OFFSET('Tax value roll forward'!G299,0,Input!$W$7))</f>
        <v>0</v>
      </c>
      <c r="K250" s="276">
        <f ca="1">IF(A17taxstdlife="N/A","n/a",IF(J250=0,0,A17taxstdlife+I250-Input!$W$7))</f>
        <v>0</v>
      </c>
      <c r="L250" s="280"/>
      <c r="M250" s="312"/>
      <c r="N250" s="312"/>
      <c r="O250" s="272"/>
      <c r="P250" s="272"/>
      <c r="Q250" s="272"/>
      <c r="R250" s="272"/>
      <c r="S250" s="259"/>
      <c r="T250" s="259"/>
      <c r="U250" s="259"/>
      <c r="V250" s="259"/>
      <c r="W250" s="259"/>
      <c r="X250" s="259"/>
      <c r="Y250" s="259"/>
      <c r="Z250" s="259"/>
    </row>
    <row r="251" spans="1:26" outlineLevel="1">
      <c r="A251" s="272"/>
      <c r="B251" s="272"/>
      <c r="C251" s="634"/>
      <c r="D251" s="281">
        <f>D$11</f>
        <v>2</v>
      </c>
      <c r="E251" s="276">
        <f ca="1">OFFSET('Actual RAB roll forward'!H$28,0,D251-1)-SUM('Actual RAB roll forward'!H255:OFFSET('Actual RAB roll forward'!H255,0,Input!$W$7-1))</f>
        <v>0</v>
      </c>
      <c r="F251" s="276">
        <f ca="1">IF(A17stdlife="N/A","n/a",IF(E251=0,0,A17stdlife+D251-Input!$W$7))</f>
        <v>0</v>
      </c>
      <c r="G251" s="277"/>
      <c r="H251" s="634"/>
      <c r="I251" s="281">
        <v>2</v>
      </c>
      <c r="J251" s="276">
        <f ca="1">OFFSET('Tax value roll forward'!G$56,0,I251)-SUM('Tax value roll forward'!G300:OFFSET('Tax value roll forward'!G300,0,Input!$W$7))</f>
        <v>0</v>
      </c>
      <c r="K251" s="276">
        <f ca="1">IF(A17taxstdlife="N/A","n/a",IF(J251=0,0,A17taxstdlife+I251-Input!$W$7))</f>
        <v>0</v>
      </c>
      <c r="L251" s="280"/>
      <c r="M251" s="312"/>
      <c r="N251" s="312"/>
      <c r="O251" s="272"/>
      <c r="P251" s="272"/>
      <c r="Q251" s="272"/>
      <c r="R251" s="272"/>
      <c r="S251" s="259"/>
      <c r="T251" s="259"/>
      <c r="U251" s="259"/>
      <c r="V251" s="259"/>
      <c r="W251" s="259"/>
      <c r="X251" s="259"/>
      <c r="Y251" s="259"/>
      <c r="Z251" s="259"/>
    </row>
    <row r="252" spans="1:26" outlineLevel="1">
      <c r="A252" s="272"/>
      <c r="B252" s="272"/>
      <c r="C252" s="634"/>
      <c r="D252" s="281">
        <f>D$12</f>
        <v>3</v>
      </c>
      <c r="E252" s="276">
        <f ca="1">OFFSET('Actual RAB roll forward'!H$28,0,D252-1)-SUM('Actual RAB roll forward'!H256:OFFSET('Actual RAB roll forward'!H256,0,Input!$W$7-1))</f>
        <v>0</v>
      </c>
      <c r="F252" s="276">
        <f ca="1">IF(A17stdlife="N/A","n/a",IF(E252=0,0,A17stdlife+D252-Input!$W$7))</f>
        <v>0</v>
      </c>
      <c r="G252" s="277"/>
      <c r="H252" s="634"/>
      <c r="I252" s="281">
        <v>3</v>
      </c>
      <c r="J252" s="276">
        <f ca="1">OFFSET('Tax value roll forward'!G$56,0,I252)-SUM('Tax value roll forward'!G301:OFFSET('Tax value roll forward'!G301,0,Input!$W$7))</f>
        <v>0</v>
      </c>
      <c r="K252" s="276">
        <f ca="1">IF(A17taxstdlife="N/A","n/a",IF(J252=0,0,A17taxstdlife+I252-Input!$W$7))</f>
        <v>0</v>
      </c>
      <c r="L252" s="280"/>
      <c r="M252" s="312"/>
      <c r="N252" s="312"/>
      <c r="O252" s="272"/>
      <c r="P252" s="272"/>
      <c r="Q252" s="272"/>
      <c r="R252" s="272"/>
      <c r="S252" s="259"/>
      <c r="T252" s="259"/>
      <c r="U252" s="259"/>
      <c r="V252" s="259"/>
      <c r="W252" s="259"/>
      <c r="X252" s="259"/>
      <c r="Y252" s="259"/>
      <c r="Z252" s="259"/>
    </row>
    <row r="253" spans="1:26" outlineLevel="1">
      <c r="A253" s="272"/>
      <c r="B253" s="272"/>
      <c r="C253" s="634"/>
      <c r="D253" s="281">
        <f>D$13</f>
        <v>4</v>
      </c>
      <c r="E253" s="276">
        <f ca="1">OFFSET('Actual RAB roll forward'!H$28,0,D253-1)-SUM('Actual RAB roll forward'!H257:OFFSET('Actual RAB roll forward'!H257,0,Input!$W$7-1))</f>
        <v>0</v>
      </c>
      <c r="F253" s="276">
        <f ca="1">IF(A17stdlife="N/A","n/a",IF(E253=0,0,A17stdlife+D253-Input!$W$7))</f>
        <v>0</v>
      </c>
      <c r="G253" s="277"/>
      <c r="H253" s="634"/>
      <c r="I253" s="281">
        <v>4</v>
      </c>
      <c r="J253" s="276">
        <f ca="1">OFFSET('Tax value roll forward'!G$56,0,I253)-SUM('Tax value roll forward'!G302:OFFSET('Tax value roll forward'!G302,0,Input!$W$7))</f>
        <v>0</v>
      </c>
      <c r="K253" s="276">
        <f ca="1">IF(A17taxstdlife="N/A","n/a",IF(J253=0,0,A17taxstdlife+I253-Input!$W$7))</f>
        <v>0</v>
      </c>
      <c r="L253" s="280"/>
      <c r="M253" s="312"/>
      <c r="N253" s="312"/>
      <c r="O253" s="272"/>
      <c r="P253" s="272"/>
      <c r="Q253" s="272"/>
      <c r="R253" s="272"/>
      <c r="S253" s="259"/>
      <c r="T253" s="259"/>
      <c r="U253" s="259"/>
      <c r="V253" s="259"/>
      <c r="W253" s="259"/>
      <c r="X253" s="259"/>
      <c r="Y253" s="259"/>
      <c r="Z253" s="259"/>
    </row>
    <row r="254" spans="1:26" outlineLevel="1">
      <c r="A254" s="272"/>
      <c r="B254" s="272"/>
      <c r="C254" s="634"/>
      <c r="D254" s="281">
        <f>D$14</f>
        <v>5</v>
      </c>
      <c r="E254" s="276">
        <f ca="1">OFFSET('Actual RAB roll forward'!H$28,0,D254-1)-SUM('Actual RAB roll forward'!H258:OFFSET('Actual RAB roll forward'!H258,0,Input!$W$7-1))</f>
        <v>0</v>
      </c>
      <c r="F254" s="276">
        <f ca="1">IF(A17stdlife="N/A","n/a",IF(E254=0,0,A17stdlife+D254-Input!$W$7))</f>
        <v>0</v>
      </c>
      <c r="G254" s="277"/>
      <c r="H254" s="634"/>
      <c r="I254" s="281">
        <v>5</v>
      </c>
      <c r="J254" s="276">
        <f ca="1">OFFSET('Tax value roll forward'!G$56,0,I254)-SUM('Tax value roll forward'!G303:OFFSET('Tax value roll forward'!G303,0,Input!$W$7))</f>
        <v>0</v>
      </c>
      <c r="K254" s="276">
        <f ca="1">IF(A17taxstdlife="N/A","n/a",IF(J254=0,0,A17taxstdlife+I254-Input!$W$7))</f>
        <v>0</v>
      </c>
      <c r="L254" s="280"/>
      <c r="M254" s="312"/>
      <c r="N254" s="312"/>
      <c r="O254" s="272"/>
      <c r="P254" s="272"/>
      <c r="Q254" s="272"/>
      <c r="R254" s="272"/>
      <c r="S254" s="259"/>
      <c r="T254" s="259"/>
      <c r="U254" s="259"/>
      <c r="V254" s="259"/>
      <c r="W254" s="259"/>
      <c r="X254" s="259"/>
      <c r="Y254" s="259"/>
      <c r="Z254" s="259"/>
    </row>
    <row r="255" spans="1:26" outlineLevel="1">
      <c r="A255" s="272"/>
      <c r="B255" s="272"/>
      <c r="C255" s="634"/>
      <c r="D255" s="281">
        <f>D$15</f>
        <v>6</v>
      </c>
      <c r="E255" s="276">
        <f ca="1">OFFSET('Actual RAB roll forward'!H$28,0,D255-1)-SUM('Actual RAB roll forward'!H259:OFFSET('Actual RAB roll forward'!H259,0,Input!$W$7-1))</f>
        <v>0</v>
      </c>
      <c r="F255" s="276">
        <f ca="1">IF(A17stdlife="N/A","n/a",IF(E255=0,0,A17stdlife+D255-Input!$W$7))</f>
        <v>0</v>
      </c>
      <c r="G255" s="277"/>
      <c r="H255" s="634"/>
      <c r="I255" s="281">
        <v>6</v>
      </c>
      <c r="J255" s="276">
        <f ca="1">OFFSET('Tax value roll forward'!G$56,0,I255)-SUM('Tax value roll forward'!G304:OFFSET('Tax value roll forward'!G304,0,Input!$W$7))</f>
        <v>0</v>
      </c>
      <c r="K255" s="276">
        <f ca="1">IF(A17taxstdlife="N/A","n/a",IF(J255=0,0,A17taxstdlife+I255-Input!$W$7))</f>
        <v>0</v>
      </c>
      <c r="L255" s="280"/>
      <c r="M255" s="312"/>
      <c r="N255" s="312"/>
      <c r="O255" s="272"/>
      <c r="P255" s="272"/>
      <c r="Q255" s="272"/>
      <c r="R255" s="272"/>
      <c r="S255" s="259"/>
      <c r="T255" s="259"/>
      <c r="U255" s="259"/>
      <c r="V255" s="259"/>
      <c r="W255" s="259"/>
      <c r="X255" s="259"/>
      <c r="Y255" s="259"/>
      <c r="Z255" s="259"/>
    </row>
    <row r="256" spans="1:26" outlineLevel="1">
      <c r="A256" s="272"/>
      <c r="B256" s="272"/>
      <c r="C256" s="634"/>
      <c r="D256" s="281">
        <f>D$16</f>
        <v>7</v>
      </c>
      <c r="E256" s="276">
        <f ca="1">OFFSET('Actual RAB roll forward'!H$28,0,D256-1)-SUM('Actual RAB roll forward'!H260:OFFSET('Actual RAB roll forward'!H260,0,Input!$W$7-1))</f>
        <v>0</v>
      </c>
      <c r="F256" s="276">
        <f ca="1">IF(A17stdlife="N/A","n/a",IF(E256=0,0,A17stdlife+D256-Input!$W$7))</f>
        <v>0</v>
      </c>
      <c r="G256" s="277"/>
      <c r="H256" s="634"/>
      <c r="I256" s="281">
        <v>7</v>
      </c>
      <c r="J256" s="276">
        <f ca="1">OFFSET('Tax value roll forward'!G$56,0,I256)-SUM('Tax value roll forward'!G305:OFFSET('Tax value roll forward'!G305,0,Input!$W$7))</f>
        <v>0</v>
      </c>
      <c r="K256" s="276">
        <f ca="1">IF(A17taxstdlife="N/A","n/a",IF(J256=0,0,A17taxstdlife+I256-Input!$W$7))</f>
        <v>0</v>
      </c>
      <c r="L256" s="280"/>
      <c r="M256" s="312"/>
      <c r="N256" s="312"/>
      <c r="O256" s="272"/>
      <c r="P256" s="272"/>
      <c r="Q256" s="272"/>
      <c r="R256" s="272"/>
      <c r="S256" s="259"/>
      <c r="T256" s="259"/>
      <c r="U256" s="259"/>
      <c r="V256" s="259"/>
      <c r="W256" s="259"/>
      <c r="X256" s="259"/>
      <c r="Y256" s="259"/>
      <c r="Z256" s="259"/>
    </row>
    <row r="257" spans="1:26" outlineLevel="1">
      <c r="A257" s="272"/>
      <c r="B257" s="272"/>
      <c r="C257" s="634"/>
      <c r="D257" s="281">
        <f>D$17</f>
        <v>8</v>
      </c>
      <c r="E257" s="276">
        <f ca="1">OFFSET('Actual RAB roll forward'!H$28,0,D257-1)-SUM('Actual RAB roll forward'!H261:OFFSET('Actual RAB roll forward'!H261,0,Input!$W$7-1))</f>
        <v>0</v>
      </c>
      <c r="F257" s="276">
        <f ca="1">IF(A17stdlife="N/A","n/a",IF(E257=0,0,A17stdlife+D257-Input!$W$7))</f>
        <v>0</v>
      </c>
      <c r="G257" s="277"/>
      <c r="H257" s="634"/>
      <c r="I257" s="281">
        <v>8</v>
      </c>
      <c r="J257" s="276">
        <f ca="1">OFFSET('Tax value roll forward'!G$56,0,I257)-SUM('Tax value roll forward'!G306:OFFSET('Tax value roll forward'!G306,0,Input!$W$7))</f>
        <v>0</v>
      </c>
      <c r="K257" s="276">
        <f ca="1">IF(A17taxstdlife="N/A","n/a",IF(J257=0,0,A17taxstdlife+I257-Input!$W$7))</f>
        <v>0</v>
      </c>
      <c r="L257" s="280"/>
      <c r="M257" s="312"/>
      <c r="N257" s="312"/>
      <c r="O257" s="272"/>
      <c r="P257" s="272"/>
      <c r="Q257" s="272"/>
      <c r="R257" s="272"/>
      <c r="S257" s="259"/>
      <c r="T257" s="259"/>
      <c r="U257" s="259"/>
      <c r="V257" s="259"/>
      <c r="W257" s="259"/>
      <c r="X257" s="259"/>
      <c r="Y257" s="259"/>
      <c r="Z257" s="259"/>
    </row>
    <row r="258" spans="1:26" outlineLevel="1">
      <c r="A258" s="272"/>
      <c r="B258" s="272"/>
      <c r="C258" s="634"/>
      <c r="D258" s="281">
        <f>D$18</f>
        <v>9</v>
      </c>
      <c r="E258" s="276">
        <f ca="1">OFFSET('Actual RAB roll forward'!H$28,0,D258-1)-SUM('Actual RAB roll forward'!H262:OFFSET('Actual RAB roll forward'!H262,0,Input!$W$7-1))</f>
        <v>0</v>
      </c>
      <c r="F258" s="276">
        <f ca="1">IF(A17stdlife="N/A","n/a",IF(E258=0,0,A17stdlife+D258-Input!$W$7))</f>
        <v>0</v>
      </c>
      <c r="G258" s="277"/>
      <c r="H258" s="634"/>
      <c r="I258" s="281">
        <v>9</v>
      </c>
      <c r="J258" s="276">
        <f ca="1">OFFSET('Tax value roll forward'!G$56,0,I258)-SUM('Tax value roll forward'!G307:OFFSET('Tax value roll forward'!G307,0,Input!$W$7))</f>
        <v>0</v>
      </c>
      <c r="K258" s="276">
        <f ca="1">IF(A17taxstdlife="N/A","n/a",IF(J258=0,0,A17taxstdlife+I258-Input!$W$7))</f>
        <v>0</v>
      </c>
      <c r="L258" s="280"/>
      <c r="M258" s="312"/>
      <c r="N258" s="312"/>
      <c r="O258" s="272"/>
      <c r="P258" s="272"/>
      <c r="Q258" s="272"/>
      <c r="R258" s="272"/>
      <c r="S258" s="259"/>
      <c r="T258" s="259"/>
      <c r="U258" s="259"/>
      <c r="V258" s="259"/>
      <c r="W258" s="259"/>
      <c r="X258" s="259"/>
      <c r="Y258" s="259"/>
      <c r="Z258" s="259"/>
    </row>
    <row r="259" spans="1:26" outlineLevel="1">
      <c r="A259" s="272"/>
      <c r="B259" s="272"/>
      <c r="C259" s="635"/>
      <c r="D259" s="282">
        <f>D$19</f>
        <v>10</v>
      </c>
      <c r="E259" s="276">
        <f ca="1">OFFSET('Actual RAB roll forward'!H$28,0,D259-1)-SUM('Actual RAB roll forward'!H263:OFFSET('Actual RAB roll forward'!H263,0,Input!$W$7-1))</f>
        <v>0</v>
      </c>
      <c r="F259" s="276">
        <f ca="1">IF(A17stdlife="N/A","n/a",IF(E259=0,0,A17stdlife+D259-Input!$W$7))</f>
        <v>0</v>
      </c>
      <c r="G259" s="277"/>
      <c r="H259" s="635"/>
      <c r="I259" s="282">
        <v>10</v>
      </c>
      <c r="J259" s="276">
        <f ca="1">OFFSET('Tax value roll forward'!G$56,0,I259)-SUM('Tax value roll forward'!G308:OFFSET('Tax value roll forward'!G308,0,Input!$W$7))</f>
        <v>0</v>
      </c>
      <c r="K259" s="276">
        <f ca="1">IF(A17taxstdlife="N/A","n/a",IF(J259=0,0,A17taxstdlife+I259-Input!$W$7))</f>
        <v>0</v>
      </c>
      <c r="M259" s="312"/>
      <c r="N259" s="312"/>
      <c r="O259" s="272"/>
      <c r="P259" s="272"/>
      <c r="Q259" s="272"/>
      <c r="R259" s="272"/>
      <c r="S259" s="259"/>
      <c r="T259" s="259"/>
      <c r="U259" s="259"/>
      <c r="V259" s="259"/>
      <c r="W259" s="259"/>
      <c r="X259" s="259"/>
      <c r="Y259" s="259"/>
      <c r="Z259" s="259"/>
    </row>
    <row r="260" spans="1:26">
      <c r="A260" s="272"/>
      <c r="B260" s="272"/>
      <c r="C260" s="292">
        <f>Asset17</f>
        <v>0</v>
      </c>
      <c r="D260" s="272"/>
      <c r="E260" s="276">
        <f ca="1">SUM(E248:E259)</f>
        <v>0</v>
      </c>
      <c r="F260" s="276">
        <f ca="1">IF(E260=0,0,SUMPRODUCT(E248:E259,F248:F259)/E260)</f>
        <v>0</v>
      </c>
      <c r="G260" s="277"/>
      <c r="H260" s="284"/>
      <c r="I260" s="276"/>
      <c r="J260" s="311">
        <f ca="1">SUM(J248:J259)</f>
        <v>0</v>
      </c>
      <c r="K260" s="311">
        <f ca="1">IF(J260=0,0,SUMPRODUCT(J248:J259,K248:K259)/J260)</f>
        <v>0</v>
      </c>
      <c r="L260" s="280"/>
      <c r="M260" s="312"/>
      <c r="N260" s="312"/>
      <c r="O260" s="272"/>
      <c r="P260" s="272"/>
      <c r="Q260" s="272"/>
      <c r="R260" s="272"/>
      <c r="S260" s="259"/>
      <c r="T260" s="259"/>
      <c r="U260" s="259"/>
      <c r="V260" s="259"/>
      <c r="W260" s="259"/>
      <c r="X260" s="259"/>
      <c r="Y260" s="259"/>
      <c r="Z260" s="259"/>
    </row>
    <row r="261" spans="1:26" outlineLevel="1">
      <c r="A261" s="272"/>
      <c r="B261" s="272"/>
      <c r="C261" s="292"/>
      <c r="D261" s="272"/>
      <c r="E261" s="276"/>
      <c r="F261" s="276"/>
      <c r="G261" s="277"/>
      <c r="H261" s="276"/>
      <c r="I261" s="276"/>
      <c r="J261" s="290"/>
      <c r="K261" s="276"/>
      <c r="L261" s="280"/>
      <c r="M261" s="312"/>
      <c r="N261" s="312"/>
      <c r="O261" s="272"/>
      <c r="P261" s="272"/>
      <c r="Q261" s="272"/>
      <c r="R261" s="272"/>
      <c r="S261" s="259"/>
      <c r="T261" s="259"/>
      <c r="U261" s="259"/>
      <c r="V261" s="259"/>
      <c r="W261" s="259"/>
      <c r="X261" s="259"/>
      <c r="Y261" s="259"/>
      <c r="Z261" s="259"/>
    </row>
    <row r="262" spans="1:26" outlineLevel="1">
      <c r="A262" s="272"/>
      <c r="B262" s="275">
        <f>Asset18</f>
        <v>0</v>
      </c>
      <c r="C262" s="272"/>
      <c r="D262" s="272"/>
      <c r="E262" s="293"/>
      <c r="F262" s="293"/>
      <c r="G262" s="277"/>
      <c r="H262" s="276"/>
      <c r="I262" s="276"/>
      <c r="J262" s="290"/>
      <c r="K262" s="276"/>
      <c r="L262" s="280"/>
      <c r="M262" s="312"/>
      <c r="N262" s="312"/>
      <c r="O262" s="272"/>
      <c r="P262" s="272"/>
      <c r="Q262" s="272"/>
      <c r="R262" s="272"/>
      <c r="S262" s="259"/>
      <c r="T262" s="259"/>
      <c r="U262" s="259"/>
      <c r="V262" s="259"/>
      <c r="W262" s="259"/>
      <c r="X262" s="259"/>
      <c r="Y262" s="259"/>
      <c r="Z262" s="259"/>
    </row>
    <row r="263" spans="1:26" ht="12.75" customHeight="1" outlineLevel="1">
      <c r="A263" s="272"/>
      <c r="B263" s="272"/>
      <c r="C263" s="626" t="s">
        <v>28</v>
      </c>
      <c r="D263" s="627"/>
      <c r="E263" s="276">
        <f ca="1">A18value-SUM('Actual RAB roll forward'!H265:OFFSET('Actual RAB roll forward'!H265,0,Input!$W$7-1))</f>
        <v>0</v>
      </c>
      <c r="F263" s="276">
        <f ca="1">IF(A18remlife="N/A","n/a",IF(E263=0,0,A18remlife-Input!$W$7))</f>
        <v>0</v>
      </c>
      <c r="G263" s="277"/>
      <c r="H263" s="278" t="s">
        <v>67</v>
      </c>
      <c r="I263" s="279"/>
      <c r="J263" s="276">
        <f ca="1">A18taxvalue-SUM('Tax value roll forward'!G310:OFFSET('Tax value roll forward'!G310,0,Input!$W$7))</f>
        <v>0</v>
      </c>
      <c r="K263" s="276">
        <f ca="1">IF(A18taxremlife="N/A","n/a",IF(J263=0,0,A18taxremlife-Input!$W$7-1))</f>
        <v>0</v>
      </c>
      <c r="L263" s="280"/>
      <c r="M263" s="312"/>
      <c r="N263" s="312"/>
      <c r="O263" s="272"/>
      <c r="P263" s="272"/>
      <c r="Q263" s="272"/>
      <c r="R263" s="272"/>
      <c r="S263" s="259"/>
      <c r="T263" s="259"/>
      <c r="U263" s="259"/>
      <c r="V263" s="259"/>
      <c r="W263" s="259"/>
      <c r="X263" s="259"/>
      <c r="Y263" s="259"/>
      <c r="Z263" s="259"/>
    </row>
    <row r="264" spans="1:26" ht="12.75" customHeight="1" outlineLevel="1">
      <c r="A264" s="272"/>
      <c r="B264" s="272"/>
      <c r="C264" s="633" t="s">
        <v>84</v>
      </c>
      <c r="D264" s="322">
        <f>D$9</f>
        <v>0</v>
      </c>
      <c r="E264" s="276"/>
      <c r="F264" s="276"/>
      <c r="G264" s="277"/>
      <c r="H264" s="633" t="s">
        <v>84</v>
      </c>
      <c r="I264" s="322">
        <v>0</v>
      </c>
      <c r="J264" s="276">
        <f ca="1">OFFSET('Tax value roll forward'!G$57,0,I264)-SUM('Tax value roll forward'!G312:OFFSET('Tax value roll forward'!G312,0,Input!$W$7))</f>
        <v>0</v>
      </c>
      <c r="K264" s="276">
        <f ca="1">IF(A18taxstdlife="N/A","n/a",IF(J264=0,0,A18taxstdlife+I264-Input!$W$7))</f>
        <v>0</v>
      </c>
      <c r="L264" s="280"/>
      <c r="M264" s="312"/>
      <c r="N264" s="312"/>
      <c r="O264" s="272"/>
      <c r="P264" s="272"/>
      <c r="Q264" s="272"/>
      <c r="R264" s="272"/>
      <c r="S264" s="259"/>
      <c r="T264" s="259"/>
      <c r="U264" s="259"/>
      <c r="V264" s="259"/>
      <c r="W264" s="259"/>
      <c r="X264" s="259"/>
      <c r="Y264" s="259"/>
      <c r="Z264" s="259"/>
    </row>
    <row r="265" spans="1:26" ht="12.75" customHeight="1" outlineLevel="1">
      <c r="A265" s="272"/>
      <c r="B265" s="272"/>
      <c r="C265" s="634"/>
      <c r="D265" s="281">
        <f>D$10</f>
        <v>1</v>
      </c>
      <c r="E265" s="276">
        <f ca="1">OFFSET('Actual RAB roll forward'!H$29,0,D265-1)-SUM('Actual RAB roll forward'!H267:OFFSET('Actual RAB roll forward'!H267,0,Input!$W$7-1))</f>
        <v>0</v>
      </c>
      <c r="F265" s="276">
        <f ca="1">IF(A18stdlife="N/A","n/a",IF(E265=0,0,A18stdlife+D265-Input!$W$7))</f>
        <v>0</v>
      </c>
      <c r="G265" s="277"/>
      <c r="H265" s="634"/>
      <c r="I265" s="281">
        <v>1</v>
      </c>
      <c r="J265" s="276">
        <f ca="1">OFFSET('Tax value roll forward'!G$57,0,I265)-SUM('Tax value roll forward'!G313:OFFSET('Tax value roll forward'!G313,0,Input!$W$7))</f>
        <v>0</v>
      </c>
      <c r="K265" s="276">
        <f ca="1">IF(A18taxstdlife="N/A","n/a",IF(J265=0,0,A18taxstdlife+I265-Input!$W$7))</f>
        <v>0</v>
      </c>
      <c r="L265" s="280"/>
      <c r="M265" s="312"/>
      <c r="N265" s="312"/>
      <c r="O265" s="272"/>
      <c r="P265" s="272"/>
      <c r="Q265" s="272"/>
      <c r="R265" s="272"/>
      <c r="S265" s="259"/>
      <c r="T265" s="259"/>
      <c r="U265" s="259"/>
      <c r="V265" s="259"/>
      <c r="W265" s="259"/>
      <c r="X265" s="259"/>
      <c r="Y265" s="259"/>
      <c r="Z265" s="259"/>
    </row>
    <row r="266" spans="1:26" outlineLevel="1">
      <c r="A266" s="272"/>
      <c r="B266" s="272"/>
      <c r="C266" s="634"/>
      <c r="D266" s="281">
        <f>D$11</f>
        <v>2</v>
      </c>
      <c r="E266" s="276">
        <f ca="1">OFFSET('Actual RAB roll forward'!H$29,0,D266-1)-SUM('Actual RAB roll forward'!H268:OFFSET('Actual RAB roll forward'!H268,0,Input!$W$7-1))</f>
        <v>0</v>
      </c>
      <c r="F266" s="276">
        <f ca="1">IF(A18stdlife="N/A","n/a",IF(E266=0,0,A18stdlife+D266-Input!$W$7))</f>
        <v>0</v>
      </c>
      <c r="G266" s="277"/>
      <c r="H266" s="634"/>
      <c r="I266" s="281">
        <v>2</v>
      </c>
      <c r="J266" s="276">
        <f ca="1">OFFSET('Tax value roll forward'!G$57,0,I266)-SUM('Tax value roll forward'!G314:OFFSET('Tax value roll forward'!G314,0,Input!$W$7))</f>
        <v>0</v>
      </c>
      <c r="K266" s="276">
        <f ca="1">IF(A18taxstdlife="N/A","n/a",IF(J266=0,0,A18taxstdlife+I266-Input!$W$7))</f>
        <v>0</v>
      </c>
      <c r="L266" s="280"/>
      <c r="M266" s="312"/>
      <c r="N266" s="312"/>
      <c r="O266" s="272"/>
      <c r="P266" s="272"/>
      <c r="Q266" s="272"/>
      <c r="R266" s="272"/>
      <c r="S266" s="259"/>
      <c r="T266" s="259"/>
      <c r="U266" s="259"/>
      <c r="V266" s="259"/>
      <c r="W266" s="259"/>
      <c r="X266" s="259"/>
      <c r="Y266" s="259"/>
      <c r="Z266" s="259"/>
    </row>
    <row r="267" spans="1:26" outlineLevel="1">
      <c r="A267" s="272"/>
      <c r="B267" s="272"/>
      <c r="C267" s="634"/>
      <c r="D267" s="281">
        <f>D$12</f>
        <v>3</v>
      </c>
      <c r="E267" s="276">
        <f ca="1">OFFSET('Actual RAB roll forward'!H$29,0,D267-1)-SUM('Actual RAB roll forward'!H269:OFFSET('Actual RAB roll forward'!H269,0,Input!$W$7-1))</f>
        <v>0</v>
      </c>
      <c r="F267" s="276">
        <f ca="1">IF(A18stdlife="N/A","n/a",IF(E267=0,0,A18stdlife+D267-Input!$W$7))</f>
        <v>0</v>
      </c>
      <c r="G267" s="277"/>
      <c r="H267" s="634"/>
      <c r="I267" s="281">
        <v>3</v>
      </c>
      <c r="J267" s="276">
        <f ca="1">OFFSET('Tax value roll forward'!G$57,0,I267)-SUM('Tax value roll forward'!G315:OFFSET('Tax value roll forward'!G315,0,Input!$W$7))</f>
        <v>0</v>
      </c>
      <c r="K267" s="276">
        <f ca="1">IF(A18taxstdlife="N/A","n/a",IF(J267=0,0,A18taxstdlife+I267-Input!$W$7))</f>
        <v>0</v>
      </c>
      <c r="L267" s="280"/>
      <c r="M267" s="312"/>
      <c r="N267" s="312"/>
      <c r="O267" s="272"/>
      <c r="P267" s="272"/>
      <c r="Q267" s="272"/>
      <c r="R267" s="272"/>
      <c r="S267" s="259"/>
      <c r="T267" s="259"/>
      <c r="U267" s="259"/>
      <c r="V267" s="259"/>
      <c r="W267" s="259"/>
      <c r="X267" s="259"/>
      <c r="Y267" s="259"/>
      <c r="Z267" s="259"/>
    </row>
    <row r="268" spans="1:26" outlineLevel="1">
      <c r="A268" s="272"/>
      <c r="B268" s="272"/>
      <c r="C268" s="634"/>
      <c r="D268" s="281">
        <f>D$13</f>
        <v>4</v>
      </c>
      <c r="E268" s="276">
        <f ca="1">OFFSET('Actual RAB roll forward'!H$29,0,D268-1)-SUM('Actual RAB roll forward'!H270:OFFSET('Actual RAB roll forward'!H270,0,Input!$W$7-1))</f>
        <v>0</v>
      </c>
      <c r="F268" s="276">
        <f ca="1">IF(A18stdlife="N/A","n/a",IF(E268=0,0,A18stdlife+D268-Input!$W$7))</f>
        <v>0</v>
      </c>
      <c r="G268" s="277"/>
      <c r="H268" s="634"/>
      <c r="I268" s="281">
        <v>4</v>
      </c>
      <c r="J268" s="276">
        <f ca="1">OFFSET('Tax value roll forward'!G$57,0,I268)-SUM('Tax value roll forward'!G316:OFFSET('Tax value roll forward'!G316,0,Input!$W$7))</f>
        <v>0</v>
      </c>
      <c r="K268" s="276">
        <f ca="1">IF(A18taxstdlife="N/A","n/a",IF(J268=0,0,A18taxstdlife+I268-Input!$W$7))</f>
        <v>0</v>
      </c>
      <c r="L268" s="280"/>
      <c r="M268" s="312"/>
      <c r="N268" s="312"/>
      <c r="O268" s="272"/>
      <c r="P268" s="272"/>
      <c r="Q268" s="272"/>
      <c r="R268" s="272"/>
      <c r="S268" s="259"/>
      <c r="T268" s="259"/>
      <c r="U268" s="259"/>
      <c r="V268" s="259"/>
      <c r="W268" s="259"/>
      <c r="X268" s="259"/>
      <c r="Y268" s="259"/>
      <c r="Z268" s="259"/>
    </row>
    <row r="269" spans="1:26" outlineLevel="1">
      <c r="A269" s="272"/>
      <c r="B269" s="272"/>
      <c r="C269" s="634"/>
      <c r="D269" s="281">
        <f>D$14</f>
        <v>5</v>
      </c>
      <c r="E269" s="276">
        <f ca="1">OFFSET('Actual RAB roll forward'!H$29,0,D269-1)-SUM('Actual RAB roll forward'!H271:OFFSET('Actual RAB roll forward'!H271,0,Input!$W$7-1))</f>
        <v>0</v>
      </c>
      <c r="F269" s="276">
        <f ca="1">IF(A18stdlife="N/A","n/a",IF(E269=0,0,A18stdlife+D269-Input!$W$7))</f>
        <v>0</v>
      </c>
      <c r="G269" s="277"/>
      <c r="H269" s="634"/>
      <c r="I269" s="281">
        <v>5</v>
      </c>
      <c r="J269" s="276">
        <f ca="1">OFFSET('Tax value roll forward'!G$57,0,I269)-SUM('Tax value roll forward'!G317:OFFSET('Tax value roll forward'!G317,0,Input!$W$7))</f>
        <v>0</v>
      </c>
      <c r="K269" s="276">
        <f ca="1">IF(A18taxstdlife="N/A","n/a",IF(J269=0,0,A18taxstdlife+I269-Input!$W$7))</f>
        <v>0</v>
      </c>
      <c r="L269" s="280"/>
      <c r="M269" s="312"/>
      <c r="N269" s="312"/>
      <c r="O269" s="272"/>
      <c r="P269" s="272"/>
      <c r="Q269" s="272"/>
      <c r="R269" s="272"/>
      <c r="S269" s="259"/>
      <c r="T269" s="259"/>
      <c r="U269" s="259"/>
      <c r="V269" s="259"/>
      <c r="W269" s="259"/>
      <c r="X269" s="259"/>
      <c r="Y269" s="259"/>
      <c r="Z269" s="259"/>
    </row>
    <row r="270" spans="1:26" outlineLevel="1">
      <c r="A270" s="272"/>
      <c r="B270" s="272"/>
      <c r="C270" s="634"/>
      <c r="D270" s="281">
        <f>D$15</f>
        <v>6</v>
      </c>
      <c r="E270" s="276">
        <f ca="1">OFFSET('Actual RAB roll forward'!H$29,0,D270-1)-SUM('Actual RAB roll forward'!H272:OFFSET('Actual RAB roll forward'!H272,0,Input!$W$7-1))</f>
        <v>0</v>
      </c>
      <c r="F270" s="276">
        <f ca="1">IF(A18stdlife="N/A","n/a",IF(E270=0,0,A18stdlife+D270-Input!$W$7))</f>
        <v>0</v>
      </c>
      <c r="G270" s="277"/>
      <c r="H270" s="634"/>
      <c r="I270" s="281">
        <v>6</v>
      </c>
      <c r="J270" s="276">
        <f ca="1">OFFSET('Tax value roll forward'!G$57,0,I270)-SUM('Tax value roll forward'!G318:OFFSET('Tax value roll forward'!G318,0,Input!$W$7))</f>
        <v>0</v>
      </c>
      <c r="K270" s="276">
        <f ca="1">IF(A18taxstdlife="N/A","n/a",IF(J270=0,0,A18taxstdlife+I270-Input!$W$7))</f>
        <v>0</v>
      </c>
      <c r="L270" s="280"/>
      <c r="M270" s="312"/>
      <c r="N270" s="312"/>
      <c r="O270" s="272"/>
      <c r="P270" s="272"/>
      <c r="Q270" s="272"/>
      <c r="R270" s="272"/>
      <c r="S270" s="259"/>
      <c r="T270" s="259"/>
      <c r="U270" s="259"/>
      <c r="V270" s="259"/>
      <c r="W270" s="259"/>
      <c r="X270" s="259"/>
      <c r="Y270" s="259"/>
      <c r="Z270" s="259"/>
    </row>
    <row r="271" spans="1:26" outlineLevel="1">
      <c r="A271" s="272"/>
      <c r="B271" s="272"/>
      <c r="C271" s="634"/>
      <c r="D271" s="281">
        <f>D$16</f>
        <v>7</v>
      </c>
      <c r="E271" s="276">
        <f ca="1">OFFSET('Actual RAB roll forward'!H$29,0,D271-1)-SUM('Actual RAB roll forward'!H273:OFFSET('Actual RAB roll forward'!H273,0,Input!$W$7-1))</f>
        <v>0</v>
      </c>
      <c r="F271" s="276">
        <f ca="1">IF(A18stdlife="N/A","n/a",IF(E271=0,0,A18stdlife+D271-Input!$W$7))</f>
        <v>0</v>
      </c>
      <c r="G271" s="277"/>
      <c r="H271" s="634"/>
      <c r="I271" s="281">
        <v>7</v>
      </c>
      <c r="J271" s="276">
        <f ca="1">OFFSET('Tax value roll forward'!G$57,0,I271)-SUM('Tax value roll forward'!G319:OFFSET('Tax value roll forward'!G319,0,Input!$W$7))</f>
        <v>0</v>
      </c>
      <c r="K271" s="276">
        <f ca="1">IF(A18taxstdlife="N/A","n/a",IF(J271=0,0,A18taxstdlife+I271-Input!$W$7))</f>
        <v>0</v>
      </c>
      <c r="L271" s="280"/>
      <c r="M271" s="312"/>
      <c r="N271" s="312"/>
      <c r="O271" s="272"/>
      <c r="P271" s="272"/>
      <c r="Q271" s="272"/>
      <c r="R271" s="272"/>
      <c r="S271" s="259"/>
      <c r="T271" s="259"/>
      <c r="U271" s="259"/>
      <c r="V271" s="259"/>
      <c r="W271" s="259"/>
      <c r="X271" s="259"/>
      <c r="Y271" s="259"/>
      <c r="Z271" s="259"/>
    </row>
    <row r="272" spans="1:26" outlineLevel="1">
      <c r="A272" s="272"/>
      <c r="B272" s="272"/>
      <c r="C272" s="634"/>
      <c r="D272" s="281">
        <f>D$17</f>
        <v>8</v>
      </c>
      <c r="E272" s="276">
        <f ca="1">OFFSET('Actual RAB roll forward'!H$29,0,D272-1)-SUM('Actual RAB roll forward'!H274:OFFSET('Actual RAB roll forward'!H274,0,Input!$W$7-1))</f>
        <v>0</v>
      </c>
      <c r="F272" s="276">
        <f ca="1">IF(A18stdlife="N/A","n/a",IF(E272=0,0,A18stdlife+D272-Input!$W$7))</f>
        <v>0</v>
      </c>
      <c r="G272" s="277"/>
      <c r="H272" s="634"/>
      <c r="I272" s="281">
        <v>8</v>
      </c>
      <c r="J272" s="276">
        <f ca="1">OFFSET('Tax value roll forward'!G$57,0,I272)-SUM('Tax value roll forward'!G320:OFFSET('Tax value roll forward'!G320,0,Input!$W$7))</f>
        <v>0</v>
      </c>
      <c r="K272" s="276">
        <f ca="1">IF(A18taxstdlife="N/A","n/a",IF(J272=0,0,A18taxstdlife+I272-Input!$W$7))</f>
        <v>0</v>
      </c>
      <c r="L272" s="280"/>
      <c r="M272" s="312"/>
      <c r="N272" s="312"/>
      <c r="O272" s="272"/>
      <c r="P272" s="272"/>
      <c r="Q272" s="272"/>
      <c r="R272" s="272"/>
      <c r="S272" s="259"/>
      <c r="T272" s="259"/>
      <c r="U272" s="259"/>
      <c r="V272" s="259"/>
      <c r="W272" s="259"/>
      <c r="X272" s="259"/>
      <c r="Y272" s="259"/>
      <c r="Z272" s="259"/>
    </row>
    <row r="273" spans="1:26" outlineLevel="1">
      <c r="A273" s="272"/>
      <c r="B273" s="272"/>
      <c r="C273" s="634"/>
      <c r="D273" s="281">
        <f>D$18</f>
        <v>9</v>
      </c>
      <c r="E273" s="276">
        <f ca="1">OFFSET('Actual RAB roll forward'!H$29,0,D273-1)-SUM('Actual RAB roll forward'!H275:OFFSET('Actual RAB roll forward'!H275,0,Input!$W$7-1))</f>
        <v>0</v>
      </c>
      <c r="F273" s="276">
        <f ca="1">IF(A18stdlife="N/A","n/a",IF(E273=0,0,A18stdlife+D273-Input!$W$7))</f>
        <v>0</v>
      </c>
      <c r="G273" s="277"/>
      <c r="H273" s="634"/>
      <c r="I273" s="281">
        <v>9</v>
      </c>
      <c r="J273" s="276">
        <f ca="1">OFFSET('Tax value roll forward'!G$57,0,I273)-SUM('Tax value roll forward'!G321:OFFSET('Tax value roll forward'!G321,0,Input!$W$7))</f>
        <v>0</v>
      </c>
      <c r="K273" s="276">
        <f ca="1">IF(A18taxstdlife="N/A","n/a",IF(J273=0,0,A18taxstdlife+I273-Input!$W$7))</f>
        <v>0</v>
      </c>
      <c r="L273" s="280"/>
      <c r="M273" s="312"/>
      <c r="N273" s="312"/>
      <c r="O273" s="272"/>
      <c r="P273" s="272"/>
      <c r="Q273" s="272"/>
      <c r="R273" s="272"/>
      <c r="S273" s="259"/>
      <c r="T273" s="259"/>
      <c r="U273" s="259"/>
      <c r="V273" s="259"/>
      <c r="W273" s="259"/>
      <c r="X273" s="259"/>
      <c r="Y273" s="259"/>
      <c r="Z273" s="259"/>
    </row>
    <row r="274" spans="1:26" outlineLevel="1">
      <c r="A274" s="272"/>
      <c r="B274" s="272"/>
      <c r="C274" s="635"/>
      <c r="D274" s="282">
        <f>D$19</f>
        <v>10</v>
      </c>
      <c r="E274" s="276">
        <f ca="1">OFFSET('Actual RAB roll forward'!H$29,0,D274-1)-SUM('Actual RAB roll forward'!H276:OFFSET('Actual RAB roll forward'!H276,0,Input!$W$7-1))</f>
        <v>0</v>
      </c>
      <c r="F274" s="276">
        <f ca="1">IF(A18stdlife="N/A","n/a",IF(E274=0,0,A18stdlife+D274-Input!$W$7))</f>
        <v>0</v>
      </c>
      <c r="G274" s="277"/>
      <c r="H274" s="635"/>
      <c r="I274" s="282">
        <v>10</v>
      </c>
      <c r="J274" s="276">
        <f ca="1">OFFSET('Tax value roll forward'!G$57,0,I274)-SUM('Tax value roll forward'!G322:OFFSET('Tax value roll forward'!G322,0,Input!$W$7))</f>
        <v>0</v>
      </c>
      <c r="K274" s="276">
        <f ca="1">IF(A18taxstdlife="N/A","n/a",IF(J274=0,0,A18taxstdlife+I274-Input!$W$7))</f>
        <v>0</v>
      </c>
      <c r="M274" s="312"/>
      <c r="N274" s="312"/>
      <c r="O274" s="272"/>
      <c r="P274" s="272"/>
      <c r="Q274" s="272"/>
      <c r="R274" s="272"/>
      <c r="S274" s="259"/>
      <c r="T274" s="259"/>
      <c r="U274" s="259"/>
      <c r="V274" s="259"/>
      <c r="W274" s="259"/>
      <c r="X274" s="259"/>
      <c r="Y274" s="259"/>
      <c r="Z274" s="259"/>
    </row>
    <row r="275" spans="1:26">
      <c r="A275" s="272"/>
      <c r="B275" s="272"/>
      <c r="C275" s="292">
        <f>Asset18</f>
        <v>0</v>
      </c>
      <c r="D275" s="272"/>
      <c r="E275" s="276">
        <f ca="1">SUM(E263:E274)</f>
        <v>0</v>
      </c>
      <c r="F275" s="276">
        <f ca="1">IF(E275=0,0,SUMPRODUCT(E263:E274,F263:F274)/E275)</f>
        <v>0</v>
      </c>
      <c r="G275" s="277"/>
      <c r="H275" s="284"/>
      <c r="I275" s="276"/>
      <c r="J275" s="311">
        <f ca="1">SUM(J263:J274)</f>
        <v>0</v>
      </c>
      <c r="K275" s="311">
        <f ca="1">IF(J275=0,0,SUMPRODUCT(J263:J274,K263:K274)/J275)</f>
        <v>0</v>
      </c>
      <c r="L275" s="280"/>
      <c r="M275" s="312"/>
      <c r="N275" s="312"/>
      <c r="O275" s="272"/>
      <c r="P275" s="272"/>
      <c r="Q275" s="272"/>
      <c r="R275" s="272"/>
      <c r="S275" s="259"/>
      <c r="T275" s="259"/>
      <c r="U275" s="259"/>
      <c r="V275" s="259"/>
      <c r="W275" s="259"/>
      <c r="X275" s="259"/>
      <c r="Y275" s="259"/>
      <c r="Z275" s="259"/>
    </row>
    <row r="276" spans="1:26" outlineLevel="1">
      <c r="A276" s="272"/>
      <c r="B276" s="272"/>
      <c r="C276" s="292"/>
      <c r="D276" s="272"/>
      <c r="E276" s="276"/>
      <c r="F276" s="276"/>
      <c r="G276" s="277"/>
      <c r="H276" s="276"/>
      <c r="I276" s="276"/>
      <c r="J276" s="290"/>
      <c r="K276" s="276"/>
      <c r="L276" s="280"/>
      <c r="M276" s="312"/>
      <c r="N276" s="312"/>
      <c r="O276" s="272"/>
      <c r="P276" s="272"/>
      <c r="Q276" s="272"/>
      <c r="R276" s="272"/>
      <c r="S276" s="259"/>
      <c r="T276" s="259"/>
      <c r="U276" s="259"/>
      <c r="V276" s="259"/>
      <c r="W276" s="259"/>
      <c r="X276" s="259"/>
      <c r="Y276" s="259"/>
      <c r="Z276" s="259"/>
    </row>
    <row r="277" spans="1:26" outlineLevel="1">
      <c r="A277" s="272"/>
      <c r="B277" s="275">
        <f>Asset19</f>
        <v>0</v>
      </c>
      <c r="C277" s="272"/>
      <c r="D277" s="272"/>
      <c r="E277" s="293"/>
      <c r="F277" s="293"/>
      <c r="G277" s="277"/>
      <c r="H277" s="276"/>
      <c r="I277" s="276"/>
      <c r="J277" s="290"/>
      <c r="K277" s="276"/>
      <c r="L277" s="280"/>
      <c r="M277" s="312"/>
      <c r="N277" s="312"/>
      <c r="O277" s="272"/>
      <c r="P277" s="272"/>
      <c r="Q277" s="272"/>
      <c r="R277" s="272"/>
      <c r="S277" s="259"/>
      <c r="T277" s="259"/>
      <c r="U277" s="259"/>
      <c r="V277" s="259"/>
      <c r="W277" s="259"/>
      <c r="X277" s="259"/>
      <c r="Y277" s="259"/>
      <c r="Z277" s="259"/>
    </row>
    <row r="278" spans="1:26" ht="12.75" customHeight="1" outlineLevel="1">
      <c r="A278" s="272"/>
      <c r="B278" s="272"/>
      <c r="C278" s="626" t="s">
        <v>28</v>
      </c>
      <c r="D278" s="627"/>
      <c r="E278" s="276">
        <f ca="1">A19value-SUM('Actual RAB roll forward'!H278:OFFSET('Actual RAB roll forward'!H278,0,Input!$W$7-1))</f>
        <v>0</v>
      </c>
      <c r="F278" s="276">
        <f ca="1">IF(A19remlife="N/A","n/a",IF(E278=0,0,A19remlife-Input!$W$7))</f>
        <v>0</v>
      </c>
      <c r="G278" s="277"/>
      <c r="H278" s="278" t="s">
        <v>67</v>
      </c>
      <c r="I278" s="279"/>
      <c r="J278" s="276">
        <f ca="1">A19taxvalue-SUM('Tax value roll forward'!G324:OFFSET('Tax value roll forward'!G324,0,Input!$W$7))</f>
        <v>0</v>
      </c>
      <c r="K278" s="276">
        <f ca="1">IF(A19taxremlife="N/A","n/a",IF(J278=0,0,A19taxremlife-Input!$W$7-1))</f>
        <v>0</v>
      </c>
      <c r="L278" s="280"/>
      <c r="M278" s="312"/>
      <c r="N278" s="312"/>
      <c r="O278" s="272"/>
      <c r="P278" s="272"/>
      <c r="Q278" s="272"/>
      <c r="R278" s="272"/>
      <c r="S278" s="259"/>
      <c r="T278" s="259"/>
      <c r="U278" s="259"/>
      <c r="V278" s="259"/>
      <c r="W278" s="259"/>
      <c r="X278" s="259"/>
      <c r="Y278" s="259"/>
      <c r="Z278" s="259"/>
    </row>
    <row r="279" spans="1:26" ht="12.75" customHeight="1" outlineLevel="1">
      <c r="A279" s="272"/>
      <c r="B279" s="272"/>
      <c r="C279" s="633" t="s">
        <v>84</v>
      </c>
      <c r="D279" s="322">
        <f>D$9</f>
        <v>0</v>
      </c>
      <c r="E279" s="276"/>
      <c r="F279" s="276"/>
      <c r="G279" s="277"/>
      <c r="H279" s="633" t="s">
        <v>84</v>
      </c>
      <c r="I279" s="322">
        <v>0</v>
      </c>
      <c r="J279" s="276">
        <f ca="1">OFFSET('Tax value roll forward'!G$58,0,I279)-SUM('Tax value roll forward'!G326:OFFSET('Tax value roll forward'!G326,0,Input!$W$7))</f>
        <v>0</v>
      </c>
      <c r="K279" s="276">
        <f ca="1">IF(A19taxstdlife="N/A","n/a",IF(J279=0,0,A19taxstdlife+I279-Input!$W$7))</f>
        <v>0</v>
      </c>
      <c r="L279" s="280"/>
      <c r="M279" s="312"/>
      <c r="N279" s="312"/>
      <c r="O279" s="272"/>
      <c r="P279" s="272"/>
      <c r="Q279" s="272"/>
      <c r="R279" s="272"/>
      <c r="S279" s="259"/>
      <c r="T279" s="259"/>
      <c r="U279" s="259"/>
      <c r="V279" s="259"/>
      <c r="W279" s="259"/>
      <c r="X279" s="259"/>
      <c r="Y279" s="259"/>
      <c r="Z279" s="259"/>
    </row>
    <row r="280" spans="1:26" ht="12.75" customHeight="1" outlineLevel="1">
      <c r="A280" s="272"/>
      <c r="B280" s="272"/>
      <c r="C280" s="634"/>
      <c r="D280" s="281">
        <f>D$10</f>
        <v>1</v>
      </c>
      <c r="E280" s="276">
        <f ca="1">OFFSET('Actual RAB roll forward'!H$30,0,D280-1)-SUM('Actual RAB roll forward'!H280:OFFSET('Actual RAB roll forward'!H280,0,Input!$W$7-1))</f>
        <v>0</v>
      </c>
      <c r="F280" s="276">
        <f ca="1">IF(A19stdlife="N/A","n/a",IF(E280=0,0,A19stdlife+D280-Input!$W$7))</f>
        <v>0</v>
      </c>
      <c r="G280" s="277"/>
      <c r="H280" s="634"/>
      <c r="I280" s="281">
        <v>1</v>
      </c>
      <c r="J280" s="276">
        <f ca="1">OFFSET('Tax value roll forward'!G$58,0,I280)-SUM('Tax value roll forward'!G327:OFFSET('Tax value roll forward'!G327,0,Input!$W$7))</f>
        <v>0</v>
      </c>
      <c r="K280" s="276">
        <f ca="1">IF(A19taxstdlife="N/A","n/a",IF(J280=0,0,A19taxstdlife+I280-Input!$W$7))</f>
        <v>0</v>
      </c>
      <c r="L280" s="280"/>
      <c r="M280" s="312"/>
      <c r="N280" s="312"/>
      <c r="O280" s="272"/>
      <c r="P280" s="272"/>
      <c r="Q280" s="272"/>
      <c r="R280" s="272"/>
      <c r="S280" s="259"/>
      <c r="T280" s="259"/>
      <c r="U280" s="259"/>
      <c r="V280" s="259"/>
      <c r="W280" s="259"/>
      <c r="X280" s="259"/>
      <c r="Y280" s="259"/>
      <c r="Z280" s="259"/>
    </row>
    <row r="281" spans="1:26" outlineLevel="1">
      <c r="A281" s="272"/>
      <c r="B281" s="272"/>
      <c r="C281" s="634"/>
      <c r="D281" s="281">
        <f>D$11</f>
        <v>2</v>
      </c>
      <c r="E281" s="276">
        <f ca="1">OFFSET('Actual RAB roll forward'!H$30,0,D281-1)-SUM('Actual RAB roll forward'!H281:OFFSET('Actual RAB roll forward'!H281,0,Input!$W$7-1))</f>
        <v>0</v>
      </c>
      <c r="F281" s="276">
        <f ca="1">IF(A19stdlife="N/A","n/a",IF(E281=0,0,A19stdlife+D281-Input!$W$7))</f>
        <v>0</v>
      </c>
      <c r="G281" s="277"/>
      <c r="H281" s="634"/>
      <c r="I281" s="281">
        <v>2</v>
      </c>
      <c r="J281" s="276">
        <f ca="1">OFFSET('Tax value roll forward'!G$58,0,I281)-SUM('Tax value roll forward'!G328:OFFSET('Tax value roll forward'!G328,0,Input!$W$7))</f>
        <v>0</v>
      </c>
      <c r="K281" s="276">
        <f ca="1">IF(A19taxstdlife="N/A","n/a",IF(J281=0,0,A19taxstdlife+I281-Input!$W$7))</f>
        <v>0</v>
      </c>
      <c r="L281" s="280"/>
      <c r="M281" s="312"/>
      <c r="N281" s="312"/>
      <c r="O281" s="272"/>
      <c r="P281" s="272"/>
      <c r="Q281" s="272"/>
      <c r="R281" s="272"/>
      <c r="S281" s="259"/>
      <c r="T281" s="259"/>
      <c r="U281" s="259"/>
      <c r="V281" s="259"/>
      <c r="W281" s="259"/>
      <c r="X281" s="259"/>
      <c r="Y281" s="259"/>
      <c r="Z281" s="259"/>
    </row>
    <row r="282" spans="1:26" outlineLevel="1">
      <c r="A282" s="272"/>
      <c r="B282" s="272"/>
      <c r="C282" s="634"/>
      <c r="D282" s="281">
        <f>D$12</f>
        <v>3</v>
      </c>
      <c r="E282" s="276">
        <f ca="1">OFFSET('Actual RAB roll forward'!H$30,0,D282-1)-SUM('Actual RAB roll forward'!H282:OFFSET('Actual RAB roll forward'!H282,0,Input!$W$7-1))</f>
        <v>0</v>
      </c>
      <c r="F282" s="276">
        <f ca="1">IF(A19stdlife="N/A","n/a",IF(E282=0,0,A19stdlife+D282-Input!$W$7))</f>
        <v>0</v>
      </c>
      <c r="G282" s="277"/>
      <c r="H282" s="634"/>
      <c r="I282" s="281">
        <v>3</v>
      </c>
      <c r="J282" s="276">
        <f ca="1">OFFSET('Tax value roll forward'!G$58,0,I282)-SUM('Tax value roll forward'!G329:OFFSET('Tax value roll forward'!G329,0,Input!$W$7))</f>
        <v>0</v>
      </c>
      <c r="K282" s="276">
        <f ca="1">IF(A19taxstdlife="N/A","n/a",IF(J282=0,0,A19taxstdlife+I282-Input!$W$7))</f>
        <v>0</v>
      </c>
      <c r="L282" s="280"/>
      <c r="M282" s="312"/>
      <c r="N282" s="312"/>
      <c r="O282" s="272"/>
      <c r="P282" s="272"/>
      <c r="Q282" s="272"/>
      <c r="R282" s="272"/>
      <c r="S282" s="259"/>
      <c r="T282" s="259"/>
      <c r="U282" s="259"/>
      <c r="V282" s="259"/>
      <c r="W282" s="259"/>
      <c r="X282" s="259"/>
      <c r="Y282" s="259"/>
      <c r="Z282" s="259"/>
    </row>
    <row r="283" spans="1:26" outlineLevel="1">
      <c r="A283" s="272"/>
      <c r="B283" s="272"/>
      <c r="C283" s="634"/>
      <c r="D283" s="281">
        <f>D$13</f>
        <v>4</v>
      </c>
      <c r="E283" s="276">
        <f ca="1">OFFSET('Actual RAB roll forward'!H$30,0,D283-1)-SUM('Actual RAB roll forward'!H283:OFFSET('Actual RAB roll forward'!H283,0,Input!$W$7-1))</f>
        <v>0</v>
      </c>
      <c r="F283" s="276">
        <f ca="1">IF(A19stdlife="N/A","n/a",IF(E283=0,0,A19stdlife+D283-Input!$W$7))</f>
        <v>0</v>
      </c>
      <c r="G283" s="277"/>
      <c r="H283" s="634"/>
      <c r="I283" s="281">
        <v>4</v>
      </c>
      <c r="J283" s="276">
        <f ca="1">OFFSET('Tax value roll forward'!G$58,0,I283)-SUM('Tax value roll forward'!G330:OFFSET('Tax value roll forward'!G330,0,Input!$W$7))</f>
        <v>0</v>
      </c>
      <c r="K283" s="276">
        <f ca="1">IF(A19taxstdlife="N/A","n/a",IF(J283=0,0,A19taxstdlife+I283-Input!$W$7))</f>
        <v>0</v>
      </c>
      <c r="L283" s="280"/>
      <c r="M283" s="312"/>
      <c r="N283" s="312"/>
      <c r="O283" s="272"/>
      <c r="P283" s="272"/>
      <c r="Q283" s="272"/>
      <c r="R283" s="272"/>
      <c r="S283" s="259"/>
      <c r="T283" s="259"/>
      <c r="U283" s="259"/>
      <c r="V283" s="259"/>
      <c r="W283" s="259"/>
      <c r="X283" s="259"/>
      <c r="Y283" s="259"/>
      <c r="Z283" s="259"/>
    </row>
    <row r="284" spans="1:26" outlineLevel="1">
      <c r="A284" s="272"/>
      <c r="B284" s="272"/>
      <c r="C284" s="634"/>
      <c r="D284" s="281">
        <f>D$14</f>
        <v>5</v>
      </c>
      <c r="E284" s="276">
        <f ca="1">OFFSET('Actual RAB roll forward'!H$30,0,D284-1)-SUM('Actual RAB roll forward'!H284:OFFSET('Actual RAB roll forward'!H284,0,Input!$W$7-1))</f>
        <v>0</v>
      </c>
      <c r="F284" s="276">
        <f ca="1">IF(A19stdlife="N/A","n/a",IF(E284=0,0,A19stdlife+D284-Input!$W$7))</f>
        <v>0</v>
      </c>
      <c r="G284" s="277"/>
      <c r="H284" s="634"/>
      <c r="I284" s="281">
        <v>5</v>
      </c>
      <c r="J284" s="276">
        <f ca="1">OFFSET('Tax value roll forward'!G$58,0,I284)-SUM('Tax value roll forward'!G331:OFFSET('Tax value roll forward'!G331,0,Input!$W$7))</f>
        <v>0</v>
      </c>
      <c r="K284" s="276">
        <f ca="1">IF(A19taxstdlife="N/A","n/a",IF(J284=0,0,A19taxstdlife+I284-Input!$W$7))</f>
        <v>0</v>
      </c>
      <c r="L284" s="280"/>
      <c r="M284" s="312"/>
      <c r="N284" s="312"/>
      <c r="O284" s="272"/>
      <c r="P284" s="272"/>
      <c r="Q284" s="272"/>
      <c r="R284" s="272"/>
      <c r="S284" s="259"/>
      <c r="T284" s="259"/>
      <c r="U284" s="259"/>
      <c r="V284" s="259"/>
      <c r="W284" s="259"/>
      <c r="X284" s="259"/>
      <c r="Y284" s="259"/>
      <c r="Z284" s="259"/>
    </row>
    <row r="285" spans="1:26" outlineLevel="1">
      <c r="A285" s="272"/>
      <c r="B285" s="272"/>
      <c r="C285" s="634"/>
      <c r="D285" s="281">
        <f>D$15</f>
        <v>6</v>
      </c>
      <c r="E285" s="276">
        <f ca="1">OFFSET('Actual RAB roll forward'!H$30,0,D285-1)-SUM('Actual RAB roll forward'!H285:OFFSET('Actual RAB roll forward'!H285,0,Input!$W$7-1))</f>
        <v>0</v>
      </c>
      <c r="F285" s="276">
        <f ca="1">IF(A19stdlife="N/A","n/a",IF(E285=0,0,A19stdlife+D285-Input!$W$7))</f>
        <v>0</v>
      </c>
      <c r="G285" s="277"/>
      <c r="H285" s="634"/>
      <c r="I285" s="281">
        <v>6</v>
      </c>
      <c r="J285" s="276">
        <f ca="1">OFFSET('Tax value roll forward'!G$58,0,I285)-SUM('Tax value roll forward'!G332:OFFSET('Tax value roll forward'!G332,0,Input!$W$7))</f>
        <v>0</v>
      </c>
      <c r="K285" s="276">
        <f ca="1">IF(A19taxstdlife="N/A","n/a",IF(J285=0,0,A19taxstdlife+I285-Input!$W$7))</f>
        <v>0</v>
      </c>
      <c r="L285" s="280"/>
      <c r="M285" s="312"/>
      <c r="N285" s="312"/>
      <c r="O285" s="272"/>
      <c r="P285" s="272"/>
      <c r="Q285" s="272"/>
      <c r="R285" s="272"/>
      <c r="S285" s="259"/>
      <c r="T285" s="259"/>
      <c r="U285" s="259"/>
      <c r="V285" s="259"/>
      <c r="W285" s="259"/>
      <c r="X285" s="259"/>
      <c r="Y285" s="259"/>
      <c r="Z285" s="259"/>
    </row>
    <row r="286" spans="1:26" outlineLevel="1">
      <c r="A286" s="272"/>
      <c r="B286" s="272"/>
      <c r="C286" s="634"/>
      <c r="D286" s="281">
        <f>D$16</f>
        <v>7</v>
      </c>
      <c r="E286" s="276">
        <f ca="1">OFFSET('Actual RAB roll forward'!H$30,0,D286-1)-SUM('Actual RAB roll forward'!H286:OFFSET('Actual RAB roll forward'!H286,0,Input!$W$7-1))</f>
        <v>0</v>
      </c>
      <c r="F286" s="276">
        <f ca="1">IF(A19stdlife="N/A","n/a",IF(E286=0,0,A19stdlife+D286-Input!$W$7))</f>
        <v>0</v>
      </c>
      <c r="G286" s="277"/>
      <c r="H286" s="634"/>
      <c r="I286" s="281">
        <v>7</v>
      </c>
      <c r="J286" s="276">
        <f ca="1">OFFSET('Tax value roll forward'!G$58,0,I286)-SUM('Tax value roll forward'!G333:OFFSET('Tax value roll forward'!G333,0,Input!$W$7))</f>
        <v>0</v>
      </c>
      <c r="K286" s="276">
        <f ca="1">IF(A19taxstdlife="N/A","n/a",IF(J286=0,0,A19taxstdlife+I286-Input!$W$7))</f>
        <v>0</v>
      </c>
      <c r="L286" s="280"/>
      <c r="M286" s="312"/>
      <c r="N286" s="312"/>
      <c r="O286" s="272"/>
      <c r="P286" s="272"/>
      <c r="Q286" s="272"/>
      <c r="R286" s="272"/>
      <c r="S286" s="259"/>
      <c r="T286" s="259"/>
      <c r="U286" s="259"/>
      <c r="V286" s="259"/>
      <c r="W286" s="259"/>
      <c r="X286" s="259"/>
      <c r="Y286" s="259"/>
      <c r="Z286" s="259"/>
    </row>
    <row r="287" spans="1:26" outlineLevel="1">
      <c r="A287" s="272"/>
      <c r="B287" s="272"/>
      <c r="C287" s="634"/>
      <c r="D287" s="281">
        <f>D$17</f>
        <v>8</v>
      </c>
      <c r="E287" s="276">
        <f ca="1">OFFSET('Actual RAB roll forward'!H$30,0,D287-1)-SUM('Actual RAB roll forward'!H287:OFFSET('Actual RAB roll forward'!H287,0,Input!$W$7-1))</f>
        <v>0</v>
      </c>
      <c r="F287" s="276">
        <f ca="1">IF(A19stdlife="N/A","n/a",IF(E287=0,0,A19stdlife+D287-Input!$W$7))</f>
        <v>0</v>
      </c>
      <c r="G287" s="277"/>
      <c r="H287" s="634"/>
      <c r="I287" s="281">
        <v>8</v>
      </c>
      <c r="J287" s="276">
        <f ca="1">OFFSET('Tax value roll forward'!G$58,0,I287)-SUM('Tax value roll forward'!G334:OFFSET('Tax value roll forward'!G334,0,Input!$W$7))</f>
        <v>0</v>
      </c>
      <c r="K287" s="276">
        <f ca="1">IF(A19taxstdlife="N/A","n/a",IF(J287=0,0,A19taxstdlife+I287-Input!$W$7))</f>
        <v>0</v>
      </c>
      <c r="L287" s="280"/>
      <c r="M287" s="312"/>
      <c r="N287" s="312"/>
      <c r="O287" s="272"/>
      <c r="P287" s="272"/>
      <c r="Q287" s="272"/>
      <c r="R287" s="272"/>
      <c r="S287" s="259"/>
      <c r="T287" s="259"/>
      <c r="U287" s="259"/>
      <c r="V287" s="259"/>
      <c r="W287" s="259"/>
      <c r="X287" s="259"/>
      <c r="Y287" s="259"/>
      <c r="Z287" s="259"/>
    </row>
    <row r="288" spans="1:26" outlineLevel="1">
      <c r="A288" s="272"/>
      <c r="B288" s="272"/>
      <c r="C288" s="634"/>
      <c r="D288" s="281">
        <f>D$18</f>
        <v>9</v>
      </c>
      <c r="E288" s="276">
        <f ca="1">OFFSET('Actual RAB roll forward'!H$30,0,D288-1)-SUM('Actual RAB roll forward'!H288:OFFSET('Actual RAB roll forward'!H288,0,Input!$W$7-1))</f>
        <v>0</v>
      </c>
      <c r="F288" s="276">
        <f ca="1">IF(A19stdlife="N/A","n/a",IF(E288=0,0,A19stdlife+D288-Input!$W$7))</f>
        <v>0</v>
      </c>
      <c r="G288" s="277"/>
      <c r="H288" s="634"/>
      <c r="I288" s="281">
        <v>9</v>
      </c>
      <c r="J288" s="276">
        <f ca="1">OFFSET('Tax value roll forward'!G$58,0,I288)-SUM('Tax value roll forward'!G335:OFFSET('Tax value roll forward'!G335,0,Input!$W$7))</f>
        <v>0</v>
      </c>
      <c r="K288" s="276">
        <f ca="1">IF(A19taxstdlife="N/A","n/a",IF(J288=0,0,A19taxstdlife+I288-Input!$W$7))</f>
        <v>0</v>
      </c>
      <c r="L288" s="280"/>
      <c r="M288" s="312"/>
      <c r="N288" s="312"/>
      <c r="O288" s="272"/>
      <c r="P288" s="272"/>
      <c r="Q288" s="272"/>
      <c r="R288" s="272"/>
      <c r="S288" s="259"/>
      <c r="T288" s="259"/>
      <c r="U288" s="259"/>
      <c r="V288" s="259"/>
      <c r="W288" s="259"/>
      <c r="X288" s="259"/>
      <c r="Y288" s="259"/>
      <c r="Z288" s="259"/>
    </row>
    <row r="289" spans="1:26" outlineLevel="1">
      <c r="A289" s="272"/>
      <c r="B289" s="272"/>
      <c r="C289" s="635"/>
      <c r="D289" s="282">
        <f>D$19</f>
        <v>10</v>
      </c>
      <c r="E289" s="276">
        <f ca="1">OFFSET('Actual RAB roll forward'!H$30,0,D289-1)-SUM('Actual RAB roll forward'!H289:OFFSET('Actual RAB roll forward'!H289,0,Input!$W$7-1))</f>
        <v>0</v>
      </c>
      <c r="F289" s="276">
        <f ca="1">IF(A19stdlife="N/A","n/a",IF(E289=0,0,A19stdlife+D289-Input!$W$7))</f>
        <v>0</v>
      </c>
      <c r="G289" s="277"/>
      <c r="H289" s="635"/>
      <c r="I289" s="282">
        <v>10</v>
      </c>
      <c r="J289" s="276">
        <f ca="1">OFFSET('Tax value roll forward'!G$58,0,I289)-SUM('Tax value roll forward'!G336:OFFSET('Tax value roll forward'!G336,0,Input!$W$7))</f>
        <v>0</v>
      </c>
      <c r="K289" s="276">
        <f ca="1">IF(A19taxstdlife="N/A","n/a",IF(J289=0,0,A19taxstdlife+I289-Input!$W$7))</f>
        <v>0</v>
      </c>
      <c r="M289" s="312"/>
      <c r="N289" s="312"/>
      <c r="O289" s="272"/>
      <c r="P289" s="272"/>
      <c r="Q289" s="272"/>
      <c r="R289" s="272"/>
      <c r="S289" s="259"/>
      <c r="T289" s="259"/>
      <c r="U289" s="259"/>
      <c r="V289" s="259"/>
      <c r="W289" s="259"/>
      <c r="X289" s="259"/>
      <c r="Y289" s="259"/>
      <c r="Z289" s="259"/>
    </row>
    <row r="290" spans="1:26">
      <c r="A290" s="272"/>
      <c r="B290" s="272"/>
      <c r="C290" s="292">
        <f>Asset19</f>
        <v>0</v>
      </c>
      <c r="D290" s="272"/>
      <c r="E290" s="276">
        <f ca="1">SUM(E278:E289)</f>
        <v>0</v>
      </c>
      <c r="F290" s="276">
        <f ca="1">IF(E290=0,0,SUMPRODUCT(E278:E289,F278:F289)/E290)</f>
        <v>0</v>
      </c>
      <c r="G290" s="277"/>
      <c r="H290" s="284"/>
      <c r="I290" s="276"/>
      <c r="J290" s="311">
        <f ca="1">SUM(J278:J289)</f>
        <v>0</v>
      </c>
      <c r="K290" s="311">
        <f ca="1">IF(J290=0,0,SUMPRODUCT(J278:J289,K278:K289)/J290)</f>
        <v>0</v>
      </c>
      <c r="L290" s="280"/>
      <c r="M290" s="312"/>
      <c r="N290" s="312"/>
      <c r="O290" s="272"/>
      <c r="P290" s="272"/>
      <c r="Q290" s="272"/>
      <c r="R290" s="272"/>
      <c r="S290" s="259"/>
      <c r="T290" s="259"/>
      <c r="U290" s="259"/>
      <c r="V290" s="259"/>
      <c r="W290" s="259"/>
      <c r="X290" s="259"/>
      <c r="Y290" s="259"/>
      <c r="Z290" s="259"/>
    </row>
    <row r="291" spans="1:26" outlineLevel="1">
      <c r="A291" s="272"/>
      <c r="B291" s="272"/>
      <c r="C291" s="292"/>
      <c r="D291" s="272"/>
      <c r="E291" s="276"/>
      <c r="F291" s="276"/>
      <c r="G291" s="277"/>
      <c r="H291" s="276"/>
      <c r="I291" s="276"/>
      <c r="J291" s="290"/>
      <c r="K291" s="276"/>
      <c r="L291" s="280"/>
      <c r="M291" s="312"/>
      <c r="N291" s="312"/>
      <c r="O291" s="272"/>
      <c r="P291" s="272"/>
      <c r="Q291" s="272"/>
      <c r="R291" s="272"/>
      <c r="S291" s="259"/>
      <c r="T291" s="259"/>
      <c r="U291" s="259"/>
      <c r="V291" s="259"/>
      <c r="W291" s="259"/>
      <c r="X291" s="259"/>
      <c r="Y291" s="259"/>
      <c r="Z291" s="259"/>
    </row>
    <row r="292" spans="1:26" outlineLevel="1">
      <c r="A292" s="272"/>
      <c r="B292" s="275">
        <f>Asset20</f>
        <v>0</v>
      </c>
      <c r="C292" s="272"/>
      <c r="D292" s="272"/>
      <c r="E292" s="293"/>
      <c r="F292" s="293"/>
      <c r="G292" s="277"/>
      <c r="H292" s="276"/>
      <c r="I292" s="276"/>
      <c r="J292" s="290"/>
      <c r="K292" s="276"/>
      <c r="L292" s="280"/>
      <c r="M292" s="312"/>
      <c r="N292" s="312"/>
      <c r="O292" s="272"/>
      <c r="P292" s="272"/>
      <c r="Q292" s="272"/>
      <c r="R292" s="272"/>
      <c r="S292" s="259"/>
      <c r="T292" s="259"/>
      <c r="U292" s="259"/>
      <c r="V292" s="259"/>
      <c r="W292" s="259"/>
      <c r="X292" s="259"/>
      <c r="Y292" s="259"/>
      <c r="Z292" s="259"/>
    </row>
    <row r="293" spans="1:26" ht="12.75" customHeight="1" outlineLevel="1">
      <c r="A293" s="272"/>
      <c r="B293" s="272"/>
      <c r="C293" s="626" t="s">
        <v>28</v>
      </c>
      <c r="D293" s="627"/>
      <c r="E293" s="276">
        <f ca="1">A20value-SUM('Actual RAB roll forward'!H291:OFFSET('Actual RAB roll forward'!H291,0,Input!$W$7-1))</f>
        <v>0</v>
      </c>
      <c r="F293" s="276">
        <f ca="1">IF(A20remlife="N/A","n/a",IF(E293=0,0,A20remlife-Input!$W$7))</f>
        <v>0</v>
      </c>
      <c r="G293" s="277"/>
      <c r="H293" s="278" t="s">
        <v>67</v>
      </c>
      <c r="I293" s="279"/>
      <c r="J293" s="276">
        <f ca="1">A20taxvalue-SUM('Tax value roll forward'!G338:OFFSET('Tax value roll forward'!G338,0,Input!$W$7))</f>
        <v>0</v>
      </c>
      <c r="K293" s="276">
        <f ca="1">IF(A20taxremlife="N/A","n/a",IF(J293=0,0,A20taxremlife-Input!$W$7-1))</f>
        <v>0</v>
      </c>
      <c r="L293" s="280"/>
      <c r="M293" s="312"/>
      <c r="N293" s="312"/>
      <c r="O293" s="272"/>
      <c r="P293" s="272"/>
      <c r="Q293" s="272"/>
      <c r="R293" s="272"/>
      <c r="S293" s="259"/>
      <c r="T293" s="259"/>
      <c r="U293" s="259"/>
      <c r="V293" s="259"/>
      <c r="W293" s="259"/>
      <c r="X293" s="259"/>
      <c r="Y293" s="259"/>
      <c r="Z293" s="259"/>
    </row>
    <row r="294" spans="1:26" ht="12.75" customHeight="1" outlineLevel="1">
      <c r="A294" s="272"/>
      <c r="B294" s="272"/>
      <c r="C294" s="633" t="s">
        <v>84</v>
      </c>
      <c r="D294" s="322">
        <f>D$9</f>
        <v>0</v>
      </c>
      <c r="E294" s="276"/>
      <c r="F294" s="276"/>
      <c r="G294" s="277"/>
      <c r="H294" s="633" t="s">
        <v>84</v>
      </c>
      <c r="I294" s="322">
        <v>0</v>
      </c>
      <c r="J294" s="276">
        <f ca="1">OFFSET('Tax value roll forward'!G$59,0,I294)-SUM('Tax value roll forward'!G340:OFFSET('Tax value roll forward'!G340,0,Input!$W$7))</f>
        <v>0</v>
      </c>
      <c r="K294" s="276">
        <f ca="1">IF(A20taxstdlife="N/A","n/a",IF(J294=0,0,A20taxstdlife+I294-Input!$W$7))</f>
        <v>0</v>
      </c>
      <c r="L294" s="280"/>
      <c r="M294" s="312"/>
      <c r="N294" s="312"/>
      <c r="O294" s="272"/>
      <c r="P294" s="272"/>
      <c r="Q294" s="272"/>
      <c r="R294" s="272"/>
      <c r="S294" s="259"/>
      <c r="T294" s="259"/>
      <c r="U294" s="259"/>
      <c r="V294" s="259"/>
      <c r="W294" s="259"/>
      <c r="X294" s="259"/>
      <c r="Y294" s="259"/>
      <c r="Z294" s="259"/>
    </row>
    <row r="295" spans="1:26" ht="12.75" customHeight="1" outlineLevel="1">
      <c r="A295" s="272"/>
      <c r="B295" s="272"/>
      <c r="C295" s="634"/>
      <c r="D295" s="281">
        <f>D$10</f>
        <v>1</v>
      </c>
      <c r="E295" s="276">
        <f ca="1">OFFSET('Actual RAB roll forward'!H$31,0,D295-1)-SUM('Actual RAB roll forward'!H293:OFFSET('Actual RAB roll forward'!H293,0,Input!$W$7-1))</f>
        <v>0</v>
      </c>
      <c r="F295" s="276">
        <f ca="1">IF(A20stdlife="N/A","n/a",IF(E295=0,0,A20stdlife+D295-Input!$W$7))</f>
        <v>0</v>
      </c>
      <c r="G295" s="277"/>
      <c r="H295" s="634"/>
      <c r="I295" s="281">
        <v>1</v>
      </c>
      <c r="J295" s="276">
        <f ca="1">OFFSET('Tax value roll forward'!G$59,0,I295)-SUM('Tax value roll forward'!G341:OFFSET('Tax value roll forward'!G341,0,Input!$W$7))</f>
        <v>0</v>
      </c>
      <c r="K295" s="276">
        <f ca="1">IF(A20taxstdlife="N/A","n/a",IF(J295=0,0,A20taxstdlife+I295-Input!$W$7))</f>
        <v>0</v>
      </c>
      <c r="L295" s="280"/>
      <c r="M295" s="312"/>
      <c r="N295" s="312"/>
      <c r="O295" s="272"/>
      <c r="P295" s="272"/>
      <c r="Q295" s="272"/>
      <c r="R295" s="272"/>
      <c r="S295" s="259"/>
      <c r="T295" s="259"/>
      <c r="U295" s="259"/>
      <c r="V295" s="259"/>
      <c r="W295" s="259"/>
      <c r="X295" s="259"/>
      <c r="Y295" s="259"/>
      <c r="Z295" s="259"/>
    </row>
    <row r="296" spans="1:26" outlineLevel="1">
      <c r="A296" s="272"/>
      <c r="B296" s="272"/>
      <c r="C296" s="634"/>
      <c r="D296" s="281">
        <f>D$11</f>
        <v>2</v>
      </c>
      <c r="E296" s="276">
        <f ca="1">OFFSET('Actual RAB roll forward'!H$31,0,D296-1)-SUM('Actual RAB roll forward'!H294:OFFSET('Actual RAB roll forward'!H294,0,Input!$W$7-1))</f>
        <v>0</v>
      </c>
      <c r="F296" s="276">
        <f ca="1">IF(A20stdlife="N/A","n/a",IF(E296=0,0,A20stdlife+D296-Input!$W$7))</f>
        <v>0</v>
      </c>
      <c r="G296" s="277"/>
      <c r="H296" s="634"/>
      <c r="I296" s="281">
        <v>2</v>
      </c>
      <c r="J296" s="276">
        <f ca="1">OFFSET('Tax value roll forward'!G$59,0,I296)-SUM('Tax value roll forward'!G342:OFFSET('Tax value roll forward'!G342,0,Input!$W$7))</f>
        <v>0</v>
      </c>
      <c r="K296" s="276">
        <f ca="1">IF(A20taxstdlife="N/A","n/a",IF(J296=0,0,A20taxstdlife+I296-Input!$W$7))</f>
        <v>0</v>
      </c>
      <c r="L296" s="280"/>
      <c r="M296" s="312"/>
      <c r="N296" s="312"/>
      <c r="O296" s="272"/>
      <c r="P296" s="272"/>
      <c r="Q296" s="272"/>
      <c r="R296" s="272"/>
      <c r="S296" s="259"/>
      <c r="T296" s="259"/>
      <c r="U296" s="259"/>
      <c r="V296" s="259"/>
      <c r="W296" s="259"/>
      <c r="X296" s="259"/>
      <c r="Y296" s="259"/>
      <c r="Z296" s="259"/>
    </row>
    <row r="297" spans="1:26" outlineLevel="1">
      <c r="A297" s="272"/>
      <c r="B297" s="272"/>
      <c r="C297" s="634"/>
      <c r="D297" s="281">
        <f>D$12</f>
        <v>3</v>
      </c>
      <c r="E297" s="276">
        <f ca="1">OFFSET('Actual RAB roll forward'!H$31,0,D297-1)-SUM('Actual RAB roll forward'!H295:OFFSET('Actual RAB roll forward'!H295,0,Input!$W$7-1))</f>
        <v>0</v>
      </c>
      <c r="F297" s="276">
        <f ca="1">IF(A20stdlife="N/A","n/a",IF(E297=0,0,A20stdlife+D297-Input!$W$7))</f>
        <v>0</v>
      </c>
      <c r="G297" s="277"/>
      <c r="H297" s="634"/>
      <c r="I297" s="281">
        <v>3</v>
      </c>
      <c r="J297" s="276">
        <f ca="1">OFFSET('Tax value roll forward'!G$59,0,I297)-SUM('Tax value roll forward'!G343:OFFSET('Tax value roll forward'!G343,0,Input!$W$7))</f>
        <v>0</v>
      </c>
      <c r="K297" s="276">
        <f ca="1">IF(A20taxstdlife="N/A","n/a",IF(J297=0,0,A20taxstdlife+I297-Input!$W$7))</f>
        <v>0</v>
      </c>
      <c r="L297" s="280"/>
      <c r="M297" s="312"/>
      <c r="N297" s="312"/>
      <c r="O297" s="272"/>
      <c r="P297" s="272"/>
      <c r="Q297" s="272"/>
      <c r="R297" s="272"/>
      <c r="S297" s="259"/>
      <c r="T297" s="259"/>
      <c r="U297" s="259"/>
      <c r="V297" s="259"/>
      <c r="W297" s="259"/>
      <c r="X297" s="259"/>
      <c r="Y297" s="259"/>
      <c r="Z297" s="259"/>
    </row>
    <row r="298" spans="1:26" outlineLevel="1">
      <c r="A298" s="272"/>
      <c r="B298" s="272"/>
      <c r="C298" s="634"/>
      <c r="D298" s="281">
        <f>D$13</f>
        <v>4</v>
      </c>
      <c r="E298" s="276">
        <f ca="1">OFFSET('Actual RAB roll forward'!H$31,0,D298-1)-SUM('Actual RAB roll forward'!H296:OFFSET('Actual RAB roll forward'!H296,0,Input!$W$7-1))</f>
        <v>0</v>
      </c>
      <c r="F298" s="276">
        <f ca="1">IF(A20stdlife="N/A","n/a",IF(E298=0,0,A20stdlife+D298-Input!$W$7))</f>
        <v>0</v>
      </c>
      <c r="G298" s="277"/>
      <c r="H298" s="634"/>
      <c r="I298" s="281">
        <v>4</v>
      </c>
      <c r="J298" s="276">
        <f ca="1">OFFSET('Tax value roll forward'!G$59,0,I298)-SUM('Tax value roll forward'!G344:OFFSET('Tax value roll forward'!G344,0,Input!$W$7))</f>
        <v>0</v>
      </c>
      <c r="K298" s="276">
        <f ca="1">IF(A20taxstdlife="N/A","n/a",IF(J298=0,0,A20taxstdlife+I298-Input!$W$7))</f>
        <v>0</v>
      </c>
      <c r="L298" s="280"/>
      <c r="M298" s="312"/>
      <c r="N298" s="312"/>
      <c r="O298" s="272"/>
      <c r="P298" s="272"/>
      <c r="Q298" s="272"/>
      <c r="R298" s="272"/>
      <c r="S298" s="259"/>
      <c r="T298" s="259"/>
      <c r="U298" s="259"/>
      <c r="V298" s="259"/>
      <c r="W298" s="259"/>
      <c r="X298" s="259"/>
      <c r="Y298" s="259"/>
      <c r="Z298" s="259"/>
    </row>
    <row r="299" spans="1:26" outlineLevel="1">
      <c r="A299" s="272"/>
      <c r="B299" s="272"/>
      <c r="C299" s="634"/>
      <c r="D299" s="281">
        <f>D$14</f>
        <v>5</v>
      </c>
      <c r="E299" s="276">
        <f ca="1">OFFSET('Actual RAB roll forward'!H$31,0,D299-1)-SUM('Actual RAB roll forward'!H297:OFFSET('Actual RAB roll forward'!H297,0,Input!$W$7-1))</f>
        <v>0</v>
      </c>
      <c r="F299" s="276">
        <f ca="1">IF(A20stdlife="N/A","n/a",IF(E299=0,0,A20stdlife+D299-Input!$W$7))</f>
        <v>0</v>
      </c>
      <c r="G299" s="277"/>
      <c r="H299" s="634"/>
      <c r="I299" s="281">
        <v>5</v>
      </c>
      <c r="J299" s="276">
        <f ca="1">OFFSET('Tax value roll forward'!G$59,0,I299)-SUM('Tax value roll forward'!G345:OFFSET('Tax value roll forward'!G345,0,Input!$W$7))</f>
        <v>0</v>
      </c>
      <c r="K299" s="276">
        <f ca="1">IF(A20taxstdlife="N/A","n/a",IF(J299=0,0,A20taxstdlife+I299-Input!$W$7))</f>
        <v>0</v>
      </c>
      <c r="L299" s="280"/>
      <c r="M299" s="312"/>
      <c r="N299" s="312"/>
      <c r="O299" s="272"/>
      <c r="P299" s="272"/>
      <c r="Q299" s="272"/>
      <c r="R299" s="272"/>
      <c r="S299" s="259"/>
      <c r="T299" s="259"/>
      <c r="U299" s="259"/>
      <c r="V299" s="259"/>
      <c r="W299" s="259"/>
      <c r="X299" s="259"/>
      <c r="Y299" s="259"/>
      <c r="Z299" s="259"/>
    </row>
    <row r="300" spans="1:26" outlineLevel="1">
      <c r="A300" s="272"/>
      <c r="B300" s="272"/>
      <c r="C300" s="634"/>
      <c r="D300" s="281">
        <f>D$15</f>
        <v>6</v>
      </c>
      <c r="E300" s="276">
        <f ca="1">OFFSET('Actual RAB roll forward'!H$31,0,D300-1)-SUM('Actual RAB roll forward'!H298:OFFSET('Actual RAB roll forward'!H298,0,Input!$W$7-1))</f>
        <v>0</v>
      </c>
      <c r="F300" s="276">
        <f ca="1">IF(A20stdlife="N/A","n/a",IF(E300=0,0,A20stdlife+D300-Input!$W$7))</f>
        <v>0</v>
      </c>
      <c r="G300" s="277"/>
      <c r="H300" s="634"/>
      <c r="I300" s="281">
        <v>6</v>
      </c>
      <c r="J300" s="276">
        <f ca="1">OFFSET('Tax value roll forward'!G$59,0,I300)-SUM('Tax value roll forward'!G346:OFFSET('Tax value roll forward'!G346,0,Input!$W$7))</f>
        <v>0</v>
      </c>
      <c r="K300" s="276">
        <f ca="1">IF(A20taxstdlife="N/A","n/a",IF(J300=0,0,A20taxstdlife+I300-Input!$W$7))</f>
        <v>0</v>
      </c>
      <c r="L300" s="280"/>
      <c r="M300" s="312"/>
      <c r="N300" s="312"/>
      <c r="O300" s="272"/>
      <c r="P300" s="272"/>
      <c r="Q300" s="272"/>
      <c r="R300" s="272"/>
      <c r="S300" s="259"/>
      <c r="T300" s="259"/>
      <c r="U300" s="259"/>
      <c r="V300" s="259"/>
      <c r="W300" s="259"/>
      <c r="X300" s="259"/>
      <c r="Y300" s="259"/>
      <c r="Z300" s="259"/>
    </row>
    <row r="301" spans="1:26" outlineLevel="1">
      <c r="A301" s="272"/>
      <c r="B301" s="272"/>
      <c r="C301" s="634"/>
      <c r="D301" s="281">
        <f>D$16</f>
        <v>7</v>
      </c>
      <c r="E301" s="276">
        <f ca="1">OFFSET('Actual RAB roll forward'!H$31,0,D301-1)-SUM('Actual RAB roll forward'!H299:OFFSET('Actual RAB roll forward'!H299,0,Input!$W$7-1))</f>
        <v>0</v>
      </c>
      <c r="F301" s="276">
        <f ca="1">IF(A20stdlife="N/A","n/a",IF(E301=0,0,A20stdlife+D301-Input!$W$7))</f>
        <v>0</v>
      </c>
      <c r="G301" s="277"/>
      <c r="H301" s="634"/>
      <c r="I301" s="281">
        <v>7</v>
      </c>
      <c r="J301" s="276">
        <f ca="1">OFFSET('Tax value roll forward'!G$59,0,I301)-SUM('Tax value roll forward'!G347:OFFSET('Tax value roll forward'!G347,0,Input!$W$7))</f>
        <v>0</v>
      </c>
      <c r="K301" s="276">
        <f ca="1">IF(A20taxstdlife="N/A","n/a",IF(J301=0,0,A20taxstdlife+I301-Input!$W$7))</f>
        <v>0</v>
      </c>
      <c r="L301" s="280"/>
      <c r="M301" s="312"/>
      <c r="N301" s="312"/>
      <c r="O301" s="272"/>
      <c r="P301" s="272"/>
      <c r="Q301" s="272"/>
      <c r="R301" s="272"/>
      <c r="S301" s="259"/>
      <c r="T301" s="259"/>
      <c r="U301" s="259"/>
      <c r="V301" s="259"/>
      <c r="W301" s="259"/>
      <c r="X301" s="259"/>
      <c r="Y301" s="259"/>
      <c r="Z301" s="259"/>
    </row>
    <row r="302" spans="1:26" outlineLevel="1">
      <c r="A302" s="272"/>
      <c r="B302" s="272"/>
      <c r="C302" s="634"/>
      <c r="D302" s="281">
        <f>D$17</f>
        <v>8</v>
      </c>
      <c r="E302" s="276">
        <f ca="1">OFFSET('Actual RAB roll forward'!H$31,0,D302-1)-SUM('Actual RAB roll forward'!H300:OFFSET('Actual RAB roll forward'!H300,0,Input!$W$7-1))</f>
        <v>0</v>
      </c>
      <c r="F302" s="276">
        <f ca="1">IF(A20stdlife="N/A","n/a",IF(E302=0,0,A20stdlife+D302-Input!$W$7))</f>
        <v>0</v>
      </c>
      <c r="G302" s="277"/>
      <c r="H302" s="634"/>
      <c r="I302" s="281">
        <v>8</v>
      </c>
      <c r="J302" s="276">
        <f ca="1">OFFSET('Tax value roll forward'!G$59,0,I302)-SUM('Tax value roll forward'!G348:OFFSET('Tax value roll forward'!G348,0,Input!$W$7))</f>
        <v>0</v>
      </c>
      <c r="K302" s="276">
        <f ca="1">IF(A20taxstdlife="N/A","n/a",IF(J302=0,0,A20taxstdlife+I302-Input!$W$7))</f>
        <v>0</v>
      </c>
      <c r="L302" s="280"/>
      <c r="M302" s="312"/>
      <c r="N302" s="312"/>
      <c r="O302" s="272"/>
      <c r="P302" s="272"/>
      <c r="Q302" s="272"/>
      <c r="R302" s="272"/>
      <c r="S302" s="259"/>
      <c r="T302" s="259"/>
      <c r="U302" s="259"/>
      <c r="V302" s="259"/>
      <c r="W302" s="259"/>
      <c r="X302" s="259"/>
      <c r="Y302" s="259"/>
      <c r="Z302" s="259"/>
    </row>
    <row r="303" spans="1:26" outlineLevel="1">
      <c r="A303" s="272"/>
      <c r="B303" s="272"/>
      <c r="C303" s="634"/>
      <c r="D303" s="281">
        <f>D$18</f>
        <v>9</v>
      </c>
      <c r="E303" s="276">
        <f ca="1">OFFSET('Actual RAB roll forward'!H$31,0,D303-1)-SUM('Actual RAB roll forward'!H301:OFFSET('Actual RAB roll forward'!H301,0,Input!$W$7-1))</f>
        <v>0</v>
      </c>
      <c r="F303" s="276">
        <f ca="1">IF(A20stdlife="N/A","n/a",IF(E303=0,0,A20stdlife+D303-Input!$W$7))</f>
        <v>0</v>
      </c>
      <c r="G303" s="277"/>
      <c r="H303" s="634"/>
      <c r="I303" s="281">
        <v>9</v>
      </c>
      <c r="J303" s="276">
        <f ca="1">OFFSET('Tax value roll forward'!G$59,0,I303)-SUM('Tax value roll forward'!G349:OFFSET('Tax value roll forward'!G349,0,Input!$W$7))</f>
        <v>0</v>
      </c>
      <c r="K303" s="276">
        <f ca="1">IF(A20taxstdlife="N/A","n/a",IF(J303=0,0,A20taxstdlife+I303-Input!$W$7))</f>
        <v>0</v>
      </c>
      <c r="L303" s="280"/>
      <c r="M303" s="312"/>
      <c r="N303" s="312"/>
      <c r="O303" s="272"/>
      <c r="P303" s="272"/>
      <c r="Q303" s="272"/>
      <c r="R303" s="272"/>
      <c r="S303" s="259"/>
      <c r="T303" s="259"/>
      <c r="U303" s="259"/>
      <c r="V303" s="259"/>
      <c r="W303" s="259"/>
      <c r="X303" s="259"/>
      <c r="Y303" s="259"/>
      <c r="Z303" s="259"/>
    </row>
    <row r="304" spans="1:26" outlineLevel="1">
      <c r="A304" s="272"/>
      <c r="B304" s="272"/>
      <c r="C304" s="635"/>
      <c r="D304" s="282">
        <f>D$19</f>
        <v>10</v>
      </c>
      <c r="E304" s="276">
        <f ca="1">OFFSET('Actual RAB roll forward'!H$31,0,D304-1)-SUM('Actual RAB roll forward'!H302:OFFSET('Actual RAB roll forward'!H302,0,Input!$W$7-1))</f>
        <v>0</v>
      </c>
      <c r="F304" s="276">
        <f ca="1">IF(A20stdlife="N/A","n/a",IF(E304=0,0,A20stdlife+D304-Input!$W$7))</f>
        <v>0</v>
      </c>
      <c r="G304" s="277"/>
      <c r="H304" s="635"/>
      <c r="I304" s="282">
        <v>10</v>
      </c>
      <c r="J304" s="276">
        <f ca="1">OFFSET('Tax value roll forward'!G$59,0,I304)-SUM('Tax value roll forward'!G350:OFFSET('Tax value roll forward'!G350,0,Input!$W$7))</f>
        <v>0</v>
      </c>
      <c r="K304" s="276">
        <f ca="1">IF(A20taxstdlife="N/A","n/a",IF(J304=0,0,A20taxstdlife+I304-Input!$W$7))</f>
        <v>0</v>
      </c>
      <c r="M304" s="312"/>
      <c r="N304" s="312"/>
      <c r="O304" s="272"/>
      <c r="P304" s="272"/>
      <c r="Q304" s="272"/>
      <c r="R304" s="272"/>
      <c r="S304" s="259"/>
      <c r="T304" s="259"/>
      <c r="U304" s="259"/>
      <c r="V304" s="259"/>
      <c r="W304" s="259"/>
      <c r="X304" s="259"/>
      <c r="Y304" s="259"/>
      <c r="Z304" s="259"/>
    </row>
    <row r="305" spans="1:26">
      <c r="A305" s="272"/>
      <c r="C305" s="292">
        <f>Asset20</f>
        <v>0</v>
      </c>
      <c r="D305" s="272"/>
      <c r="E305" s="276">
        <f ca="1">SUM(E293:E304)</f>
        <v>0</v>
      </c>
      <c r="F305" s="276">
        <f ca="1">IF(E305=0,0,SUMPRODUCT(E293:E304,F293:F304)/E305)</f>
        <v>0</v>
      </c>
      <c r="G305" s="277"/>
      <c r="H305" s="284"/>
      <c r="I305" s="276"/>
      <c r="J305" s="311">
        <f ca="1">SUM(J293:J304)</f>
        <v>0</v>
      </c>
      <c r="K305" s="311">
        <f ca="1">IF(J305=0,0,SUMPRODUCT(J293:J304,K293:K304)/J305)</f>
        <v>0</v>
      </c>
      <c r="L305" s="280"/>
      <c r="M305" s="312"/>
      <c r="N305" s="312"/>
      <c r="O305" s="272"/>
      <c r="P305" s="272"/>
      <c r="Q305" s="272"/>
      <c r="R305" s="272"/>
      <c r="S305" s="259"/>
      <c r="T305" s="259"/>
      <c r="U305" s="259"/>
      <c r="V305" s="259"/>
      <c r="W305" s="259"/>
      <c r="X305" s="259"/>
      <c r="Y305" s="259"/>
      <c r="Z305" s="259"/>
    </row>
    <row r="306" spans="1:26" outlineLevel="1">
      <c r="A306" s="272"/>
      <c r="B306" s="275"/>
      <c r="C306" s="272"/>
      <c r="D306" s="272"/>
      <c r="E306" s="293"/>
      <c r="F306" s="293"/>
      <c r="G306" s="277"/>
      <c r="H306" s="276"/>
      <c r="I306" s="276"/>
      <c r="J306" s="290"/>
      <c r="K306" s="276"/>
      <c r="L306" s="280"/>
      <c r="M306" s="312"/>
      <c r="N306" s="312"/>
      <c r="O306" s="272"/>
      <c r="P306" s="272"/>
      <c r="Q306" s="272"/>
      <c r="R306" s="272"/>
      <c r="S306" s="259"/>
      <c r="T306" s="259"/>
      <c r="U306" s="259"/>
      <c r="V306" s="259"/>
      <c r="W306" s="259"/>
      <c r="X306" s="259"/>
      <c r="Y306" s="259"/>
      <c r="Z306" s="259"/>
    </row>
    <row r="307" spans="1:26" outlineLevel="1">
      <c r="A307" s="272"/>
      <c r="B307" s="275">
        <f>Asset21</f>
        <v>0</v>
      </c>
      <c r="C307" s="272"/>
      <c r="D307" s="272"/>
      <c r="E307" s="293"/>
      <c r="F307" s="293"/>
      <c r="G307" s="277"/>
      <c r="H307" s="276"/>
      <c r="I307" s="276"/>
      <c r="J307" s="290"/>
      <c r="K307" s="276"/>
      <c r="L307" s="280"/>
      <c r="M307" s="312"/>
      <c r="N307" s="312"/>
      <c r="O307" s="272"/>
      <c r="P307" s="272"/>
      <c r="Q307" s="272"/>
      <c r="R307" s="272"/>
      <c r="S307" s="259"/>
      <c r="T307" s="259"/>
      <c r="U307" s="259"/>
      <c r="V307" s="259"/>
      <c r="W307" s="259"/>
      <c r="X307" s="259"/>
      <c r="Y307" s="259"/>
      <c r="Z307" s="259"/>
    </row>
    <row r="308" spans="1:26" ht="12.75" customHeight="1" outlineLevel="1">
      <c r="A308" s="272"/>
      <c r="B308" s="272"/>
      <c r="C308" s="626" t="s">
        <v>28</v>
      </c>
      <c r="D308" s="627"/>
      <c r="E308" s="276">
        <f ca="1">A21value-SUM('Actual RAB roll forward'!H304:OFFSET('Actual RAB roll forward'!H304,0,Input!$W$7-1))</f>
        <v>0</v>
      </c>
      <c r="F308" s="276">
        <f ca="1">IF(A21remlife="N/A","n/a",IF(E308=0,0,A21remlife-Input!$W$7))</f>
        <v>0</v>
      </c>
      <c r="G308" s="277"/>
      <c r="H308" s="278" t="s">
        <v>67</v>
      </c>
      <c r="I308" s="279"/>
      <c r="J308" s="276">
        <f ca="1">A21taxvalue-SUM('Tax value roll forward'!G352:OFFSET('Tax value roll forward'!G352,0,Input!$W$7))</f>
        <v>0</v>
      </c>
      <c r="K308" s="276">
        <f ca="1">IF(A21taxremlife="N/A","n/a",IF(J308=0,0,A21taxremlife-Input!$W$7-1))</f>
        <v>0</v>
      </c>
      <c r="L308" s="280"/>
      <c r="M308" s="312"/>
      <c r="N308" s="312"/>
      <c r="O308" s="272"/>
      <c r="P308" s="272"/>
      <c r="Q308" s="272"/>
      <c r="R308" s="272"/>
      <c r="S308" s="259"/>
      <c r="T308" s="259"/>
      <c r="U308" s="259"/>
      <c r="V308" s="259"/>
      <c r="W308" s="259"/>
      <c r="X308" s="259"/>
      <c r="Y308" s="259"/>
      <c r="Z308" s="259"/>
    </row>
    <row r="309" spans="1:26" ht="12.75" customHeight="1" outlineLevel="1">
      <c r="A309" s="272"/>
      <c r="B309" s="272"/>
      <c r="C309" s="633" t="s">
        <v>84</v>
      </c>
      <c r="D309" s="322">
        <f>D$9</f>
        <v>0</v>
      </c>
      <c r="E309" s="276"/>
      <c r="F309" s="276"/>
      <c r="G309" s="277"/>
      <c r="H309" s="633" t="s">
        <v>84</v>
      </c>
      <c r="I309" s="322">
        <v>0</v>
      </c>
      <c r="J309" s="276">
        <f ca="1">OFFSET('Tax value roll forward'!G$60,0,I309)-SUM('Tax value roll forward'!G354:OFFSET('Tax value roll forward'!G354,0,Input!$W$7))</f>
        <v>0</v>
      </c>
      <c r="K309" s="276">
        <f ca="1">IF(A21taxstdlife="N/A","n/a",IF(J309=0,0,A21taxstdlife+I309-Input!$W$7))</f>
        <v>0</v>
      </c>
      <c r="L309" s="280"/>
      <c r="M309" s="312"/>
      <c r="N309" s="312"/>
      <c r="O309" s="272"/>
      <c r="P309" s="272"/>
      <c r="Q309" s="272"/>
      <c r="R309" s="272"/>
      <c r="S309" s="259"/>
      <c r="T309" s="259"/>
      <c r="U309" s="259"/>
      <c r="V309" s="259"/>
      <c r="W309" s="259"/>
      <c r="X309" s="259"/>
      <c r="Y309" s="259"/>
      <c r="Z309" s="259"/>
    </row>
    <row r="310" spans="1:26" ht="12.75" customHeight="1" outlineLevel="1">
      <c r="A310" s="272"/>
      <c r="B310" s="272"/>
      <c r="C310" s="634"/>
      <c r="D310" s="281">
        <f>D$10</f>
        <v>1</v>
      </c>
      <c r="E310" s="276">
        <f ca="1">OFFSET('Actual RAB roll forward'!H$32,0,D310-1)-SUM('Actual RAB roll forward'!H306:OFFSET('Actual RAB roll forward'!H306,0,Input!$W$7-1))</f>
        <v>0</v>
      </c>
      <c r="F310" s="276">
        <f ca="1">IF(A21stdlife="N/A","n/a",IF(E310=0,0,A21stdlife+D310-Input!$W$7))</f>
        <v>0</v>
      </c>
      <c r="G310" s="277"/>
      <c r="H310" s="634"/>
      <c r="I310" s="281">
        <v>1</v>
      </c>
      <c r="J310" s="276">
        <f ca="1">OFFSET('Tax value roll forward'!G$60,0,I310)-SUM('Tax value roll forward'!G355:OFFSET('Tax value roll forward'!G355,0,Input!$W$7))</f>
        <v>0</v>
      </c>
      <c r="K310" s="276">
        <f ca="1">IF(A21taxstdlife="N/A","n/a",IF(J310=0,0,A21taxstdlife+I310-Input!$W$7))</f>
        <v>0</v>
      </c>
      <c r="L310" s="280"/>
      <c r="M310" s="312"/>
      <c r="N310" s="312"/>
      <c r="O310" s="272"/>
      <c r="P310" s="272"/>
      <c r="Q310" s="272"/>
      <c r="R310" s="272"/>
      <c r="S310" s="259"/>
      <c r="T310" s="259"/>
      <c r="U310" s="259"/>
      <c r="V310" s="259"/>
      <c r="W310" s="259"/>
      <c r="X310" s="259"/>
      <c r="Y310" s="259"/>
      <c r="Z310" s="259"/>
    </row>
    <row r="311" spans="1:26" outlineLevel="1">
      <c r="A311" s="272"/>
      <c r="B311" s="272"/>
      <c r="C311" s="634"/>
      <c r="D311" s="281">
        <f>D$11</f>
        <v>2</v>
      </c>
      <c r="E311" s="276">
        <f ca="1">OFFSET('Actual RAB roll forward'!H$32,0,D311-1)-SUM('Actual RAB roll forward'!H307:OFFSET('Actual RAB roll forward'!H307,0,Input!$W$7-1))</f>
        <v>0</v>
      </c>
      <c r="F311" s="276">
        <f ca="1">IF(A21stdlife="N/A","n/a",IF(E311=0,0,A21stdlife+D311-Input!$W$7))</f>
        <v>0</v>
      </c>
      <c r="G311" s="277"/>
      <c r="H311" s="634"/>
      <c r="I311" s="281">
        <v>2</v>
      </c>
      <c r="J311" s="276">
        <f ca="1">OFFSET('Tax value roll forward'!G$60,0,I311)-SUM('Tax value roll forward'!G356:OFFSET('Tax value roll forward'!G356,0,Input!$W$7))</f>
        <v>0</v>
      </c>
      <c r="K311" s="276">
        <f ca="1">IF(A21taxstdlife="N/A","n/a",IF(J311=0,0,A21taxstdlife+I311-Input!$W$7))</f>
        <v>0</v>
      </c>
      <c r="L311" s="280"/>
      <c r="M311" s="312"/>
      <c r="N311" s="312"/>
      <c r="O311" s="272"/>
      <c r="P311" s="272"/>
      <c r="Q311" s="272"/>
      <c r="R311" s="272"/>
      <c r="S311" s="259"/>
      <c r="T311" s="259"/>
      <c r="U311" s="259"/>
      <c r="V311" s="259"/>
      <c r="W311" s="259"/>
      <c r="X311" s="259"/>
      <c r="Y311" s="259"/>
      <c r="Z311" s="259"/>
    </row>
    <row r="312" spans="1:26" outlineLevel="1">
      <c r="A312" s="272"/>
      <c r="B312" s="272"/>
      <c r="C312" s="634"/>
      <c r="D312" s="281">
        <f>D$12</f>
        <v>3</v>
      </c>
      <c r="E312" s="276">
        <f ca="1">OFFSET('Actual RAB roll forward'!H$32,0,D312-1)-SUM('Actual RAB roll forward'!H308:OFFSET('Actual RAB roll forward'!H308,0,Input!$W$7-1))</f>
        <v>0</v>
      </c>
      <c r="F312" s="276">
        <f ca="1">IF(A21stdlife="N/A","n/a",IF(E312=0,0,A21stdlife+D312-Input!$W$7))</f>
        <v>0</v>
      </c>
      <c r="G312" s="277"/>
      <c r="H312" s="634"/>
      <c r="I312" s="281">
        <v>3</v>
      </c>
      <c r="J312" s="276">
        <f ca="1">OFFSET('Tax value roll forward'!G$60,0,I312)-SUM('Tax value roll forward'!G357:OFFSET('Tax value roll forward'!G357,0,Input!$W$7))</f>
        <v>0</v>
      </c>
      <c r="K312" s="276">
        <f ca="1">IF(A21taxstdlife="N/A","n/a",IF(J312=0,0,A21taxstdlife+I312-Input!$W$7))</f>
        <v>0</v>
      </c>
      <c r="L312" s="280"/>
      <c r="M312" s="312"/>
      <c r="N312" s="312"/>
      <c r="O312" s="272"/>
      <c r="P312" s="272"/>
      <c r="Q312" s="272"/>
      <c r="R312" s="272"/>
      <c r="S312" s="259"/>
      <c r="T312" s="259"/>
      <c r="U312" s="259"/>
      <c r="V312" s="259"/>
      <c r="W312" s="259"/>
      <c r="X312" s="259"/>
      <c r="Y312" s="259"/>
      <c r="Z312" s="259"/>
    </row>
    <row r="313" spans="1:26" outlineLevel="1">
      <c r="A313" s="272"/>
      <c r="B313" s="272"/>
      <c r="C313" s="634"/>
      <c r="D313" s="281">
        <f>D$13</f>
        <v>4</v>
      </c>
      <c r="E313" s="276">
        <f ca="1">OFFSET('Actual RAB roll forward'!H$32,0,D313-1)-SUM('Actual RAB roll forward'!H309:OFFSET('Actual RAB roll forward'!H309,0,Input!$W$7-1))</f>
        <v>0</v>
      </c>
      <c r="F313" s="276">
        <f ca="1">IF(A21stdlife="N/A","n/a",IF(E313=0,0,A21stdlife+D313-Input!$W$7))</f>
        <v>0</v>
      </c>
      <c r="G313" s="277"/>
      <c r="H313" s="634"/>
      <c r="I313" s="281">
        <v>4</v>
      </c>
      <c r="J313" s="276">
        <f ca="1">OFFSET('Tax value roll forward'!G$60,0,I313)-SUM('Tax value roll forward'!G358:OFFSET('Tax value roll forward'!G358,0,Input!$W$7))</f>
        <v>0</v>
      </c>
      <c r="K313" s="276">
        <f ca="1">IF(A21taxstdlife="N/A","n/a",IF(J313=0,0,A21taxstdlife+I313-Input!$W$7))</f>
        <v>0</v>
      </c>
      <c r="L313" s="280"/>
      <c r="M313" s="312"/>
      <c r="N313" s="312"/>
      <c r="O313" s="272"/>
      <c r="P313" s="272"/>
      <c r="Q313" s="272"/>
      <c r="R313" s="272"/>
      <c r="S313" s="259"/>
      <c r="T313" s="259"/>
      <c r="U313" s="259"/>
      <c r="V313" s="259"/>
      <c r="W313" s="259"/>
      <c r="X313" s="259"/>
      <c r="Y313" s="259"/>
      <c r="Z313" s="259"/>
    </row>
    <row r="314" spans="1:26" outlineLevel="1">
      <c r="A314" s="272"/>
      <c r="B314" s="272"/>
      <c r="C314" s="634"/>
      <c r="D314" s="281">
        <f>D$14</f>
        <v>5</v>
      </c>
      <c r="E314" s="276">
        <f ca="1">OFFSET('Actual RAB roll forward'!H$32,0,D314-1)-SUM('Actual RAB roll forward'!H310:OFFSET('Actual RAB roll forward'!H310,0,Input!$W$7-1))</f>
        <v>0</v>
      </c>
      <c r="F314" s="276">
        <f ca="1">IF(A21stdlife="N/A","n/a",IF(E314=0,0,A21stdlife+D314-Input!$W$7))</f>
        <v>0</v>
      </c>
      <c r="G314" s="277"/>
      <c r="H314" s="634"/>
      <c r="I314" s="281">
        <v>5</v>
      </c>
      <c r="J314" s="276">
        <f ca="1">OFFSET('Tax value roll forward'!G$60,0,I314)-SUM('Tax value roll forward'!G359:OFFSET('Tax value roll forward'!G359,0,Input!$W$7))</f>
        <v>0</v>
      </c>
      <c r="K314" s="276">
        <f ca="1">IF(A21taxstdlife="N/A","n/a",IF(J314=0,0,A21taxstdlife+I314-Input!$W$7))</f>
        <v>0</v>
      </c>
      <c r="L314" s="280"/>
      <c r="M314" s="312"/>
      <c r="N314" s="312"/>
      <c r="O314" s="272"/>
      <c r="P314" s="272"/>
      <c r="Q314" s="272"/>
      <c r="R314" s="272"/>
      <c r="S314" s="259"/>
      <c r="T314" s="259"/>
      <c r="U314" s="259"/>
      <c r="V314" s="259"/>
      <c r="W314" s="259"/>
      <c r="X314" s="259"/>
      <c r="Y314" s="259"/>
      <c r="Z314" s="259"/>
    </row>
    <row r="315" spans="1:26" outlineLevel="1">
      <c r="A315" s="272"/>
      <c r="B315" s="272"/>
      <c r="C315" s="634"/>
      <c r="D315" s="281">
        <f>D$15</f>
        <v>6</v>
      </c>
      <c r="E315" s="276">
        <f ca="1">OFFSET('Actual RAB roll forward'!H$32,0,D315-1)-SUM('Actual RAB roll forward'!H311:OFFSET('Actual RAB roll forward'!H311,0,Input!$W$7-1))</f>
        <v>0</v>
      </c>
      <c r="F315" s="276">
        <f ca="1">IF(A21stdlife="N/A","n/a",IF(E315=0,0,A21stdlife+D315-Input!$W$7))</f>
        <v>0</v>
      </c>
      <c r="G315" s="277"/>
      <c r="H315" s="634"/>
      <c r="I315" s="281">
        <v>6</v>
      </c>
      <c r="J315" s="276">
        <f ca="1">OFFSET('Tax value roll forward'!G$60,0,I315)-SUM('Tax value roll forward'!G360:OFFSET('Tax value roll forward'!G360,0,Input!$W$7))</f>
        <v>0</v>
      </c>
      <c r="K315" s="276">
        <f ca="1">IF(A21taxstdlife="N/A","n/a",IF(J315=0,0,A21taxstdlife+I315-Input!$W$7))</f>
        <v>0</v>
      </c>
      <c r="L315" s="280"/>
      <c r="M315" s="312"/>
      <c r="N315" s="312"/>
      <c r="O315" s="272"/>
      <c r="P315" s="272"/>
      <c r="Q315" s="272"/>
      <c r="R315" s="272"/>
      <c r="S315" s="259"/>
      <c r="T315" s="259"/>
      <c r="U315" s="259"/>
      <c r="V315" s="259"/>
      <c r="W315" s="259"/>
      <c r="X315" s="259"/>
      <c r="Y315" s="259"/>
      <c r="Z315" s="259"/>
    </row>
    <row r="316" spans="1:26" outlineLevel="1">
      <c r="A316" s="272"/>
      <c r="B316" s="272"/>
      <c r="C316" s="634"/>
      <c r="D316" s="281">
        <f>D$16</f>
        <v>7</v>
      </c>
      <c r="E316" s="276">
        <f ca="1">OFFSET('Actual RAB roll forward'!H$32,0,D316-1)-SUM('Actual RAB roll forward'!H312:OFFSET('Actual RAB roll forward'!H312,0,Input!$W$7-1))</f>
        <v>0</v>
      </c>
      <c r="F316" s="276">
        <f ca="1">IF(A21stdlife="N/A","n/a",IF(E316=0,0,A21stdlife+D316-Input!$W$7))</f>
        <v>0</v>
      </c>
      <c r="G316" s="277"/>
      <c r="H316" s="634"/>
      <c r="I316" s="281">
        <v>7</v>
      </c>
      <c r="J316" s="276">
        <f ca="1">OFFSET('Tax value roll forward'!G$60,0,I316)-SUM('Tax value roll forward'!G361:OFFSET('Tax value roll forward'!G361,0,Input!$W$7))</f>
        <v>0</v>
      </c>
      <c r="K316" s="276">
        <f ca="1">IF(A21taxstdlife="N/A","n/a",IF(J316=0,0,A21taxstdlife+I316-Input!$W$7))</f>
        <v>0</v>
      </c>
      <c r="L316" s="280"/>
      <c r="M316" s="312"/>
      <c r="N316" s="312"/>
      <c r="O316" s="272"/>
      <c r="P316" s="272"/>
      <c r="Q316" s="272"/>
      <c r="R316" s="272"/>
      <c r="S316" s="259"/>
      <c r="T316" s="259"/>
      <c r="U316" s="259"/>
      <c r="V316" s="259"/>
      <c r="W316" s="259"/>
      <c r="X316" s="259"/>
      <c r="Y316" s="259"/>
      <c r="Z316" s="259"/>
    </row>
    <row r="317" spans="1:26" outlineLevel="1">
      <c r="A317" s="272"/>
      <c r="B317" s="272"/>
      <c r="C317" s="634"/>
      <c r="D317" s="281">
        <f>D$17</f>
        <v>8</v>
      </c>
      <c r="E317" s="276">
        <f ca="1">OFFSET('Actual RAB roll forward'!H$32,0,D317-1)-SUM('Actual RAB roll forward'!H313:OFFSET('Actual RAB roll forward'!H313,0,Input!$W$7-1))</f>
        <v>0</v>
      </c>
      <c r="F317" s="276">
        <f ca="1">IF(A21stdlife="N/A","n/a",IF(E317=0,0,A21stdlife+D317-Input!$W$7))</f>
        <v>0</v>
      </c>
      <c r="G317" s="277"/>
      <c r="H317" s="634"/>
      <c r="I317" s="281">
        <v>8</v>
      </c>
      <c r="J317" s="276">
        <f ca="1">OFFSET('Tax value roll forward'!G$60,0,I317)-SUM('Tax value roll forward'!G362:OFFSET('Tax value roll forward'!G362,0,Input!$W$7))</f>
        <v>0</v>
      </c>
      <c r="K317" s="276">
        <f ca="1">IF(A21taxstdlife="N/A","n/a",IF(J317=0,0,A21taxstdlife+I317-Input!$W$7))</f>
        <v>0</v>
      </c>
      <c r="L317" s="280"/>
      <c r="M317" s="312"/>
      <c r="N317" s="312"/>
      <c r="O317" s="272"/>
      <c r="P317" s="272"/>
      <c r="Q317" s="272"/>
      <c r="R317" s="272"/>
      <c r="S317" s="259"/>
      <c r="T317" s="259"/>
      <c r="U317" s="259"/>
      <c r="V317" s="259"/>
      <c r="W317" s="259"/>
      <c r="X317" s="259"/>
      <c r="Y317" s="259"/>
      <c r="Z317" s="259"/>
    </row>
    <row r="318" spans="1:26" outlineLevel="1">
      <c r="A318" s="272"/>
      <c r="B318" s="272"/>
      <c r="C318" s="634"/>
      <c r="D318" s="281">
        <f>D$18</f>
        <v>9</v>
      </c>
      <c r="E318" s="276">
        <f ca="1">OFFSET('Actual RAB roll forward'!H$32,0,D318-1)-SUM('Actual RAB roll forward'!H314:OFFSET('Actual RAB roll forward'!H314,0,Input!$W$7-1))</f>
        <v>0</v>
      </c>
      <c r="F318" s="276">
        <f ca="1">IF(A21stdlife="N/A","n/a",IF(E318=0,0,A21stdlife+D318-Input!$W$7))</f>
        <v>0</v>
      </c>
      <c r="G318" s="277"/>
      <c r="H318" s="634"/>
      <c r="I318" s="281">
        <v>9</v>
      </c>
      <c r="J318" s="276">
        <f ca="1">OFFSET('Tax value roll forward'!G$60,0,I318)-SUM('Tax value roll forward'!G363:OFFSET('Tax value roll forward'!G363,0,Input!$W$7))</f>
        <v>0</v>
      </c>
      <c r="K318" s="276">
        <f ca="1">IF(A21taxstdlife="N/A","n/a",IF(J318=0,0,A21taxstdlife+I318-Input!$W$7))</f>
        <v>0</v>
      </c>
      <c r="L318" s="280"/>
      <c r="M318" s="312"/>
      <c r="N318" s="312"/>
      <c r="O318" s="272"/>
      <c r="P318" s="272"/>
      <c r="Q318" s="272"/>
      <c r="R318" s="272"/>
      <c r="S318" s="259"/>
      <c r="T318" s="259"/>
      <c r="U318" s="259"/>
      <c r="V318" s="259"/>
      <c r="W318" s="259"/>
      <c r="X318" s="259"/>
      <c r="Y318" s="259"/>
      <c r="Z318" s="259"/>
    </row>
    <row r="319" spans="1:26" outlineLevel="1">
      <c r="A319" s="272"/>
      <c r="B319" s="272"/>
      <c r="C319" s="635"/>
      <c r="D319" s="282">
        <f>D$19</f>
        <v>10</v>
      </c>
      <c r="E319" s="276">
        <f ca="1">OFFSET('Actual RAB roll forward'!H$32,0,D319-1)-SUM('Actual RAB roll forward'!H315:OFFSET('Actual RAB roll forward'!H315,0,Input!$W$7-1))</f>
        <v>0</v>
      </c>
      <c r="F319" s="276">
        <f ca="1">IF(A21stdlife="N/A","n/a",IF(E319=0,0,A21stdlife+D319-Input!$W$7))</f>
        <v>0</v>
      </c>
      <c r="G319" s="277"/>
      <c r="H319" s="635"/>
      <c r="I319" s="282">
        <v>10</v>
      </c>
      <c r="J319" s="276">
        <f ca="1">OFFSET('Tax value roll forward'!G$60,0,I319)-SUM('Tax value roll forward'!G364:OFFSET('Tax value roll forward'!G364,0,Input!$W$7))</f>
        <v>0</v>
      </c>
      <c r="K319" s="276">
        <f ca="1">IF(A21taxstdlife="N/A","n/a",IF(J319=0,0,A21taxstdlife+I319-Input!$W$7))</f>
        <v>0</v>
      </c>
      <c r="M319" s="312"/>
      <c r="N319" s="312"/>
      <c r="O319" s="272"/>
      <c r="P319" s="272"/>
      <c r="Q319" s="272"/>
      <c r="R319" s="272"/>
      <c r="S319" s="259"/>
      <c r="T319" s="259"/>
      <c r="U319" s="259"/>
      <c r="V319" s="259"/>
      <c r="W319" s="259"/>
      <c r="X319" s="259"/>
      <c r="Y319" s="259"/>
      <c r="Z319" s="259"/>
    </row>
    <row r="320" spans="1:26">
      <c r="A320" s="272"/>
      <c r="B320" s="272"/>
      <c r="C320" s="292">
        <f>Asset21</f>
        <v>0</v>
      </c>
      <c r="D320" s="272"/>
      <c r="E320" s="276">
        <f ca="1">SUM(E308:E319)</f>
        <v>0</v>
      </c>
      <c r="F320" s="276">
        <f ca="1">IF(E320=0,0,SUMPRODUCT(E308:E319,F308:F319)/E320)</f>
        <v>0</v>
      </c>
      <c r="G320" s="277"/>
      <c r="H320" s="284"/>
      <c r="I320" s="276"/>
      <c r="J320" s="311">
        <f ca="1">SUM(J308:J319)</f>
        <v>0</v>
      </c>
      <c r="K320" s="311">
        <f ca="1">IF(J320=0,0,SUMPRODUCT(J308:J319,K308:K319)/J320)</f>
        <v>0</v>
      </c>
      <c r="L320" s="280"/>
      <c r="M320" s="312"/>
      <c r="N320" s="312"/>
      <c r="O320" s="272"/>
      <c r="P320" s="272"/>
      <c r="Q320" s="272"/>
      <c r="R320" s="272"/>
      <c r="S320" s="259"/>
      <c r="T320" s="259"/>
      <c r="U320" s="259"/>
      <c r="V320" s="259"/>
      <c r="W320" s="259"/>
      <c r="X320" s="259"/>
      <c r="Y320" s="259"/>
      <c r="Z320" s="259"/>
    </row>
    <row r="321" spans="1:26" outlineLevel="1">
      <c r="A321" s="272"/>
      <c r="B321" s="275"/>
      <c r="C321" s="272"/>
      <c r="D321" s="272"/>
      <c r="E321" s="293"/>
      <c r="F321" s="293"/>
      <c r="G321" s="277"/>
      <c r="H321" s="276"/>
      <c r="I321" s="276"/>
      <c r="J321" s="290"/>
      <c r="K321" s="276"/>
      <c r="L321" s="280"/>
      <c r="M321" s="312"/>
      <c r="N321" s="312"/>
      <c r="O321" s="272"/>
      <c r="P321" s="272"/>
      <c r="Q321" s="272"/>
      <c r="R321" s="272"/>
      <c r="S321" s="259"/>
      <c r="T321" s="259"/>
      <c r="U321" s="259"/>
      <c r="V321" s="259"/>
      <c r="W321" s="259"/>
      <c r="X321" s="259"/>
      <c r="Y321" s="259"/>
      <c r="Z321" s="259"/>
    </row>
    <row r="322" spans="1:26" outlineLevel="1">
      <c r="A322" s="272"/>
      <c r="B322" s="275">
        <f>Asset22</f>
        <v>0</v>
      </c>
      <c r="C322" s="272"/>
      <c r="D322" s="272"/>
      <c r="E322" s="293"/>
      <c r="F322" s="293"/>
      <c r="G322" s="277"/>
      <c r="H322" s="276"/>
      <c r="I322" s="276"/>
      <c r="J322" s="290"/>
      <c r="K322" s="276"/>
      <c r="L322" s="280"/>
      <c r="M322" s="312"/>
      <c r="N322" s="312"/>
      <c r="O322" s="272"/>
      <c r="P322" s="272"/>
      <c r="Q322" s="272"/>
      <c r="R322" s="272"/>
      <c r="S322" s="259"/>
      <c r="T322" s="259"/>
      <c r="U322" s="259"/>
      <c r="V322" s="259"/>
      <c r="W322" s="259"/>
      <c r="X322" s="259"/>
      <c r="Y322" s="259"/>
      <c r="Z322" s="259"/>
    </row>
    <row r="323" spans="1:26" ht="12.75" customHeight="1" outlineLevel="1">
      <c r="A323" s="272"/>
      <c r="B323" s="272"/>
      <c r="C323" s="626" t="s">
        <v>28</v>
      </c>
      <c r="D323" s="627"/>
      <c r="E323" s="276">
        <f ca="1">A22value-SUM('Actual RAB roll forward'!H317:OFFSET('Actual RAB roll forward'!H317,0,Input!$W$7-1))</f>
        <v>0</v>
      </c>
      <c r="F323" s="276">
        <f ca="1">IF(A22remlife="N/A","n/a",IF(E323=0,0,A22remlife-Input!$W$7))</f>
        <v>0</v>
      </c>
      <c r="G323" s="277"/>
      <c r="H323" s="278" t="s">
        <v>67</v>
      </c>
      <c r="I323" s="279"/>
      <c r="J323" s="276">
        <f ca="1">A22taxvalue-SUM('Tax value roll forward'!G366:OFFSET('Tax value roll forward'!G366,0,Input!$W$7))</f>
        <v>0</v>
      </c>
      <c r="K323" s="276">
        <f ca="1">IF(A22taxremlife="N/A","n/a",IF(J323=0,0,A22taxremlife-Input!$W$7-1))</f>
        <v>0</v>
      </c>
      <c r="L323" s="280"/>
      <c r="M323" s="312"/>
      <c r="N323" s="312"/>
      <c r="O323" s="272"/>
      <c r="P323" s="272"/>
      <c r="Q323" s="272"/>
      <c r="R323" s="272"/>
      <c r="S323" s="259"/>
      <c r="T323" s="259"/>
      <c r="U323" s="259"/>
      <c r="V323" s="259"/>
      <c r="W323" s="259"/>
      <c r="X323" s="259"/>
      <c r="Y323" s="259"/>
      <c r="Z323" s="259"/>
    </row>
    <row r="324" spans="1:26" ht="12.75" customHeight="1" outlineLevel="1">
      <c r="A324" s="272"/>
      <c r="B324" s="272"/>
      <c r="C324" s="633" t="s">
        <v>84</v>
      </c>
      <c r="D324" s="322">
        <f>D$9</f>
        <v>0</v>
      </c>
      <c r="E324" s="276"/>
      <c r="F324" s="276"/>
      <c r="G324" s="277"/>
      <c r="H324" s="633" t="s">
        <v>84</v>
      </c>
      <c r="I324" s="322">
        <v>0</v>
      </c>
      <c r="J324" s="276">
        <f ca="1">OFFSET('Tax value roll forward'!G$61,0,I324)-SUM('Tax value roll forward'!G368:OFFSET('Tax value roll forward'!G368,0,Input!$W$7))</f>
        <v>0</v>
      </c>
      <c r="K324" s="276">
        <f ca="1">IF(A22taxstdlife="N/A","n/a",IF(J324=0,0,A22taxstdlife+I324-Input!$W$7))</f>
        <v>0</v>
      </c>
      <c r="L324" s="280"/>
      <c r="M324" s="312"/>
      <c r="N324" s="312"/>
      <c r="O324" s="272"/>
      <c r="P324" s="272"/>
      <c r="Q324" s="272"/>
      <c r="R324" s="272"/>
      <c r="S324" s="259"/>
      <c r="T324" s="259"/>
      <c r="U324" s="259"/>
      <c r="V324" s="259"/>
      <c r="W324" s="259"/>
      <c r="X324" s="259"/>
      <c r="Y324" s="259"/>
      <c r="Z324" s="259"/>
    </row>
    <row r="325" spans="1:26" ht="12.75" customHeight="1" outlineLevel="1">
      <c r="A325" s="272"/>
      <c r="B325" s="272"/>
      <c r="C325" s="634"/>
      <c r="D325" s="281">
        <f>D$10</f>
        <v>1</v>
      </c>
      <c r="E325" s="276">
        <f ca="1">OFFSET('Actual RAB roll forward'!H$33,0,D325-1)-SUM('Actual RAB roll forward'!H319:OFFSET('Actual RAB roll forward'!H319,0,Input!$W$7-1))</f>
        <v>0</v>
      </c>
      <c r="F325" s="276">
        <f ca="1">IF(A22stdlife="N/A","n/a",IF(E325=0,0,A22stdlife+D325-Input!$W$7))</f>
        <v>0</v>
      </c>
      <c r="G325" s="277"/>
      <c r="H325" s="634"/>
      <c r="I325" s="281">
        <v>1</v>
      </c>
      <c r="J325" s="276">
        <f ca="1">OFFSET('Tax value roll forward'!G$61,0,I325)-SUM('Tax value roll forward'!G369:OFFSET('Tax value roll forward'!G369,0,Input!$W$7))</f>
        <v>0</v>
      </c>
      <c r="K325" s="276">
        <f ca="1">IF(A22taxstdlife="N/A","n/a",IF(J325=0,0,A22taxstdlife+I325-Input!$W$7))</f>
        <v>0</v>
      </c>
      <c r="L325" s="280"/>
      <c r="M325" s="312"/>
      <c r="N325" s="312"/>
      <c r="O325" s="272"/>
      <c r="P325" s="272"/>
      <c r="Q325" s="272"/>
      <c r="R325" s="272"/>
      <c r="S325" s="259"/>
      <c r="T325" s="259"/>
      <c r="U325" s="259"/>
      <c r="V325" s="259"/>
      <c r="W325" s="259"/>
      <c r="X325" s="259"/>
      <c r="Y325" s="259"/>
      <c r="Z325" s="259"/>
    </row>
    <row r="326" spans="1:26" outlineLevel="1">
      <c r="A326" s="272"/>
      <c r="B326" s="272"/>
      <c r="C326" s="634"/>
      <c r="D326" s="281">
        <f>D$11</f>
        <v>2</v>
      </c>
      <c r="E326" s="276">
        <f ca="1">OFFSET('Actual RAB roll forward'!H$33,0,D326-1)-SUM('Actual RAB roll forward'!H320:OFFSET('Actual RAB roll forward'!H320,0,Input!$W$7-1))</f>
        <v>0</v>
      </c>
      <c r="F326" s="276">
        <f ca="1">IF(A22stdlife="N/A","n/a",IF(E326=0,0,A22stdlife+D326-Input!$W$7))</f>
        <v>0</v>
      </c>
      <c r="G326" s="277"/>
      <c r="H326" s="634"/>
      <c r="I326" s="281">
        <v>2</v>
      </c>
      <c r="J326" s="276">
        <f ca="1">OFFSET('Tax value roll forward'!G$61,0,I326)-SUM('Tax value roll forward'!G370:OFFSET('Tax value roll forward'!G370,0,Input!$W$7))</f>
        <v>0</v>
      </c>
      <c r="K326" s="276">
        <f ca="1">IF(A22taxstdlife="N/A","n/a",IF(J326=0,0,A22taxstdlife+I326-Input!$W$7))</f>
        <v>0</v>
      </c>
      <c r="L326" s="280"/>
      <c r="M326" s="312"/>
      <c r="N326" s="312"/>
      <c r="O326" s="272"/>
      <c r="P326" s="272"/>
      <c r="Q326" s="272"/>
      <c r="R326" s="272"/>
      <c r="S326" s="259"/>
      <c r="T326" s="259"/>
      <c r="U326" s="259"/>
      <c r="V326" s="259"/>
      <c r="W326" s="259"/>
      <c r="X326" s="259"/>
      <c r="Y326" s="259"/>
      <c r="Z326" s="259"/>
    </row>
    <row r="327" spans="1:26" outlineLevel="1">
      <c r="A327" s="272"/>
      <c r="B327" s="272"/>
      <c r="C327" s="634"/>
      <c r="D327" s="281">
        <f>D$12</f>
        <v>3</v>
      </c>
      <c r="E327" s="276">
        <f ca="1">OFFSET('Actual RAB roll forward'!H$33,0,D327-1)-SUM('Actual RAB roll forward'!H321:OFFSET('Actual RAB roll forward'!H321,0,Input!$W$7-1))</f>
        <v>0</v>
      </c>
      <c r="F327" s="276">
        <f ca="1">IF(A22stdlife="N/A","n/a",IF(E327=0,0,A22stdlife+D327-Input!$W$7))</f>
        <v>0</v>
      </c>
      <c r="G327" s="277"/>
      <c r="H327" s="634"/>
      <c r="I327" s="281">
        <v>3</v>
      </c>
      <c r="J327" s="276">
        <f ca="1">OFFSET('Tax value roll forward'!G$61,0,I327)-SUM('Tax value roll forward'!G371:OFFSET('Tax value roll forward'!G371,0,Input!$W$7))</f>
        <v>0</v>
      </c>
      <c r="K327" s="276">
        <f ca="1">IF(A22taxstdlife="N/A","n/a",IF(J327=0,0,A22taxstdlife+I327-Input!$W$7))</f>
        <v>0</v>
      </c>
      <c r="L327" s="280"/>
      <c r="M327" s="312"/>
      <c r="N327" s="312"/>
      <c r="O327" s="272"/>
      <c r="P327" s="272"/>
      <c r="Q327" s="272"/>
      <c r="R327" s="272"/>
      <c r="S327" s="259"/>
      <c r="T327" s="259"/>
      <c r="U327" s="259"/>
      <c r="V327" s="259"/>
      <c r="W327" s="259"/>
      <c r="X327" s="259"/>
      <c r="Y327" s="259"/>
      <c r="Z327" s="259"/>
    </row>
    <row r="328" spans="1:26" outlineLevel="1">
      <c r="A328" s="272"/>
      <c r="B328" s="272"/>
      <c r="C328" s="634"/>
      <c r="D328" s="281">
        <f>D$13</f>
        <v>4</v>
      </c>
      <c r="E328" s="276">
        <f ca="1">OFFSET('Actual RAB roll forward'!H$33,0,D328-1)-SUM('Actual RAB roll forward'!H322:OFFSET('Actual RAB roll forward'!H322,0,Input!$W$7-1))</f>
        <v>0</v>
      </c>
      <c r="F328" s="276">
        <f ca="1">IF(A22stdlife="N/A","n/a",IF(E328=0,0,A22stdlife+D328-Input!$W$7))</f>
        <v>0</v>
      </c>
      <c r="G328" s="277"/>
      <c r="H328" s="634"/>
      <c r="I328" s="281">
        <v>4</v>
      </c>
      <c r="J328" s="276">
        <f ca="1">OFFSET('Tax value roll forward'!G$61,0,I328)-SUM('Tax value roll forward'!G372:OFFSET('Tax value roll forward'!G372,0,Input!$W$7))</f>
        <v>0</v>
      </c>
      <c r="K328" s="276">
        <f ca="1">IF(A22taxstdlife="N/A","n/a",IF(J328=0,0,A22taxstdlife+I328-Input!$W$7))</f>
        <v>0</v>
      </c>
      <c r="L328" s="280"/>
      <c r="M328" s="312"/>
      <c r="N328" s="312"/>
      <c r="O328" s="272"/>
      <c r="P328" s="272"/>
      <c r="Q328" s="272"/>
      <c r="R328" s="272"/>
      <c r="S328" s="259"/>
      <c r="T328" s="259"/>
      <c r="U328" s="259"/>
      <c r="V328" s="259"/>
      <c r="W328" s="259"/>
      <c r="X328" s="259"/>
      <c r="Y328" s="259"/>
      <c r="Z328" s="259"/>
    </row>
    <row r="329" spans="1:26" outlineLevel="1">
      <c r="A329" s="272"/>
      <c r="B329" s="272"/>
      <c r="C329" s="634"/>
      <c r="D329" s="281">
        <f>D$14</f>
        <v>5</v>
      </c>
      <c r="E329" s="276">
        <f ca="1">OFFSET('Actual RAB roll forward'!H$33,0,D329-1)-SUM('Actual RAB roll forward'!H323:OFFSET('Actual RAB roll forward'!H323,0,Input!$W$7-1))</f>
        <v>0</v>
      </c>
      <c r="F329" s="276">
        <f ca="1">IF(A22stdlife="N/A","n/a",IF(E329=0,0,A22stdlife+D329-Input!$W$7))</f>
        <v>0</v>
      </c>
      <c r="G329" s="277"/>
      <c r="H329" s="634"/>
      <c r="I329" s="281">
        <v>5</v>
      </c>
      <c r="J329" s="276">
        <f ca="1">OFFSET('Tax value roll forward'!G$61,0,I329)-SUM('Tax value roll forward'!G373:OFFSET('Tax value roll forward'!G373,0,Input!$W$7))</f>
        <v>0</v>
      </c>
      <c r="K329" s="276">
        <f ca="1">IF(A22taxstdlife="N/A","n/a",IF(J329=0,0,A22taxstdlife+I329-Input!$W$7))</f>
        <v>0</v>
      </c>
      <c r="L329" s="280"/>
      <c r="M329" s="312"/>
      <c r="N329" s="312"/>
      <c r="O329" s="272"/>
      <c r="P329" s="272"/>
      <c r="Q329" s="272"/>
      <c r="R329" s="272"/>
      <c r="S329" s="259"/>
      <c r="T329" s="259"/>
      <c r="U329" s="259"/>
      <c r="V329" s="259"/>
      <c r="W329" s="259"/>
      <c r="X329" s="259"/>
      <c r="Y329" s="259"/>
      <c r="Z329" s="259"/>
    </row>
    <row r="330" spans="1:26" outlineLevel="1">
      <c r="A330" s="272"/>
      <c r="B330" s="272"/>
      <c r="C330" s="634"/>
      <c r="D330" s="281">
        <f>D$15</f>
        <v>6</v>
      </c>
      <c r="E330" s="276">
        <f ca="1">OFFSET('Actual RAB roll forward'!H$33,0,D330-1)-SUM('Actual RAB roll forward'!H324:OFFSET('Actual RAB roll forward'!H324,0,Input!$W$7-1))</f>
        <v>0</v>
      </c>
      <c r="F330" s="276">
        <f ca="1">IF(A22stdlife="N/A","n/a",IF(E330=0,0,A22stdlife+D330-Input!$W$7))</f>
        <v>0</v>
      </c>
      <c r="G330" s="277"/>
      <c r="H330" s="634"/>
      <c r="I330" s="281">
        <v>6</v>
      </c>
      <c r="J330" s="276">
        <f ca="1">OFFSET('Tax value roll forward'!G$61,0,I330)-SUM('Tax value roll forward'!G374:OFFSET('Tax value roll forward'!G374,0,Input!$W$7))</f>
        <v>0</v>
      </c>
      <c r="K330" s="276">
        <f ca="1">IF(A22taxstdlife="N/A","n/a",IF(J330=0,0,A22taxstdlife+I330-Input!$W$7))</f>
        <v>0</v>
      </c>
      <c r="L330" s="280"/>
      <c r="M330" s="312"/>
      <c r="N330" s="312"/>
      <c r="O330" s="272"/>
      <c r="P330" s="272"/>
      <c r="Q330" s="272"/>
      <c r="R330" s="272"/>
      <c r="S330" s="259"/>
      <c r="T330" s="259"/>
      <c r="U330" s="259"/>
      <c r="V330" s="259"/>
      <c r="W330" s="259"/>
      <c r="X330" s="259"/>
      <c r="Y330" s="259"/>
      <c r="Z330" s="259"/>
    </row>
    <row r="331" spans="1:26" outlineLevel="1">
      <c r="A331" s="272"/>
      <c r="B331" s="272"/>
      <c r="C331" s="634"/>
      <c r="D331" s="281">
        <f>D$16</f>
        <v>7</v>
      </c>
      <c r="E331" s="276">
        <f ca="1">OFFSET('Actual RAB roll forward'!H$33,0,D331-1)-SUM('Actual RAB roll forward'!H325:OFFSET('Actual RAB roll forward'!H325,0,Input!$W$7-1))</f>
        <v>0</v>
      </c>
      <c r="F331" s="276">
        <f ca="1">IF(A22stdlife="N/A","n/a",IF(E331=0,0,A22stdlife+D331-Input!$W$7))</f>
        <v>0</v>
      </c>
      <c r="G331" s="277"/>
      <c r="H331" s="634"/>
      <c r="I331" s="281">
        <v>7</v>
      </c>
      <c r="J331" s="276">
        <f ca="1">OFFSET('Tax value roll forward'!G$61,0,I331)-SUM('Tax value roll forward'!G375:OFFSET('Tax value roll forward'!G375,0,Input!$W$7))</f>
        <v>0</v>
      </c>
      <c r="K331" s="276">
        <f ca="1">IF(A22taxstdlife="N/A","n/a",IF(J331=0,0,A22taxstdlife+I331-Input!$W$7))</f>
        <v>0</v>
      </c>
      <c r="L331" s="280"/>
      <c r="M331" s="312"/>
      <c r="N331" s="312"/>
      <c r="O331" s="272"/>
      <c r="P331" s="272"/>
      <c r="Q331" s="272"/>
      <c r="R331" s="272"/>
      <c r="S331" s="259"/>
      <c r="T331" s="259"/>
      <c r="U331" s="259"/>
      <c r="V331" s="259"/>
      <c r="W331" s="259"/>
      <c r="X331" s="259"/>
      <c r="Y331" s="259"/>
      <c r="Z331" s="259"/>
    </row>
    <row r="332" spans="1:26" outlineLevel="1">
      <c r="A332" s="272"/>
      <c r="B332" s="272"/>
      <c r="C332" s="634"/>
      <c r="D332" s="281">
        <f>D$17</f>
        <v>8</v>
      </c>
      <c r="E332" s="276">
        <f ca="1">OFFSET('Actual RAB roll forward'!H$33,0,D332-1)-SUM('Actual RAB roll forward'!H326:OFFSET('Actual RAB roll forward'!H326,0,Input!$W$7-1))</f>
        <v>0</v>
      </c>
      <c r="F332" s="276">
        <f ca="1">IF(A22stdlife="N/A","n/a",IF(E332=0,0,A22stdlife+D332-Input!$W$7))</f>
        <v>0</v>
      </c>
      <c r="G332" s="277"/>
      <c r="H332" s="634"/>
      <c r="I332" s="281">
        <v>8</v>
      </c>
      <c r="J332" s="276">
        <f ca="1">OFFSET('Tax value roll forward'!G$61,0,I332)-SUM('Tax value roll forward'!G376:OFFSET('Tax value roll forward'!G376,0,Input!$W$7))</f>
        <v>0</v>
      </c>
      <c r="K332" s="276">
        <f ca="1">IF(A22taxstdlife="N/A","n/a",IF(J332=0,0,A22taxstdlife+I332-Input!$W$7))</f>
        <v>0</v>
      </c>
      <c r="L332" s="280"/>
      <c r="M332" s="312"/>
      <c r="N332" s="312"/>
      <c r="O332" s="272"/>
      <c r="P332" s="272"/>
      <c r="Q332" s="272"/>
      <c r="R332" s="272"/>
      <c r="S332" s="259"/>
      <c r="T332" s="259"/>
      <c r="U332" s="259"/>
      <c r="V332" s="259"/>
      <c r="W332" s="259"/>
      <c r="X332" s="259"/>
      <c r="Y332" s="259"/>
      <c r="Z332" s="259"/>
    </row>
    <row r="333" spans="1:26" outlineLevel="1">
      <c r="A333" s="272"/>
      <c r="B333" s="272"/>
      <c r="C333" s="634"/>
      <c r="D333" s="281">
        <f>D$18</f>
        <v>9</v>
      </c>
      <c r="E333" s="276">
        <f ca="1">OFFSET('Actual RAB roll forward'!H$33,0,D333-1)-SUM('Actual RAB roll forward'!H327:OFFSET('Actual RAB roll forward'!H327,0,Input!$W$7-1))</f>
        <v>0</v>
      </c>
      <c r="F333" s="276">
        <f ca="1">IF(A22stdlife="N/A","n/a",IF(E333=0,0,A22stdlife+D333-Input!$W$7))</f>
        <v>0</v>
      </c>
      <c r="G333" s="277"/>
      <c r="H333" s="634"/>
      <c r="I333" s="281">
        <v>9</v>
      </c>
      <c r="J333" s="276">
        <f ca="1">OFFSET('Tax value roll forward'!G$61,0,I333)-SUM('Tax value roll forward'!G377:OFFSET('Tax value roll forward'!G377,0,Input!$W$7))</f>
        <v>0</v>
      </c>
      <c r="K333" s="276">
        <f ca="1">IF(A22taxstdlife="N/A","n/a",IF(J333=0,0,A22taxstdlife+I333-Input!$W$7))</f>
        <v>0</v>
      </c>
      <c r="L333" s="280"/>
      <c r="M333" s="312"/>
      <c r="N333" s="312"/>
      <c r="O333" s="272"/>
      <c r="P333" s="272"/>
      <c r="Q333" s="272"/>
      <c r="R333" s="272"/>
      <c r="S333" s="259"/>
      <c r="T333" s="259"/>
      <c r="U333" s="259"/>
      <c r="V333" s="259"/>
      <c r="W333" s="259"/>
      <c r="X333" s="259"/>
      <c r="Y333" s="259"/>
      <c r="Z333" s="259"/>
    </row>
    <row r="334" spans="1:26" outlineLevel="1">
      <c r="A334" s="272"/>
      <c r="B334" s="272"/>
      <c r="C334" s="635"/>
      <c r="D334" s="282">
        <f>D$19</f>
        <v>10</v>
      </c>
      <c r="E334" s="276">
        <f ca="1">OFFSET('Actual RAB roll forward'!H$33,0,D334-1)-SUM('Actual RAB roll forward'!H328:OFFSET('Actual RAB roll forward'!H328,0,Input!$W$7-1))</f>
        <v>0</v>
      </c>
      <c r="F334" s="276">
        <f ca="1">IF(A22stdlife="N/A","n/a",IF(E334=0,0,A22stdlife+D334-Input!$W$7))</f>
        <v>0</v>
      </c>
      <c r="G334" s="277"/>
      <c r="H334" s="635"/>
      <c r="I334" s="282">
        <v>10</v>
      </c>
      <c r="J334" s="276">
        <f ca="1">OFFSET('Tax value roll forward'!G$61,0,I334)-SUM('Tax value roll forward'!G378:OFFSET('Tax value roll forward'!G378,0,Input!$W$7))</f>
        <v>0</v>
      </c>
      <c r="K334" s="276">
        <f ca="1">IF(A22taxstdlife="N/A","n/a",IF(J334=0,0,A22taxstdlife+I334-Input!$W$7))</f>
        <v>0</v>
      </c>
      <c r="M334" s="312"/>
      <c r="N334" s="312"/>
      <c r="O334" s="272"/>
      <c r="P334" s="272"/>
      <c r="Q334" s="272"/>
      <c r="R334" s="272"/>
      <c r="S334" s="259"/>
      <c r="T334" s="259"/>
      <c r="U334" s="259"/>
      <c r="V334" s="259"/>
      <c r="W334" s="259"/>
      <c r="X334" s="259"/>
      <c r="Y334" s="259"/>
      <c r="Z334" s="259"/>
    </row>
    <row r="335" spans="1:26">
      <c r="A335" s="272"/>
      <c r="B335" s="272"/>
      <c r="C335" s="292">
        <f>Asset22</f>
        <v>0</v>
      </c>
      <c r="D335" s="272"/>
      <c r="E335" s="276">
        <f ca="1">SUM(E323:E334)</f>
        <v>0</v>
      </c>
      <c r="F335" s="276">
        <f ca="1">IF(E335=0,0,SUMPRODUCT(E323:E334,F323:F334)/E335)</f>
        <v>0</v>
      </c>
      <c r="G335" s="277"/>
      <c r="H335" s="284"/>
      <c r="I335" s="276"/>
      <c r="J335" s="311">
        <f ca="1">SUM(J323:J334)</f>
        <v>0</v>
      </c>
      <c r="K335" s="311">
        <f ca="1">IF(J335=0,0,SUMPRODUCT(J323:J334,K323:K334)/J335)</f>
        <v>0</v>
      </c>
      <c r="L335" s="280"/>
      <c r="M335" s="312"/>
      <c r="N335" s="312"/>
      <c r="O335" s="272"/>
      <c r="P335" s="272"/>
      <c r="Q335" s="272"/>
      <c r="R335" s="272"/>
      <c r="S335" s="259"/>
      <c r="T335" s="259"/>
      <c r="U335" s="259"/>
      <c r="V335" s="259"/>
      <c r="W335" s="259"/>
      <c r="X335" s="259"/>
      <c r="Y335" s="259"/>
      <c r="Z335" s="259"/>
    </row>
    <row r="336" spans="1:26" outlineLevel="1">
      <c r="A336" s="272"/>
      <c r="B336" s="275"/>
      <c r="C336" s="272"/>
      <c r="D336" s="272"/>
      <c r="E336" s="293"/>
      <c r="F336" s="293"/>
      <c r="G336" s="277"/>
      <c r="H336" s="276"/>
      <c r="I336" s="276"/>
      <c r="J336" s="290"/>
      <c r="K336" s="276"/>
      <c r="L336" s="280"/>
      <c r="M336" s="312"/>
      <c r="N336" s="312"/>
      <c r="O336" s="272"/>
      <c r="P336" s="272"/>
      <c r="Q336" s="272"/>
      <c r="R336" s="272"/>
      <c r="S336" s="259"/>
      <c r="T336" s="259"/>
      <c r="U336" s="259"/>
      <c r="V336" s="259"/>
      <c r="W336" s="259"/>
      <c r="X336" s="259"/>
      <c r="Y336" s="259"/>
      <c r="Z336" s="259"/>
    </row>
    <row r="337" spans="1:26" outlineLevel="1">
      <c r="A337" s="272"/>
      <c r="B337" s="275">
        <f>Asset23</f>
        <v>0</v>
      </c>
      <c r="C337" s="272"/>
      <c r="D337" s="272"/>
      <c r="E337" s="293"/>
      <c r="F337" s="293"/>
      <c r="G337" s="277"/>
      <c r="H337" s="276"/>
      <c r="I337" s="276"/>
      <c r="J337" s="290"/>
      <c r="K337" s="276"/>
      <c r="L337" s="280"/>
      <c r="M337" s="312"/>
      <c r="N337" s="312"/>
      <c r="O337" s="272"/>
      <c r="P337" s="272"/>
      <c r="Q337" s="272"/>
      <c r="R337" s="272"/>
      <c r="S337" s="259"/>
      <c r="T337" s="259"/>
      <c r="U337" s="259"/>
      <c r="V337" s="259"/>
      <c r="W337" s="259"/>
      <c r="X337" s="259"/>
      <c r="Y337" s="259"/>
      <c r="Z337" s="259"/>
    </row>
    <row r="338" spans="1:26" ht="12.75" customHeight="1" outlineLevel="1">
      <c r="A338" s="272"/>
      <c r="B338" s="272"/>
      <c r="C338" s="626" t="s">
        <v>28</v>
      </c>
      <c r="D338" s="627"/>
      <c r="E338" s="276">
        <f ca="1">A23value-SUM('Actual RAB roll forward'!H330:OFFSET('Actual RAB roll forward'!H330,0,Input!$W$7-1))</f>
        <v>0</v>
      </c>
      <c r="F338" s="276">
        <f ca="1">IF(A23remlife="N/A","n/a",IF(E338=0,0,A23remlife-Input!$W$7))</f>
        <v>0</v>
      </c>
      <c r="G338" s="277"/>
      <c r="H338" s="278" t="s">
        <v>67</v>
      </c>
      <c r="I338" s="279"/>
      <c r="J338" s="276">
        <f ca="1">A23taxvalue-SUM('Tax value roll forward'!G380:OFFSET('Tax value roll forward'!G380,0,Input!$W$7))</f>
        <v>0</v>
      </c>
      <c r="K338" s="276">
        <f ca="1">IF(A23taxremlife="N/A","n/a",IF(J338=0,0,A23taxremlife-Input!$W$7-1))</f>
        <v>0</v>
      </c>
      <c r="L338" s="280"/>
      <c r="M338" s="312"/>
      <c r="N338" s="312"/>
      <c r="O338" s="272"/>
      <c r="P338" s="272"/>
      <c r="Q338" s="272"/>
      <c r="R338" s="272"/>
      <c r="S338" s="259"/>
      <c r="T338" s="259"/>
      <c r="U338" s="259"/>
      <c r="V338" s="259"/>
      <c r="W338" s="259"/>
      <c r="X338" s="259"/>
      <c r="Y338" s="259"/>
      <c r="Z338" s="259"/>
    </row>
    <row r="339" spans="1:26" ht="12.75" customHeight="1" outlineLevel="1">
      <c r="A339" s="272"/>
      <c r="B339" s="272"/>
      <c r="C339" s="633" t="s">
        <v>84</v>
      </c>
      <c r="D339" s="322">
        <f>D$9</f>
        <v>0</v>
      </c>
      <c r="E339" s="276"/>
      <c r="F339" s="276"/>
      <c r="G339" s="277"/>
      <c r="H339" s="633" t="s">
        <v>84</v>
      </c>
      <c r="I339" s="322">
        <v>0</v>
      </c>
      <c r="J339" s="276">
        <f ca="1">OFFSET('Tax value roll forward'!G$62,0,I339)-SUM('Tax value roll forward'!G382:OFFSET('Tax value roll forward'!G382,0,Input!$W$7))</f>
        <v>0</v>
      </c>
      <c r="K339" s="276">
        <f ca="1">IF(A23taxstdlife="N/A","n/a",IF(J339=0,0,A23taxstdlife+I339-Input!$W$7))</f>
        <v>0</v>
      </c>
      <c r="L339" s="280"/>
      <c r="M339" s="312"/>
      <c r="N339" s="312"/>
      <c r="O339" s="272"/>
      <c r="P339" s="272"/>
      <c r="Q339" s="272"/>
      <c r="R339" s="272"/>
      <c r="S339" s="259"/>
      <c r="T339" s="259"/>
      <c r="U339" s="259"/>
      <c r="V339" s="259"/>
      <c r="W339" s="259"/>
      <c r="X339" s="259"/>
      <c r="Y339" s="259"/>
      <c r="Z339" s="259"/>
    </row>
    <row r="340" spans="1:26" ht="12.75" customHeight="1" outlineLevel="1">
      <c r="A340" s="272"/>
      <c r="B340" s="272"/>
      <c r="C340" s="634"/>
      <c r="D340" s="281">
        <f>D$10</f>
        <v>1</v>
      </c>
      <c r="E340" s="276">
        <f ca="1">OFFSET('Actual RAB roll forward'!H$34,0,D340-1)-SUM('Actual RAB roll forward'!H332:OFFSET('Actual RAB roll forward'!H332,0,Input!$W$7-1))</f>
        <v>0</v>
      </c>
      <c r="F340" s="276">
        <f ca="1">IF(A23stdlife="N/A","n/a",IF(E340=0,0,A23stdlife+D340-Input!$W$7))</f>
        <v>0</v>
      </c>
      <c r="G340" s="277"/>
      <c r="H340" s="634"/>
      <c r="I340" s="281">
        <v>1</v>
      </c>
      <c r="J340" s="276">
        <f ca="1">OFFSET('Tax value roll forward'!G$62,0,I340)-SUM('Tax value roll forward'!G383:OFFSET('Tax value roll forward'!G383,0,Input!$W$7))</f>
        <v>0</v>
      </c>
      <c r="K340" s="276">
        <f ca="1">IF(A23taxstdlife="N/A","n/a",IF(J340=0,0,A23taxstdlife+I340-Input!$W$7))</f>
        <v>0</v>
      </c>
      <c r="L340" s="280"/>
      <c r="M340" s="312"/>
      <c r="N340" s="312"/>
      <c r="O340" s="272"/>
      <c r="P340" s="272"/>
      <c r="Q340" s="272"/>
      <c r="R340" s="272"/>
      <c r="S340" s="259"/>
      <c r="T340" s="259"/>
      <c r="U340" s="259"/>
      <c r="V340" s="259"/>
      <c r="W340" s="259"/>
      <c r="X340" s="259"/>
      <c r="Y340" s="259"/>
      <c r="Z340" s="259"/>
    </row>
    <row r="341" spans="1:26" outlineLevel="1">
      <c r="A341" s="272"/>
      <c r="B341" s="272"/>
      <c r="C341" s="634"/>
      <c r="D341" s="281">
        <f>D$11</f>
        <v>2</v>
      </c>
      <c r="E341" s="276">
        <f ca="1">OFFSET('Actual RAB roll forward'!H$34,0,D341-1)-SUM('Actual RAB roll forward'!H333:OFFSET('Actual RAB roll forward'!H333,0,Input!$W$7-1))</f>
        <v>0</v>
      </c>
      <c r="F341" s="276">
        <f ca="1">IF(A23stdlife="N/A","n/a",IF(E341=0,0,A23stdlife+D341-Input!$W$7))</f>
        <v>0</v>
      </c>
      <c r="G341" s="277"/>
      <c r="H341" s="634"/>
      <c r="I341" s="281">
        <v>2</v>
      </c>
      <c r="J341" s="276">
        <f ca="1">OFFSET('Tax value roll forward'!G$62,0,I341)-SUM('Tax value roll forward'!G384:OFFSET('Tax value roll forward'!G384,0,Input!$W$7))</f>
        <v>0</v>
      </c>
      <c r="K341" s="276">
        <f ca="1">IF(A23taxstdlife="N/A","n/a",IF(J341=0,0,A23taxstdlife+I341-Input!$W$7))</f>
        <v>0</v>
      </c>
      <c r="L341" s="280"/>
      <c r="M341" s="312"/>
      <c r="N341" s="312"/>
      <c r="O341" s="272"/>
      <c r="P341" s="272"/>
      <c r="Q341" s="272"/>
      <c r="R341" s="272"/>
      <c r="S341" s="259"/>
      <c r="T341" s="259"/>
      <c r="U341" s="259"/>
      <c r="V341" s="259"/>
      <c r="W341" s="259"/>
      <c r="X341" s="259"/>
      <c r="Y341" s="259"/>
      <c r="Z341" s="259"/>
    </row>
    <row r="342" spans="1:26" outlineLevel="1">
      <c r="A342" s="272"/>
      <c r="B342" s="272"/>
      <c r="C342" s="634"/>
      <c r="D342" s="281">
        <f>D$12</f>
        <v>3</v>
      </c>
      <c r="E342" s="276">
        <f ca="1">OFFSET('Actual RAB roll forward'!H$34,0,D342-1)-SUM('Actual RAB roll forward'!H334:OFFSET('Actual RAB roll forward'!H334,0,Input!$W$7-1))</f>
        <v>0</v>
      </c>
      <c r="F342" s="276">
        <f ca="1">IF(A23stdlife="N/A","n/a",IF(E342=0,0,A23stdlife+D342-Input!$W$7))</f>
        <v>0</v>
      </c>
      <c r="G342" s="277"/>
      <c r="H342" s="634"/>
      <c r="I342" s="281">
        <v>3</v>
      </c>
      <c r="J342" s="276">
        <f ca="1">OFFSET('Tax value roll forward'!G$62,0,I342)-SUM('Tax value roll forward'!G385:OFFSET('Tax value roll forward'!G385,0,Input!$W$7))</f>
        <v>0</v>
      </c>
      <c r="K342" s="276">
        <f ca="1">IF(A23taxstdlife="N/A","n/a",IF(J342=0,0,A23taxstdlife+I342-Input!$W$7))</f>
        <v>0</v>
      </c>
      <c r="L342" s="280"/>
      <c r="M342" s="312"/>
      <c r="N342" s="312"/>
      <c r="O342" s="272"/>
      <c r="P342" s="272"/>
      <c r="Q342" s="272"/>
      <c r="R342" s="272"/>
      <c r="S342" s="259"/>
      <c r="T342" s="259"/>
      <c r="U342" s="259"/>
      <c r="V342" s="259"/>
      <c r="W342" s="259"/>
      <c r="X342" s="259"/>
      <c r="Y342" s="259"/>
      <c r="Z342" s="259"/>
    </row>
    <row r="343" spans="1:26" outlineLevel="1">
      <c r="A343" s="272"/>
      <c r="B343" s="272"/>
      <c r="C343" s="634"/>
      <c r="D343" s="281">
        <f>D$13</f>
        <v>4</v>
      </c>
      <c r="E343" s="276">
        <f ca="1">OFFSET('Actual RAB roll forward'!H$34,0,D343-1)-SUM('Actual RAB roll forward'!H335:OFFSET('Actual RAB roll forward'!H335,0,Input!$W$7-1))</f>
        <v>0</v>
      </c>
      <c r="F343" s="276">
        <f ca="1">IF(A23stdlife="N/A","n/a",IF(E343=0,0,A23stdlife+D343-Input!$W$7))</f>
        <v>0</v>
      </c>
      <c r="G343" s="277"/>
      <c r="H343" s="634"/>
      <c r="I343" s="281">
        <v>4</v>
      </c>
      <c r="J343" s="276">
        <f ca="1">OFFSET('Tax value roll forward'!G$62,0,I343)-SUM('Tax value roll forward'!G386:OFFSET('Tax value roll forward'!G386,0,Input!$W$7))</f>
        <v>0</v>
      </c>
      <c r="K343" s="276">
        <f ca="1">IF(A23taxstdlife="N/A","n/a",IF(J343=0,0,A23taxstdlife+I343-Input!$W$7))</f>
        <v>0</v>
      </c>
      <c r="L343" s="280"/>
      <c r="M343" s="312"/>
      <c r="N343" s="312"/>
      <c r="O343" s="272"/>
      <c r="P343" s="272"/>
      <c r="Q343" s="272"/>
      <c r="R343" s="272"/>
      <c r="S343" s="259"/>
      <c r="T343" s="259"/>
      <c r="U343" s="259"/>
      <c r="V343" s="259"/>
      <c r="W343" s="259"/>
      <c r="X343" s="259"/>
      <c r="Y343" s="259"/>
      <c r="Z343" s="259"/>
    </row>
    <row r="344" spans="1:26" outlineLevel="1">
      <c r="A344" s="272"/>
      <c r="B344" s="272"/>
      <c r="C344" s="634"/>
      <c r="D344" s="281">
        <f>D$14</f>
        <v>5</v>
      </c>
      <c r="E344" s="276">
        <f ca="1">OFFSET('Actual RAB roll forward'!H$34,0,D344-1)-SUM('Actual RAB roll forward'!H336:OFFSET('Actual RAB roll forward'!H336,0,Input!$W$7-1))</f>
        <v>0</v>
      </c>
      <c r="F344" s="276">
        <f ca="1">IF(A23stdlife="N/A","n/a",IF(E344=0,0,A23stdlife+D344-Input!$W$7))</f>
        <v>0</v>
      </c>
      <c r="G344" s="277"/>
      <c r="H344" s="634"/>
      <c r="I344" s="281">
        <v>5</v>
      </c>
      <c r="J344" s="276">
        <f ca="1">OFFSET('Tax value roll forward'!G$62,0,I344)-SUM('Tax value roll forward'!G387:OFFSET('Tax value roll forward'!G387,0,Input!$W$7))</f>
        <v>0</v>
      </c>
      <c r="K344" s="276">
        <f ca="1">IF(A23taxstdlife="N/A","n/a",IF(J344=0,0,A23taxstdlife+I344-Input!$W$7))</f>
        <v>0</v>
      </c>
      <c r="L344" s="280"/>
      <c r="M344" s="312"/>
      <c r="N344" s="312"/>
      <c r="O344" s="272"/>
      <c r="P344" s="272"/>
      <c r="Q344" s="272"/>
      <c r="R344" s="272"/>
      <c r="S344" s="259"/>
      <c r="T344" s="259"/>
      <c r="U344" s="259"/>
      <c r="V344" s="259"/>
      <c r="W344" s="259"/>
      <c r="X344" s="259"/>
      <c r="Y344" s="259"/>
      <c r="Z344" s="259"/>
    </row>
    <row r="345" spans="1:26" outlineLevel="1">
      <c r="A345" s="272"/>
      <c r="B345" s="272"/>
      <c r="C345" s="634"/>
      <c r="D345" s="281">
        <f>D$15</f>
        <v>6</v>
      </c>
      <c r="E345" s="276">
        <f ca="1">OFFSET('Actual RAB roll forward'!H$34,0,D345-1)-SUM('Actual RAB roll forward'!H337:OFFSET('Actual RAB roll forward'!H337,0,Input!$W$7-1))</f>
        <v>0</v>
      </c>
      <c r="F345" s="276">
        <f ca="1">IF(A23stdlife="N/A","n/a",IF(E345=0,0,A23stdlife+D345-Input!$W$7))</f>
        <v>0</v>
      </c>
      <c r="G345" s="277"/>
      <c r="H345" s="634"/>
      <c r="I345" s="281">
        <v>6</v>
      </c>
      <c r="J345" s="276">
        <f ca="1">OFFSET('Tax value roll forward'!G$62,0,I345)-SUM('Tax value roll forward'!G388:OFFSET('Tax value roll forward'!G388,0,Input!$W$7))</f>
        <v>0</v>
      </c>
      <c r="K345" s="276">
        <f ca="1">IF(A23taxstdlife="N/A","n/a",IF(J345=0,0,A23taxstdlife+I345-Input!$W$7))</f>
        <v>0</v>
      </c>
      <c r="L345" s="280"/>
      <c r="M345" s="312"/>
      <c r="N345" s="312"/>
      <c r="O345" s="272"/>
      <c r="P345" s="272"/>
      <c r="Q345" s="272"/>
      <c r="R345" s="272"/>
      <c r="S345" s="259"/>
      <c r="T345" s="259"/>
      <c r="U345" s="259"/>
      <c r="V345" s="259"/>
      <c r="W345" s="259"/>
      <c r="X345" s="259"/>
      <c r="Y345" s="259"/>
      <c r="Z345" s="259"/>
    </row>
    <row r="346" spans="1:26" outlineLevel="1">
      <c r="A346" s="272"/>
      <c r="B346" s="272"/>
      <c r="C346" s="634"/>
      <c r="D346" s="281">
        <f>D$16</f>
        <v>7</v>
      </c>
      <c r="E346" s="276">
        <f ca="1">OFFSET('Actual RAB roll forward'!H$34,0,D346-1)-SUM('Actual RAB roll forward'!H338:OFFSET('Actual RAB roll forward'!H338,0,Input!$W$7-1))</f>
        <v>0</v>
      </c>
      <c r="F346" s="276">
        <f ca="1">IF(A23stdlife="N/A","n/a",IF(E346=0,0,A23stdlife+D346-Input!$W$7))</f>
        <v>0</v>
      </c>
      <c r="G346" s="277"/>
      <c r="H346" s="634"/>
      <c r="I346" s="281">
        <v>7</v>
      </c>
      <c r="J346" s="276">
        <f ca="1">OFFSET('Tax value roll forward'!G$62,0,I346)-SUM('Tax value roll forward'!G389:OFFSET('Tax value roll forward'!G389,0,Input!$W$7))</f>
        <v>0</v>
      </c>
      <c r="K346" s="276">
        <f ca="1">IF(A23taxstdlife="N/A","n/a",IF(J346=0,0,A23taxstdlife+I346-Input!$W$7))</f>
        <v>0</v>
      </c>
      <c r="L346" s="280"/>
      <c r="M346" s="312"/>
      <c r="N346" s="312"/>
      <c r="O346" s="272"/>
      <c r="P346" s="272"/>
      <c r="Q346" s="272"/>
      <c r="R346" s="272"/>
      <c r="S346" s="259"/>
      <c r="T346" s="259"/>
      <c r="U346" s="259"/>
      <c r="V346" s="259"/>
      <c r="W346" s="259"/>
      <c r="X346" s="259"/>
      <c r="Y346" s="259"/>
      <c r="Z346" s="259"/>
    </row>
    <row r="347" spans="1:26" outlineLevel="1">
      <c r="A347" s="272"/>
      <c r="B347" s="272"/>
      <c r="C347" s="634"/>
      <c r="D347" s="281">
        <f>D$17</f>
        <v>8</v>
      </c>
      <c r="E347" s="276">
        <f ca="1">OFFSET('Actual RAB roll forward'!H$34,0,D347-1)-SUM('Actual RAB roll forward'!H339:OFFSET('Actual RAB roll forward'!H339,0,Input!$W$7-1))</f>
        <v>0</v>
      </c>
      <c r="F347" s="276">
        <f ca="1">IF(A23stdlife="N/A","n/a",IF(E347=0,0,A23stdlife+D347-Input!$W$7))</f>
        <v>0</v>
      </c>
      <c r="G347" s="277"/>
      <c r="H347" s="634"/>
      <c r="I347" s="281">
        <v>8</v>
      </c>
      <c r="J347" s="276">
        <f ca="1">OFFSET('Tax value roll forward'!G$62,0,I347)-SUM('Tax value roll forward'!G390:OFFSET('Tax value roll forward'!G390,0,Input!$W$7))</f>
        <v>0</v>
      </c>
      <c r="K347" s="276">
        <f ca="1">IF(A23taxstdlife="N/A","n/a",IF(J347=0,0,A23taxstdlife+I347-Input!$W$7))</f>
        <v>0</v>
      </c>
      <c r="L347" s="280"/>
      <c r="M347" s="312"/>
      <c r="N347" s="312"/>
      <c r="O347" s="272"/>
      <c r="P347" s="272"/>
      <c r="Q347" s="272"/>
      <c r="R347" s="272"/>
      <c r="S347" s="259"/>
      <c r="T347" s="259"/>
      <c r="U347" s="259"/>
      <c r="V347" s="259"/>
      <c r="W347" s="259"/>
      <c r="X347" s="259"/>
      <c r="Y347" s="259"/>
      <c r="Z347" s="259"/>
    </row>
    <row r="348" spans="1:26" outlineLevel="1">
      <c r="A348" s="272"/>
      <c r="B348" s="272"/>
      <c r="C348" s="634"/>
      <c r="D348" s="281">
        <f>D$18</f>
        <v>9</v>
      </c>
      <c r="E348" s="276">
        <f ca="1">OFFSET('Actual RAB roll forward'!H$34,0,D348-1)-SUM('Actual RAB roll forward'!H340:OFFSET('Actual RAB roll forward'!H340,0,Input!$W$7-1))</f>
        <v>0</v>
      </c>
      <c r="F348" s="276">
        <f ca="1">IF(A23stdlife="N/A","n/a",IF(E348=0,0,A23stdlife+D348-Input!$W$7))</f>
        <v>0</v>
      </c>
      <c r="G348" s="277"/>
      <c r="H348" s="634"/>
      <c r="I348" s="281">
        <v>9</v>
      </c>
      <c r="J348" s="276">
        <f ca="1">OFFSET('Tax value roll forward'!G$62,0,I348)-SUM('Tax value roll forward'!G391:OFFSET('Tax value roll forward'!G391,0,Input!$W$7))</f>
        <v>0</v>
      </c>
      <c r="K348" s="276">
        <f ca="1">IF(A23taxstdlife="N/A","n/a",IF(J348=0,0,A23taxstdlife+I348-Input!$W$7))</f>
        <v>0</v>
      </c>
      <c r="L348" s="280"/>
      <c r="M348" s="312"/>
      <c r="N348" s="312"/>
      <c r="O348" s="272"/>
      <c r="P348" s="272"/>
      <c r="Q348" s="272"/>
      <c r="R348" s="272"/>
      <c r="S348" s="259"/>
      <c r="T348" s="259"/>
      <c r="U348" s="259"/>
      <c r="V348" s="259"/>
      <c r="W348" s="259"/>
      <c r="X348" s="259"/>
      <c r="Y348" s="259"/>
      <c r="Z348" s="259"/>
    </row>
    <row r="349" spans="1:26" outlineLevel="1">
      <c r="A349" s="272"/>
      <c r="B349" s="272"/>
      <c r="C349" s="635"/>
      <c r="D349" s="282">
        <f>D$19</f>
        <v>10</v>
      </c>
      <c r="E349" s="276">
        <f ca="1">OFFSET('Actual RAB roll forward'!H$34,0,D349-1)-SUM('Actual RAB roll forward'!H341:OFFSET('Actual RAB roll forward'!H341,0,Input!$W$7-1))</f>
        <v>0</v>
      </c>
      <c r="F349" s="276">
        <f ca="1">IF(A23stdlife="N/A","n/a",IF(E349=0,0,A23stdlife+D349-Input!$W$7))</f>
        <v>0</v>
      </c>
      <c r="G349" s="277"/>
      <c r="H349" s="635"/>
      <c r="I349" s="282">
        <v>10</v>
      </c>
      <c r="J349" s="276">
        <f ca="1">OFFSET('Tax value roll forward'!G$62,0,I349)-SUM('Tax value roll forward'!G392:OFFSET('Tax value roll forward'!G392,0,Input!$W$7))</f>
        <v>0</v>
      </c>
      <c r="K349" s="276">
        <f ca="1">IF(A23taxstdlife="N/A","n/a",IF(J349=0,0,A23taxstdlife+I349-Input!$W$7))</f>
        <v>0</v>
      </c>
      <c r="M349" s="312"/>
      <c r="N349" s="312"/>
      <c r="O349" s="272"/>
      <c r="P349" s="272"/>
      <c r="Q349" s="272"/>
      <c r="R349" s="272"/>
      <c r="S349" s="259"/>
      <c r="T349" s="259"/>
      <c r="U349" s="259"/>
      <c r="V349" s="259"/>
      <c r="W349" s="259"/>
      <c r="X349" s="259"/>
      <c r="Y349" s="259"/>
      <c r="Z349" s="259"/>
    </row>
    <row r="350" spans="1:26">
      <c r="A350" s="272"/>
      <c r="B350" s="272"/>
      <c r="C350" s="292">
        <f>Asset23</f>
        <v>0</v>
      </c>
      <c r="D350" s="272"/>
      <c r="E350" s="276">
        <f ca="1">SUM(E338:E349)</f>
        <v>0</v>
      </c>
      <c r="F350" s="276">
        <f ca="1">IF(E350=0,0,SUMPRODUCT(E338:E349,F338:F349)/E350)</f>
        <v>0</v>
      </c>
      <c r="G350" s="277"/>
      <c r="H350" s="284"/>
      <c r="I350" s="276"/>
      <c r="J350" s="311">
        <f ca="1">SUM(J338:J349)</f>
        <v>0</v>
      </c>
      <c r="K350" s="311">
        <f ca="1">IF(J350=0,0,SUMPRODUCT(J338:J349,K338:K349)/J350)</f>
        <v>0</v>
      </c>
      <c r="L350" s="280"/>
      <c r="M350" s="312"/>
      <c r="N350" s="312"/>
      <c r="O350" s="272"/>
      <c r="P350" s="272"/>
      <c r="Q350" s="272"/>
      <c r="R350" s="272"/>
      <c r="S350" s="259"/>
      <c r="T350" s="259"/>
      <c r="U350" s="259"/>
      <c r="V350" s="259"/>
      <c r="W350" s="259"/>
      <c r="X350" s="259"/>
      <c r="Y350" s="259"/>
      <c r="Z350" s="259"/>
    </row>
    <row r="351" spans="1:26" outlineLevel="1">
      <c r="A351" s="272"/>
      <c r="B351" s="275"/>
      <c r="C351" s="272"/>
      <c r="D351" s="272"/>
      <c r="E351" s="293"/>
      <c r="F351" s="293"/>
      <c r="G351" s="277"/>
      <c r="H351" s="276"/>
      <c r="I351" s="276"/>
      <c r="J351" s="290"/>
      <c r="K351" s="276"/>
      <c r="L351" s="280"/>
      <c r="M351" s="312"/>
      <c r="N351" s="312"/>
      <c r="O351" s="272"/>
      <c r="P351" s="272"/>
      <c r="Q351" s="272"/>
      <c r="R351" s="272"/>
      <c r="S351" s="259"/>
      <c r="T351" s="259"/>
      <c r="U351" s="259"/>
      <c r="V351" s="259"/>
      <c r="W351" s="259"/>
      <c r="X351" s="259"/>
      <c r="Y351" s="259"/>
      <c r="Z351" s="259"/>
    </row>
    <row r="352" spans="1:26" outlineLevel="1">
      <c r="A352" s="272"/>
      <c r="B352" s="275">
        <f>Asset24</f>
        <v>0</v>
      </c>
      <c r="C352" s="272"/>
      <c r="D352" s="272"/>
      <c r="E352" s="293"/>
      <c r="F352" s="293"/>
      <c r="G352" s="277"/>
      <c r="H352" s="276"/>
      <c r="I352" s="276"/>
      <c r="J352" s="290"/>
      <c r="K352" s="276"/>
      <c r="L352" s="280"/>
      <c r="M352" s="312"/>
      <c r="N352" s="312"/>
      <c r="O352" s="272"/>
      <c r="P352" s="272"/>
      <c r="Q352" s="272"/>
      <c r="R352" s="272"/>
      <c r="S352" s="259"/>
      <c r="T352" s="259"/>
      <c r="U352" s="259"/>
      <c r="V352" s="259"/>
      <c r="W352" s="259"/>
      <c r="X352" s="259"/>
      <c r="Y352" s="259"/>
      <c r="Z352" s="259"/>
    </row>
    <row r="353" spans="1:26" ht="12.75" customHeight="1" outlineLevel="1">
      <c r="A353" s="272"/>
      <c r="B353" s="272"/>
      <c r="C353" s="626" t="s">
        <v>28</v>
      </c>
      <c r="D353" s="627"/>
      <c r="E353" s="276">
        <f ca="1">A24value-SUM('Actual RAB roll forward'!H343:OFFSET('Actual RAB roll forward'!H343,0,Input!$W$7-1))</f>
        <v>0</v>
      </c>
      <c r="F353" s="276">
        <f ca="1">IF(A24remlife="N/A","n/a",IF(E353=0,0,A24remlife-Input!$W$7))</f>
        <v>0</v>
      </c>
      <c r="G353" s="277"/>
      <c r="H353" s="278" t="s">
        <v>67</v>
      </c>
      <c r="I353" s="279"/>
      <c r="J353" s="276">
        <f ca="1">A24taxvalue-SUM('Tax value roll forward'!G394:OFFSET('Tax value roll forward'!G394,0,Input!$W$7))</f>
        <v>0</v>
      </c>
      <c r="K353" s="276">
        <f ca="1">IF(A24taxremlife="N/A","n/a",IF(J353=0,0,A24taxremlife-Input!$W$7-1))</f>
        <v>0</v>
      </c>
      <c r="L353" s="280"/>
      <c r="M353" s="312"/>
      <c r="N353" s="312"/>
      <c r="O353" s="272"/>
      <c r="P353" s="272"/>
      <c r="Q353" s="272"/>
      <c r="R353" s="272"/>
      <c r="S353" s="259"/>
      <c r="T353" s="259"/>
      <c r="U353" s="259"/>
      <c r="V353" s="259"/>
      <c r="W353" s="259"/>
      <c r="X353" s="259"/>
      <c r="Y353" s="259"/>
      <c r="Z353" s="259"/>
    </row>
    <row r="354" spans="1:26" ht="12.75" customHeight="1" outlineLevel="1">
      <c r="A354" s="272"/>
      <c r="B354" s="272"/>
      <c r="C354" s="633" t="s">
        <v>84</v>
      </c>
      <c r="D354" s="322">
        <f>D$9</f>
        <v>0</v>
      </c>
      <c r="E354" s="276"/>
      <c r="F354" s="276"/>
      <c r="G354" s="277"/>
      <c r="H354" s="633" t="s">
        <v>84</v>
      </c>
      <c r="I354" s="322">
        <v>0</v>
      </c>
      <c r="J354" s="276">
        <f ca="1">OFFSET('Tax value roll forward'!G$63,0,I354)-SUM('Tax value roll forward'!G396:OFFSET('Tax value roll forward'!G396,0,Input!$W$7))</f>
        <v>0</v>
      </c>
      <c r="K354" s="276">
        <f ca="1">IF(A24taxstdlife="N/A","n/a",IF(J354=0,0,A24taxstdlife+I354-Input!$W$7))</f>
        <v>0</v>
      </c>
      <c r="L354" s="280"/>
      <c r="M354" s="312"/>
      <c r="N354" s="312"/>
      <c r="O354" s="272"/>
      <c r="P354" s="272"/>
      <c r="Q354" s="272"/>
      <c r="R354" s="272"/>
      <c r="S354" s="259"/>
      <c r="T354" s="259"/>
      <c r="U354" s="259"/>
      <c r="V354" s="259"/>
      <c r="W354" s="259"/>
      <c r="X354" s="259"/>
      <c r="Y354" s="259"/>
      <c r="Z354" s="259"/>
    </row>
    <row r="355" spans="1:26" ht="12.75" customHeight="1" outlineLevel="1">
      <c r="A355" s="272"/>
      <c r="B355" s="272"/>
      <c r="C355" s="634"/>
      <c r="D355" s="281">
        <f>D$10</f>
        <v>1</v>
      </c>
      <c r="E355" s="276">
        <f ca="1">OFFSET('Actual RAB roll forward'!H$35,0,D355-1)-SUM('Actual RAB roll forward'!H345:OFFSET('Actual RAB roll forward'!H345,0,Input!$W$7-1))</f>
        <v>0</v>
      </c>
      <c r="F355" s="276">
        <f ca="1">IF(A24stdlife="N/A","n/a",IF(E355=0,0,A24stdlife+D355-Input!$W$7))</f>
        <v>0</v>
      </c>
      <c r="G355" s="277"/>
      <c r="H355" s="634"/>
      <c r="I355" s="281">
        <v>1</v>
      </c>
      <c r="J355" s="276">
        <f ca="1">OFFSET('Tax value roll forward'!G$63,0,I355)-SUM('Tax value roll forward'!G397:OFFSET('Tax value roll forward'!G397,0,Input!$W$7))</f>
        <v>0</v>
      </c>
      <c r="K355" s="276">
        <f ca="1">IF(A24taxstdlife="N/A","n/a",IF(J355=0,0,A24taxstdlife+I355-Input!$W$7))</f>
        <v>0</v>
      </c>
      <c r="L355" s="280"/>
      <c r="M355" s="312"/>
      <c r="N355" s="312"/>
      <c r="O355" s="272"/>
      <c r="P355" s="272"/>
      <c r="Q355" s="272"/>
      <c r="R355" s="272"/>
      <c r="S355" s="259"/>
      <c r="T355" s="259"/>
      <c r="U355" s="259"/>
      <c r="V355" s="259"/>
      <c r="W355" s="259"/>
      <c r="X355" s="259"/>
      <c r="Y355" s="259"/>
      <c r="Z355" s="259"/>
    </row>
    <row r="356" spans="1:26" outlineLevel="1">
      <c r="A356" s="272"/>
      <c r="B356" s="272"/>
      <c r="C356" s="634"/>
      <c r="D356" s="281">
        <f>D$11</f>
        <v>2</v>
      </c>
      <c r="E356" s="276">
        <f ca="1">OFFSET('Actual RAB roll forward'!H$35,0,D356-1)-SUM('Actual RAB roll forward'!H346:OFFSET('Actual RAB roll forward'!H346,0,Input!$W$7-1))</f>
        <v>0</v>
      </c>
      <c r="F356" s="276">
        <f ca="1">IF(A24stdlife="N/A","n/a",IF(E356=0,0,A24stdlife+D356-Input!$W$7))</f>
        <v>0</v>
      </c>
      <c r="G356" s="277"/>
      <c r="H356" s="634"/>
      <c r="I356" s="281">
        <v>2</v>
      </c>
      <c r="J356" s="276">
        <f ca="1">OFFSET('Tax value roll forward'!G$63,0,I356)-SUM('Tax value roll forward'!G398:OFFSET('Tax value roll forward'!G398,0,Input!$W$7))</f>
        <v>0</v>
      </c>
      <c r="K356" s="276">
        <f ca="1">IF(A24taxstdlife="N/A","n/a",IF(J356=0,0,A24taxstdlife+I356-Input!$W$7))</f>
        <v>0</v>
      </c>
      <c r="L356" s="280"/>
      <c r="M356" s="312"/>
      <c r="N356" s="312"/>
      <c r="O356" s="272"/>
      <c r="P356" s="272"/>
      <c r="Q356" s="272"/>
      <c r="R356" s="272"/>
      <c r="S356" s="259"/>
      <c r="T356" s="259"/>
      <c r="U356" s="259"/>
      <c r="V356" s="259"/>
      <c r="W356" s="259"/>
      <c r="X356" s="259"/>
      <c r="Y356" s="259"/>
      <c r="Z356" s="259"/>
    </row>
    <row r="357" spans="1:26" outlineLevel="1">
      <c r="A357" s="272"/>
      <c r="B357" s="272"/>
      <c r="C357" s="634"/>
      <c r="D357" s="281">
        <f>D$12</f>
        <v>3</v>
      </c>
      <c r="E357" s="276">
        <f ca="1">OFFSET('Actual RAB roll forward'!H$35,0,D357-1)-SUM('Actual RAB roll forward'!H347:OFFSET('Actual RAB roll forward'!H347,0,Input!$W$7-1))</f>
        <v>0</v>
      </c>
      <c r="F357" s="276">
        <f ca="1">IF(A24stdlife="N/A","n/a",IF(E357=0,0,A24stdlife+D357-Input!$W$7))</f>
        <v>0</v>
      </c>
      <c r="G357" s="277"/>
      <c r="H357" s="634"/>
      <c r="I357" s="281">
        <v>3</v>
      </c>
      <c r="J357" s="276">
        <f ca="1">OFFSET('Tax value roll forward'!G$63,0,I357)-SUM('Tax value roll forward'!G399:OFFSET('Tax value roll forward'!G399,0,Input!$W$7))</f>
        <v>0</v>
      </c>
      <c r="K357" s="276">
        <f ca="1">IF(A24taxstdlife="N/A","n/a",IF(J357=0,0,A24taxstdlife+I357-Input!$W$7))</f>
        <v>0</v>
      </c>
      <c r="L357" s="280"/>
      <c r="M357" s="312"/>
      <c r="N357" s="312"/>
      <c r="O357" s="272"/>
      <c r="P357" s="272"/>
      <c r="Q357" s="272"/>
      <c r="R357" s="272"/>
      <c r="S357" s="259"/>
      <c r="T357" s="259"/>
      <c r="U357" s="259"/>
      <c r="V357" s="259"/>
      <c r="W357" s="259"/>
      <c r="X357" s="259"/>
      <c r="Y357" s="259"/>
      <c r="Z357" s="259"/>
    </row>
    <row r="358" spans="1:26" outlineLevel="1">
      <c r="A358" s="272"/>
      <c r="B358" s="272"/>
      <c r="C358" s="634"/>
      <c r="D358" s="281">
        <f>D$13</f>
        <v>4</v>
      </c>
      <c r="E358" s="276">
        <f ca="1">OFFSET('Actual RAB roll forward'!H$35,0,D358-1)-SUM('Actual RAB roll forward'!H348:OFFSET('Actual RAB roll forward'!H348,0,Input!$W$7-1))</f>
        <v>0</v>
      </c>
      <c r="F358" s="276">
        <f ca="1">IF(A24stdlife="N/A","n/a",IF(E358=0,0,A24stdlife+D358-Input!$W$7))</f>
        <v>0</v>
      </c>
      <c r="G358" s="277"/>
      <c r="H358" s="634"/>
      <c r="I358" s="281">
        <v>4</v>
      </c>
      <c r="J358" s="276">
        <f ca="1">OFFSET('Tax value roll forward'!G$63,0,I358)-SUM('Tax value roll forward'!G400:OFFSET('Tax value roll forward'!G400,0,Input!$W$7))</f>
        <v>0</v>
      </c>
      <c r="K358" s="276">
        <f ca="1">IF(A24taxstdlife="N/A","n/a",IF(J358=0,0,A24taxstdlife+I358-Input!$W$7))</f>
        <v>0</v>
      </c>
      <c r="L358" s="280"/>
      <c r="M358" s="312"/>
      <c r="N358" s="312"/>
      <c r="O358" s="272"/>
      <c r="P358" s="272"/>
      <c r="Q358" s="272"/>
      <c r="R358" s="272"/>
      <c r="S358" s="259"/>
      <c r="T358" s="259"/>
      <c r="U358" s="259"/>
      <c r="V358" s="259"/>
      <c r="W358" s="259"/>
      <c r="X358" s="259"/>
      <c r="Y358" s="259"/>
      <c r="Z358" s="259"/>
    </row>
    <row r="359" spans="1:26" outlineLevel="1">
      <c r="A359" s="272"/>
      <c r="B359" s="272"/>
      <c r="C359" s="634"/>
      <c r="D359" s="281">
        <f>D$14</f>
        <v>5</v>
      </c>
      <c r="E359" s="276">
        <f ca="1">OFFSET('Actual RAB roll forward'!H$35,0,D359-1)-SUM('Actual RAB roll forward'!H349:OFFSET('Actual RAB roll forward'!H349,0,Input!$W$7-1))</f>
        <v>0</v>
      </c>
      <c r="F359" s="276">
        <f ca="1">IF(A24stdlife="N/A","n/a",IF(E359=0,0,A24stdlife+D359-Input!$W$7))</f>
        <v>0</v>
      </c>
      <c r="G359" s="277"/>
      <c r="H359" s="634"/>
      <c r="I359" s="281">
        <v>5</v>
      </c>
      <c r="J359" s="276">
        <f ca="1">OFFSET('Tax value roll forward'!G$63,0,I359)-SUM('Tax value roll forward'!G401:OFFSET('Tax value roll forward'!G401,0,Input!$W$7))</f>
        <v>0</v>
      </c>
      <c r="K359" s="276">
        <f ca="1">IF(A24taxstdlife="N/A","n/a",IF(J359=0,0,A24taxstdlife+I359-Input!$W$7))</f>
        <v>0</v>
      </c>
      <c r="L359" s="280"/>
      <c r="M359" s="312"/>
      <c r="N359" s="312"/>
      <c r="O359" s="272"/>
      <c r="P359" s="272"/>
      <c r="Q359" s="272"/>
      <c r="R359" s="272"/>
      <c r="S359" s="259"/>
      <c r="T359" s="259"/>
      <c r="U359" s="259"/>
      <c r="V359" s="259"/>
      <c r="W359" s="259"/>
      <c r="X359" s="259"/>
      <c r="Y359" s="259"/>
      <c r="Z359" s="259"/>
    </row>
    <row r="360" spans="1:26" outlineLevel="1">
      <c r="A360" s="272"/>
      <c r="B360" s="272"/>
      <c r="C360" s="634"/>
      <c r="D360" s="281">
        <f>D$15</f>
        <v>6</v>
      </c>
      <c r="E360" s="276">
        <f ca="1">OFFSET('Actual RAB roll forward'!H$35,0,D360-1)-SUM('Actual RAB roll forward'!H350:OFFSET('Actual RAB roll forward'!H350,0,Input!$W$7-1))</f>
        <v>0</v>
      </c>
      <c r="F360" s="276">
        <f ca="1">IF(A24stdlife="N/A","n/a",IF(E360=0,0,A24stdlife+D360-Input!$W$7))</f>
        <v>0</v>
      </c>
      <c r="G360" s="277"/>
      <c r="H360" s="634"/>
      <c r="I360" s="281">
        <v>6</v>
      </c>
      <c r="J360" s="276">
        <f ca="1">OFFSET('Tax value roll forward'!G$63,0,I360)-SUM('Tax value roll forward'!G402:OFFSET('Tax value roll forward'!G402,0,Input!$W$7))</f>
        <v>0</v>
      </c>
      <c r="K360" s="276">
        <f ca="1">IF(A24taxstdlife="N/A","n/a",IF(J360=0,0,A24taxstdlife+I360-Input!$W$7))</f>
        <v>0</v>
      </c>
      <c r="L360" s="280"/>
      <c r="M360" s="312"/>
      <c r="N360" s="312"/>
      <c r="O360" s="272"/>
      <c r="P360" s="272"/>
      <c r="Q360" s="272"/>
      <c r="R360" s="272"/>
      <c r="S360" s="259"/>
      <c r="T360" s="259"/>
      <c r="U360" s="259"/>
      <c r="V360" s="259"/>
      <c r="W360" s="259"/>
      <c r="X360" s="259"/>
      <c r="Y360" s="259"/>
      <c r="Z360" s="259"/>
    </row>
    <row r="361" spans="1:26" outlineLevel="1">
      <c r="A361" s="272"/>
      <c r="B361" s="272"/>
      <c r="C361" s="634"/>
      <c r="D361" s="281">
        <f>D$16</f>
        <v>7</v>
      </c>
      <c r="E361" s="276">
        <f ca="1">OFFSET('Actual RAB roll forward'!H$35,0,D361-1)-SUM('Actual RAB roll forward'!H351:OFFSET('Actual RAB roll forward'!H351,0,Input!$W$7-1))</f>
        <v>0</v>
      </c>
      <c r="F361" s="276">
        <f ca="1">IF(A24stdlife="N/A","n/a",IF(E361=0,0,A24stdlife+D361-Input!$W$7))</f>
        <v>0</v>
      </c>
      <c r="G361" s="277"/>
      <c r="H361" s="634"/>
      <c r="I361" s="281">
        <v>7</v>
      </c>
      <c r="J361" s="276">
        <f ca="1">OFFSET('Tax value roll forward'!G$63,0,I361)-SUM('Tax value roll forward'!G403:OFFSET('Tax value roll forward'!G403,0,Input!$W$7))</f>
        <v>0</v>
      </c>
      <c r="K361" s="276">
        <f ca="1">IF(A24taxstdlife="N/A","n/a",IF(J361=0,0,A24taxstdlife+I361-Input!$W$7))</f>
        <v>0</v>
      </c>
      <c r="L361" s="280"/>
      <c r="M361" s="312"/>
      <c r="N361" s="312"/>
      <c r="O361" s="272"/>
      <c r="P361" s="272"/>
      <c r="Q361" s="272"/>
      <c r="R361" s="272"/>
      <c r="S361" s="259"/>
      <c r="T361" s="259"/>
      <c r="U361" s="259"/>
      <c r="V361" s="259"/>
      <c r="W361" s="259"/>
      <c r="X361" s="259"/>
      <c r="Y361" s="259"/>
      <c r="Z361" s="259"/>
    </row>
    <row r="362" spans="1:26" outlineLevel="1">
      <c r="A362" s="272"/>
      <c r="B362" s="272"/>
      <c r="C362" s="634"/>
      <c r="D362" s="281">
        <f>D$17</f>
        <v>8</v>
      </c>
      <c r="E362" s="276">
        <f ca="1">OFFSET('Actual RAB roll forward'!H$35,0,D362-1)-SUM('Actual RAB roll forward'!H352:OFFSET('Actual RAB roll forward'!H352,0,Input!$W$7-1))</f>
        <v>0</v>
      </c>
      <c r="F362" s="276">
        <f ca="1">IF(A24stdlife="N/A","n/a",IF(E362=0,0,A24stdlife+D362-Input!$W$7))</f>
        <v>0</v>
      </c>
      <c r="G362" s="277"/>
      <c r="H362" s="634"/>
      <c r="I362" s="281">
        <v>8</v>
      </c>
      <c r="J362" s="276">
        <f ca="1">OFFSET('Tax value roll forward'!G$63,0,I362)-SUM('Tax value roll forward'!G404:OFFSET('Tax value roll forward'!G404,0,Input!$W$7))</f>
        <v>0</v>
      </c>
      <c r="K362" s="276">
        <f ca="1">IF(A24taxstdlife="N/A","n/a",IF(J362=0,0,A24taxstdlife+I362-Input!$W$7))</f>
        <v>0</v>
      </c>
      <c r="L362" s="280"/>
      <c r="M362" s="312"/>
      <c r="N362" s="312"/>
      <c r="O362" s="272"/>
      <c r="P362" s="272"/>
      <c r="Q362" s="272"/>
      <c r="R362" s="272"/>
      <c r="S362" s="259"/>
      <c r="T362" s="259"/>
      <c r="U362" s="259"/>
      <c r="V362" s="259"/>
      <c r="W362" s="259"/>
      <c r="X362" s="259"/>
      <c r="Y362" s="259"/>
      <c r="Z362" s="259"/>
    </row>
    <row r="363" spans="1:26" outlineLevel="1">
      <c r="A363" s="272"/>
      <c r="B363" s="272"/>
      <c r="C363" s="634"/>
      <c r="D363" s="281">
        <f>D$18</f>
        <v>9</v>
      </c>
      <c r="E363" s="276">
        <f ca="1">OFFSET('Actual RAB roll forward'!H$35,0,D363-1)-SUM('Actual RAB roll forward'!H353:OFFSET('Actual RAB roll forward'!H353,0,Input!$W$7-1))</f>
        <v>0</v>
      </c>
      <c r="F363" s="276">
        <f ca="1">IF(A24stdlife="N/A","n/a",IF(E363=0,0,A24stdlife+D363-Input!$W$7))</f>
        <v>0</v>
      </c>
      <c r="G363" s="277"/>
      <c r="H363" s="634"/>
      <c r="I363" s="281">
        <v>9</v>
      </c>
      <c r="J363" s="276">
        <f ca="1">OFFSET('Tax value roll forward'!G$63,0,I363)-SUM('Tax value roll forward'!G405:OFFSET('Tax value roll forward'!G405,0,Input!$W$7))</f>
        <v>0</v>
      </c>
      <c r="K363" s="276">
        <f ca="1">IF(A24taxstdlife="N/A","n/a",IF(J363=0,0,A24taxstdlife+I363-Input!$W$7))</f>
        <v>0</v>
      </c>
      <c r="L363" s="280"/>
      <c r="M363" s="312"/>
      <c r="N363" s="312"/>
      <c r="O363" s="272"/>
      <c r="P363" s="272"/>
      <c r="Q363" s="272"/>
      <c r="R363" s="272"/>
      <c r="S363" s="259"/>
      <c r="T363" s="259"/>
      <c r="U363" s="259"/>
      <c r="V363" s="259"/>
      <c r="W363" s="259"/>
      <c r="X363" s="259"/>
      <c r="Y363" s="259"/>
      <c r="Z363" s="259"/>
    </row>
    <row r="364" spans="1:26" outlineLevel="1">
      <c r="A364" s="272"/>
      <c r="B364" s="272"/>
      <c r="C364" s="635"/>
      <c r="D364" s="282">
        <f>D$19</f>
        <v>10</v>
      </c>
      <c r="E364" s="276">
        <f ca="1">OFFSET('Actual RAB roll forward'!H$35,0,D364-1)-SUM('Actual RAB roll forward'!H354:OFFSET('Actual RAB roll forward'!H354,0,Input!$W$7-1))</f>
        <v>0</v>
      </c>
      <c r="F364" s="276">
        <f ca="1">IF(A24stdlife="N/A","n/a",IF(E364=0,0,A24stdlife+D364-Input!$W$7))</f>
        <v>0</v>
      </c>
      <c r="G364" s="277"/>
      <c r="H364" s="635"/>
      <c r="I364" s="282">
        <v>10</v>
      </c>
      <c r="J364" s="276">
        <f ca="1">OFFSET('Tax value roll forward'!G$63,0,I364)-SUM('Tax value roll forward'!G406:OFFSET('Tax value roll forward'!G406,0,Input!$W$7))</f>
        <v>0</v>
      </c>
      <c r="K364" s="276">
        <f ca="1">IF(A24taxstdlife="N/A","n/a",IF(J364=0,0,A24taxstdlife+I364-Input!$W$7))</f>
        <v>0</v>
      </c>
      <c r="M364" s="312"/>
      <c r="N364" s="312"/>
      <c r="O364" s="272"/>
      <c r="P364" s="272"/>
      <c r="Q364" s="272"/>
      <c r="R364" s="272"/>
      <c r="S364" s="259"/>
      <c r="T364" s="259"/>
      <c r="U364" s="259"/>
      <c r="V364" s="259"/>
      <c r="W364" s="259"/>
      <c r="X364" s="259"/>
      <c r="Y364" s="259"/>
      <c r="Z364" s="259"/>
    </row>
    <row r="365" spans="1:26">
      <c r="A365" s="272"/>
      <c r="B365" s="272"/>
      <c r="C365" s="292">
        <f>Asset24</f>
        <v>0</v>
      </c>
      <c r="D365" s="272"/>
      <c r="E365" s="276">
        <f ca="1">SUM(E353:E364)</f>
        <v>0</v>
      </c>
      <c r="F365" s="276">
        <f ca="1">IF(E365=0,0,SUMPRODUCT(E353:E364,F353:F364)/E365)</f>
        <v>0</v>
      </c>
      <c r="G365" s="277"/>
      <c r="H365" s="284"/>
      <c r="I365" s="276"/>
      <c r="J365" s="311">
        <f ca="1">SUM(J353:J364)</f>
        <v>0</v>
      </c>
      <c r="K365" s="311">
        <f ca="1">IF(J365=0,0,SUMPRODUCT(J353:J364,K353:K364)/J365)</f>
        <v>0</v>
      </c>
      <c r="L365" s="280"/>
      <c r="M365" s="312"/>
      <c r="N365" s="312"/>
      <c r="O365" s="272"/>
      <c r="P365" s="272"/>
      <c r="Q365" s="272"/>
      <c r="R365" s="272"/>
      <c r="S365" s="259"/>
      <c r="T365" s="259"/>
      <c r="U365" s="259"/>
      <c r="V365" s="259"/>
      <c r="W365" s="259"/>
      <c r="X365" s="259"/>
      <c r="Y365" s="259"/>
      <c r="Z365" s="259"/>
    </row>
    <row r="366" spans="1:26" outlineLevel="1">
      <c r="A366" s="272"/>
      <c r="B366" s="275"/>
      <c r="C366" s="272"/>
      <c r="D366" s="272"/>
      <c r="E366" s="293"/>
      <c r="F366" s="293"/>
      <c r="G366" s="277"/>
      <c r="H366" s="276"/>
      <c r="I366" s="276"/>
      <c r="J366" s="290"/>
      <c r="K366" s="276"/>
      <c r="L366" s="280"/>
      <c r="M366" s="312"/>
      <c r="N366" s="312"/>
      <c r="O366" s="272"/>
      <c r="P366" s="272"/>
      <c r="Q366" s="272"/>
      <c r="R366" s="272"/>
      <c r="S366" s="259"/>
      <c r="T366" s="259"/>
      <c r="U366" s="259"/>
      <c r="V366" s="259"/>
      <c r="W366" s="259"/>
      <c r="X366" s="259"/>
      <c r="Y366" s="259"/>
      <c r="Z366" s="259"/>
    </row>
    <row r="367" spans="1:26" outlineLevel="1">
      <c r="A367" s="272"/>
      <c r="B367" s="275">
        <f>Asset25</f>
        <v>0</v>
      </c>
      <c r="C367" s="272"/>
      <c r="D367" s="272"/>
      <c r="E367" s="293"/>
      <c r="F367" s="293"/>
      <c r="G367" s="277"/>
      <c r="H367" s="276"/>
      <c r="I367" s="276"/>
      <c r="J367" s="290"/>
      <c r="K367" s="276"/>
      <c r="L367" s="280"/>
      <c r="M367" s="312"/>
      <c r="N367" s="312"/>
      <c r="O367" s="272"/>
      <c r="P367" s="272"/>
      <c r="Q367" s="272"/>
      <c r="R367" s="272"/>
      <c r="S367" s="259"/>
      <c r="T367" s="259"/>
      <c r="U367" s="259"/>
      <c r="V367" s="259"/>
      <c r="W367" s="259"/>
      <c r="X367" s="259"/>
      <c r="Y367" s="259"/>
      <c r="Z367" s="259"/>
    </row>
    <row r="368" spans="1:26" ht="12.75" customHeight="1" outlineLevel="1">
      <c r="A368" s="272"/>
      <c r="B368" s="272"/>
      <c r="C368" s="626" t="s">
        <v>28</v>
      </c>
      <c r="D368" s="627"/>
      <c r="E368" s="276">
        <f ca="1">A25value-SUM('Actual RAB roll forward'!H356:OFFSET('Actual RAB roll forward'!H356,0,Input!$W$7-1))</f>
        <v>0</v>
      </c>
      <c r="F368" s="276">
        <f ca="1">IF(A25remlife="N/A","n/a",IF(E368=0,0,A25remlife-Input!$W$7))</f>
        <v>0</v>
      </c>
      <c r="G368" s="277"/>
      <c r="H368" s="278" t="s">
        <v>67</v>
      </c>
      <c r="I368" s="279"/>
      <c r="J368" s="276">
        <f ca="1">A25taxvalue-SUM('Tax value roll forward'!G408:OFFSET('Tax value roll forward'!G408,0,Input!$W$7))</f>
        <v>0</v>
      </c>
      <c r="K368" s="276">
        <f ca="1">IF(A25taxremlife="N/A","n/a",IF(J368=0,0,A25taxremlife-Input!$W$7-1))</f>
        <v>0</v>
      </c>
      <c r="L368" s="280"/>
      <c r="M368" s="312"/>
      <c r="N368" s="312"/>
      <c r="O368" s="272"/>
      <c r="P368" s="272"/>
      <c r="Q368" s="272"/>
      <c r="R368" s="272"/>
      <c r="S368" s="259"/>
      <c r="T368" s="259"/>
      <c r="U368" s="259"/>
      <c r="V368" s="259"/>
      <c r="W368" s="259"/>
      <c r="X368" s="259"/>
      <c r="Y368" s="259"/>
      <c r="Z368" s="259"/>
    </row>
    <row r="369" spans="1:26" ht="12.75" customHeight="1" outlineLevel="1">
      <c r="A369" s="272"/>
      <c r="B369" s="272"/>
      <c r="C369" s="633" t="s">
        <v>84</v>
      </c>
      <c r="D369" s="322">
        <f>D$9</f>
        <v>0</v>
      </c>
      <c r="E369" s="276"/>
      <c r="F369" s="276"/>
      <c r="G369" s="277"/>
      <c r="H369" s="633" t="s">
        <v>84</v>
      </c>
      <c r="I369" s="322">
        <v>0</v>
      </c>
      <c r="J369" s="276">
        <f ca="1">OFFSET('Tax value roll forward'!G$64,0,I369)-SUM('Tax value roll forward'!G410:OFFSET('Tax value roll forward'!G410,0,Input!$W$7))</f>
        <v>0</v>
      </c>
      <c r="K369" s="276">
        <f ca="1">IF(A25taxstdlife="N/A","n/a",IF(J369=0,0,A25taxstdlife+I369-Input!$W$7))</f>
        <v>0</v>
      </c>
      <c r="L369" s="280"/>
      <c r="M369" s="312"/>
      <c r="N369" s="312"/>
      <c r="O369" s="272"/>
      <c r="P369" s="272"/>
      <c r="Q369" s="272"/>
      <c r="R369" s="272"/>
      <c r="S369" s="259"/>
      <c r="T369" s="259"/>
      <c r="U369" s="259"/>
      <c r="V369" s="259"/>
      <c r="W369" s="259"/>
      <c r="X369" s="259"/>
      <c r="Y369" s="259"/>
      <c r="Z369" s="259"/>
    </row>
    <row r="370" spans="1:26" ht="12.75" customHeight="1" outlineLevel="1">
      <c r="A370" s="272"/>
      <c r="B370" s="272"/>
      <c r="C370" s="634"/>
      <c r="D370" s="281">
        <f>D$10</f>
        <v>1</v>
      </c>
      <c r="E370" s="276">
        <f ca="1">OFFSET('Actual RAB roll forward'!H$36,0,D370-1)-SUM('Actual RAB roll forward'!H358:OFFSET('Actual RAB roll forward'!H358,0,Input!$W$7-1))</f>
        <v>0</v>
      </c>
      <c r="F370" s="276">
        <f ca="1">IF(A25stdlife="N/A","n/a",IF(E370=0,0,A25stdlife+D370-Input!$W$7))</f>
        <v>0</v>
      </c>
      <c r="G370" s="277"/>
      <c r="H370" s="634"/>
      <c r="I370" s="281">
        <v>1</v>
      </c>
      <c r="J370" s="276">
        <f ca="1">OFFSET('Tax value roll forward'!G$64,0,I370)-SUM('Tax value roll forward'!G411:OFFSET('Tax value roll forward'!G411,0,Input!$W$7))</f>
        <v>0</v>
      </c>
      <c r="K370" s="276">
        <f ca="1">IF(A25taxstdlife="N/A","n/a",IF(J370=0,0,A25taxstdlife+I370-Input!$W$7))</f>
        <v>0</v>
      </c>
      <c r="L370" s="280"/>
      <c r="M370" s="312"/>
      <c r="N370" s="312"/>
      <c r="O370" s="272"/>
      <c r="P370" s="272"/>
      <c r="Q370" s="272"/>
      <c r="R370" s="272"/>
      <c r="S370" s="259"/>
      <c r="T370" s="259"/>
      <c r="U370" s="259"/>
      <c r="V370" s="259"/>
      <c r="W370" s="259"/>
      <c r="X370" s="259"/>
      <c r="Y370" s="259"/>
      <c r="Z370" s="259"/>
    </row>
    <row r="371" spans="1:26" outlineLevel="1">
      <c r="A371" s="272"/>
      <c r="B371" s="272"/>
      <c r="C371" s="634"/>
      <c r="D371" s="281">
        <f>D$11</f>
        <v>2</v>
      </c>
      <c r="E371" s="276">
        <f ca="1">OFFSET('Actual RAB roll forward'!H$36,0,D371-1)-SUM('Actual RAB roll forward'!H359:OFFSET('Actual RAB roll forward'!H359,0,Input!$W$7-1))</f>
        <v>0</v>
      </c>
      <c r="F371" s="276">
        <f ca="1">IF(A25stdlife="N/A","n/a",IF(E371=0,0,A25stdlife+D371-Input!$W$7))</f>
        <v>0</v>
      </c>
      <c r="G371" s="277"/>
      <c r="H371" s="634"/>
      <c r="I371" s="281">
        <v>2</v>
      </c>
      <c r="J371" s="276">
        <f ca="1">OFFSET('Tax value roll forward'!G$64,0,I371)-SUM('Tax value roll forward'!G412:OFFSET('Tax value roll forward'!G412,0,Input!$W$7))</f>
        <v>0</v>
      </c>
      <c r="K371" s="276">
        <f ca="1">IF(A25taxstdlife="N/A","n/a",IF(J371=0,0,A25taxstdlife+I371-Input!$W$7))</f>
        <v>0</v>
      </c>
      <c r="L371" s="280"/>
      <c r="M371" s="312"/>
      <c r="N371" s="312"/>
      <c r="O371" s="272"/>
      <c r="P371" s="272"/>
      <c r="Q371" s="272"/>
      <c r="R371" s="272"/>
      <c r="S371" s="259"/>
      <c r="T371" s="259"/>
      <c r="U371" s="259"/>
      <c r="V371" s="259"/>
      <c r="W371" s="259"/>
      <c r="X371" s="259"/>
      <c r="Y371" s="259"/>
      <c r="Z371" s="259"/>
    </row>
    <row r="372" spans="1:26" outlineLevel="1">
      <c r="A372" s="272"/>
      <c r="B372" s="272"/>
      <c r="C372" s="634"/>
      <c r="D372" s="281">
        <f>D$12</f>
        <v>3</v>
      </c>
      <c r="E372" s="276">
        <f ca="1">OFFSET('Actual RAB roll forward'!H$36,0,D372-1)-SUM('Actual RAB roll forward'!H360:OFFSET('Actual RAB roll forward'!H360,0,Input!$W$7-1))</f>
        <v>0</v>
      </c>
      <c r="F372" s="276">
        <f ca="1">IF(A25stdlife="N/A","n/a",IF(E372=0,0,A25stdlife+D372-Input!$W$7))</f>
        <v>0</v>
      </c>
      <c r="G372" s="277"/>
      <c r="H372" s="634"/>
      <c r="I372" s="281">
        <v>3</v>
      </c>
      <c r="J372" s="276">
        <f ca="1">OFFSET('Tax value roll forward'!G$64,0,I372)-SUM('Tax value roll forward'!G413:OFFSET('Tax value roll forward'!G413,0,Input!$W$7))</f>
        <v>0</v>
      </c>
      <c r="K372" s="276">
        <f ca="1">IF(A25taxstdlife="N/A","n/a",IF(J372=0,0,A25taxstdlife+I372-Input!$W$7))</f>
        <v>0</v>
      </c>
      <c r="L372" s="280"/>
      <c r="M372" s="312"/>
      <c r="N372" s="312"/>
      <c r="O372" s="272"/>
      <c r="P372" s="272"/>
      <c r="Q372" s="272"/>
      <c r="R372" s="272"/>
      <c r="S372" s="259"/>
      <c r="T372" s="259"/>
      <c r="U372" s="259"/>
      <c r="V372" s="259"/>
      <c r="W372" s="259"/>
      <c r="X372" s="259"/>
      <c r="Y372" s="259"/>
      <c r="Z372" s="259"/>
    </row>
    <row r="373" spans="1:26" outlineLevel="1">
      <c r="A373" s="272"/>
      <c r="B373" s="272"/>
      <c r="C373" s="634"/>
      <c r="D373" s="281">
        <f>D$13</f>
        <v>4</v>
      </c>
      <c r="E373" s="276">
        <f ca="1">OFFSET('Actual RAB roll forward'!H$36,0,D373-1)-SUM('Actual RAB roll forward'!H361:OFFSET('Actual RAB roll forward'!H361,0,Input!$W$7-1))</f>
        <v>0</v>
      </c>
      <c r="F373" s="276">
        <f ca="1">IF(A25stdlife="N/A","n/a",IF(E373=0,0,A25stdlife+D373-Input!$W$7))</f>
        <v>0</v>
      </c>
      <c r="G373" s="277"/>
      <c r="H373" s="634"/>
      <c r="I373" s="281">
        <v>4</v>
      </c>
      <c r="J373" s="276">
        <f ca="1">OFFSET('Tax value roll forward'!G$64,0,I373)-SUM('Tax value roll forward'!G414:OFFSET('Tax value roll forward'!G414,0,Input!$W$7))</f>
        <v>0</v>
      </c>
      <c r="K373" s="276">
        <f ca="1">IF(A25taxstdlife="N/A","n/a",IF(J373=0,0,A25taxstdlife+I373-Input!$W$7))</f>
        <v>0</v>
      </c>
      <c r="L373" s="280"/>
      <c r="M373" s="312"/>
      <c r="N373" s="312"/>
      <c r="O373" s="272"/>
      <c r="P373" s="272"/>
      <c r="Q373" s="272"/>
      <c r="R373" s="272"/>
      <c r="S373" s="259"/>
      <c r="T373" s="259"/>
      <c r="U373" s="259"/>
      <c r="V373" s="259"/>
      <c r="W373" s="259"/>
      <c r="X373" s="259"/>
      <c r="Y373" s="259"/>
      <c r="Z373" s="259"/>
    </row>
    <row r="374" spans="1:26" outlineLevel="1">
      <c r="A374" s="272"/>
      <c r="B374" s="272"/>
      <c r="C374" s="634"/>
      <c r="D374" s="281">
        <f>D$14</f>
        <v>5</v>
      </c>
      <c r="E374" s="276">
        <f ca="1">OFFSET('Actual RAB roll forward'!H$36,0,D374-1)-SUM('Actual RAB roll forward'!H362:OFFSET('Actual RAB roll forward'!H362,0,Input!$W$7-1))</f>
        <v>0</v>
      </c>
      <c r="F374" s="276">
        <f ca="1">IF(A25stdlife="N/A","n/a",IF(E374=0,0,A25stdlife+D374-Input!$W$7))</f>
        <v>0</v>
      </c>
      <c r="G374" s="277"/>
      <c r="H374" s="634"/>
      <c r="I374" s="281">
        <v>5</v>
      </c>
      <c r="J374" s="276">
        <f ca="1">OFFSET('Tax value roll forward'!G$64,0,I374)-SUM('Tax value roll forward'!G415:OFFSET('Tax value roll forward'!G415,0,Input!$W$7))</f>
        <v>0</v>
      </c>
      <c r="K374" s="276">
        <f ca="1">IF(A25taxstdlife="N/A","n/a",IF(J374=0,0,A25taxstdlife+I374-Input!$W$7))</f>
        <v>0</v>
      </c>
      <c r="L374" s="280"/>
      <c r="M374" s="312"/>
      <c r="N374" s="312"/>
      <c r="O374" s="272"/>
      <c r="P374" s="272"/>
      <c r="Q374" s="272"/>
      <c r="R374" s="272"/>
      <c r="S374" s="259"/>
      <c r="T374" s="259"/>
      <c r="U374" s="259"/>
      <c r="V374" s="259"/>
      <c r="W374" s="259"/>
      <c r="X374" s="259"/>
      <c r="Y374" s="259"/>
      <c r="Z374" s="259"/>
    </row>
    <row r="375" spans="1:26" outlineLevel="1">
      <c r="A375" s="272"/>
      <c r="B375" s="272"/>
      <c r="C375" s="634"/>
      <c r="D375" s="281">
        <f>D$15</f>
        <v>6</v>
      </c>
      <c r="E375" s="276">
        <f ca="1">OFFSET('Actual RAB roll forward'!H$36,0,D375-1)-SUM('Actual RAB roll forward'!H363:OFFSET('Actual RAB roll forward'!H363,0,Input!$W$7-1))</f>
        <v>0</v>
      </c>
      <c r="F375" s="276">
        <f ca="1">IF(A25stdlife="N/A","n/a",IF(E375=0,0,A25stdlife+D375-Input!$W$7))</f>
        <v>0</v>
      </c>
      <c r="G375" s="277"/>
      <c r="H375" s="634"/>
      <c r="I375" s="281">
        <v>6</v>
      </c>
      <c r="J375" s="276">
        <f ca="1">OFFSET('Tax value roll forward'!G$64,0,I375)-SUM('Tax value roll forward'!G416:OFFSET('Tax value roll forward'!G416,0,Input!$W$7))</f>
        <v>0</v>
      </c>
      <c r="K375" s="276">
        <f ca="1">IF(A25taxstdlife="N/A","n/a",IF(J375=0,0,A25taxstdlife+I375-Input!$W$7))</f>
        <v>0</v>
      </c>
      <c r="L375" s="280"/>
      <c r="M375" s="312"/>
      <c r="N375" s="312"/>
      <c r="O375" s="272"/>
      <c r="P375" s="272"/>
      <c r="Q375" s="272"/>
      <c r="R375" s="272"/>
      <c r="S375" s="259"/>
      <c r="T375" s="259"/>
      <c r="U375" s="259"/>
      <c r="V375" s="259"/>
      <c r="W375" s="259"/>
      <c r="X375" s="259"/>
      <c r="Y375" s="259"/>
      <c r="Z375" s="259"/>
    </row>
    <row r="376" spans="1:26" outlineLevel="1">
      <c r="A376" s="272"/>
      <c r="B376" s="272"/>
      <c r="C376" s="634"/>
      <c r="D376" s="281">
        <f>D$16</f>
        <v>7</v>
      </c>
      <c r="E376" s="276">
        <f ca="1">OFFSET('Actual RAB roll forward'!H$36,0,D376-1)-SUM('Actual RAB roll forward'!H364:OFFSET('Actual RAB roll forward'!H364,0,Input!$W$7-1))</f>
        <v>0</v>
      </c>
      <c r="F376" s="276">
        <f ca="1">IF(A25stdlife="N/A","n/a",IF(E376=0,0,A25stdlife+D376-Input!$W$7))</f>
        <v>0</v>
      </c>
      <c r="G376" s="277"/>
      <c r="H376" s="634"/>
      <c r="I376" s="281">
        <v>7</v>
      </c>
      <c r="J376" s="276">
        <f ca="1">OFFSET('Tax value roll forward'!G$64,0,I376)-SUM('Tax value roll forward'!G417:OFFSET('Tax value roll forward'!G417,0,Input!$W$7))</f>
        <v>0</v>
      </c>
      <c r="K376" s="276">
        <f ca="1">IF(A25taxstdlife="N/A","n/a",IF(J376=0,0,A25taxstdlife+I376-Input!$W$7))</f>
        <v>0</v>
      </c>
      <c r="L376" s="280"/>
      <c r="M376" s="312"/>
      <c r="N376" s="312"/>
      <c r="O376" s="272"/>
      <c r="P376" s="272"/>
      <c r="Q376" s="272"/>
      <c r="R376" s="272"/>
      <c r="S376" s="259"/>
      <c r="T376" s="259"/>
      <c r="U376" s="259"/>
      <c r="V376" s="259"/>
      <c r="W376" s="259"/>
      <c r="X376" s="259"/>
      <c r="Y376" s="259"/>
      <c r="Z376" s="259"/>
    </row>
    <row r="377" spans="1:26" outlineLevel="1">
      <c r="A377" s="272"/>
      <c r="B377" s="272"/>
      <c r="C377" s="634"/>
      <c r="D377" s="281">
        <f>D$17</f>
        <v>8</v>
      </c>
      <c r="E377" s="276">
        <f ca="1">OFFSET('Actual RAB roll forward'!H$36,0,D377-1)-SUM('Actual RAB roll forward'!H365:OFFSET('Actual RAB roll forward'!H365,0,Input!$W$7-1))</f>
        <v>0</v>
      </c>
      <c r="F377" s="276">
        <f ca="1">IF(A25stdlife="N/A","n/a",IF(E377=0,0,A25stdlife+D377-Input!$W$7))</f>
        <v>0</v>
      </c>
      <c r="G377" s="277"/>
      <c r="H377" s="634"/>
      <c r="I377" s="281">
        <v>8</v>
      </c>
      <c r="J377" s="276">
        <f ca="1">OFFSET('Tax value roll forward'!G$64,0,I377)-SUM('Tax value roll forward'!G418:OFFSET('Tax value roll forward'!G418,0,Input!$W$7))</f>
        <v>0</v>
      </c>
      <c r="K377" s="276">
        <f ca="1">IF(A25taxstdlife="N/A","n/a",IF(J377=0,0,A25taxstdlife+I377-Input!$W$7))</f>
        <v>0</v>
      </c>
      <c r="L377" s="280"/>
      <c r="M377" s="312"/>
      <c r="N377" s="312"/>
      <c r="O377" s="272"/>
      <c r="P377" s="272"/>
      <c r="Q377" s="272"/>
      <c r="R377" s="272"/>
      <c r="S377" s="259"/>
      <c r="T377" s="259"/>
      <c r="U377" s="259"/>
      <c r="V377" s="259"/>
      <c r="W377" s="259"/>
      <c r="X377" s="259"/>
      <c r="Y377" s="259"/>
      <c r="Z377" s="259"/>
    </row>
    <row r="378" spans="1:26" outlineLevel="1">
      <c r="A378" s="272"/>
      <c r="B378" s="272"/>
      <c r="C378" s="634"/>
      <c r="D378" s="281">
        <f>D$18</f>
        <v>9</v>
      </c>
      <c r="E378" s="276">
        <f ca="1">OFFSET('Actual RAB roll forward'!H$36,0,D378-1)-SUM('Actual RAB roll forward'!H366:OFFSET('Actual RAB roll forward'!H366,0,Input!$W$7-1))</f>
        <v>0</v>
      </c>
      <c r="F378" s="276">
        <f ca="1">IF(A25stdlife="N/A","n/a",IF(E378=0,0,A25stdlife+D378-Input!$W$7))</f>
        <v>0</v>
      </c>
      <c r="G378" s="277"/>
      <c r="H378" s="634"/>
      <c r="I378" s="281">
        <v>9</v>
      </c>
      <c r="J378" s="276">
        <f ca="1">OFFSET('Tax value roll forward'!G$64,0,I378)-SUM('Tax value roll forward'!G419:OFFSET('Tax value roll forward'!G419,0,Input!$W$7))</f>
        <v>0</v>
      </c>
      <c r="K378" s="276">
        <f ca="1">IF(A25taxstdlife="N/A","n/a",IF(J378=0,0,A25taxstdlife+I378-Input!$W$7))</f>
        <v>0</v>
      </c>
      <c r="L378" s="280"/>
      <c r="M378" s="312"/>
      <c r="N378" s="312"/>
      <c r="O378" s="272"/>
      <c r="P378" s="272"/>
      <c r="Q378" s="272"/>
      <c r="R378" s="272"/>
      <c r="S378" s="259"/>
      <c r="T378" s="259"/>
      <c r="U378" s="259"/>
      <c r="V378" s="259"/>
      <c r="W378" s="259"/>
      <c r="X378" s="259"/>
      <c r="Y378" s="259"/>
      <c r="Z378" s="259"/>
    </row>
    <row r="379" spans="1:26" outlineLevel="1">
      <c r="A379" s="272"/>
      <c r="B379" s="272"/>
      <c r="C379" s="635"/>
      <c r="D379" s="282">
        <f>D$19</f>
        <v>10</v>
      </c>
      <c r="E379" s="276">
        <f ca="1">OFFSET('Actual RAB roll forward'!H$36,0,D379-1)-SUM('Actual RAB roll forward'!H367:OFFSET('Actual RAB roll forward'!H367,0,Input!$W$7-1))</f>
        <v>0</v>
      </c>
      <c r="F379" s="276">
        <f ca="1">IF(A25stdlife="N/A","n/a",IF(E379=0,0,A25stdlife+D379-Input!$W$7))</f>
        <v>0</v>
      </c>
      <c r="G379" s="277"/>
      <c r="H379" s="635"/>
      <c r="I379" s="282">
        <v>10</v>
      </c>
      <c r="J379" s="276">
        <f ca="1">OFFSET('Tax value roll forward'!G$64,0,I379)-SUM('Tax value roll forward'!G420:OFFSET('Tax value roll forward'!G420,0,Input!$W$7))</f>
        <v>0</v>
      </c>
      <c r="K379" s="276">
        <f ca="1">IF(A25taxstdlife="N/A","n/a",IF(J379=0,0,A25taxstdlife+I379-Input!$W$7))</f>
        <v>0</v>
      </c>
      <c r="M379" s="312"/>
      <c r="N379" s="312"/>
      <c r="O379" s="272"/>
      <c r="P379" s="272"/>
      <c r="Q379" s="272"/>
      <c r="R379" s="272"/>
      <c r="S379" s="259"/>
      <c r="T379" s="259"/>
      <c r="U379" s="259"/>
      <c r="V379" s="259"/>
      <c r="W379" s="259"/>
      <c r="X379" s="259"/>
      <c r="Y379" s="259"/>
      <c r="Z379" s="259"/>
    </row>
    <row r="380" spans="1:26">
      <c r="A380" s="272"/>
      <c r="B380" s="272"/>
      <c r="C380" s="292">
        <f>Asset25</f>
        <v>0</v>
      </c>
      <c r="D380" s="272"/>
      <c r="E380" s="276">
        <f ca="1">SUM(E368:E379)</f>
        <v>0</v>
      </c>
      <c r="F380" s="276">
        <f ca="1">IF(E380=0,0,SUMPRODUCT(E368:E379,F368:F379)/E380)</f>
        <v>0</v>
      </c>
      <c r="G380" s="277"/>
      <c r="H380" s="284"/>
      <c r="I380" s="276"/>
      <c r="J380" s="311">
        <f ca="1">SUM(J368:J379)</f>
        <v>0</v>
      </c>
      <c r="K380" s="311">
        <f ca="1">IF(J380=0,0,SUMPRODUCT(J368:J379,K368:K379)/J380)</f>
        <v>0</v>
      </c>
      <c r="L380" s="280"/>
      <c r="M380" s="312"/>
      <c r="N380" s="312"/>
      <c r="O380" s="272"/>
      <c r="P380" s="272"/>
      <c r="Q380" s="272"/>
      <c r="R380" s="272"/>
      <c r="S380" s="259"/>
      <c r="T380" s="259"/>
      <c r="U380" s="259"/>
      <c r="V380" s="259"/>
      <c r="W380" s="259"/>
      <c r="X380" s="259"/>
      <c r="Y380" s="259"/>
      <c r="Z380" s="259"/>
    </row>
    <row r="381" spans="1:26" outlineLevel="1">
      <c r="A381" s="272"/>
      <c r="B381" s="275"/>
      <c r="C381" s="272"/>
      <c r="D381" s="272"/>
      <c r="E381" s="293"/>
      <c r="F381" s="293"/>
      <c r="G381" s="277"/>
      <c r="H381" s="276"/>
      <c r="I381" s="276"/>
      <c r="J381" s="290"/>
      <c r="K381" s="276"/>
      <c r="L381" s="280"/>
      <c r="M381" s="312"/>
      <c r="N381" s="312"/>
      <c r="O381" s="272"/>
      <c r="P381" s="272"/>
      <c r="Q381" s="272"/>
      <c r="R381" s="272"/>
      <c r="S381" s="259"/>
      <c r="T381" s="259"/>
      <c r="U381" s="259"/>
      <c r="V381" s="259"/>
      <c r="W381" s="259"/>
      <c r="X381" s="259"/>
      <c r="Y381" s="259"/>
      <c r="Z381" s="259"/>
    </row>
    <row r="382" spans="1:26" outlineLevel="1">
      <c r="A382" s="272"/>
      <c r="B382" s="275">
        <f>Asset26</f>
        <v>0</v>
      </c>
      <c r="C382" s="272"/>
      <c r="D382" s="272"/>
      <c r="E382" s="293"/>
      <c r="F382" s="293"/>
      <c r="G382" s="277"/>
      <c r="H382" s="276"/>
      <c r="I382" s="276"/>
      <c r="J382" s="290"/>
      <c r="K382" s="276"/>
      <c r="L382" s="280"/>
      <c r="M382" s="312"/>
      <c r="N382" s="312"/>
      <c r="O382" s="272"/>
      <c r="P382" s="272"/>
      <c r="Q382" s="272"/>
      <c r="R382" s="272"/>
      <c r="S382" s="259"/>
      <c r="T382" s="259"/>
      <c r="U382" s="259"/>
      <c r="V382" s="259"/>
      <c r="W382" s="259"/>
      <c r="X382" s="259"/>
      <c r="Y382" s="259"/>
      <c r="Z382" s="259"/>
    </row>
    <row r="383" spans="1:26" ht="12.75" customHeight="1" outlineLevel="1">
      <c r="A383" s="272"/>
      <c r="B383" s="272"/>
      <c r="C383" s="626" t="s">
        <v>28</v>
      </c>
      <c r="D383" s="627"/>
      <c r="E383" s="276">
        <f ca="1">A26value-SUM('Actual RAB roll forward'!H369:OFFSET('Actual RAB roll forward'!H369,0,Input!$W$7-1))</f>
        <v>0</v>
      </c>
      <c r="F383" s="276">
        <f ca="1">IF(A26remlife="N/A","n/a",IF(E383=0,0,A26remlife-Input!$W$7))</f>
        <v>0</v>
      </c>
      <c r="G383" s="277"/>
      <c r="H383" s="278" t="s">
        <v>67</v>
      </c>
      <c r="I383" s="279"/>
      <c r="J383" s="276">
        <f ca="1">A26taxvalue-SUM('Tax value roll forward'!G422:OFFSET('Tax value roll forward'!G422,0,Input!$W$7))</f>
        <v>0</v>
      </c>
      <c r="K383" s="276">
        <f ca="1">IF(A26taxremlife="N/A","n/a",IF(J383=0,0,A26taxremlife-Input!$W$7-1))</f>
        <v>0</v>
      </c>
      <c r="L383" s="280"/>
      <c r="M383" s="312"/>
      <c r="N383" s="312"/>
      <c r="O383" s="272"/>
      <c r="P383" s="272"/>
      <c r="Q383" s="272"/>
      <c r="R383" s="272"/>
      <c r="S383" s="259"/>
      <c r="T383" s="259"/>
      <c r="U383" s="259"/>
      <c r="V383" s="259"/>
      <c r="W383" s="259"/>
      <c r="X383" s="259"/>
      <c r="Y383" s="259"/>
      <c r="Z383" s="259"/>
    </row>
    <row r="384" spans="1:26" ht="12.75" customHeight="1" outlineLevel="1">
      <c r="A384" s="272"/>
      <c r="B384" s="272"/>
      <c r="C384" s="633" t="s">
        <v>84</v>
      </c>
      <c r="D384" s="322">
        <f>D$9</f>
        <v>0</v>
      </c>
      <c r="E384" s="276"/>
      <c r="F384" s="276"/>
      <c r="G384" s="277"/>
      <c r="H384" s="633" t="s">
        <v>84</v>
      </c>
      <c r="I384" s="322">
        <v>0</v>
      </c>
      <c r="J384" s="276">
        <f ca="1">OFFSET('Tax value roll forward'!G$65,0,I384)-SUM('Tax value roll forward'!G424:OFFSET('Tax value roll forward'!G424,0,Input!$W$7))</f>
        <v>0</v>
      </c>
      <c r="K384" s="276">
        <f ca="1">IF(A26taxstdlife="N/A","n/a",IF(J384=0,0,A26taxstdlife+I384-Input!$W$7))</f>
        <v>0</v>
      </c>
      <c r="L384" s="280"/>
      <c r="M384" s="312"/>
      <c r="N384" s="312"/>
      <c r="O384" s="272"/>
      <c r="P384" s="272"/>
      <c r="Q384" s="272"/>
      <c r="R384" s="272"/>
      <c r="S384" s="259"/>
      <c r="T384" s="259"/>
      <c r="U384" s="259"/>
      <c r="V384" s="259"/>
      <c r="W384" s="259"/>
      <c r="X384" s="259"/>
      <c r="Y384" s="259"/>
      <c r="Z384" s="259"/>
    </row>
    <row r="385" spans="1:26" ht="12.75" customHeight="1" outlineLevel="1">
      <c r="A385" s="272"/>
      <c r="B385" s="272"/>
      <c r="C385" s="634"/>
      <c r="D385" s="281">
        <f>D$10</f>
        <v>1</v>
      </c>
      <c r="E385" s="276">
        <f ca="1">OFFSET('Actual RAB roll forward'!H$37,0,D385-1)-SUM('Actual RAB roll forward'!H371:OFFSET('Actual RAB roll forward'!H371,0,Input!$W$7-1))</f>
        <v>0</v>
      </c>
      <c r="F385" s="276">
        <f ca="1">IF(A26stdlife="N/A","n/a",IF(E385=0,0,A26stdlife+D385-Input!$W$7))</f>
        <v>0</v>
      </c>
      <c r="G385" s="277"/>
      <c r="H385" s="634"/>
      <c r="I385" s="281">
        <v>1</v>
      </c>
      <c r="J385" s="276">
        <f ca="1">OFFSET('Tax value roll forward'!G$65,0,I385)-SUM('Tax value roll forward'!G425:OFFSET('Tax value roll forward'!G425,0,Input!$W$7))</f>
        <v>0</v>
      </c>
      <c r="K385" s="276">
        <f ca="1">IF(A26taxstdlife="N/A","n/a",IF(J385=0,0,A26taxstdlife+I385-Input!$W$7))</f>
        <v>0</v>
      </c>
      <c r="L385" s="280"/>
      <c r="M385" s="312"/>
      <c r="N385" s="312"/>
      <c r="O385" s="272"/>
      <c r="P385" s="272"/>
      <c r="Q385" s="272"/>
      <c r="R385" s="272"/>
      <c r="S385" s="259"/>
      <c r="T385" s="259"/>
      <c r="U385" s="259"/>
      <c r="V385" s="259"/>
      <c r="W385" s="259"/>
      <c r="X385" s="259"/>
      <c r="Y385" s="259"/>
      <c r="Z385" s="259"/>
    </row>
    <row r="386" spans="1:26" outlineLevel="1">
      <c r="A386" s="272"/>
      <c r="B386" s="272"/>
      <c r="C386" s="634"/>
      <c r="D386" s="281">
        <f>D$11</f>
        <v>2</v>
      </c>
      <c r="E386" s="276">
        <f ca="1">OFFSET('Actual RAB roll forward'!H$37,0,D386-1)-SUM('Actual RAB roll forward'!H372:OFFSET('Actual RAB roll forward'!H372,0,Input!$W$7-1))</f>
        <v>0</v>
      </c>
      <c r="F386" s="276">
        <f ca="1">IF(A26stdlife="N/A","n/a",IF(E386=0,0,A26stdlife+D386-Input!$W$7))</f>
        <v>0</v>
      </c>
      <c r="G386" s="277"/>
      <c r="H386" s="634"/>
      <c r="I386" s="281">
        <v>2</v>
      </c>
      <c r="J386" s="276">
        <f ca="1">OFFSET('Tax value roll forward'!G$65,0,I386)-SUM('Tax value roll forward'!G426:OFFSET('Tax value roll forward'!G426,0,Input!$W$7))</f>
        <v>0</v>
      </c>
      <c r="K386" s="276">
        <f ca="1">IF(A26taxstdlife="N/A","n/a",IF(J386=0,0,A26taxstdlife+I386-Input!$W$7))</f>
        <v>0</v>
      </c>
      <c r="L386" s="280"/>
      <c r="M386" s="312"/>
      <c r="N386" s="312"/>
      <c r="O386" s="272"/>
      <c r="P386" s="272"/>
      <c r="Q386" s="272"/>
      <c r="R386" s="272"/>
      <c r="S386" s="259"/>
      <c r="T386" s="259"/>
      <c r="U386" s="259"/>
      <c r="V386" s="259"/>
      <c r="W386" s="259"/>
      <c r="X386" s="259"/>
      <c r="Y386" s="259"/>
      <c r="Z386" s="259"/>
    </row>
    <row r="387" spans="1:26" outlineLevel="1">
      <c r="A387" s="272"/>
      <c r="B387" s="272"/>
      <c r="C387" s="634"/>
      <c r="D387" s="281">
        <f>D$12</f>
        <v>3</v>
      </c>
      <c r="E387" s="276">
        <f ca="1">OFFSET('Actual RAB roll forward'!H$37,0,D387-1)-SUM('Actual RAB roll forward'!H373:OFFSET('Actual RAB roll forward'!H373,0,Input!$W$7-1))</f>
        <v>0</v>
      </c>
      <c r="F387" s="276">
        <f ca="1">IF(A26stdlife="N/A","n/a",IF(E387=0,0,A26stdlife+D387-Input!$W$7))</f>
        <v>0</v>
      </c>
      <c r="G387" s="277"/>
      <c r="H387" s="634"/>
      <c r="I387" s="281">
        <v>3</v>
      </c>
      <c r="J387" s="276">
        <f ca="1">OFFSET('Tax value roll forward'!G$65,0,I387)-SUM('Tax value roll forward'!G427:OFFSET('Tax value roll forward'!G427,0,Input!$W$7))</f>
        <v>0</v>
      </c>
      <c r="K387" s="276">
        <f ca="1">IF(A26taxstdlife="N/A","n/a",IF(J387=0,0,A26taxstdlife+I387-Input!$W$7))</f>
        <v>0</v>
      </c>
      <c r="L387" s="280"/>
      <c r="M387" s="312"/>
      <c r="N387" s="312"/>
      <c r="O387" s="272"/>
      <c r="P387" s="272"/>
      <c r="Q387" s="272"/>
      <c r="R387" s="272"/>
      <c r="S387" s="259"/>
      <c r="T387" s="259"/>
      <c r="U387" s="259"/>
      <c r="V387" s="259"/>
      <c r="W387" s="259"/>
      <c r="X387" s="259"/>
      <c r="Y387" s="259"/>
      <c r="Z387" s="259"/>
    </row>
    <row r="388" spans="1:26" outlineLevel="1">
      <c r="A388" s="272"/>
      <c r="B388" s="272"/>
      <c r="C388" s="634"/>
      <c r="D388" s="281">
        <f>D$13</f>
        <v>4</v>
      </c>
      <c r="E388" s="276">
        <f ca="1">OFFSET('Actual RAB roll forward'!H$37,0,D388-1)-SUM('Actual RAB roll forward'!H374:OFFSET('Actual RAB roll forward'!H374,0,Input!$W$7-1))</f>
        <v>0</v>
      </c>
      <c r="F388" s="276">
        <f ca="1">IF(A26stdlife="N/A","n/a",IF(E388=0,0,A26stdlife+D388-Input!$W$7))</f>
        <v>0</v>
      </c>
      <c r="G388" s="277"/>
      <c r="H388" s="634"/>
      <c r="I388" s="281">
        <v>4</v>
      </c>
      <c r="J388" s="276">
        <f ca="1">OFFSET('Tax value roll forward'!G$65,0,I388)-SUM('Tax value roll forward'!G428:OFFSET('Tax value roll forward'!G428,0,Input!$W$7))</f>
        <v>0</v>
      </c>
      <c r="K388" s="276">
        <f ca="1">IF(A26taxstdlife="N/A","n/a",IF(J388=0,0,A26taxstdlife+I388-Input!$W$7))</f>
        <v>0</v>
      </c>
      <c r="L388" s="280"/>
      <c r="M388" s="312"/>
      <c r="N388" s="312"/>
      <c r="O388" s="272"/>
      <c r="P388" s="272"/>
      <c r="Q388" s="272"/>
      <c r="R388" s="272"/>
      <c r="S388" s="259"/>
      <c r="T388" s="259"/>
      <c r="U388" s="259"/>
      <c r="V388" s="259"/>
      <c r="W388" s="259"/>
      <c r="X388" s="259"/>
      <c r="Y388" s="259"/>
      <c r="Z388" s="259"/>
    </row>
    <row r="389" spans="1:26" outlineLevel="1">
      <c r="A389" s="272"/>
      <c r="B389" s="272"/>
      <c r="C389" s="634"/>
      <c r="D389" s="281">
        <f>D$14</f>
        <v>5</v>
      </c>
      <c r="E389" s="276">
        <f ca="1">OFFSET('Actual RAB roll forward'!H$37,0,D389-1)-SUM('Actual RAB roll forward'!H375:OFFSET('Actual RAB roll forward'!H375,0,Input!$W$7-1))</f>
        <v>0</v>
      </c>
      <c r="F389" s="276">
        <f ca="1">IF(A26stdlife="N/A","n/a",IF(E389=0,0,A26stdlife+D389-Input!$W$7))</f>
        <v>0</v>
      </c>
      <c r="G389" s="277"/>
      <c r="H389" s="634"/>
      <c r="I389" s="281">
        <v>5</v>
      </c>
      <c r="J389" s="276">
        <f ca="1">OFFSET('Tax value roll forward'!G$65,0,I389)-SUM('Tax value roll forward'!G429:OFFSET('Tax value roll forward'!G429,0,Input!$W$7))</f>
        <v>0</v>
      </c>
      <c r="K389" s="276">
        <f ca="1">IF(A26taxstdlife="N/A","n/a",IF(J389=0,0,A26taxstdlife+I389-Input!$W$7))</f>
        <v>0</v>
      </c>
      <c r="L389" s="280"/>
      <c r="M389" s="312"/>
      <c r="N389" s="312"/>
      <c r="O389" s="272"/>
      <c r="P389" s="272"/>
      <c r="Q389" s="272"/>
      <c r="R389" s="272"/>
      <c r="S389" s="259"/>
      <c r="T389" s="259"/>
      <c r="U389" s="259"/>
      <c r="V389" s="259"/>
      <c r="W389" s="259"/>
      <c r="X389" s="259"/>
      <c r="Y389" s="259"/>
      <c r="Z389" s="259"/>
    </row>
    <row r="390" spans="1:26" outlineLevel="1">
      <c r="A390" s="272"/>
      <c r="B390" s="272"/>
      <c r="C390" s="634"/>
      <c r="D390" s="281">
        <f>D$15</f>
        <v>6</v>
      </c>
      <c r="E390" s="276">
        <f ca="1">OFFSET('Actual RAB roll forward'!H$37,0,D390-1)-SUM('Actual RAB roll forward'!H376:OFFSET('Actual RAB roll forward'!H376,0,Input!$W$7-1))</f>
        <v>0</v>
      </c>
      <c r="F390" s="276">
        <f ca="1">IF(A26stdlife="N/A","n/a",IF(E390=0,0,A26stdlife+D390-Input!$W$7))</f>
        <v>0</v>
      </c>
      <c r="G390" s="277"/>
      <c r="H390" s="634"/>
      <c r="I390" s="281">
        <v>6</v>
      </c>
      <c r="J390" s="276">
        <f ca="1">OFFSET('Tax value roll forward'!G$65,0,I390)-SUM('Tax value roll forward'!G430:OFFSET('Tax value roll forward'!G430,0,Input!$W$7))</f>
        <v>0</v>
      </c>
      <c r="K390" s="276">
        <f ca="1">IF(A26taxstdlife="N/A","n/a",IF(J390=0,0,A26taxstdlife+I390-Input!$W$7))</f>
        <v>0</v>
      </c>
      <c r="L390" s="280"/>
      <c r="M390" s="312"/>
      <c r="N390" s="312"/>
      <c r="O390" s="272"/>
      <c r="P390" s="272"/>
      <c r="Q390" s="272"/>
      <c r="R390" s="272"/>
      <c r="S390" s="259"/>
      <c r="T390" s="259"/>
      <c r="U390" s="259"/>
      <c r="V390" s="259"/>
      <c r="W390" s="259"/>
      <c r="X390" s="259"/>
      <c r="Y390" s="259"/>
      <c r="Z390" s="259"/>
    </row>
    <row r="391" spans="1:26" outlineLevel="1">
      <c r="A391" s="272"/>
      <c r="B391" s="272"/>
      <c r="C391" s="634"/>
      <c r="D391" s="281">
        <f>D$16</f>
        <v>7</v>
      </c>
      <c r="E391" s="276">
        <f ca="1">OFFSET('Actual RAB roll forward'!H$37,0,D391-1)-SUM('Actual RAB roll forward'!H377:OFFSET('Actual RAB roll forward'!H377,0,Input!$W$7-1))</f>
        <v>0</v>
      </c>
      <c r="F391" s="276">
        <f ca="1">IF(A26stdlife="N/A","n/a",IF(E391=0,0,A26stdlife+D391-Input!$W$7))</f>
        <v>0</v>
      </c>
      <c r="G391" s="277"/>
      <c r="H391" s="634"/>
      <c r="I391" s="281">
        <v>7</v>
      </c>
      <c r="J391" s="276">
        <f ca="1">OFFSET('Tax value roll forward'!G$65,0,I391)-SUM('Tax value roll forward'!G431:OFFSET('Tax value roll forward'!G431,0,Input!$W$7))</f>
        <v>0</v>
      </c>
      <c r="K391" s="276">
        <f ca="1">IF(A26taxstdlife="N/A","n/a",IF(J391=0,0,A26taxstdlife+I391-Input!$W$7))</f>
        <v>0</v>
      </c>
      <c r="L391" s="280"/>
      <c r="M391" s="312"/>
      <c r="N391" s="312"/>
      <c r="O391" s="272"/>
      <c r="P391" s="272"/>
      <c r="Q391" s="272"/>
      <c r="R391" s="272"/>
      <c r="S391" s="259"/>
      <c r="T391" s="259"/>
      <c r="U391" s="259"/>
      <c r="V391" s="259"/>
      <c r="W391" s="259"/>
      <c r="X391" s="259"/>
      <c r="Y391" s="259"/>
      <c r="Z391" s="259"/>
    </row>
    <row r="392" spans="1:26" outlineLevel="1">
      <c r="A392" s="272"/>
      <c r="B392" s="272"/>
      <c r="C392" s="634"/>
      <c r="D392" s="281">
        <f>D$17</f>
        <v>8</v>
      </c>
      <c r="E392" s="276">
        <f ca="1">OFFSET('Actual RAB roll forward'!H$37,0,D392-1)-SUM('Actual RAB roll forward'!H378:OFFSET('Actual RAB roll forward'!H378,0,Input!$W$7-1))</f>
        <v>0</v>
      </c>
      <c r="F392" s="276">
        <f ca="1">IF(A26stdlife="N/A","n/a",IF(E392=0,0,A26stdlife+D392-Input!$W$7))</f>
        <v>0</v>
      </c>
      <c r="G392" s="277"/>
      <c r="H392" s="634"/>
      <c r="I392" s="281">
        <v>8</v>
      </c>
      <c r="J392" s="276">
        <f ca="1">OFFSET('Tax value roll forward'!G$65,0,I392)-SUM('Tax value roll forward'!G432:OFFSET('Tax value roll forward'!G432,0,Input!$W$7))</f>
        <v>0</v>
      </c>
      <c r="K392" s="276">
        <f ca="1">IF(A26taxstdlife="N/A","n/a",IF(J392=0,0,A26taxstdlife+I392-Input!$W$7))</f>
        <v>0</v>
      </c>
      <c r="L392" s="280"/>
      <c r="M392" s="312"/>
      <c r="N392" s="312"/>
      <c r="O392" s="272"/>
      <c r="P392" s="272"/>
      <c r="Q392" s="272"/>
      <c r="R392" s="272"/>
      <c r="S392" s="259"/>
      <c r="T392" s="259"/>
      <c r="U392" s="259"/>
      <c r="V392" s="259"/>
      <c r="W392" s="259"/>
      <c r="X392" s="259"/>
      <c r="Y392" s="259"/>
      <c r="Z392" s="259"/>
    </row>
    <row r="393" spans="1:26" outlineLevel="1">
      <c r="A393" s="272"/>
      <c r="B393" s="272"/>
      <c r="C393" s="634"/>
      <c r="D393" s="281">
        <f>D$18</f>
        <v>9</v>
      </c>
      <c r="E393" s="276">
        <f ca="1">OFFSET('Actual RAB roll forward'!H$37,0,D393-1)-SUM('Actual RAB roll forward'!H379:OFFSET('Actual RAB roll forward'!H379,0,Input!$W$7-1))</f>
        <v>0</v>
      </c>
      <c r="F393" s="276">
        <f ca="1">IF(A26stdlife="N/A","n/a",IF(E393=0,0,A26stdlife+D393-Input!$W$7))</f>
        <v>0</v>
      </c>
      <c r="G393" s="277"/>
      <c r="H393" s="634"/>
      <c r="I393" s="281">
        <v>9</v>
      </c>
      <c r="J393" s="276">
        <f ca="1">OFFSET('Tax value roll forward'!G$65,0,I393)-SUM('Tax value roll forward'!G433:OFFSET('Tax value roll forward'!G433,0,Input!$W$7))</f>
        <v>0</v>
      </c>
      <c r="K393" s="276">
        <f ca="1">IF(A26taxstdlife="N/A","n/a",IF(J393=0,0,A26taxstdlife+I393-Input!$W$7))</f>
        <v>0</v>
      </c>
      <c r="L393" s="280"/>
      <c r="M393" s="312"/>
      <c r="N393" s="312"/>
      <c r="O393" s="272"/>
      <c r="P393" s="272"/>
      <c r="Q393" s="272"/>
      <c r="R393" s="272"/>
      <c r="S393" s="259"/>
      <c r="T393" s="259"/>
      <c r="U393" s="259"/>
      <c r="V393" s="259"/>
      <c r="W393" s="259"/>
      <c r="X393" s="259"/>
      <c r="Y393" s="259"/>
      <c r="Z393" s="259"/>
    </row>
    <row r="394" spans="1:26" outlineLevel="1">
      <c r="A394" s="272"/>
      <c r="B394" s="272"/>
      <c r="C394" s="635"/>
      <c r="D394" s="282">
        <f>D$19</f>
        <v>10</v>
      </c>
      <c r="E394" s="276">
        <f ca="1">OFFSET('Actual RAB roll forward'!H$37,0,D394-1)-SUM('Actual RAB roll forward'!H380:OFFSET('Actual RAB roll forward'!H380,0,Input!$W$7-1))</f>
        <v>0</v>
      </c>
      <c r="F394" s="276">
        <f ca="1">IF(A26stdlife="N/A","n/a",IF(E394=0,0,A26stdlife+D394-Input!$W$7))</f>
        <v>0</v>
      </c>
      <c r="G394" s="277"/>
      <c r="H394" s="635"/>
      <c r="I394" s="282">
        <v>10</v>
      </c>
      <c r="J394" s="276">
        <f ca="1">OFFSET('Tax value roll forward'!G$65,0,I394)-SUM('Tax value roll forward'!G434:OFFSET('Tax value roll forward'!G434,0,Input!$W$7))</f>
        <v>0</v>
      </c>
      <c r="K394" s="276">
        <f ca="1">IF(A26taxstdlife="N/A","n/a",IF(J394=0,0,A26taxstdlife+I394-Input!$W$7))</f>
        <v>0</v>
      </c>
      <c r="M394" s="312"/>
      <c r="N394" s="312"/>
      <c r="O394" s="272"/>
      <c r="P394" s="272"/>
      <c r="Q394" s="272"/>
      <c r="R394" s="272"/>
      <c r="S394" s="259"/>
      <c r="T394" s="259"/>
      <c r="U394" s="259"/>
      <c r="V394" s="259"/>
      <c r="W394" s="259"/>
      <c r="X394" s="259"/>
      <c r="Y394" s="259"/>
      <c r="Z394" s="259"/>
    </row>
    <row r="395" spans="1:26">
      <c r="A395" s="272"/>
      <c r="B395" s="272"/>
      <c r="C395" s="292">
        <f>Asset26</f>
        <v>0</v>
      </c>
      <c r="D395" s="272"/>
      <c r="E395" s="276">
        <f ca="1">SUM(E383:E394)</f>
        <v>0</v>
      </c>
      <c r="F395" s="276">
        <f ca="1">IF(E395=0,0,SUMPRODUCT(E383:E394,F383:F394)/E395)</f>
        <v>0</v>
      </c>
      <c r="G395" s="277"/>
      <c r="H395" s="284"/>
      <c r="I395" s="276"/>
      <c r="J395" s="311">
        <f ca="1">SUM(J383:J394)</f>
        <v>0</v>
      </c>
      <c r="K395" s="311">
        <f ca="1">IF(J395=0,0,SUMPRODUCT(J383:J394,K383:K394)/J395)</f>
        <v>0</v>
      </c>
      <c r="L395" s="280"/>
      <c r="M395" s="312"/>
      <c r="N395" s="312"/>
      <c r="O395" s="272"/>
      <c r="P395" s="272"/>
      <c r="Q395" s="272"/>
      <c r="R395" s="272"/>
      <c r="S395" s="259"/>
      <c r="T395" s="259"/>
      <c r="U395" s="259"/>
      <c r="V395" s="259"/>
      <c r="W395" s="259"/>
      <c r="X395" s="259"/>
      <c r="Y395" s="259"/>
      <c r="Z395" s="259"/>
    </row>
    <row r="396" spans="1:26" outlineLevel="1">
      <c r="A396" s="272"/>
      <c r="B396" s="275"/>
      <c r="C396" s="272"/>
      <c r="D396" s="272"/>
      <c r="E396" s="293"/>
      <c r="F396" s="293"/>
      <c r="G396" s="277"/>
      <c r="H396" s="276"/>
      <c r="I396" s="276"/>
      <c r="J396" s="290"/>
      <c r="K396" s="276"/>
      <c r="L396" s="280"/>
      <c r="M396" s="312"/>
      <c r="N396" s="312"/>
      <c r="O396" s="272"/>
      <c r="P396" s="272"/>
      <c r="Q396" s="272"/>
      <c r="R396" s="272"/>
      <c r="S396" s="259"/>
      <c r="T396" s="259"/>
      <c r="U396" s="259"/>
      <c r="V396" s="259"/>
      <c r="W396" s="259"/>
      <c r="X396" s="259"/>
      <c r="Y396" s="259"/>
      <c r="Z396" s="259"/>
    </row>
    <row r="397" spans="1:26" outlineLevel="1">
      <c r="A397" s="272"/>
      <c r="B397" s="275">
        <f>Asset27</f>
        <v>0</v>
      </c>
      <c r="C397" s="272"/>
      <c r="D397" s="272"/>
      <c r="E397" s="293"/>
      <c r="F397" s="293"/>
      <c r="G397" s="277"/>
      <c r="H397" s="276"/>
      <c r="I397" s="276"/>
      <c r="J397" s="290"/>
      <c r="K397" s="276"/>
      <c r="L397" s="280"/>
      <c r="M397" s="312"/>
      <c r="N397" s="312"/>
      <c r="O397" s="272"/>
      <c r="P397" s="272"/>
      <c r="Q397" s="272"/>
      <c r="R397" s="272"/>
      <c r="S397" s="259"/>
      <c r="T397" s="259"/>
      <c r="U397" s="259"/>
      <c r="V397" s="259"/>
      <c r="W397" s="259"/>
      <c r="X397" s="259"/>
      <c r="Y397" s="259"/>
      <c r="Z397" s="259"/>
    </row>
    <row r="398" spans="1:26" ht="12.75" customHeight="1" outlineLevel="1">
      <c r="A398" s="272"/>
      <c r="B398" s="272"/>
      <c r="C398" s="626" t="s">
        <v>28</v>
      </c>
      <c r="D398" s="627"/>
      <c r="E398" s="276">
        <f ca="1">A27value-SUM('Actual RAB roll forward'!H382:OFFSET('Actual RAB roll forward'!H382,0,Input!$W$7-1))</f>
        <v>0</v>
      </c>
      <c r="F398" s="276">
        <f ca="1">IF(A27remlife="N/A","n/a",IF(E398=0,0,A27remlife-Input!$W$7))</f>
        <v>0</v>
      </c>
      <c r="G398" s="277"/>
      <c r="H398" s="278" t="s">
        <v>67</v>
      </c>
      <c r="I398" s="279"/>
      <c r="J398" s="276">
        <f ca="1">A27taxvalue-SUM('Tax value roll forward'!G436:OFFSET('Tax value roll forward'!G436,0,Input!$W$7))</f>
        <v>0</v>
      </c>
      <c r="K398" s="276">
        <f ca="1">IF(A27taxremlife="N/A","n/a",IF(J398=0,0,A27taxremlife-Input!$W$7-1))</f>
        <v>0</v>
      </c>
      <c r="L398" s="280"/>
      <c r="M398" s="312"/>
      <c r="N398" s="312"/>
      <c r="O398" s="272"/>
      <c r="P398" s="272"/>
      <c r="Q398" s="272"/>
      <c r="R398" s="272"/>
      <c r="S398" s="259"/>
      <c r="T398" s="259"/>
      <c r="U398" s="259"/>
      <c r="V398" s="259"/>
      <c r="W398" s="259"/>
      <c r="X398" s="259"/>
      <c r="Y398" s="259"/>
      <c r="Z398" s="259"/>
    </row>
    <row r="399" spans="1:26" ht="12.75" customHeight="1" outlineLevel="1">
      <c r="A399" s="272"/>
      <c r="B399" s="272"/>
      <c r="C399" s="633" t="s">
        <v>84</v>
      </c>
      <c r="D399" s="322">
        <f>D$9</f>
        <v>0</v>
      </c>
      <c r="E399" s="276"/>
      <c r="F399" s="276"/>
      <c r="G399" s="277"/>
      <c r="H399" s="633" t="s">
        <v>84</v>
      </c>
      <c r="I399" s="322">
        <v>0</v>
      </c>
      <c r="J399" s="276">
        <f ca="1">OFFSET('Tax value roll forward'!G$66,0,I399)-SUM('Tax value roll forward'!G438:OFFSET('Tax value roll forward'!G438,0,Input!$W$7))</f>
        <v>0</v>
      </c>
      <c r="K399" s="276">
        <f ca="1">IF(A27taxstdlife="N/A","n/a",IF(J399=0,0,A27taxstdlife+I399-Input!$W$7))</f>
        <v>0</v>
      </c>
      <c r="L399" s="280"/>
      <c r="M399" s="312"/>
      <c r="N399" s="312"/>
      <c r="O399" s="272"/>
      <c r="P399" s="272"/>
      <c r="Q399" s="272"/>
      <c r="R399" s="272"/>
      <c r="S399" s="259"/>
      <c r="T399" s="259"/>
      <c r="U399" s="259"/>
      <c r="V399" s="259"/>
      <c r="W399" s="259"/>
      <c r="X399" s="259"/>
      <c r="Y399" s="259"/>
      <c r="Z399" s="259"/>
    </row>
    <row r="400" spans="1:26" ht="12.75" customHeight="1" outlineLevel="1">
      <c r="A400" s="272"/>
      <c r="B400" s="272"/>
      <c r="C400" s="634"/>
      <c r="D400" s="281">
        <f>D$10</f>
        <v>1</v>
      </c>
      <c r="E400" s="276">
        <f ca="1">OFFSET('Actual RAB roll forward'!H$38,0,D400-1)-SUM('Actual RAB roll forward'!H384:OFFSET('Actual RAB roll forward'!H384,0,Input!$W$7-1))</f>
        <v>0</v>
      </c>
      <c r="F400" s="276">
        <f ca="1">IF(A27stdlife="N/A","n/a",IF(E400=0,0,A27stdlife+D400-Input!$W$7))</f>
        <v>0</v>
      </c>
      <c r="G400" s="277"/>
      <c r="H400" s="634"/>
      <c r="I400" s="281">
        <v>1</v>
      </c>
      <c r="J400" s="276">
        <f ca="1">OFFSET('Tax value roll forward'!G$66,0,I400)-SUM('Tax value roll forward'!G439:OFFSET('Tax value roll forward'!G439,0,Input!$W$7))</f>
        <v>0</v>
      </c>
      <c r="K400" s="276">
        <f ca="1">IF(A27taxstdlife="N/A","n/a",IF(J400=0,0,A27taxstdlife+I400-Input!$W$7))</f>
        <v>0</v>
      </c>
      <c r="L400" s="280"/>
      <c r="M400" s="312"/>
      <c r="N400" s="312"/>
      <c r="O400" s="272"/>
      <c r="P400" s="272"/>
      <c r="Q400" s="272"/>
      <c r="R400" s="272"/>
      <c r="S400" s="259"/>
      <c r="T400" s="259"/>
      <c r="U400" s="259"/>
      <c r="V400" s="259"/>
      <c r="W400" s="259"/>
      <c r="X400" s="259"/>
      <c r="Y400" s="259"/>
      <c r="Z400" s="259"/>
    </row>
    <row r="401" spans="1:26" outlineLevel="1">
      <c r="A401" s="272"/>
      <c r="B401" s="272"/>
      <c r="C401" s="634"/>
      <c r="D401" s="281">
        <f>D$11</f>
        <v>2</v>
      </c>
      <c r="E401" s="276">
        <f ca="1">OFFSET('Actual RAB roll forward'!H$38,0,D401-1)-SUM('Actual RAB roll forward'!H385:OFFSET('Actual RAB roll forward'!H385,0,Input!$W$7-1))</f>
        <v>0</v>
      </c>
      <c r="F401" s="276">
        <f ca="1">IF(A27stdlife="N/A","n/a",IF(E401=0,0,A27stdlife+D401-Input!$W$7))</f>
        <v>0</v>
      </c>
      <c r="G401" s="277"/>
      <c r="H401" s="634"/>
      <c r="I401" s="281">
        <v>2</v>
      </c>
      <c r="J401" s="276">
        <f ca="1">OFFSET('Tax value roll forward'!G$66,0,I401)-SUM('Tax value roll forward'!G440:OFFSET('Tax value roll forward'!G440,0,Input!$W$7))</f>
        <v>0</v>
      </c>
      <c r="K401" s="276">
        <f ca="1">IF(A27taxstdlife="N/A","n/a",IF(J401=0,0,A27taxstdlife+I401-Input!$W$7))</f>
        <v>0</v>
      </c>
      <c r="L401" s="280"/>
      <c r="M401" s="312"/>
      <c r="N401" s="312"/>
      <c r="O401" s="272"/>
      <c r="P401" s="272"/>
      <c r="Q401" s="272"/>
      <c r="R401" s="272"/>
      <c r="S401" s="259"/>
      <c r="T401" s="259"/>
      <c r="U401" s="259"/>
      <c r="V401" s="259"/>
      <c r="W401" s="259"/>
      <c r="X401" s="259"/>
      <c r="Y401" s="259"/>
      <c r="Z401" s="259"/>
    </row>
    <row r="402" spans="1:26" outlineLevel="1">
      <c r="A402" s="272"/>
      <c r="B402" s="272"/>
      <c r="C402" s="634"/>
      <c r="D402" s="281">
        <f>D$12</f>
        <v>3</v>
      </c>
      <c r="E402" s="276">
        <f ca="1">OFFSET('Actual RAB roll forward'!H$38,0,D402-1)-SUM('Actual RAB roll forward'!H386:OFFSET('Actual RAB roll forward'!H386,0,Input!$W$7-1))</f>
        <v>0</v>
      </c>
      <c r="F402" s="276">
        <f ca="1">IF(A27stdlife="N/A","n/a",IF(E402=0,0,A27stdlife+D402-Input!$W$7))</f>
        <v>0</v>
      </c>
      <c r="G402" s="277"/>
      <c r="H402" s="634"/>
      <c r="I402" s="281">
        <v>3</v>
      </c>
      <c r="J402" s="276">
        <f ca="1">OFFSET('Tax value roll forward'!G$66,0,I402)-SUM('Tax value roll forward'!G441:OFFSET('Tax value roll forward'!G441,0,Input!$W$7))</f>
        <v>0</v>
      </c>
      <c r="K402" s="276">
        <f ca="1">IF(A27taxstdlife="N/A","n/a",IF(J402=0,0,A27taxstdlife+I402-Input!$W$7))</f>
        <v>0</v>
      </c>
      <c r="L402" s="280"/>
      <c r="M402" s="312"/>
      <c r="N402" s="312"/>
      <c r="O402" s="272"/>
      <c r="P402" s="272"/>
      <c r="Q402" s="272"/>
      <c r="R402" s="272"/>
      <c r="S402" s="259"/>
      <c r="T402" s="259"/>
      <c r="U402" s="259"/>
      <c r="V402" s="259"/>
      <c r="W402" s="259"/>
      <c r="X402" s="259"/>
      <c r="Y402" s="259"/>
      <c r="Z402" s="259"/>
    </row>
    <row r="403" spans="1:26" outlineLevel="1">
      <c r="A403" s="272"/>
      <c r="B403" s="272"/>
      <c r="C403" s="634"/>
      <c r="D403" s="281">
        <f>D$13</f>
        <v>4</v>
      </c>
      <c r="E403" s="276">
        <f ca="1">OFFSET('Actual RAB roll forward'!H$38,0,D403-1)-SUM('Actual RAB roll forward'!H387:OFFSET('Actual RAB roll forward'!H387,0,Input!$W$7-1))</f>
        <v>0</v>
      </c>
      <c r="F403" s="276">
        <f ca="1">IF(A27stdlife="N/A","n/a",IF(E403=0,0,A27stdlife+D403-Input!$W$7))</f>
        <v>0</v>
      </c>
      <c r="G403" s="277"/>
      <c r="H403" s="634"/>
      <c r="I403" s="281">
        <v>4</v>
      </c>
      <c r="J403" s="276">
        <f ca="1">OFFSET('Tax value roll forward'!G$66,0,I403)-SUM('Tax value roll forward'!G442:OFFSET('Tax value roll forward'!G442,0,Input!$W$7))</f>
        <v>0</v>
      </c>
      <c r="K403" s="276">
        <f ca="1">IF(A27taxstdlife="N/A","n/a",IF(J403=0,0,A27taxstdlife+I403-Input!$W$7))</f>
        <v>0</v>
      </c>
      <c r="L403" s="280"/>
      <c r="M403" s="312"/>
      <c r="N403" s="312"/>
      <c r="O403" s="272"/>
      <c r="P403" s="272"/>
      <c r="Q403" s="272"/>
      <c r="R403" s="272"/>
      <c r="S403" s="259"/>
      <c r="T403" s="259"/>
      <c r="U403" s="259"/>
      <c r="V403" s="259"/>
      <c r="W403" s="259"/>
      <c r="X403" s="259"/>
      <c r="Y403" s="259"/>
      <c r="Z403" s="259"/>
    </row>
    <row r="404" spans="1:26" outlineLevel="1">
      <c r="A404" s="272"/>
      <c r="B404" s="272"/>
      <c r="C404" s="634"/>
      <c r="D404" s="281">
        <f>D$14</f>
        <v>5</v>
      </c>
      <c r="E404" s="276">
        <f ca="1">OFFSET('Actual RAB roll forward'!H$38,0,D404-1)-SUM('Actual RAB roll forward'!H388:OFFSET('Actual RAB roll forward'!H388,0,Input!$W$7-1))</f>
        <v>0</v>
      </c>
      <c r="F404" s="276">
        <f ca="1">IF(A27stdlife="N/A","n/a",IF(E404=0,0,A27stdlife+D404-Input!$W$7))</f>
        <v>0</v>
      </c>
      <c r="G404" s="277"/>
      <c r="H404" s="634"/>
      <c r="I404" s="281">
        <v>5</v>
      </c>
      <c r="J404" s="276">
        <f ca="1">OFFSET('Tax value roll forward'!G$66,0,I404)-SUM('Tax value roll forward'!G443:OFFSET('Tax value roll forward'!G443,0,Input!$W$7))</f>
        <v>0</v>
      </c>
      <c r="K404" s="276">
        <f ca="1">IF(A27taxstdlife="N/A","n/a",IF(J404=0,0,A27taxstdlife+I404-Input!$W$7))</f>
        <v>0</v>
      </c>
      <c r="L404" s="280"/>
      <c r="M404" s="312"/>
      <c r="N404" s="312"/>
      <c r="O404" s="272"/>
      <c r="P404" s="272"/>
      <c r="Q404" s="272"/>
      <c r="R404" s="272"/>
      <c r="S404" s="259"/>
      <c r="T404" s="259"/>
      <c r="U404" s="259"/>
      <c r="V404" s="259"/>
      <c r="W404" s="259"/>
      <c r="X404" s="259"/>
      <c r="Y404" s="259"/>
      <c r="Z404" s="259"/>
    </row>
    <row r="405" spans="1:26" outlineLevel="1">
      <c r="A405" s="272"/>
      <c r="B405" s="272"/>
      <c r="C405" s="634"/>
      <c r="D405" s="281">
        <f>D$15</f>
        <v>6</v>
      </c>
      <c r="E405" s="276">
        <f ca="1">OFFSET('Actual RAB roll forward'!H$38,0,D405-1)-SUM('Actual RAB roll forward'!H389:OFFSET('Actual RAB roll forward'!H389,0,Input!$W$7-1))</f>
        <v>0</v>
      </c>
      <c r="F405" s="276">
        <f ca="1">IF(A27stdlife="N/A","n/a",IF(E405=0,0,A27stdlife+D405-Input!$W$7))</f>
        <v>0</v>
      </c>
      <c r="G405" s="277"/>
      <c r="H405" s="634"/>
      <c r="I405" s="281">
        <v>6</v>
      </c>
      <c r="J405" s="276">
        <f ca="1">OFFSET('Tax value roll forward'!G$66,0,I405)-SUM('Tax value roll forward'!G444:OFFSET('Tax value roll forward'!G444,0,Input!$W$7))</f>
        <v>0</v>
      </c>
      <c r="K405" s="276">
        <f ca="1">IF(A27taxstdlife="N/A","n/a",IF(J405=0,0,A27taxstdlife+I405-Input!$W$7))</f>
        <v>0</v>
      </c>
      <c r="L405" s="280"/>
      <c r="M405" s="312"/>
      <c r="N405" s="312"/>
      <c r="O405" s="272"/>
      <c r="P405" s="272"/>
      <c r="Q405" s="272"/>
      <c r="R405" s="272"/>
      <c r="S405" s="259"/>
      <c r="T405" s="259"/>
      <c r="U405" s="259"/>
      <c r="V405" s="259"/>
      <c r="W405" s="259"/>
      <c r="X405" s="259"/>
      <c r="Y405" s="259"/>
      <c r="Z405" s="259"/>
    </row>
    <row r="406" spans="1:26" outlineLevel="1">
      <c r="A406" s="272"/>
      <c r="B406" s="272"/>
      <c r="C406" s="634"/>
      <c r="D406" s="281">
        <f>D$16</f>
        <v>7</v>
      </c>
      <c r="E406" s="276">
        <f ca="1">OFFSET('Actual RAB roll forward'!H$38,0,D406-1)-SUM('Actual RAB roll forward'!H390:OFFSET('Actual RAB roll forward'!H390,0,Input!$W$7-1))</f>
        <v>0</v>
      </c>
      <c r="F406" s="276">
        <f ca="1">IF(A27stdlife="N/A","n/a",IF(E406=0,0,A27stdlife+D406-Input!$W$7))</f>
        <v>0</v>
      </c>
      <c r="G406" s="277"/>
      <c r="H406" s="634"/>
      <c r="I406" s="281">
        <v>7</v>
      </c>
      <c r="J406" s="276">
        <f ca="1">OFFSET('Tax value roll forward'!G$66,0,I406)-SUM('Tax value roll forward'!G445:OFFSET('Tax value roll forward'!G445,0,Input!$W$7))</f>
        <v>0</v>
      </c>
      <c r="K406" s="276">
        <f ca="1">IF(A27taxstdlife="N/A","n/a",IF(J406=0,0,A27taxstdlife+I406-Input!$W$7))</f>
        <v>0</v>
      </c>
      <c r="L406" s="280"/>
      <c r="M406" s="312"/>
      <c r="N406" s="312"/>
      <c r="O406" s="272"/>
      <c r="P406" s="272"/>
      <c r="Q406" s="272"/>
      <c r="R406" s="272"/>
      <c r="S406" s="259"/>
      <c r="T406" s="259"/>
      <c r="U406" s="259"/>
      <c r="V406" s="259"/>
      <c r="W406" s="259"/>
      <c r="X406" s="259"/>
      <c r="Y406" s="259"/>
      <c r="Z406" s="259"/>
    </row>
    <row r="407" spans="1:26" outlineLevel="1">
      <c r="A407" s="272"/>
      <c r="B407" s="272"/>
      <c r="C407" s="634"/>
      <c r="D407" s="281">
        <f>D$17</f>
        <v>8</v>
      </c>
      <c r="E407" s="276">
        <f ca="1">OFFSET('Actual RAB roll forward'!H$38,0,D407-1)-SUM('Actual RAB roll forward'!H391:OFFSET('Actual RAB roll forward'!H391,0,Input!$W$7-1))</f>
        <v>0</v>
      </c>
      <c r="F407" s="276">
        <f ca="1">IF(A27stdlife="N/A","n/a",IF(E407=0,0,A27stdlife+D407-Input!$W$7))</f>
        <v>0</v>
      </c>
      <c r="G407" s="277"/>
      <c r="H407" s="634"/>
      <c r="I407" s="281">
        <v>8</v>
      </c>
      <c r="J407" s="276">
        <f ca="1">OFFSET('Tax value roll forward'!G$66,0,I407)-SUM('Tax value roll forward'!G446:OFFSET('Tax value roll forward'!G446,0,Input!$W$7))</f>
        <v>0</v>
      </c>
      <c r="K407" s="276">
        <f ca="1">IF(A27taxstdlife="N/A","n/a",IF(J407=0,0,A27taxstdlife+I407-Input!$W$7))</f>
        <v>0</v>
      </c>
      <c r="L407" s="280"/>
      <c r="M407" s="312"/>
      <c r="N407" s="312"/>
      <c r="O407" s="272"/>
      <c r="P407" s="272"/>
      <c r="Q407" s="272"/>
      <c r="R407" s="272"/>
      <c r="S407" s="259"/>
      <c r="T407" s="259"/>
      <c r="U407" s="259"/>
      <c r="V407" s="259"/>
      <c r="W407" s="259"/>
      <c r="X407" s="259"/>
      <c r="Y407" s="259"/>
      <c r="Z407" s="259"/>
    </row>
    <row r="408" spans="1:26" outlineLevel="1">
      <c r="A408" s="272"/>
      <c r="B408" s="272"/>
      <c r="C408" s="634"/>
      <c r="D408" s="281">
        <f>D$18</f>
        <v>9</v>
      </c>
      <c r="E408" s="276">
        <f ca="1">OFFSET('Actual RAB roll forward'!H$38,0,D408-1)-SUM('Actual RAB roll forward'!H392:OFFSET('Actual RAB roll forward'!H392,0,Input!$W$7-1))</f>
        <v>0</v>
      </c>
      <c r="F408" s="276">
        <f ca="1">IF(A27stdlife="N/A","n/a",IF(E408=0,0,A27stdlife+D408-Input!$W$7))</f>
        <v>0</v>
      </c>
      <c r="G408" s="277"/>
      <c r="H408" s="634"/>
      <c r="I408" s="281">
        <v>9</v>
      </c>
      <c r="J408" s="276">
        <f ca="1">OFFSET('Tax value roll forward'!G$66,0,I408)-SUM('Tax value roll forward'!G447:OFFSET('Tax value roll forward'!G447,0,Input!$W$7))</f>
        <v>0</v>
      </c>
      <c r="K408" s="276">
        <f ca="1">IF(A27taxstdlife="N/A","n/a",IF(J408=0,0,A27taxstdlife+I408-Input!$W$7))</f>
        <v>0</v>
      </c>
      <c r="L408" s="280"/>
      <c r="M408" s="312"/>
      <c r="N408" s="312"/>
      <c r="O408" s="272"/>
      <c r="P408" s="272"/>
      <c r="Q408" s="272"/>
      <c r="R408" s="272"/>
      <c r="S408" s="259"/>
      <c r="T408" s="259"/>
      <c r="U408" s="259"/>
      <c r="V408" s="259"/>
      <c r="W408" s="259"/>
      <c r="X408" s="259"/>
      <c r="Y408" s="259"/>
      <c r="Z408" s="259"/>
    </row>
    <row r="409" spans="1:26" outlineLevel="1">
      <c r="A409" s="272"/>
      <c r="B409" s="272"/>
      <c r="C409" s="635"/>
      <c r="D409" s="282">
        <f>D$19</f>
        <v>10</v>
      </c>
      <c r="E409" s="276">
        <f ca="1">OFFSET('Actual RAB roll forward'!H$38,0,D409-1)-SUM('Actual RAB roll forward'!H393:OFFSET('Actual RAB roll forward'!H393,0,Input!$W$7-1))</f>
        <v>0</v>
      </c>
      <c r="F409" s="276">
        <f ca="1">IF(A27stdlife="N/A","n/a",IF(E409=0,0,A27stdlife+D409-Input!$W$7))</f>
        <v>0</v>
      </c>
      <c r="G409" s="277"/>
      <c r="H409" s="635"/>
      <c r="I409" s="282">
        <v>10</v>
      </c>
      <c r="J409" s="276">
        <f ca="1">OFFSET('Tax value roll forward'!G$66,0,I409)-SUM('Tax value roll forward'!G448:OFFSET('Tax value roll forward'!G448,0,Input!$W$7))</f>
        <v>0</v>
      </c>
      <c r="K409" s="276">
        <f ca="1">IF(A27taxstdlife="N/A","n/a",IF(J409=0,0,A27taxstdlife+I409-Input!$W$7))</f>
        <v>0</v>
      </c>
      <c r="M409" s="312"/>
      <c r="N409" s="312"/>
      <c r="O409" s="272"/>
      <c r="P409" s="272"/>
      <c r="Q409" s="272"/>
      <c r="R409" s="272"/>
      <c r="S409" s="259"/>
      <c r="T409" s="259"/>
      <c r="U409" s="259"/>
      <c r="V409" s="259"/>
      <c r="W409" s="259"/>
      <c r="X409" s="259"/>
      <c r="Y409" s="259"/>
      <c r="Z409" s="259"/>
    </row>
    <row r="410" spans="1:26">
      <c r="A410" s="272"/>
      <c r="B410" s="272"/>
      <c r="C410" s="292">
        <f>Asset27</f>
        <v>0</v>
      </c>
      <c r="D410" s="272"/>
      <c r="E410" s="276">
        <f ca="1">SUM(E398:E409)</f>
        <v>0</v>
      </c>
      <c r="F410" s="276">
        <f ca="1">IF(E410=0,0,SUMPRODUCT(E398:E409,F398:F409)/E410)</f>
        <v>0</v>
      </c>
      <c r="G410" s="277"/>
      <c r="H410" s="284"/>
      <c r="I410" s="276"/>
      <c r="J410" s="311">
        <f ca="1">SUM(J398:J409)</f>
        <v>0</v>
      </c>
      <c r="K410" s="311">
        <f ca="1">IF(J410=0,0,SUMPRODUCT(J398:J409,K398:K409)/J410)</f>
        <v>0</v>
      </c>
      <c r="L410" s="280"/>
      <c r="M410" s="312"/>
      <c r="N410" s="312"/>
      <c r="O410" s="272"/>
      <c r="P410" s="272"/>
      <c r="Q410" s="272"/>
      <c r="R410" s="272"/>
      <c r="S410" s="259"/>
      <c r="T410" s="259"/>
      <c r="U410" s="259"/>
      <c r="V410" s="259"/>
      <c r="W410" s="259"/>
      <c r="X410" s="259"/>
      <c r="Y410" s="259"/>
      <c r="Z410" s="259"/>
    </row>
    <row r="411" spans="1:26" outlineLevel="1">
      <c r="A411" s="272"/>
      <c r="B411" s="275"/>
      <c r="C411" s="272"/>
      <c r="D411" s="272"/>
      <c r="E411" s="293"/>
      <c r="F411" s="293"/>
      <c r="G411" s="277"/>
      <c r="H411" s="276"/>
      <c r="I411" s="276"/>
      <c r="J411" s="290"/>
      <c r="K411" s="276"/>
      <c r="L411" s="280"/>
      <c r="M411" s="312"/>
      <c r="N411" s="312"/>
      <c r="O411" s="272"/>
      <c r="P411" s="272"/>
      <c r="Q411" s="272"/>
      <c r="R411" s="272"/>
      <c r="S411" s="259"/>
      <c r="T411" s="259"/>
      <c r="U411" s="259"/>
      <c r="V411" s="259"/>
      <c r="W411" s="259"/>
      <c r="X411" s="259"/>
      <c r="Y411" s="259"/>
      <c r="Z411" s="259"/>
    </row>
    <row r="412" spans="1:26" outlineLevel="1">
      <c r="A412" s="272"/>
      <c r="B412" s="275">
        <f>Asset28</f>
        <v>0</v>
      </c>
      <c r="C412" s="272"/>
      <c r="D412" s="272"/>
      <c r="E412" s="293"/>
      <c r="F412" s="293"/>
      <c r="G412" s="277"/>
      <c r="H412" s="276"/>
      <c r="I412" s="276"/>
      <c r="J412" s="290"/>
      <c r="K412" s="276"/>
      <c r="L412" s="280"/>
      <c r="M412" s="312"/>
      <c r="N412" s="312"/>
      <c r="O412" s="272"/>
      <c r="P412" s="272"/>
      <c r="Q412" s="272"/>
      <c r="R412" s="272"/>
      <c r="S412" s="259"/>
      <c r="T412" s="259"/>
      <c r="U412" s="259"/>
      <c r="V412" s="259"/>
      <c r="W412" s="259"/>
      <c r="X412" s="259"/>
      <c r="Y412" s="259"/>
      <c r="Z412" s="259"/>
    </row>
    <row r="413" spans="1:26" ht="12.75" customHeight="1" outlineLevel="1">
      <c r="A413" s="272"/>
      <c r="B413" s="272"/>
      <c r="C413" s="626" t="s">
        <v>28</v>
      </c>
      <c r="D413" s="627"/>
      <c r="E413" s="276">
        <f ca="1">A28value-SUM('Actual RAB roll forward'!H395:OFFSET('Actual RAB roll forward'!H395,0,Input!$W$7-1))</f>
        <v>0</v>
      </c>
      <c r="F413" s="276">
        <f ca="1">IF(A28remlife="N/A","n/a",IF(E413=0,0,A28remlife-Input!$W$7))</f>
        <v>0</v>
      </c>
      <c r="G413" s="277"/>
      <c r="H413" s="278" t="s">
        <v>67</v>
      </c>
      <c r="I413" s="279"/>
      <c r="J413" s="276">
        <f ca="1">A28taxvalue-SUM('Tax value roll forward'!G450:OFFSET('Tax value roll forward'!G450,0,Input!$W$7))</f>
        <v>0</v>
      </c>
      <c r="K413" s="276">
        <f ca="1">IF(A28taxremlife="N/A","n/a",IF(J413=0,0,A28taxremlife-Input!$W$7-1))</f>
        <v>0</v>
      </c>
      <c r="L413" s="280"/>
      <c r="M413" s="312"/>
      <c r="N413" s="312"/>
      <c r="O413" s="272"/>
      <c r="P413" s="272"/>
      <c r="Q413" s="272"/>
      <c r="R413" s="272"/>
      <c r="S413" s="259"/>
      <c r="T413" s="259"/>
      <c r="U413" s="259"/>
      <c r="V413" s="259"/>
      <c r="W413" s="259"/>
      <c r="X413" s="259"/>
      <c r="Y413" s="259"/>
      <c r="Z413" s="259"/>
    </row>
    <row r="414" spans="1:26" ht="12.75" customHeight="1" outlineLevel="1">
      <c r="A414" s="272"/>
      <c r="B414" s="272"/>
      <c r="C414" s="633" t="s">
        <v>84</v>
      </c>
      <c r="D414" s="322">
        <f>D$9</f>
        <v>0</v>
      </c>
      <c r="E414" s="276"/>
      <c r="F414" s="276"/>
      <c r="G414" s="277"/>
      <c r="H414" s="633" t="s">
        <v>84</v>
      </c>
      <c r="I414" s="322">
        <v>0</v>
      </c>
      <c r="J414" s="276">
        <f ca="1">OFFSET('Tax value roll forward'!G$67,0,I414)-SUM('Tax value roll forward'!G452:OFFSET('Tax value roll forward'!G452,0,Input!$W$7))</f>
        <v>0</v>
      </c>
      <c r="K414" s="276">
        <f ca="1">IF(A28taxstdlife="N/A","n/a",IF(J414=0,0,A28taxstdlife+I414-Input!$W$7))</f>
        <v>0</v>
      </c>
      <c r="L414" s="280"/>
      <c r="M414" s="312"/>
      <c r="N414" s="312"/>
      <c r="O414" s="272"/>
      <c r="P414" s="272"/>
      <c r="Q414" s="272"/>
      <c r="R414" s="272"/>
      <c r="S414" s="259"/>
      <c r="T414" s="259"/>
      <c r="U414" s="259"/>
      <c r="V414" s="259"/>
      <c r="W414" s="259"/>
      <c r="X414" s="259"/>
      <c r="Y414" s="259"/>
      <c r="Z414" s="259"/>
    </row>
    <row r="415" spans="1:26" ht="12.75" customHeight="1" outlineLevel="1">
      <c r="A415" s="272"/>
      <c r="B415" s="272"/>
      <c r="C415" s="634"/>
      <c r="D415" s="281">
        <f>D$10</f>
        <v>1</v>
      </c>
      <c r="E415" s="276">
        <f ca="1">OFFSET('Actual RAB roll forward'!H$39,0,D415-1)-SUM('Actual RAB roll forward'!H397:OFFSET('Actual RAB roll forward'!H397,0,Input!$W$7-1))</f>
        <v>0</v>
      </c>
      <c r="F415" s="276">
        <f ca="1">IF(A28stdlife="N/A","n/a",IF(E415=0,0,A28stdlife+D415-Input!$W$7))</f>
        <v>0</v>
      </c>
      <c r="G415" s="277"/>
      <c r="H415" s="634"/>
      <c r="I415" s="281">
        <v>1</v>
      </c>
      <c r="J415" s="276">
        <f ca="1">OFFSET('Tax value roll forward'!G$67,0,I415)-SUM('Tax value roll forward'!G453:OFFSET('Tax value roll forward'!G453,0,Input!$W$7))</f>
        <v>0</v>
      </c>
      <c r="K415" s="276">
        <f ca="1">IF(A28taxstdlife="N/A","n/a",IF(J415=0,0,A28taxstdlife+I415-Input!$W$7))</f>
        <v>0</v>
      </c>
      <c r="L415" s="280"/>
      <c r="M415" s="312"/>
      <c r="N415" s="312"/>
      <c r="O415" s="272"/>
      <c r="P415" s="272"/>
      <c r="Q415" s="272"/>
      <c r="R415" s="272"/>
      <c r="S415" s="259"/>
      <c r="T415" s="259"/>
      <c r="U415" s="259"/>
      <c r="V415" s="259"/>
      <c r="W415" s="259"/>
      <c r="X415" s="259"/>
      <c r="Y415" s="259"/>
      <c r="Z415" s="259"/>
    </row>
    <row r="416" spans="1:26" outlineLevel="1">
      <c r="A416" s="272"/>
      <c r="B416" s="272"/>
      <c r="C416" s="634"/>
      <c r="D416" s="281">
        <f>D$11</f>
        <v>2</v>
      </c>
      <c r="E416" s="276">
        <f ca="1">OFFSET('Actual RAB roll forward'!H$39,0,D416-1)-SUM('Actual RAB roll forward'!H398:OFFSET('Actual RAB roll forward'!H398,0,Input!$W$7-1))</f>
        <v>0</v>
      </c>
      <c r="F416" s="276">
        <f ca="1">IF(A28stdlife="N/A","n/a",IF(E416=0,0,A28stdlife+D416-Input!$W$7))</f>
        <v>0</v>
      </c>
      <c r="G416" s="277"/>
      <c r="H416" s="634"/>
      <c r="I416" s="281">
        <v>2</v>
      </c>
      <c r="J416" s="276">
        <f ca="1">OFFSET('Tax value roll forward'!G$67,0,I416)-SUM('Tax value roll forward'!G454:OFFSET('Tax value roll forward'!G454,0,Input!$W$7))</f>
        <v>0</v>
      </c>
      <c r="K416" s="276">
        <f ca="1">IF(A28taxstdlife="N/A","n/a",IF(J416=0,0,A28taxstdlife+I416-Input!$W$7))</f>
        <v>0</v>
      </c>
      <c r="L416" s="280"/>
      <c r="M416" s="312"/>
      <c r="N416" s="312"/>
      <c r="O416" s="272"/>
      <c r="P416" s="272"/>
      <c r="Q416" s="272"/>
      <c r="R416" s="272"/>
      <c r="S416" s="259"/>
      <c r="T416" s="259"/>
      <c r="U416" s="259"/>
      <c r="V416" s="259"/>
      <c r="W416" s="259"/>
      <c r="X416" s="259"/>
      <c r="Y416" s="259"/>
      <c r="Z416" s="259"/>
    </row>
    <row r="417" spans="1:26" outlineLevel="1">
      <c r="A417" s="272"/>
      <c r="B417" s="272"/>
      <c r="C417" s="634"/>
      <c r="D417" s="281">
        <f>D$12</f>
        <v>3</v>
      </c>
      <c r="E417" s="276">
        <f ca="1">OFFSET('Actual RAB roll forward'!H$39,0,D417-1)-SUM('Actual RAB roll forward'!H399:OFFSET('Actual RAB roll forward'!H399,0,Input!$W$7-1))</f>
        <v>0</v>
      </c>
      <c r="F417" s="276">
        <f ca="1">IF(A28stdlife="N/A","n/a",IF(E417=0,0,A28stdlife+D417-Input!$W$7))</f>
        <v>0</v>
      </c>
      <c r="G417" s="277"/>
      <c r="H417" s="634"/>
      <c r="I417" s="281">
        <v>3</v>
      </c>
      <c r="J417" s="276">
        <f ca="1">OFFSET('Tax value roll forward'!G$67,0,I417)-SUM('Tax value roll forward'!G455:OFFSET('Tax value roll forward'!G455,0,Input!$W$7))</f>
        <v>0</v>
      </c>
      <c r="K417" s="276">
        <f ca="1">IF(A28taxstdlife="N/A","n/a",IF(J417=0,0,A28taxstdlife+I417-Input!$W$7))</f>
        <v>0</v>
      </c>
      <c r="L417" s="280"/>
      <c r="M417" s="312"/>
      <c r="N417" s="312"/>
      <c r="O417" s="272"/>
      <c r="P417" s="272"/>
      <c r="Q417" s="272"/>
      <c r="R417" s="272"/>
      <c r="S417" s="259"/>
      <c r="T417" s="259"/>
      <c r="U417" s="259"/>
      <c r="V417" s="259"/>
      <c r="W417" s="259"/>
      <c r="X417" s="259"/>
      <c r="Y417" s="259"/>
      <c r="Z417" s="259"/>
    </row>
    <row r="418" spans="1:26" outlineLevel="1">
      <c r="A418" s="272"/>
      <c r="B418" s="272"/>
      <c r="C418" s="634"/>
      <c r="D418" s="281">
        <f>D$13</f>
        <v>4</v>
      </c>
      <c r="E418" s="276">
        <f ca="1">OFFSET('Actual RAB roll forward'!H$39,0,D418-1)-SUM('Actual RAB roll forward'!H400:OFFSET('Actual RAB roll forward'!H400,0,Input!$W$7-1))</f>
        <v>0</v>
      </c>
      <c r="F418" s="276">
        <f ca="1">IF(A28stdlife="N/A","n/a",IF(E418=0,0,A28stdlife+D418-Input!$W$7))</f>
        <v>0</v>
      </c>
      <c r="G418" s="277"/>
      <c r="H418" s="634"/>
      <c r="I418" s="281">
        <v>4</v>
      </c>
      <c r="J418" s="276">
        <f ca="1">OFFSET('Tax value roll forward'!G$67,0,I418)-SUM('Tax value roll forward'!G456:OFFSET('Tax value roll forward'!G456,0,Input!$W$7))</f>
        <v>0</v>
      </c>
      <c r="K418" s="276">
        <f ca="1">IF(A28taxstdlife="N/A","n/a",IF(J418=0,0,A28taxstdlife+I418-Input!$W$7))</f>
        <v>0</v>
      </c>
      <c r="L418" s="280"/>
      <c r="M418" s="312"/>
      <c r="N418" s="312"/>
      <c r="O418" s="272"/>
      <c r="P418" s="272"/>
      <c r="Q418" s="272"/>
      <c r="R418" s="272"/>
      <c r="S418" s="259"/>
      <c r="T418" s="259"/>
      <c r="U418" s="259"/>
      <c r="V418" s="259"/>
      <c r="W418" s="259"/>
      <c r="X418" s="259"/>
      <c r="Y418" s="259"/>
      <c r="Z418" s="259"/>
    </row>
    <row r="419" spans="1:26" outlineLevel="1">
      <c r="A419" s="272"/>
      <c r="B419" s="272"/>
      <c r="C419" s="634"/>
      <c r="D419" s="281">
        <f>D$14</f>
        <v>5</v>
      </c>
      <c r="E419" s="276">
        <f ca="1">OFFSET('Actual RAB roll forward'!H$39,0,D419-1)-SUM('Actual RAB roll forward'!H401:OFFSET('Actual RAB roll forward'!H401,0,Input!$W$7-1))</f>
        <v>0</v>
      </c>
      <c r="F419" s="276">
        <f ca="1">IF(A28stdlife="N/A","n/a",IF(E419=0,0,A28stdlife+D419-Input!$W$7))</f>
        <v>0</v>
      </c>
      <c r="G419" s="277"/>
      <c r="H419" s="634"/>
      <c r="I419" s="281">
        <v>5</v>
      </c>
      <c r="J419" s="276">
        <f ca="1">OFFSET('Tax value roll forward'!G$67,0,I419)-SUM('Tax value roll forward'!G457:OFFSET('Tax value roll forward'!G457,0,Input!$W$7))</f>
        <v>0</v>
      </c>
      <c r="K419" s="276">
        <f ca="1">IF(A28taxstdlife="N/A","n/a",IF(J419=0,0,A28taxstdlife+I419-Input!$W$7))</f>
        <v>0</v>
      </c>
      <c r="L419" s="280"/>
      <c r="M419" s="312"/>
      <c r="N419" s="312"/>
      <c r="O419" s="272"/>
      <c r="P419" s="272"/>
      <c r="Q419" s="272"/>
      <c r="R419" s="272"/>
      <c r="S419" s="259"/>
      <c r="T419" s="259"/>
      <c r="U419" s="259"/>
      <c r="V419" s="259"/>
      <c r="W419" s="259"/>
      <c r="X419" s="259"/>
      <c r="Y419" s="259"/>
      <c r="Z419" s="259"/>
    </row>
    <row r="420" spans="1:26" outlineLevel="1">
      <c r="A420" s="272"/>
      <c r="B420" s="272"/>
      <c r="C420" s="634"/>
      <c r="D420" s="281">
        <f>D$15</f>
        <v>6</v>
      </c>
      <c r="E420" s="276">
        <f ca="1">OFFSET('Actual RAB roll forward'!H$39,0,D420-1)-SUM('Actual RAB roll forward'!H402:OFFSET('Actual RAB roll forward'!H402,0,Input!$W$7-1))</f>
        <v>0</v>
      </c>
      <c r="F420" s="276">
        <f ca="1">IF(A28stdlife="N/A","n/a",IF(E420=0,0,A28stdlife+D420-Input!$W$7))</f>
        <v>0</v>
      </c>
      <c r="G420" s="277"/>
      <c r="H420" s="634"/>
      <c r="I420" s="281">
        <v>6</v>
      </c>
      <c r="J420" s="276">
        <f ca="1">OFFSET('Tax value roll forward'!G$67,0,I420)-SUM('Tax value roll forward'!G458:OFFSET('Tax value roll forward'!G458,0,Input!$W$7))</f>
        <v>0</v>
      </c>
      <c r="K420" s="276">
        <f ca="1">IF(A28taxstdlife="N/A","n/a",IF(J420=0,0,A28taxstdlife+I420-Input!$W$7))</f>
        <v>0</v>
      </c>
      <c r="L420" s="280"/>
      <c r="M420" s="312"/>
      <c r="N420" s="312"/>
      <c r="O420" s="272"/>
      <c r="P420" s="272"/>
      <c r="Q420" s="272"/>
      <c r="R420" s="272"/>
      <c r="S420" s="259"/>
      <c r="T420" s="259"/>
      <c r="U420" s="259"/>
      <c r="V420" s="259"/>
      <c r="W420" s="259"/>
      <c r="X420" s="259"/>
      <c r="Y420" s="259"/>
      <c r="Z420" s="259"/>
    </row>
    <row r="421" spans="1:26" outlineLevel="1">
      <c r="A421" s="272"/>
      <c r="B421" s="272"/>
      <c r="C421" s="634"/>
      <c r="D421" s="281">
        <f>D$16</f>
        <v>7</v>
      </c>
      <c r="E421" s="276">
        <f ca="1">OFFSET('Actual RAB roll forward'!H$39,0,D421-1)-SUM('Actual RAB roll forward'!H403:OFFSET('Actual RAB roll forward'!H403,0,Input!$W$7-1))</f>
        <v>0</v>
      </c>
      <c r="F421" s="276">
        <f ca="1">IF(A28stdlife="N/A","n/a",IF(E421=0,0,A28stdlife+D421-Input!$W$7))</f>
        <v>0</v>
      </c>
      <c r="G421" s="277"/>
      <c r="H421" s="634"/>
      <c r="I421" s="281">
        <v>7</v>
      </c>
      <c r="J421" s="276">
        <f ca="1">OFFSET('Tax value roll forward'!G$67,0,I421)-SUM('Tax value roll forward'!G459:OFFSET('Tax value roll forward'!G459,0,Input!$W$7))</f>
        <v>0</v>
      </c>
      <c r="K421" s="276">
        <f ca="1">IF(A28taxstdlife="N/A","n/a",IF(J421=0,0,A28taxstdlife+I421-Input!$W$7))</f>
        <v>0</v>
      </c>
      <c r="L421" s="280"/>
      <c r="M421" s="312"/>
      <c r="N421" s="312"/>
      <c r="O421" s="272"/>
      <c r="P421" s="272"/>
      <c r="Q421" s="272"/>
      <c r="R421" s="272"/>
      <c r="S421" s="259"/>
      <c r="T421" s="259"/>
      <c r="U421" s="259"/>
      <c r="V421" s="259"/>
      <c r="W421" s="259"/>
      <c r="X421" s="259"/>
      <c r="Y421" s="259"/>
      <c r="Z421" s="259"/>
    </row>
    <row r="422" spans="1:26" outlineLevel="1">
      <c r="A422" s="272"/>
      <c r="B422" s="272"/>
      <c r="C422" s="634"/>
      <c r="D422" s="281">
        <f>D$17</f>
        <v>8</v>
      </c>
      <c r="E422" s="276">
        <f ca="1">OFFSET('Actual RAB roll forward'!H$39,0,D422-1)-SUM('Actual RAB roll forward'!H404:OFFSET('Actual RAB roll forward'!H404,0,Input!$W$7-1))</f>
        <v>0</v>
      </c>
      <c r="F422" s="276">
        <f ca="1">IF(A28stdlife="N/A","n/a",IF(E422=0,0,A28stdlife+D422-Input!$W$7))</f>
        <v>0</v>
      </c>
      <c r="G422" s="277"/>
      <c r="H422" s="634"/>
      <c r="I422" s="281">
        <v>8</v>
      </c>
      <c r="J422" s="276">
        <f ca="1">OFFSET('Tax value roll forward'!G$67,0,I422)-SUM('Tax value roll forward'!G460:OFFSET('Tax value roll forward'!G460,0,Input!$W$7))</f>
        <v>0</v>
      </c>
      <c r="K422" s="276">
        <f ca="1">IF(A28taxstdlife="N/A","n/a",IF(J422=0,0,A28taxstdlife+I422-Input!$W$7))</f>
        <v>0</v>
      </c>
      <c r="L422" s="280"/>
      <c r="M422" s="312"/>
      <c r="N422" s="312"/>
      <c r="O422" s="272"/>
      <c r="P422" s="272"/>
      <c r="Q422" s="272"/>
      <c r="R422" s="272"/>
      <c r="S422" s="259"/>
      <c r="T422" s="259"/>
      <c r="U422" s="259"/>
      <c r="V422" s="259"/>
      <c r="W422" s="259"/>
      <c r="X422" s="259"/>
      <c r="Y422" s="259"/>
      <c r="Z422" s="259"/>
    </row>
    <row r="423" spans="1:26" outlineLevel="1">
      <c r="A423" s="272"/>
      <c r="B423" s="272"/>
      <c r="C423" s="634"/>
      <c r="D423" s="281">
        <f>D$18</f>
        <v>9</v>
      </c>
      <c r="E423" s="276">
        <f ca="1">OFFSET('Actual RAB roll forward'!H$39,0,D423-1)-SUM('Actual RAB roll forward'!H405:OFFSET('Actual RAB roll forward'!H405,0,Input!$W$7-1))</f>
        <v>0</v>
      </c>
      <c r="F423" s="276">
        <f ca="1">IF(A28stdlife="N/A","n/a",IF(E423=0,0,A28stdlife+D423-Input!$W$7))</f>
        <v>0</v>
      </c>
      <c r="G423" s="277"/>
      <c r="H423" s="634"/>
      <c r="I423" s="281">
        <v>9</v>
      </c>
      <c r="J423" s="276">
        <f ca="1">OFFSET('Tax value roll forward'!G$67,0,I423)-SUM('Tax value roll forward'!G461:OFFSET('Tax value roll forward'!G461,0,Input!$W$7))</f>
        <v>0</v>
      </c>
      <c r="K423" s="276">
        <f ca="1">IF(A28taxstdlife="N/A","n/a",IF(J423=0,0,A28taxstdlife+I423-Input!$W$7))</f>
        <v>0</v>
      </c>
      <c r="L423" s="280"/>
      <c r="M423" s="312"/>
      <c r="N423" s="312"/>
      <c r="O423" s="272"/>
      <c r="P423" s="272"/>
      <c r="Q423" s="272"/>
      <c r="R423" s="272"/>
      <c r="S423" s="259"/>
      <c r="T423" s="259"/>
      <c r="U423" s="259"/>
      <c r="V423" s="259"/>
      <c r="W423" s="259"/>
      <c r="X423" s="259"/>
      <c r="Y423" s="259"/>
      <c r="Z423" s="259"/>
    </row>
    <row r="424" spans="1:26" outlineLevel="1">
      <c r="A424" s="272"/>
      <c r="B424" s="272"/>
      <c r="C424" s="635"/>
      <c r="D424" s="282">
        <f>D$19</f>
        <v>10</v>
      </c>
      <c r="E424" s="276">
        <f ca="1">OFFSET('Actual RAB roll forward'!H$39,0,D424-1)-SUM('Actual RAB roll forward'!H406:OFFSET('Actual RAB roll forward'!H406,0,Input!$W$7-1))</f>
        <v>0</v>
      </c>
      <c r="F424" s="276">
        <f ca="1">IF(A28stdlife="N/A","n/a",IF(E424=0,0,A28stdlife+D424-Input!$W$7))</f>
        <v>0</v>
      </c>
      <c r="G424" s="277"/>
      <c r="H424" s="635"/>
      <c r="I424" s="282">
        <v>10</v>
      </c>
      <c r="J424" s="276">
        <f ca="1">OFFSET('Tax value roll forward'!G$67,0,I424)-SUM('Tax value roll forward'!G462:OFFSET('Tax value roll forward'!G462,0,Input!$W$7))</f>
        <v>0</v>
      </c>
      <c r="K424" s="276">
        <f ca="1">IF(A28taxstdlife="N/A","n/a",IF(J424=0,0,A28taxstdlife+I424-Input!$W$7))</f>
        <v>0</v>
      </c>
      <c r="M424" s="312"/>
      <c r="N424" s="312"/>
      <c r="O424" s="272"/>
      <c r="P424" s="272"/>
      <c r="Q424" s="272"/>
      <c r="R424" s="272"/>
      <c r="S424" s="259"/>
      <c r="T424" s="259"/>
      <c r="U424" s="259"/>
      <c r="V424" s="259"/>
      <c r="W424" s="259"/>
      <c r="X424" s="259"/>
      <c r="Y424" s="259"/>
      <c r="Z424" s="259"/>
    </row>
    <row r="425" spans="1:26">
      <c r="A425" s="272"/>
      <c r="B425" s="272"/>
      <c r="C425" s="292">
        <f>Asset28</f>
        <v>0</v>
      </c>
      <c r="D425" s="272"/>
      <c r="E425" s="276">
        <f ca="1">SUM(E413:E424)</f>
        <v>0</v>
      </c>
      <c r="F425" s="276">
        <f ca="1">IF(E425=0,0,SUMPRODUCT(E413:E424,F413:F424)/E425)</f>
        <v>0</v>
      </c>
      <c r="G425" s="277"/>
      <c r="H425" s="284"/>
      <c r="I425" s="276"/>
      <c r="J425" s="311">
        <f ca="1">SUM(J413:J424)</f>
        <v>0</v>
      </c>
      <c r="K425" s="311">
        <f ca="1">IF(J425=0,0,SUMPRODUCT(J413:J424,K413:K424)/J425)</f>
        <v>0</v>
      </c>
      <c r="L425" s="280"/>
      <c r="M425" s="312"/>
      <c r="N425" s="312"/>
      <c r="O425" s="272"/>
      <c r="P425" s="272"/>
      <c r="Q425" s="272"/>
      <c r="R425" s="272"/>
      <c r="S425" s="259"/>
      <c r="T425" s="259"/>
      <c r="U425" s="259"/>
      <c r="V425" s="259"/>
      <c r="W425" s="259"/>
      <c r="X425" s="259"/>
      <c r="Y425" s="259"/>
      <c r="Z425" s="259"/>
    </row>
    <row r="426" spans="1:26" outlineLevel="1">
      <c r="A426" s="272"/>
      <c r="B426" s="275"/>
      <c r="C426" s="272"/>
      <c r="D426" s="272"/>
      <c r="E426" s="293"/>
      <c r="F426" s="293"/>
      <c r="G426" s="277"/>
      <c r="H426" s="276"/>
      <c r="I426" s="276"/>
      <c r="J426" s="290"/>
      <c r="K426" s="276"/>
      <c r="L426" s="280"/>
      <c r="M426" s="312"/>
      <c r="N426" s="312"/>
      <c r="O426" s="272"/>
      <c r="P426" s="272"/>
      <c r="Q426" s="272"/>
      <c r="R426" s="272"/>
      <c r="S426" s="259"/>
      <c r="T426" s="259"/>
      <c r="U426" s="259"/>
      <c r="V426" s="259"/>
      <c r="W426" s="259"/>
      <c r="X426" s="259"/>
      <c r="Y426" s="259"/>
      <c r="Z426" s="259"/>
    </row>
    <row r="427" spans="1:26" outlineLevel="1">
      <c r="A427" s="272"/>
      <c r="B427" s="275">
        <f>Asset29</f>
        <v>0</v>
      </c>
      <c r="C427" s="272"/>
      <c r="D427" s="272"/>
      <c r="E427" s="293"/>
      <c r="F427" s="293"/>
      <c r="G427" s="277"/>
      <c r="H427" s="276"/>
      <c r="I427" s="276"/>
      <c r="J427" s="290"/>
      <c r="K427" s="276"/>
      <c r="L427" s="280"/>
      <c r="M427" s="312"/>
      <c r="N427" s="312"/>
      <c r="O427" s="272"/>
      <c r="P427" s="272"/>
      <c r="Q427" s="272"/>
      <c r="R427" s="272"/>
      <c r="S427" s="259"/>
      <c r="T427" s="259"/>
      <c r="U427" s="259"/>
      <c r="V427" s="259"/>
      <c r="W427" s="259"/>
      <c r="X427" s="259"/>
      <c r="Y427" s="259"/>
      <c r="Z427" s="259"/>
    </row>
    <row r="428" spans="1:26" ht="12.75" customHeight="1" outlineLevel="1">
      <c r="A428" s="272"/>
      <c r="B428" s="272"/>
      <c r="C428" s="626" t="s">
        <v>28</v>
      </c>
      <c r="D428" s="627"/>
      <c r="E428" s="276">
        <f ca="1">A29value-SUM('Actual RAB roll forward'!H408:OFFSET('Actual RAB roll forward'!H408,0,Input!$W$7-1))</f>
        <v>0</v>
      </c>
      <c r="F428" s="276">
        <f ca="1">IF(A29remlife="N/A","n/a",IF(E428=0,0,A29remlife-Input!$W$7))</f>
        <v>0</v>
      </c>
      <c r="G428" s="277"/>
      <c r="H428" s="278" t="s">
        <v>67</v>
      </c>
      <c r="I428" s="279"/>
      <c r="J428" s="276">
        <f ca="1">A29taxvalue-SUM('Tax value roll forward'!G464:OFFSET('Tax value roll forward'!G464,0,Input!$W$7))</f>
        <v>0</v>
      </c>
      <c r="K428" s="276">
        <f ca="1">IF(A29taxremlife="N/A","n/a",IF(J428=0,0,A29taxremlife-Input!$W$7-1))</f>
        <v>0</v>
      </c>
      <c r="L428" s="280"/>
      <c r="M428" s="312"/>
      <c r="N428" s="312"/>
      <c r="O428" s="272"/>
      <c r="P428" s="272"/>
      <c r="Q428" s="272"/>
      <c r="R428" s="272"/>
      <c r="S428" s="259"/>
      <c r="T428" s="259"/>
      <c r="U428" s="259"/>
      <c r="V428" s="259"/>
      <c r="W428" s="259"/>
      <c r="X428" s="259"/>
      <c r="Y428" s="259"/>
      <c r="Z428" s="259"/>
    </row>
    <row r="429" spans="1:26" ht="12.75" customHeight="1" outlineLevel="1">
      <c r="A429" s="272"/>
      <c r="B429" s="272"/>
      <c r="C429" s="633" t="s">
        <v>84</v>
      </c>
      <c r="D429" s="322">
        <f>D$9</f>
        <v>0</v>
      </c>
      <c r="E429" s="276"/>
      <c r="F429" s="276"/>
      <c r="G429" s="277"/>
      <c r="H429" s="633" t="s">
        <v>84</v>
      </c>
      <c r="I429" s="322">
        <v>0</v>
      </c>
      <c r="J429" s="276">
        <f ca="1">OFFSET('Tax value roll forward'!G$68,0,I429)-SUM('Tax value roll forward'!G466:OFFSET('Tax value roll forward'!G466,0,Input!$W$7))</f>
        <v>0</v>
      </c>
      <c r="K429" s="276">
        <f ca="1">IF(A29taxstdlife="N/A","n/a",IF(J429=0,0,A29taxstdlife+I429-Input!$W$7))</f>
        <v>0</v>
      </c>
      <c r="L429" s="280"/>
      <c r="M429" s="312"/>
      <c r="N429" s="312"/>
      <c r="O429" s="272"/>
      <c r="P429" s="272"/>
      <c r="Q429" s="272"/>
      <c r="R429" s="272"/>
      <c r="S429" s="259"/>
      <c r="T429" s="259"/>
      <c r="U429" s="259"/>
      <c r="V429" s="259"/>
      <c r="W429" s="259"/>
      <c r="X429" s="259"/>
      <c r="Y429" s="259"/>
      <c r="Z429" s="259"/>
    </row>
    <row r="430" spans="1:26" ht="12.75" customHeight="1" outlineLevel="1">
      <c r="A430" s="272"/>
      <c r="B430" s="272"/>
      <c r="C430" s="634"/>
      <c r="D430" s="281">
        <f>D$10</f>
        <v>1</v>
      </c>
      <c r="E430" s="276">
        <f ca="1">OFFSET('Actual RAB roll forward'!H$40,0,D430-1)-SUM('Actual RAB roll forward'!H410:OFFSET('Actual RAB roll forward'!H410,0,Input!$W$7-1))</f>
        <v>0</v>
      </c>
      <c r="F430" s="276">
        <f ca="1">IF(A29stdlife="N/A","n/a",IF(E430=0,0,A29stdlife+D430-Input!$W$7))</f>
        <v>0</v>
      </c>
      <c r="G430" s="277"/>
      <c r="H430" s="634"/>
      <c r="I430" s="281">
        <v>1</v>
      </c>
      <c r="J430" s="276">
        <f ca="1">OFFSET('Tax value roll forward'!G$68,0,I430)-SUM('Tax value roll forward'!G467:OFFSET('Tax value roll forward'!G467,0,Input!$W$7))</f>
        <v>0</v>
      </c>
      <c r="K430" s="276">
        <f ca="1">IF(A29taxstdlife="N/A","n/a",IF(J430=0,0,A29taxstdlife+I430-Input!$W$7))</f>
        <v>0</v>
      </c>
      <c r="L430" s="280"/>
      <c r="M430" s="312"/>
      <c r="N430" s="312"/>
      <c r="O430" s="272"/>
      <c r="P430" s="272"/>
      <c r="Q430" s="272"/>
      <c r="R430" s="272"/>
      <c r="S430" s="259"/>
      <c r="T430" s="259"/>
      <c r="U430" s="259"/>
      <c r="V430" s="259"/>
      <c r="W430" s="259"/>
      <c r="X430" s="259"/>
      <c r="Y430" s="259"/>
      <c r="Z430" s="259"/>
    </row>
    <row r="431" spans="1:26" outlineLevel="1">
      <c r="A431" s="272"/>
      <c r="B431" s="272"/>
      <c r="C431" s="634"/>
      <c r="D431" s="281">
        <f>D$11</f>
        <v>2</v>
      </c>
      <c r="E431" s="276">
        <f ca="1">OFFSET('Actual RAB roll forward'!H$40,0,D431-1)-SUM('Actual RAB roll forward'!H411:OFFSET('Actual RAB roll forward'!H411,0,Input!$W$7-1))</f>
        <v>0</v>
      </c>
      <c r="F431" s="276">
        <f ca="1">IF(A29stdlife="N/A","n/a",IF(E431=0,0,A29stdlife+D431-Input!$W$7))</f>
        <v>0</v>
      </c>
      <c r="G431" s="277"/>
      <c r="H431" s="634"/>
      <c r="I431" s="281">
        <v>2</v>
      </c>
      <c r="J431" s="276">
        <f ca="1">OFFSET('Tax value roll forward'!G$68,0,I431)-SUM('Tax value roll forward'!G468:OFFSET('Tax value roll forward'!G468,0,Input!$W$7))</f>
        <v>0</v>
      </c>
      <c r="K431" s="276">
        <f ca="1">IF(A29taxstdlife="N/A","n/a",IF(J431=0,0,A29taxstdlife+I431-Input!$W$7))</f>
        <v>0</v>
      </c>
      <c r="L431" s="280"/>
      <c r="M431" s="312"/>
      <c r="N431" s="312"/>
      <c r="O431" s="272"/>
      <c r="P431" s="272"/>
      <c r="Q431" s="272"/>
      <c r="R431" s="272"/>
      <c r="S431" s="259"/>
      <c r="T431" s="259"/>
      <c r="U431" s="259"/>
      <c r="V431" s="259"/>
      <c r="W431" s="259"/>
      <c r="X431" s="259"/>
      <c r="Y431" s="259"/>
      <c r="Z431" s="259"/>
    </row>
    <row r="432" spans="1:26" outlineLevel="1">
      <c r="A432" s="272"/>
      <c r="B432" s="272"/>
      <c r="C432" s="634"/>
      <c r="D432" s="281">
        <f>D$12</f>
        <v>3</v>
      </c>
      <c r="E432" s="276">
        <f ca="1">OFFSET('Actual RAB roll forward'!H$40,0,D432-1)-SUM('Actual RAB roll forward'!H412:OFFSET('Actual RAB roll forward'!H412,0,Input!$W$7-1))</f>
        <v>0</v>
      </c>
      <c r="F432" s="276">
        <f ca="1">IF(A29stdlife="N/A","n/a",IF(E432=0,0,A29stdlife+D432-Input!$W$7))</f>
        <v>0</v>
      </c>
      <c r="G432" s="277"/>
      <c r="H432" s="634"/>
      <c r="I432" s="281">
        <v>3</v>
      </c>
      <c r="J432" s="276">
        <f ca="1">OFFSET('Tax value roll forward'!G$68,0,I432)-SUM('Tax value roll forward'!G469:OFFSET('Tax value roll forward'!G469,0,Input!$W$7))</f>
        <v>0</v>
      </c>
      <c r="K432" s="276">
        <f ca="1">IF(A29taxstdlife="N/A","n/a",IF(J432=0,0,A29taxstdlife+I432-Input!$W$7))</f>
        <v>0</v>
      </c>
      <c r="L432" s="280"/>
      <c r="M432" s="312"/>
      <c r="N432" s="312"/>
      <c r="O432" s="272"/>
      <c r="P432" s="272"/>
      <c r="Q432" s="272"/>
      <c r="R432" s="272"/>
      <c r="S432" s="259"/>
      <c r="T432" s="259"/>
      <c r="U432" s="259"/>
      <c r="V432" s="259"/>
      <c r="W432" s="259"/>
      <c r="X432" s="259"/>
      <c r="Y432" s="259"/>
      <c r="Z432" s="259"/>
    </row>
    <row r="433" spans="1:26" outlineLevel="1">
      <c r="A433" s="272"/>
      <c r="B433" s="272"/>
      <c r="C433" s="634"/>
      <c r="D433" s="281">
        <f>D$13</f>
        <v>4</v>
      </c>
      <c r="E433" s="276">
        <f ca="1">OFFSET('Actual RAB roll forward'!H$40,0,D433-1)-SUM('Actual RAB roll forward'!H413:OFFSET('Actual RAB roll forward'!H413,0,Input!$W$7-1))</f>
        <v>0</v>
      </c>
      <c r="F433" s="276">
        <f ca="1">IF(A29stdlife="N/A","n/a",IF(E433=0,0,A29stdlife+D433-Input!$W$7))</f>
        <v>0</v>
      </c>
      <c r="G433" s="277"/>
      <c r="H433" s="634"/>
      <c r="I433" s="281">
        <v>4</v>
      </c>
      <c r="J433" s="276">
        <f ca="1">OFFSET('Tax value roll forward'!G$68,0,I433)-SUM('Tax value roll forward'!G470:OFFSET('Tax value roll forward'!G470,0,Input!$W$7))</f>
        <v>0</v>
      </c>
      <c r="K433" s="276">
        <f ca="1">IF(A29taxstdlife="N/A","n/a",IF(J433=0,0,A29taxstdlife+I433-Input!$W$7))</f>
        <v>0</v>
      </c>
      <c r="L433" s="280"/>
      <c r="M433" s="312"/>
      <c r="N433" s="312"/>
      <c r="O433" s="272"/>
      <c r="P433" s="272"/>
      <c r="Q433" s="272"/>
      <c r="R433" s="272"/>
      <c r="S433" s="259"/>
      <c r="T433" s="259"/>
      <c r="U433" s="259"/>
      <c r="V433" s="259"/>
      <c r="W433" s="259"/>
      <c r="X433" s="259"/>
      <c r="Y433" s="259"/>
      <c r="Z433" s="259"/>
    </row>
    <row r="434" spans="1:26" outlineLevel="1">
      <c r="A434" s="272"/>
      <c r="B434" s="272"/>
      <c r="C434" s="634"/>
      <c r="D434" s="281">
        <f>D$14</f>
        <v>5</v>
      </c>
      <c r="E434" s="276">
        <f ca="1">OFFSET('Actual RAB roll forward'!H$40,0,D434-1)-SUM('Actual RAB roll forward'!H414:OFFSET('Actual RAB roll forward'!H414,0,Input!$W$7-1))</f>
        <v>0</v>
      </c>
      <c r="F434" s="276">
        <f ca="1">IF(A29stdlife="N/A","n/a",IF(E434=0,0,A29stdlife+D434-Input!$W$7))</f>
        <v>0</v>
      </c>
      <c r="G434" s="277"/>
      <c r="H434" s="634"/>
      <c r="I434" s="281">
        <v>5</v>
      </c>
      <c r="J434" s="276">
        <f ca="1">OFFSET('Tax value roll forward'!G$68,0,I434)-SUM('Tax value roll forward'!G471:OFFSET('Tax value roll forward'!G471,0,Input!$W$7))</f>
        <v>0</v>
      </c>
      <c r="K434" s="276">
        <f ca="1">IF(A29taxstdlife="N/A","n/a",IF(J434=0,0,A29taxstdlife+I434-Input!$W$7))</f>
        <v>0</v>
      </c>
      <c r="L434" s="280"/>
      <c r="M434" s="312"/>
      <c r="N434" s="312"/>
      <c r="O434" s="272"/>
      <c r="P434" s="272"/>
      <c r="Q434" s="272"/>
      <c r="R434" s="272"/>
      <c r="S434" s="259"/>
      <c r="T434" s="259"/>
      <c r="U434" s="259"/>
      <c r="V434" s="259"/>
      <c r="W434" s="259"/>
      <c r="X434" s="259"/>
      <c r="Y434" s="259"/>
      <c r="Z434" s="259"/>
    </row>
    <row r="435" spans="1:26" outlineLevel="1">
      <c r="A435" s="272"/>
      <c r="B435" s="272"/>
      <c r="C435" s="634"/>
      <c r="D435" s="281">
        <f>D$15</f>
        <v>6</v>
      </c>
      <c r="E435" s="276">
        <f ca="1">OFFSET('Actual RAB roll forward'!H$40,0,D435-1)-SUM('Actual RAB roll forward'!H415:OFFSET('Actual RAB roll forward'!H415,0,Input!$W$7-1))</f>
        <v>0</v>
      </c>
      <c r="F435" s="276">
        <f ca="1">IF(A29stdlife="N/A","n/a",IF(E435=0,0,A29stdlife+D435-Input!$W$7))</f>
        <v>0</v>
      </c>
      <c r="G435" s="277"/>
      <c r="H435" s="634"/>
      <c r="I435" s="281">
        <v>6</v>
      </c>
      <c r="J435" s="276">
        <f ca="1">OFFSET('Tax value roll forward'!G$68,0,I435)-SUM('Tax value roll forward'!G472:OFFSET('Tax value roll forward'!G472,0,Input!$W$7))</f>
        <v>0</v>
      </c>
      <c r="K435" s="276">
        <f ca="1">IF(A29taxstdlife="N/A","n/a",IF(J435=0,0,A29taxstdlife+I435-Input!$W$7))</f>
        <v>0</v>
      </c>
      <c r="L435" s="280"/>
      <c r="M435" s="312"/>
      <c r="N435" s="312"/>
      <c r="O435" s="272"/>
      <c r="P435" s="272"/>
      <c r="Q435" s="272"/>
      <c r="R435" s="272"/>
      <c r="S435" s="259"/>
      <c r="T435" s="259"/>
      <c r="U435" s="259"/>
      <c r="V435" s="259"/>
      <c r="W435" s="259"/>
      <c r="X435" s="259"/>
      <c r="Y435" s="259"/>
      <c r="Z435" s="259"/>
    </row>
    <row r="436" spans="1:26" outlineLevel="1">
      <c r="A436" s="272"/>
      <c r="B436" s="272"/>
      <c r="C436" s="634"/>
      <c r="D436" s="281">
        <f>D$16</f>
        <v>7</v>
      </c>
      <c r="E436" s="276">
        <f ca="1">OFFSET('Actual RAB roll forward'!H$40,0,D436-1)-SUM('Actual RAB roll forward'!H416:OFFSET('Actual RAB roll forward'!H416,0,Input!$W$7-1))</f>
        <v>0</v>
      </c>
      <c r="F436" s="276">
        <f ca="1">IF(A29stdlife="N/A","n/a",IF(E436=0,0,A29stdlife+D436-Input!$W$7))</f>
        <v>0</v>
      </c>
      <c r="G436" s="277"/>
      <c r="H436" s="634"/>
      <c r="I436" s="281">
        <v>7</v>
      </c>
      <c r="J436" s="276">
        <f ca="1">OFFSET('Tax value roll forward'!G$68,0,I436)-SUM('Tax value roll forward'!G473:OFFSET('Tax value roll forward'!G473,0,Input!$W$7))</f>
        <v>0</v>
      </c>
      <c r="K436" s="276">
        <f ca="1">IF(A29taxstdlife="N/A","n/a",IF(J436=0,0,A29taxstdlife+I436-Input!$W$7))</f>
        <v>0</v>
      </c>
      <c r="L436" s="280"/>
      <c r="M436" s="312"/>
      <c r="N436" s="312"/>
      <c r="O436" s="272"/>
      <c r="P436" s="272"/>
      <c r="Q436" s="272"/>
      <c r="R436" s="272"/>
      <c r="S436" s="259"/>
      <c r="T436" s="259"/>
      <c r="U436" s="259"/>
      <c r="V436" s="259"/>
      <c r="W436" s="259"/>
      <c r="X436" s="259"/>
      <c r="Y436" s="259"/>
      <c r="Z436" s="259"/>
    </row>
    <row r="437" spans="1:26" outlineLevel="1">
      <c r="A437" s="272"/>
      <c r="B437" s="272"/>
      <c r="C437" s="634"/>
      <c r="D437" s="281">
        <f>D$17</f>
        <v>8</v>
      </c>
      <c r="E437" s="276">
        <f ca="1">OFFSET('Actual RAB roll forward'!H$40,0,D437-1)-SUM('Actual RAB roll forward'!H417:OFFSET('Actual RAB roll forward'!H417,0,Input!$W$7-1))</f>
        <v>0</v>
      </c>
      <c r="F437" s="276">
        <f ca="1">IF(A29stdlife="N/A","n/a",IF(E437=0,0,A29stdlife+D437-Input!$W$7))</f>
        <v>0</v>
      </c>
      <c r="G437" s="277"/>
      <c r="H437" s="634"/>
      <c r="I437" s="281">
        <v>8</v>
      </c>
      <c r="J437" s="276">
        <f ca="1">OFFSET('Tax value roll forward'!G$68,0,I437)-SUM('Tax value roll forward'!G474:OFFSET('Tax value roll forward'!G474,0,Input!$W$7))</f>
        <v>0</v>
      </c>
      <c r="K437" s="276">
        <f ca="1">IF(A29taxstdlife="N/A","n/a",IF(J437=0,0,A29taxstdlife+I437-Input!$W$7))</f>
        <v>0</v>
      </c>
      <c r="L437" s="280"/>
      <c r="M437" s="312"/>
      <c r="N437" s="312"/>
      <c r="O437" s="272"/>
      <c r="P437" s="272"/>
      <c r="Q437" s="272"/>
      <c r="R437" s="272"/>
      <c r="S437" s="259"/>
      <c r="T437" s="259"/>
      <c r="U437" s="259"/>
      <c r="V437" s="259"/>
      <c r="W437" s="259"/>
      <c r="X437" s="259"/>
      <c r="Y437" s="259"/>
      <c r="Z437" s="259"/>
    </row>
    <row r="438" spans="1:26" outlineLevel="1">
      <c r="A438" s="272"/>
      <c r="B438" s="272"/>
      <c r="C438" s="634"/>
      <c r="D438" s="281">
        <f>D$18</f>
        <v>9</v>
      </c>
      <c r="E438" s="276">
        <f ca="1">OFFSET('Actual RAB roll forward'!H$40,0,D438-1)-SUM('Actual RAB roll forward'!H418:OFFSET('Actual RAB roll forward'!H418,0,Input!$W$7-1))</f>
        <v>0</v>
      </c>
      <c r="F438" s="276">
        <f ca="1">IF(A29stdlife="N/A","n/a",IF(E438=0,0,A29stdlife+D438-Input!$W$7))</f>
        <v>0</v>
      </c>
      <c r="G438" s="277"/>
      <c r="H438" s="634"/>
      <c r="I438" s="281">
        <v>9</v>
      </c>
      <c r="J438" s="276">
        <f ca="1">OFFSET('Tax value roll forward'!G$68,0,I438)-SUM('Tax value roll forward'!G475:OFFSET('Tax value roll forward'!G475,0,Input!$W$7))</f>
        <v>0</v>
      </c>
      <c r="K438" s="276">
        <f ca="1">IF(A29taxstdlife="N/A","n/a",IF(J438=0,0,A29taxstdlife+I438-Input!$W$7))</f>
        <v>0</v>
      </c>
      <c r="L438" s="280"/>
      <c r="M438" s="312"/>
      <c r="N438" s="312"/>
      <c r="O438" s="272"/>
      <c r="P438" s="272"/>
      <c r="Q438" s="272"/>
      <c r="R438" s="272"/>
      <c r="S438" s="259"/>
      <c r="T438" s="259"/>
      <c r="U438" s="259"/>
      <c r="V438" s="259"/>
      <c r="W438" s="259"/>
      <c r="X438" s="259"/>
      <c r="Y438" s="259"/>
      <c r="Z438" s="259"/>
    </row>
    <row r="439" spans="1:26" outlineLevel="1">
      <c r="A439" s="272"/>
      <c r="B439" s="272"/>
      <c r="C439" s="635"/>
      <c r="D439" s="282">
        <f>D$19</f>
        <v>10</v>
      </c>
      <c r="E439" s="276">
        <f ca="1">OFFSET('Actual RAB roll forward'!H$40,0,D439-1)-SUM('Actual RAB roll forward'!H419:OFFSET('Actual RAB roll forward'!H419,0,Input!$W$7-1))</f>
        <v>0</v>
      </c>
      <c r="F439" s="276">
        <f ca="1">IF(A29stdlife="N/A","n/a",IF(E439=0,0,A29stdlife+D439-Input!$W$7))</f>
        <v>0</v>
      </c>
      <c r="G439" s="277"/>
      <c r="H439" s="635"/>
      <c r="I439" s="282">
        <v>10</v>
      </c>
      <c r="J439" s="276">
        <f ca="1">OFFSET('Tax value roll forward'!G$68,0,I439)-SUM('Tax value roll forward'!G476:OFFSET('Tax value roll forward'!G476,0,Input!$W$7))</f>
        <v>0</v>
      </c>
      <c r="K439" s="276">
        <f ca="1">IF(A29taxstdlife="N/A","n/a",IF(J439=0,0,A29taxstdlife+I439-Input!$W$7))</f>
        <v>0</v>
      </c>
      <c r="M439" s="312"/>
      <c r="N439" s="312"/>
      <c r="O439" s="272"/>
      <c r="P439" s="272"/>
      <c r="Q439" s="272"/>
      <c r="R439" s="272"/>
      <c r="S439" s="259"/>
      <c r="T439" s="259"/>
      <c r="U439" s="259"/>
      <c r="V439" s="259"/>
      <c r="W439" s="259"/>
      <c r="X439" s="259"/>
      <c r="Y439" s="259"/>
      <c r="Z439" s="259"/>
    </row>
    <row r="440" spans="1:26">
      <c r="A440" s="272"/>
      <c r="B440" s="272"/>
      <c r="C440" s="292">
        <f>Asset29</f>
        <v>0</v>
      </c>
      <c r="D440" s="272"/>
      <c r="E440" s="276">
        <f ca="1">SUM(E428:E439)</f>
        <v>0</v>
      </c>
      <c r="F440" s="276">
        <f ca="1">IF(E440=0,0,SUMPRODUCT(E428:E439,F428:F439)/E440)</f>
        <v>0</v>
      </c>
      <c r="G440" s="277"/>
      <c r="H440" s="284"/>
      <c r="I440" s="276"/>
      <c r="J440" s="311">
        <f ca="1">SUM(J428:J439)</f>
        <v>0</v>
      </c>
      <c r="K440" s="311">
        <f ca="1">IF(J440=0,0,SUMPRODUCT(J428:J439,K428:K439)/J440)</f>
        <v>0</v>
      </c>
      <c r="L440" s="280"/>
      <c r="M440" s="312"/>
      <c r="N440" s="312"/>
      <c r="O440" s="272"/>
      <c r="P440" s="272"/>
      <c r="Q440" s="272"/>
      <c r="R440" s="272"/>
      <c r="S440" s="259"/>
      <c r="T440" s="259"/>
      <c r="U440" s="259"/>
      <c r="V440" s="259"/>
      <c r="W440" s="259"/>
      <c r="X440" s="259"/>
      <c r="Y440" s="259"/>
      <c r="Z440" s="259"/>
    </row>
    <row r="441" spans="1:26" outlineLevel="1">
      <c r="A441" s="272"/>
      <c r="B441" s="275"/>
      <c r="C441" s="272"/>
      <c r="D441" s="272"/>
      <c r="E441" s="293"/>
      <c r="F441" s="293"/>
      <c r="G441" s="277"/>
      <c r="H441" s="276"/>
      <c r="I441" s="276"/>
      <c r="J441" s="290"/>
      <c r="K441" s="276"/>
      <c r="L441" s="280"/>
      <c r="M441" s="312"/>
      <c r="N441" s="312"/>
      <c r="O441" s="272"/>
      <c r="P441" s="272"/>
      <c r="Q441" s="272"/>
      <c r="R441" s="272"/>
      <c r="S441" s="259"/>
      <c r="T441" s="259"/>
      <c r="U441" s="259"/>
      <c r="V441" s="259"/>
      <c r="W441" s="259"/>
      <c r="X441" s="259"/>
      <c r="Y441" s="259"/>
      <c r="Z441" s="259"/>
    </row>
    <row r="442" spans="1:26" outlineLevel="1">
      <c r="A442" s="272"/>
      <c r="B442" s="275">
        <f>Asset30</f>
        <v>0</v>
      </c>
      <c r="C442" s="272"/>
      <c r="D442" s="272"/>
      <c r="E442" s="293"/>
      <c r="F442" s="293"/>
      <c r="G442" s="277"/>
      <c r="H442" s="276"/>
      <c r="I442" s="276"/>
      <c r="J442" s="290"/>
      <c r="K442" s="276"/>
      <c r="L442" s="280"/>
      <c r="M442" s="312"/>
      <c r="N442" s="312"/>
      <c r="O442" s="272"/>
      <c r="P442" s="272"/>
      <c r="Q442" s="272"/>
      <c r="R442" s="272"/>
      <c r="S442" s="259"/>
      <c r="T442" s="259"/>
      <c r="U442" s="259"/>
      <c r="V442" s="259"/>
      <c r="W442" s="259"/>
      <c r="X442" s="259"/>
      <c r="Y442" s="259"/>
      <c r="Z442" s="259"/>
    </row>
    <row r="443" spans="1:26" ht="12.75" customHeight="1" outlineLevel="1">
      <c r="A443" s="272"/>
      <c r="B443" s="272"/>
      <c r="C443" s="626" t="s">
        <v>28</v>
      </c>
      <c r="D443" s="627"/>
      <c r="E443" s="276">
        <f ca="1">A30value-SUM('Actual RAB roll forward'!H421:OFFSET('Actual RAB roll forward'!H421,0,Input!$W$7-1))</f>
        <v>0</v>
      </c>
      <c r="F443" s="276">
        <f ca="1">IF(A30remlife="N/A","n/a",IF(E443=0,0,A30remlife-Input!$W$7))</f>
        <v>0</v>
      </c>
      <c r="G443" s="277"/>
      <c r="H443" s="278" t="s">
        <v>67</v>
      </c>
      <c r="I443" s="279"/>
      <c r="J443" s="276">
        <f ca="1">A30taxvalue-SUM('Tax value roll forward'!G478:OFFSET('Tax value roll forward'!G478,0,Input!$W$7))</f>
        <v>0</v>
      </c>
      <c r="K443" s="276">
        <f ca="1">IF(A30taxremlife="N/A","n/a",IF(J443=0,0,A30taxremlife-Input!$W$7-1))</f>
        <v>0</v>
      </c>
      <c r="L443" s="280"/>
      <c r="M443" s="312"/>
      <c r="N443" s="312"/>
      <c r="O443" s="272"/>
      <c r="P443" s="272"/>
      <c r="Q443" s="272"/>
      <c r="R443" s="272"/>
      <c r="S443" s="259"/>
      <c r="T443" s="259"/>
      <c r="U443" s="259"/>
      <c r="V443" s="259"/>
      <c r="W443" s="259"/>
      <c r="X443" s="259"/>
      <c r="Y443" s="259"/>
      <c r="Z443" s="259"/>
    </row>
    <row r="444" spans="1:26" ht="12.75" customHeight="1" outlineLevel="1">
      <c r="A444" s="272"/>
      <c r="B444" s="272"/>
      <c r="C444" s="633" t="s">
        <v>84</v>
      </c>
      <c r="D444" s="322">
        <f>D$9</f>
        <v>0</v>
      </c>
      <c r="E444" s="276"/>
      <c r="F444" s="276"/>
      <c r="G444" s="277"/>
      <c r="H444" s="633" t="s">
        <v>84</v>
      </c>
      <c r="I444" s="322">
        <v>0</v>
      </c>
      <c r="J444" s="276">
        <f ca="1">OFFSET('Tax value roll forward'!G$69,0,I444)-SUM('Tax value roll forward'!G480:OFFSET('Tax value roll forward'!G480,0,Input!$W$7))</f>
        <v>0</v>
      </c>
      <c r="K444" s="276">
        <f ca="1">IF(A30taxstdlife="N/A","n/a",IF(J444=0,0,A30taxstdlife+I444-Input!$W$7))</f>
        <v>0</v>
      </c>
      <c r="L444" s="280"/>
      <c r="M444" s="312"/>
      <c r="N444" s="312"/>
      <c r="O444" s="272"/>
      <c r="P444" s="272"/>
      <c r="Q444" s="272"/>
      <c r="R444" s="272"/>
      <c r="S444" s="259"/>
      <c r="T444" s="259"/>
      <c r="U444" s="259"/>
      <c r="V444" s="259"/>
      <c r="W444" s="259"/>
      <c r="X444" s="259"/>
      <c r="Y444" s="259"/>
      <c r="Z444" s="259"/>
    </row>
    <row r="445" spans="1:26" ht="12.75" customHeight="1" outlineLevel="1">
      <c r="A445" s="272"/>
      <c r="B445" s="272"/>
      <c r="C445" s="634"/>
      <c r="D445" s="281">
        <f>D$10</f>
        <v>1</v>
      </c>
      <c r="E445" s="276">
        <f ca="1">OFFSET('Actual RAB roll forward'!H$41,0,D445-1)-SUM('Actual RAB roll forward'!H423:OFFSET('Actual RAB roll forward'!H423,0,Input!$W$7-1))</f>
        <v>0</v>
      </c>
      <c r="F445" s="276">
        <f ca="1">IF(A30stdlife="N/A","n/a",IF(E445=0,0,A30stdlife+D445-Input!$W$7))</f>
        <v>0</v>
      </c>
      <c r="G445" s="277"/>
      <c r="H445" s="634"/>
      <c r="I445" s="281">
        <v>1</v>
      </c>
      <c r="J445" s="276">
        <f ca="1">OFFSET('Tax value roll forward'!G$69,0,I445)-SUM('Tax value roll forward'!G481:OFFSET('Tax value roll forward'!G481,0,Input!$W$7))</f>
        <v>0</v>
      </c>
      <c r="K445" s="276">
        <f ca="1">IF(A30taxstdlife="N/A","n/a",IF(J445=0,0,A30taxstdlife+I445-Input!$W$7))</f>
        <v>0</v>
      </c>
      <c r="L445" s="280"/>
      <c r="M445" s="312"/>
      <c r="N445" s="312"/>
      <c r="O445" s="272"/>
      <c r="P445" s="272"/>
      <c r="Q445" s="272"/>
      <c r="R445" s="272"/>
      <c r="S445" s="259"/>
      <c r="T445" s="259"/>
      <c r="U445" s="259"/>
      <c r="V445" s="259"/>
      <c r="W445" s="259"/>
      <c r="X445" s="259"/>
      <c r="Y445" s="259"/>
      <c r="Z445" s="259"/>
    </row>
    <row r="446" spans="1:26" outlineLevel="1">
      <c r="A446" s="272"/>
      <c r="B446" s="272"/>
      <c r="C446" s="634"/>
      <c r="D446" s="281">
        <f>D$11</f>
        <v>2</v>
      </c>
      <c r="E446" s="276">
        <f ca="1">OFFSET('Actual RAB roll forward'!H$41,0,D446-1)-SUM('Actual RAB roll forward'!H424:OFFSET('Actual RAB roll forward'!H424,0,Input!$W$7-1))</f>
        <v>0</v>
      </c>
      <c r="F446" s="276">
        <f ca="1">IF(A30stdlife="N/A","n/a",IF(E446=0,0,A30stdlife+D446-Input!$W$7))</f>
        <v>0</v>
      </c>
      <c r="G446" s="277"/>
      <c r="H446" s="634"/>
      <c r="I446" s="281">
        <v>2</v>
      </c>
      <c r="J446" s="276">
        <f ca="1">OFFSET('Tax value roll forward'!G$69,0,I446)-SUM('Tax value roll forward'!G482:OFFSET('Tax value roll forward'!G482,0,Input!$W$7))</f>
        <v>0</v>
      </c>
      <c r="K446" s="276">
        <f ca="1">IF(A30taxstdlife="N/A","n/a",IF(J446=0,0,A30taxstdlife+I446-Input!$W$7))</f>
        <v>0</v>
      </c>
      <c r="L446" s="280"/>
      <c r="M446" s="312"/>
      <c r="N446" s="312"/>
      <c r="O446" s="272"/>
      <c r="P446" s="272"/>
      <c r="Q446" s="272"/>
      <c r="R446" s="272"/>
      <c r="S446" s="259"/>
      <c r="T446" s="259"/>
      <c r="U446" s="259"/>
      <c r="V446" s="259"/>
      <c r="W446" s="259"/>
      <c r="X446" s="259"/>
      <c r="Y446" s="259"/>
      <c r="Z446" s="259"/>
    </row>
    <row r="447" spans="1:26" outlineLevel="1">
      <c r="A447" s="272"/>
      <c r="B447" s="272"/>
      <c r="C447" s="634"/>
      <c r="D447" s="281">
        <f>D$12</f>
        <v>3</v>
      </c>
      <c r="E447" s="276">
        <f ca="1">OFFSET('Actual RAB roll forward'!H$41,0,D447-1)-SUM('Actual RAB roll forward'!H425:OFFSET('Actual RAB roll forward'!H425,0,Input!$W$7-1))</f>
        <v>0</v>
      </c>
      <c r="F447" s="276">
        <f ca="1">IF(A30stdlife="N/A","n/a",IF(E447=0,0,A30stdlife+D447-Input!$W$7))</f>
        <v>0</v>
      </c>
      <c r="G447" s="277"/>
      <c r="H447" s="634"/>
      <c r="I447" s="281">
        <v>3</v>
      </c>
      <c r="J447" s="276">
        <f ca="1">OFFSET('Tax value roll forward'!G$69,0,I447)-SUM('Tax value roll forward'!G483:OFFSET('Tax value roll forward'!G483,0,Input!$W$7))</f>
        <v>0</v>
      </c>
      <c r="K447" s="276">
        <f ca="1">IF(A30taxstdlife="N/A","n/a",IF(J447=0,0,A30taxstdlife+I447-Input!$W$7))</f>
        <v>0</v>
      </c>
      <c r="L447" s="280"/>
      <c r="M447" s="312"/>
      <c r="N447" s="312"/>
      <c r="O447" s="272"/>
      <c r="P447" s="272"/>
      <c r="Q447" s="272"/>
      <c r="R447" s="272"/>
      <c r="S447" s="259"/>
      <c r="T447" s="259"/>
      <c r="U447" s="259"/>
      <c r="V447" s="259"/>
      <c r="W447" s="259"/>
      <c r="X447" s="259"/>
      <c r="Y447" s="259"/>
      <c r="Z447" s="259"/>
    </row>
    <row r="448" spans="1:26" outlineLevel="1">
      <c r="A448" s="272"/>
      <c r="B448" s="272"/>
      <c r="C448" s="634"/>
      <c r="D448" s="281">
        <f>D$13</f>
        <v>4</v>
      </c>
      <c r="E448" s="276">
        <f ca="1">OFFSET('Actual RAB roll forward'!H$41,0,D448-1)-SUM('Actual RAB roll forward'!H426:OFFSET('Actual RAB roll forward'!H426,0,Input!$W$7-1))</f>
        <v>0</v>
      </c>
      <c r="F448" s="276">
        <f ca="1">IF(A30stdlife="N/A","n/a",IF(E448=0,0,A30stdlife+D448-Input!$W$7))</f>
        <v>0</v>
      </c>
      <c r="G448" s="277"/>
      <c r="H448" s="634"/>
      <c r="I448" s="281">
        <v>4</v>
      </c>
      <c r="J448" s="276">
        <f ca="1">OFFSET('Tax value roll forward'!G$69,0,I448)-SUM('Tax value roll forward'!G484:OFFSET('Tax value roll forward'!G484,0,Input!$W$7))</f>
        <v>0</v>
      </c>
      <c r="K448" s="276">
        <f ca="1">IF(A30taxstdlife="N/A","n/a",IF(J448=0,0,A30taxstdlife+I448-Input!$W$7))</f>
        <v>0</v>
      </c>
      <c r="L448" s="280"/>
      <c r="M448" s="312"/>
      <c r="N448" s="312"/>
      <c r="O448" s="272"/>
      <c r="P448" s="272"/>
      <c r="Q448" s="272"/>
      <c r="R448" s="272"/>
      <c r="S448" s="259"/>
      <c r="T448" s="259"/>
      <c r="U448" s="259"/>
      <c r="V448" s="259"/>
      <c r="W448" s="259"/>
      <c r="X448" s="259"/>
      <c r="Y448" s="259"/>
      <c r="Z448" s="259"/>
    </row>
    <row r="449" spans="1:26" outlineLevel="1">
      <c r="A449" s="272"/>
      <c r="B449" s="272"/>
      <c r="C449" s="634"/>
      <c r="D449" s="281">
        <f>D$14</f>
        <v>5</v>
      </c>
      <c r="E449" s="276">
        <f ca="1">OFFSET('Actual RAB roll forward'!H$41,0,D449-1)-SUM('Actual RAB roll forward'!H427:OFFSET('Actual RAB roll forward'!H427,0,Input!$W$7-1))</f>
        <v>0</v>
      </c>
      <c r="F449" s="276">
        <f ca="1">IF(A30stdlife="N/A","n/a",IF(E449=0,0,A30stdlife+D449-Input!$W$7))</f>
        <v>0</v>
      </c>
      <c r="G449" s="277"/>
      <c r="H449" s="634"/>
      <c r="I449" s="281">
        <v>5</v>
      </c>
      <c r="J449" s="276">
        <f ca="1">OFFSET('Tax value roll forward'!G$69,0,I449)-SUM('Tax value roll forward'!G485:OFFSET('Tax value roll forward'!G485,0,Input!$W$7))</f>
        <v>0</v>
      </c>
      <c r="K449" s="276">
        <f ca="1">IF(A30taxstdlife="N/A","n/a",IF(J449=0,0,A30taxstdlife+I449-Input!$W$7))</f>
        <v>0</v>
      </c>
      <c r="L449" s="280"/>
      <c r="M449" s="312"/>
      <c r="N449" s="312"/>
      <c r="O449" s="272"/>
      <c r="P449" s="272"/>
      <c r="Q449" s="272"/>
      <c r="R449" s="272"/>
      <c r="S449" s="259"/>
      <c r="T449" s="259"/>
      <c r="U449" s="259"/>
      <c r="V449" s="259"/>
      <c r="W449" s="259"/>
      <c r="X449" s="259"/>
      <c r="Y449" s="259"/>
      <c r="Z449" s="259"/>
    </row>
    <row r="450" spans="1:26" outlineLevel="1">
      <c r="A450" s="272"/>
      <c r="B450" s="272"/>
      <c r="C450" s="634"/>
      <c r="D450" s="281">
        <f>D$15</f>
        <v>6</v>
      </c>
      <c r="E450" s="276">
        <f ca="1">OFFSET('Actual RAB roll forward'!H$41,0,D450-1)-SUM('Actual RAB roll forward'!H428:OFFSET('Actual RAB roll forward'!H428,0,Input!$W$7-1))</f>
        <v>0</v>
      </c>
      <c r="F450" s="276">
        <f ca="1">IF(A30stdlife="N/A","n/a",IF(E450=0,0,A30stdlife+D450-Input!$W$7))</f>
        <v>0</v>
      </c>
      <c r="G450" s="277"/>
      <c r="H450" s="634"/>
      <c r="I450" s="281">
        <v>6</v>
      </c>
      <c r="J450" s="276">
        <f ca="1">OFFSET('Tax value roll forward'!G$69,0,I450)-SUM('Tax value roll forward'!G486:OFFSET('Tax value roll forward'!G486,0,Input!$W$7))</f>
        <v>0</v>
      </c>
      <c r="K450" s="276">
        <f ca="1">IF(A30taxstdlife="N/A","n/a",IF(J450=0,0,A30taxstdlife+I450-Input!$W$7))</f>
        <v>0</v>
      </c>
      <c r="L450" s="280"/>
      <c r="M450" s="312"/>
      <c r="N450" s="312"/>
      <c r="O450" s="272"/>
      <c r="P450" s="272"/>
      <c r="Q450" s="272"/>
      <c r="R450" s="272"/>
      <c r="S450" s="259"/>
      <c r="T450" s="259"/>
      <c r="U450" s="259"/>
      <c r="V450" s="259"/>
      <c r="W450" s="259"/>
      <c r="X450" s="259"/>
      <c r="Y450" s="259"/>
      <c r="Z450" s="259"/>
    </row>
    <row r="451" spans="1:26" outlineLevel="1">
      <c r="A451" s="272"/>
      <c r="B451" s="272"/>
      <c r="C451" s="634"/>
      <c r="D451" s="281">
        <f>D$16</f>
        <v>7</v>
      </c>
      <c r="E451" s="276">
        <f ca="1">OFFSET('Actual RAB roll forward'!H$41,0,D451-1)-SUM('Actual RAB roll forward'!H429:OFFSET('Actual RAB roll forward'!H429,0,Input!$W$7-1))</f>
        <v>0</v>
      </c>
      <c r="F451" s="276">
        <f ca="1">IF(A30stdlife="N/A","n/a",IF(E451=0,0,A30stdlife+D451-Input!$W$7))</f>
        <v>0</v>
      </c>
      <c r="G451" s="277"/>
      <c r="H451" s="634"/>
      <c r="I451" s="281">
        <v>7</v>
      </c>
      <c r="J451" s="276">
        <f ca="1">OFFSET('Tax value roll forward'!G$69,0,I451)-SUM('Tax value roll forward'!G487:OFFSET('Tax value roll forward'!G487,0,Input!$W$7))</f>
        <v>0</v>
      </c>
      <c r="K451" s="276">
        <f ca="1">IF(A30taxstdlife="N/A","n/a",IF(J451=0,0,A30taxstdlife+I451-Input!$W$7))</f>
        <v>0</v>
      </c>
      <c r="L451" s="280"/>
      <c r="M451" s="312"/>
      <c r="N451" s="312"/>
      <c r="O451" s="272"/>
      <c r="P451" s="272"/>
      <c r="Q451" s="272"/>
      <c r="R451" s="272"/>
      <c r="S451" s="259"/>
      <c r="T451" s="259"/>
      <c r="U451" s="259"/>
      <c r="V451" s="259"/>
      <c r="W451" s="259"/>
      <c r="X451" s="259"/>
      <c r="Y451" s="259"/>
      <c r="Z451" s="259"/>
    </row>
    <row r="452" spans="1:26" outlineLevel="1">
      <c r="A452" s="272"/>
      <c r="B452" s="272"/>
      <c r="C452" s="634"/>
      <c r="D452" s="281">
        <f>D$17</f>
        <v>8</v>
      </c>
      <c r="E452" s="276">
        <f ca="1">OFFSET('Actual RAB roll forward'!H$41,0,D452-1)-SUM('Actual RAB roll forward'!H430:OFFSET('Actual RAB roll forward'!H430,0,Input!$W$7-1))</f>
        <v>0</v>
      </c>
      <c r="F452" s="276">
        <f ca="1">IF(A30stdlife="N/A","n/a",IF(E452=0,0,A30stdlife+D452-Input!$W$7))</f>
        <v>0</v>
      </c>
      <c r="G452" s="277"/>
      <c r="H452" s="634"/>
      <c r="I452" s="281">
        <v>8</v>
      </c>
      <c r="J452" s="276">
        <f ca="1">OFFSET('Tax value roll forward'!G$69,0,I452)-SUM('Tax value roll forward'!G488:OFFSET('Tax value roll forward'!G488,0,Input!$W$7))</f>
        <v>0</v>
      </c>
      <c r="K452" s="276">
        <f ca="1">IF(A30taxstdlife="N/A","n/a",IF(J452=0,0,A30taxstdlife+I452-Input!$W$7))</f>
        <v>0</v>
      </c>
      <c r="L452" s="280"/>
      <c r="M452" s="312"/>
      <c r="N452" s="312"/>
      <c r="O452" s="272"/>
      <c r="P452" s="272"/>
      <c r="Q452" s="272"/>
      <c r="R452" s="272"/>
      <c r="S452" s="259"/>
      <c r="T452" s="259"/>
      <c r="U452" s="259"/>
      <c r="V452" s="259"/>
      <c r="W452" s="259"/>
      <c r="X452" s="259"/>
      <c r="Y452" s="259"/>
      <c r="Z452" s="259"/>
    </row>
    <row r="453" spans="1:26" outlineLevel="1">
      <c r="A453" s="272"/>
      <c r="B453" s="272"/>
      <c r="C453" s="634"/>
      <c r="D453" s="281">
        <f>D$18</f>
        <v>9</v>
      </c>
      <c r="E453" s="276">
        <f ca="1">OFFSET('Actual RAB roll forward'!H$41,0,D453-1)-SUM('Actual RAB roll forward'!H431:OFFSET('Actual RAB roll forward'!H431,0,Input!$W$7-1))</f>
        <v>0</v>
      </c>
      <c r="F453" s="276">
        <f ca="1">IF(A30stdlife="N/A","n/a",IF(E453=0,0,A30stdlife+D453-Input!$W$7))</f>
        <v>0</v>
      </c>
      <c r="G453" s="277"/>
      <c r="H453" s="634"/>
      <c r="I453" s="281">
        <v>9</v>
      </c>
      <c r="J453" s="276">
        <f ca="1">OFFSET('Tax value roll forward'!G$69,0,I453)-SUM('Tax value roll forward'!G489:OFFSET('Tax value roll forward'!G489,0,Input!$W$7))</f>
        <v>0</v>
      </c>
      <c r="K453" s="276">
        <f ca="1">IF(A30taxstdlife="N/A","n/a",IF(J453=0,0,A30taxstdlife+I453-Input!$W$7))</f>
        <v>0</v>
      </c>
      <c r="L453" s="280"/>
      <c r="M453" s="312"/>
      <c r="N453" s="312"/>
      <c r="O453" s="272"/>
      <c r="P453" s="272"/>
      <c r="Q453" s="272"/>
      <c r="R453" s="272"/>
      <c r="S453" s="259"/>
      <c r="T453" s="259"/>
      <c r="U453" s="259"/>
      <c r="V453" s="259"/>
      <c r="W453" s="259"/>
      <c r="X453" s="259"/>
      <c r="Y453" s="259"/>
      <c r="Z453" s="259"/>
    </row>
    <row r="454" spans="1:26" outlineLevel="1">
      <c r="A454" s="272"/>
      <c r="B454" s="272"/>
      <c r="C454" s="635"/>
      <c r="D454" s="282">
        <f>D$19</f>
        <v>10</v>
      </c>
      <c r="E454" s="276">
        <f ca="1">OFFSET('Actual RAB roll forward'!H$41,0,D454-1)-SUM('Actual RAB roll forward'!H432:OFFSET('Actual RAB roll forward'!H432,0,Input!$W$7-1))</f>
        <v>0</v>
      </c>
      <c r="F454" s="276">
        <f ca="1">IF(A30stdlife="N/A","n/a",IF(E454=0,0,A30stdlife+D454-Input!$W$7))</f>
        <v>0</v>
      </c>
      <c r="G454" s="277"/>
      <c r="H454" s="635"/>
      <c r="I454" s="282">
        <v>10</v>
      </c>
      <c r="J454" s="276">
        <f ca="1">OFFSET('Tax value roll forward'!G$69,0,I454)-SUM('Tax value roll forward'!G490:OFFSET('Tax value roll forward'!G490,0,Input!$W$7))</f>
        <v>0</v>
      </c>
      <c r="K454" s="276">
        <f ca="1">IF(A30taxstdlife="N/A","n/a",IF(J454=0,0,A30taxstdlife+I454-Input!$W$7))</f>
        <v>0</v>
      </c>
      <c r="M454" s="312"/>
      <c r="N454" s="312"/>
      <c r="O454" s="272"/>
      <c r="P454" s="272"/>
      <c r="Q454" s="272"/>
      <c r="R454" s="272"/>
      <c r="S454" s="259"/>
      <c r="T454" s="259"/>
      <c r="U454" s="259"/>
      <c r="V454" s="259"/>
      <c r="W454" s="259"/>
      <c r="X454" s="259"/>
      <c r="Y454" s="259"/>
      <c r="Z454" s="259"/>
    </row>
    <row r="455" spans="1:26">
      <c r="A455" s="272"/>
      <c r="B455" s="272"/>
      <c r="C455" s="292">
        <f>Asset30</f>
        <v>0</v>
      </c>
      <c r="D455" s="272"/>
      <c r="E455" s="276">
        <f ca="1">SUM(E443:E454)</f>
        <v>0</v>
      </c>
      <c r="F455" s="276">
        <f ca="1">IF(E455=0,0,SUMPRODUCT(E443:E454,F443:F454)/E455)</f>
        <v>0</v>
      </c>
      <c r="G455" s="277"/>
      <c r="H455" s="284"/>
      <c r="J455" s="311">
        <f ca="1">SUM(J443:J454)</f>
        <v>0</v>
      </c>
      <c r="K455" s="311">
        <f ca="1">IF(J455=0,0,SUMPRODUCT(J443:J454,K443:K454)/J455)</f>
        <v>0</v>
      </c>
      <c r="L455" s="280"/>
      <c r="M455" s="312"/>
      <c r="N455" s="312"/>
      <c r="O455" s="272"/>
      <c r="P455" s="272"/>
      <c r="Q455" s="272"/>
      <c r="R455" s="272"/>
      <c r="S455" s="259"/>
      <c r="T455" s="259"/>
      <c r="U455" s="259"/>
      <c r="V455" s="259"/>
      <c r="W455" s="259"/>
      <c r="X455" s="259"/>
      <c r="Y455" s="259"/>
      <c r="Z455" s="259"/>
    </row>
    <row r="456" spans="1:26">
      <c r="M456" s="289"/>
    </row>
    <row r="457" spans="1:26">
      <c r="M457" s="289"/>
    </row>
    <row r="458" spans="1:26">
      <c r="M458" s="289"/>
    </row>
    <row r="459" spans="1:26">
      <c r="M459" s="289"/>
    </row>
    <row r="460" spans="1:26">
      <c r="M460" s="289"/>
    </row>
    <row r="461" spans="1:26">
      <c r="M461" s="289"/>
    </row>
    <row r="462" spans="1:26">
      <c r="M462" s="289"/>
    </row>
    <row r="463" spans="1:26">
      <c r="M463" s="289"/>
    </row>
    <row r="464" spans="1:26">
      <c r="M464" s="289"/>
    </row>
    <row r="465" spans="13:13">
      <c r="M465" s="289"/>
    </row>
    <row r="466" spans="13:13">
      <c r="M466" s="289"/>
    </row>
    <row r="467" spans="13:13">
      <c r="M467" s="289"/>
    </row>
    <row r="468" spans="13:13">
      <c r="M468" s="289"/>
    </row>
    <row r="469" spans="13:13">
      <c r="M469" s="289"/>
    </row>
    <row r="470" spans="13:13">
      <c r="M470" s="289"/>
    </row>
    <row r="471" spans="13:13">
      <c r="M471" s="289"/>
    </row>
    <row r="472" spans="13:13">
      <c r="M472" s="289"/>
    </row>
    <row r="473" spans="13:13">
      <c r="M473" s="289"/>
    </row>
    <row r="474" spans="13:13">
      <c r="M474" s="289"/>
    </row>
    <row r="475" spans="13:13">
      <c r="M475" s="289"/>
    </row>
    <row r="476" spans="13:13">
      <c r="M476" s="289"/>
    </row>
    <row r="477" spans="13:13">
      <c r="M477" s="289"/>
    </row>
    <row r="478" spans="13:13">
      <c r="M478" s="289"/>
    </row>
    <row r="479" spans="13:13">
      <c r="M479" s="289"/>
    </row>
    <row r="480" spans="13:13">
      <c r="M480" s="289"/>
    </row>
    <row r="481" spans="13:13">
      <c r="M481" s="289"/>
    </row>
    <row r="482" spans="13:13">
      <c r="M482" s="289"/>
    </row>
    <row r="483" spans="13:13">
      <c r="M483" s="289"/>
    </row>
    <row r="484" spans="13:13">
      <c r="M484" s="289"/>
    </row>
    <row r="485" spans="13:13">
      <c r="M485" s="289"/>
    </row>
    <row r="486" spans="13:13">
      <c r="M486" s="289"/>
    </row>
    <row r="487" spans="13:13">
      <c r="M487" s="289"/>
    </row>
    <row r="488" spans="13:13">
      <c r="M488" s="289"/>
    </row>
    <row r="489" spans="13:13">
      <c r="M489" s="289"/>
    </row>
    <row r="490" spans="13:13">
      <c r="M490" s="289"/>
    </row>
    <row r="491" spans="13:13">
      <c r="M491" s="289"/>
    </row>
    <row r="492" spans="13:13">
      <c r="M492" s="289"/>
    </row>
    <row r="493" spans="13:13">
      <c r="M493" s="289"/>
    </row>
    <row r="494" spans="13:13">
      <c r="M494" s="289"/>
    </row>
    <row r="495" spans="13:13">
      <c r="M495" s="289"/>
    </row>
    <row r="496" spans="13:13">
      <c r="M496" s="289"/>
    </row>
    <row r="497" spans="13:13">
      <c r="M497" s="289"/>
    </row>
    <row r="498" spans="13:13">
      <c r="M498" s="289"/>
    </row>
    <row r="499" spans="13:13">
      <c r="M499" s="289"/>
    </row>
    <row r="500" spans="13:13">
      <c r="M500" s="289"/>
    </row>
    <row r="501" spans="13:13">
      <c r="M501" s="289"/>
    </row>
    <row r="502" spans="13:13">
      <c r="M502" s="289"/>
    </row>
    <row r="503" spans="13:13">
      <c r="M503" s="289"/>
    </row>
    <row r="504" spans="13:13">
      <c r="M504" s="289"/>
    </row>
    <row r="505" spans="13:13">
      <c r="M505" s="289"/>
    </row>
    <row r="506" spans="13:13">
      <c r="M506" s="289"/>
    </row>
    <row r="507" spans="13:13">
      <c r="M507" s="289"/>
    </row>
    <row r="508" spans="13:13">
      <c r="M508" s="289"/>
    </row>
    <row r="509" spans="13:13">
      <c r="M509" s="289"/>
    </row>
    <row r="510" spans="13:13">
      <c r="M510" s="289"/>
    </row>
    <row r="511" spans="13:13">
      <c r="M511" s="289"/>
    </row>
    <row r="512" spans="13:13">
      <c r="M512" s="289"/>
    </row>
    <row r="513" spans="13:13">
      <c r="M513" s="289"/>
    </row>
    <row r="514" spans="13:13">
      <c r="M514" s="289"/>
    </row>
    <row r="515" spans="13:13">
      <c r="M515" s="289"/>
    </row>
    <row r="516" spans="13:13">
      <c r="M516" s="289"/>
    </row>
    <row r="517" spans="13:13">
      <c r="M517" s="289"/>
    </row>
    <row r="518" spans="13:13">
      <c r="M518" s="289"/>
    </row>
    <row r="519" spans="13:13">
      <c r="M519" s="289"/>
    </row>
    <row r="520" spans="13:13">
      <c r="M520" s="289"/>
    </row>
    <row r="521" spans="13:13">
      <c r="M521" s="289"/>
    </row>
    <row r="522" spans="13:13">
      <c r="M522" s="289"/>
    </row>
    <row r="523" spans="13:13">
      <c r="M523" s="289"/>
    </row>
    <row r="524" spans="13:13">
      <c r="M524" s="289"/>
    </row>
    <row r="525" spans="13:13">
      <c r="M525" s="289"/>
    </row>
    <row r="526" spans="13:13">
      <c r="M526" s="289"/>
    </row>
    <row r="527" spans="13:13">
      <c r="M527" s="289"/>
    </row>
    <row r="528" spans="13:13">
      <c r="M528" s="289"/>
    </row>
    <row r="529" spans="13:13">
      <c r="M529" s="289"/>
    </row>
    <row r="530" spans="13:13">
      <c r="M530" s="289"/>
    </row>
    <row r="531" spans="13:13">
      <c r="M531" s="289"/>
    </row>
    <row r="532" spans="13:13">
      <c r="M532" s="289"/>
    </row>
    <row r="533" spans="13:13">
      <c r="M533" s="289"/>
    </row>
    <row r="534" spans="13:13">
      <c r="M534" s="289"/>
    </row>
    <row r="535" spans="13:13">
      <c r="M535" s="289"/>
    </row>
    <row r="536" spans="13:13">
      <c r="M536" s="289"/>
    </row>
    <row r="537" spans="13:13">
      <c r="M537" s="289"/>
    </row>
    <row r="538" spans="13:13">
      <c r="M538" s="289"/>
    </row>
    <row r="539" spans="13:13">
      <c r="M539" s="289"/>
    </row>
    <row r="540" spans="13:13">
      <c r="M540" s="289"/>
    </row>
    <row r="541" spans="13:13">
      <c r="M541" s="289"/>
    </row>
    <row r="542" spans="13:13">
      <c r="M542" s="289"/>
    </row>
    <row r="543" spans="13:13">
      <c r="M543" s="289"/>
    </row>
    <row r="544" spans="13:13">
      <c r="M544" s="289"/>
    </row>
    <row r="545" spans="13:13">
      <c r="M545" s="289"/>
    </row>
    <row r="546" spans="13:13">
      <c r="M546" s="289"/>
    </row>
    <row r="547" spans="13:13">
      <c r="M547" s="289"/>
    </row>
    <row r="548" spans="13:13">
      <c r="M548" s="289"/>
    </row>
    <row r="549" spans="13:13">
      <c r="M549" s="289"/>
    </row>
    <row r="550" spans="13:13">
      <c r="M550" s="289"/>
    </row>
    <row r="551" spans="13:13">
      <c r="M551" s="289"/>
    </row>
    <row r="552" spans="13:13">
      <c r="M552" s="289"/>
    </row>
    <row r="553" spans="13:13">
      <c r="M553" s="289"/>
    </row>
    <row r="554" spans="13:13">
      <c r="M554" s="289"/>
    </row>
    <row r="555" spans="13:13">
      <c r="M555" s="289"/>
    </row>
    <row r="556" spans="13:13">
      <c r="M556" s="289"/>
    </row>
    <row r="557" spans="13:13">
      <c r="M557" s="289"/>
    </row>
    <row r="558" spans="13:13">
      <c r="M558" s="289"/>
    </row>
    <row r="559" spans="13:13">
      <c r="M559" s="289"/>
    </row>
    <row r="560" spans="13:13">
      <c r="M560" s="289"/>
    </row>
    <row r="561" spans="13:13">
      <c r="M561" s="289"/>
    </row>
    <row r="562" spans="13:13">
      <c r="M562" s="289"/>
    </row>
    <row r="563" spans="13:13">
      <c r="M563" s="289"/>
    </row>
    <row r="564" spans="13:13">
      <c r="M564" s="289"/>
    </row>
    <row r="565" spans="13:13">
      <c r="M565" s="289"/>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6" t="s">
        <v>69</v>
      </c>
      <c r="C7" s="9"/>
      <c r="D7" s="9"/>
      <c r="E7" s="9"/>
      <c r="G7" s="200">
        <f>SUM(G8:G37)</f>
        <v>0</v>
      </c>
      <c r="H7" s="116">
        <f>SUM(H8:H37)</f>
        <v>1.3800000000000001</v>
      </c>
      <c r="I7" s="116">
        <f t="shared" ref="I7:R7" si="2">SUM(I8:I37)</f>
        <v>1.2011755209697226</v>
      </c>
      <c r="J7" s="116">
        <f t="shared" si="2"/>
        <v>1.093410366702428</v>
      </c>
      <c r="K7" s="116">
        <f t="shared" si="2"/>
        <v>1.2404400741524269</v>
      </c>
      <c r="L7" s="116">
        <f t="shared" si="2"/>
        <v>1.8544093705769242</v>
      </c>
      <c r="M7" s="116">
        <f t="shared" si="2"/>
        <v>2.1447951951978919</v>
      </c>
      <c r="N7" s="116">
        <f t="shared" si="2"/>
        <v>0</v>
      </c>
      <c r="O7" s="116">
        <f t="shared" si="2"/>
        <v>0</v>
      </c>
      <c r="P7" s="116">
        <f t="shared" si="2"/>
        <v>0</v>
      </c>
      <c r="Q7" s="116">
        <f t="shared" si="2"/>
        <v>0</v>
      </c>
      <c r="R7" s="116">
        <f t="shared" si="2"/>
        <v>0</v>
      </c>
      <c r="S7" s="106"/>
      <c r="T7" s="106"/>
      <c r="U7" s="106"/>
      <c r="V7" s="106"/>
      <c r="W7" s="106"/>
      <c r="X7" s="106"/>
      <c r="Y7" s="106"/>
      <c r="Z7" s="106"/>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outlineLevel="1">
      <c r="A8" s="9"/>
      <c r="B8" s="9"/>
      <c r="C8" s="129" t="str">
        <f>Asset1</f>
        <v>Mains &amp; Services</v>
      </c>
      <c r="D8" s="9"/>
      <c r="E8" s="9"/>
      <c r="F8" s="9"/>
      <c r="G8" s="193">
        <f>A1taxvalue</f>
        <v>0</v>
      </c>
      <c r="H8" s="111">
        <f t="shared" ref="H8:M8" si="3">G8+G40+G85</f>
        <v>0.96700000000000008</v>
      </c>
      <c r="I8" s="111">
        <f t="shared" si="3"/>
        <v>0.89560293710519634</v>
      </c>
      <c r="J8" s="111">
        <f t="shared" si="3"/>
        <v>0.83243921386986708</v>
      </c>
      <c r="K8" s="111">
        <f t="shared" si="3"/>
        <v>0.97938226486233615</v>
      </c>
      <c r="L8" s="111">
        <f t="shared" si="3"/>
        <v>1.2008945690647885</v>
      </c>
      <c r="M8" s="111">
        <f t="shared" si="3"/>
        <v>1.2071615015395563</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outlineLevel="1">
      <c r="A9" s="9"/>
      <c r="B9" s="46"/>
      <c r="C9" s="129" t="str">
        <f>Asset2</f>
        <v>Meters</v>
      </c>
      <c r="D9" s="9"/>
      <c r="E9" s="9"/>
      <c r="F9" s="9"/>
      <c r="G9" s="193">
        <f>A2taxvalue</f>
        <v>0</v>
      </c>
      <c r="H9" s="111">
        <f t="shared" ref="H9:M9" si="4">G9+G41+G99</f>
        <v>0.39300000000000002</v>
      </c>
      <c r="I9" s="111">
        <f t="shared" si="4"/>
        <v>0.24701641516006823</v>
      </c>
      <c r="J9" s="111">
        <f t="shared" si="4"/>
        <v>0.19916365015101239</v>
      </c>
      <c r="K9" s="111">
        <f t="shared" si="4"/>
        <v>0.20914106731125451</v>
      </c>
      <c r="L9" s="111">
        <f t="shared" si="4"/>
        <v>0.52331890257361169</v>
      </c>
      <c r="M9" s="111">
        <f t="shared" si="4"/>
        <v>0.52401940580676898</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outlineLevel="1">
      <c r="A10" s="9"/>
      <c r="B10" s="46"/>
      <c r="C10" s="129" t="str">
        <f>Asset3</f>
        <v>Buildings</v>
      </c>
      <c r="D10" s="9"/>
      <c r="E10" s="9"/>
      <c r="F10" s="9"/>
      <c r="G10" s="193">
        <f>A3taxvalue</f>
        <v>0</v>
      </c>
      <c r="H10" s="111">
        <f t="shared" ref="H10:M10" si="5">G10+G42+G113</f>
        <v>0</v>
      </c>
      <c r="I10" s="111">
        <f t="shared" si="5"/>
        <v>0</v>
      </c>
      <c r="J10" s="111">
        <f t="shared" si="5"/>
        <v>0</v>
      </c>
      <c r="K10" s="111">
        <f t="shared" si="5"/>
        <v>0</v>
      </c>
      <c r="L10" s="111">
        <f t="shared" si="5"/>
        <v>0</v>
      </c>
      <c r="M10" s="111">
        <f t="shared" si="5"/>
        <v>0</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outlineLevel="1">
      <c r="A11" s="9"/>
      <c r="B11" s="46"/>
      <c r="C11" s="129" t="str">
        <f>Asset4</f>
        <v>SCADA</v>
      </c>
      <c r="D11" s="9"/>
      <c r="E11" s="9"/>
      <c r="F11" s="9"/>
      <c r="G11" s="193">
        <f>A4taxvalue</f>
        <v>0</v>
      </c>
      <c r="H11" s="111">
        <f t="shared" ref="H11:M11" si="6">G11+G43+G127</f>
        <v>0.02</v>
      </c>
      <c r="I11" s="111">
        <f t="shared" si="6"/>
        <v>0</v>
      </c>
      <c r="J11" s="111">
        <f t="shared" si="6"/>
        <v>0</v>
      </c>
      <c r="K11" s="111">
        <f t="shared" si="6"/>
        <v>0</v>
      </c>
      <c r="L11" s="111">
        <f t="shared" si="6"/>
        <v>0</v>
      </c>
      <c r="M11" s="111">
        <f t="shared" si="6"/>
        <v>0</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outlineLevel="1">
      <c r="A12" s="9"/>
      <c r="B12" s="46"/>
      <c r="C12" s="129" t="str">
        <f>Asset5</f>
        <v>Computer Equipment</v>
      </c>
      <c r="D12" s="9"/>
      <c r="E12" s="9"/>
      <c r="F12" s="9"/>
      <c r="G12" s="193">
        <f>A5taxvalue</f>
        <v>0</v>
      </c>
      <c r="H12" s="111">
        <f t="shared" ref="H12:M12" si="7">G12+G44+G141</f>
        <v>0</v>
      </c>
      <c r="I12" s="111">
        <f t="shared" si="7"/>
        <v>0</v>
      </c>
      <c r="J12" s="111">
        <f t="shared" si="7"/>
        <v>0</v>
      </c>
      <c r="K12" s="111">
        <f t="shared" si="7"/>
        <v>0</v>
      </c>
      <c r="L12" s="111">
        <f t="shared" si="7"/>
        <v>4.313776014295536E-2</v>
      </c>
      <c r="M12" s="111">
        <f t="shared" si="7"/>
        <v>0.29469686686608215</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outlineLevel="1">
      <c r="A13" s="9"/>
      <c r="B13" s="46"/>
      <c r="C13" s="129" t="str">
        <f>Asset6</f>
        <v>Other Assets</v>
      </c>
      <c r="D13" s="9"/>
      <c r="E13" s="9"/>
      <c r="F13" s="9"/>
      <c r="G13" s="193">
        <f>A6taxvalue</f>
        <v>0</v>
      </c>
      <c r="H13" s="111">
        <f t="shared" ref="H13:M13" si="8">G13+G45+G155</f>
        <v>0</v>
      </c>
      <c r="I13" s="111">
        <f t="shared" si="8"/>
        <v>5.8556168704458074E-2</v>
      </c>
      <c r="J13" s="111">
        <f t="shared" si="8"/>
        <v>6.1807502681548547E-2</v>
      </c>
      <c r="K13" s="111">
        <f t="shared" si="8"/>
        <v>5.1916741978836292E-2</v>
      </c>
      <c r="L13" s="111">
        <f t="shared" si="8"/>
        <v>8.7058138795568618E-2</v>
      </c>
      <c r="M13" s="111">
        <f t="shared" si="8"/>
        <v>0.11891742098548452</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 r="A38" s="12"/>
      <c r="B38" s="17"/>
      <c r="C38" s="12"/>
      <c r="D38" s="12"/>
      <c r="E38" s="12"/>
      <c r="F38" s="115"/>
      <c r="G38" s="205"/>
      <c r="H38" s="106"/>
      <c r="I38" s="106"/>
      <c r="J38" s="106"/>
      <c r="K38" s="106"/>
      <c r="L38" s="106"/>
      <c r="M38" s="106"/>
      <c r="N38" s="106"/>
      <c r="O38" s="106"/>
      <c r="P38" s="106"/>
      <c r="Q38" s="106"/>
      <c r="R38" s="106"/>
      <c r="S38" s="106"/>
      <c r="T38" s="106"/>
      <c r="U38" s="106"/>
      <c r="V38" s="106"/>
      <c r="W38" s="106"/>
      <c r="X38" s="106"/>
      <c r="Y38" s="106"/>
      <c r="Z38" s="106"/>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2"/>
      <c r="B39" s="46" t="s">
        <v>68</v>
      </c>
      <c r="C39" s="9"/>
      <c r="D39" s="12"/>
      <c r="E39" s="12"/>
      <c r="F39" s="115"/>
      <c r="G39" s="205">
        <f>SUM(G40:G69)</f>
        <v>1.3800000000000001</v>
      </c>
      <c r="H39" s="106">
        <f>SUM(H40:H69)</f>
        <v>1.2011755209697226</v>
      </c>
      <c r="I39" s="106">
        <f t="shared" ref="I39:Q39" si="33">SUM(I40:I69)</f>
        <v>1.0934103667024282</v>
      </c>
      <c r="J39" s="106">
        <f t="shared" si="33"/>
        <v>1.2404400741524271</v>
      </c>
      <c r="K39" s="106">
        <f t="shared" si="33"/>
        <v>1.8544093705769242</v>
      </c>
      <c r="L39" s="106">
        <f t="shared" si="33"/>
        <v>2.1447951951978919</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outlineLevel="1">
      <c r="A40" s="12"/>
      <c r="B40" s="9"/>
      <c r="C40" s="129" t="str">
        <f>Asset1</f>
        <v>Mains &amp; Services</v>
      </c>
      <c r="D40" s="12"/>
      <c r="E40" s="12"/>
      <c r="F40" s="115"/>
      <c r="G40" s="205">
        <f>Input!G41-Input!G75</f>
        <v>0.96700000000000008</v>
      </c>
      <c r="H40" s="106">
        <f>Input!H41-Input!H75</f>
        <v>0.89560293710519634</v>
      </c>
      <c r="I40" s="106">
        <f>Input!I41-Input!I75</f>
        <v>0.83243921386986719</v>
      </c>
      <c r="J40" s="106">
        <f>Input!J41-Input!J75</f>
        <v>0.97938226486233637</v>
      </c>
      <c r="K40" s="106">
        <f>Input!K41-Input!K75</f>
        <v>1.2008945690647885</v>
      </c>
      <c r="L40" s="106">
        <f>Input!L41-Input!L75</f>
        <v>1.2071615015395565</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outlineLevel="1">
      <c r="A41" s="12"/>
      <c r="B41" s="46"/>
      <c r="C41" s="129" t="str">
        <f>Asset2</f>
        <v>Meters</v>
      </c>
      <c r="D41" s="12"/>
      <c r="E41" s="12"/>
      <c r="F41" s="115"/>
      <c r="G41" s="205">
        <f>Input!G42-Input!G76</f>
        <v>0.39300000000000002</v>
      </c>
      <c r="H41" s="106">
        <f>Input!H42-Input!H76</f>
        <v>0.24701641516006828</v>
      </c>
      <c r="I41" s="106">
        <f>Input!I42-Input!I76</f>
        <v>0.19916365015101242</v>
      </c>
      <c r="J41" s="106">
        <f>Input!J42-Input!J76</f>
        <v>0.20914106731125451</v>
      </c>
      <c r="K41" s="106">
        <f>Input!K42-Input!K76</f>
        <v>0.52331890257361169</v>
      </c>
      <c r="L41" s="106">
        <f>Input!L42-Input!L76</f>
        <v>0.52401940580676887</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outlineLevel="1">
      <c r="A42" s="12"/>
      <c r="B42" s="46"/>
      <c r="C42" s="129" t="str">
        <f>Asset3</f>
        <v>Buildings</v>
      </c>
      <c r="D42" s="12"/>
      <c r="E42" s="12"/>
      <c r="F42" s="115"/>
      <c r="G42" s="205">
        <f>Input!G43-Input!G77</f>
        <v>0</v>
      </c>
      <c r="H42" s="106">
        <f>Input!H43-Input!H77</f>
        <v>0</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outlineLevel="1">
      <c r="A43" s="12"/>
      <c r="B43" s="46"/>
      <c r="C43" s="129" t="str">
        <f>Asset4</f>
        <v>SCADA</v>
      </c>
      <c r="D43" s="12"/>
      <c r="E43" s="12"/>
      <c r="F43" s="115"/>
      <c r="G43" s="205">
        <f>Input!G44-Input!G78</f>
        <v>0.02</v>
      </c>
      <c r="H43" s="106">
        <f>Input!H44-Input!H78</f>
        <v>0</v>
      </c>
      <c r="I43" s="106">
        <f>Input!I44-Input!I78</f>
        <v>0</v>
      </c>
      <c r="J43" s="106">
        <f>Input!J44-Input!J78</f>
        <v>0</v>
      </c>
      <c r="K43" s="106">
        <f>Input!K44-Input!K78</f>
        <v>0</v>
      </c>
      <c r="L43" s="106">
        <f>Input!L44-Input!L78</f>
        <v>0</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outlineLevel="1">
      <c r="A44" s="12"/>
      <c r="B44" s="46"/>
      <c r="C44" s="129" t="str">
        <f>Asset5</f>
        <v>Computer Equipment</v>
      </c>
      <c r="D44" s="12"/>
      <c r="E44" s="12"/>
      <c r="F44" s="115"/>
      <c r="G44" s="205">
        <f>Input!G45-Input!G79</f>
        <v>0</v>
      </c>
      <c r="H44" s="106">
        <f>Input!H45-Input!H79</f>
        <v>0</v>
      </c>
      <c r="I44" s="106">
        <f>Input!I45-Input!I79</f>
        <v>0</v>
      </c>
      <c r="J44" s="106">
        <f>Input!J45-Input!J79</f>
        <v>0</v>
      </c>
      <c r="K44" s="106">
        <f>Input!K45-Input!K79</f>
        <v>4.313776014295536E-2</v>
      </c>
      <c r="L44" s="106">
        <f>Input!L45-Input!L79</f>
        <v>0.29469686686608215</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outlineLevel="1">
      <c r="A45" s="12"/>
      <c r="B45" s="46"/>
      <c r="C45" s="129" t="str">
        <f>Asset6</f>
        <v>Other Assets</v>
      </c>
      <c r="D45" s="12"/>
      <c r="E45" s="12"/>
      <c r="F45" s="115"/>
      <c r="G45" s="205">
        <f>Input!G46-Input!G80</f>
        <v>0</v>
      </c>
      <c r="H45" s="106">
        <f>Input!H46-Input!H80</f>
        <v>5.8556168704458074E-2</v>
      </c>
      <c r="I45" s="106">
        <f>Input!I46-Input!I80</f>
        <v>6.180750268154854E-2</v>
      </c>
      <c r="J45" s="106">
        <f>Input!J46-Input!J80</f>
        <v>5.1916741978836285E-2</v>
      </c>
      <c r="K45" s="106">
        <f>Input!K46-Input!K80</f>
        <v>8.705813879556859E-2</v>
      </c>
      <c r="L45" s="106">
        <f>Input!L46-Input!L80</f>
        <v>0.1189174209854845</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outlineLevel="1">
      <c r="A46" s="12"/>
      <c r="B46" s="46"/>
      <c r="C46" s="129" t="str">
        <f>Asset7</f>
        <v>Equity Raising Costs</v>
      </c>
      <c r="D46" s="12"/>
      <c r="E46" s="12"/>
      <c r="F46" s="115"/>
      <c r="G46" s="205">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outlineLevel="1">
      <c r="A47" s="12"/>
      <c r="B47" s="46"/>
      <c r="C47" s="129" t="str">
        <f>Asset8</f>
        <v>Land</v>
      </c>
      <c r="D47" s="12"/>
      <c r="E47" s="12"/>
      <c r="F47" s="115"/>
      <c r="G47" s="205">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outlineLevel="1">
      <c r="A48" s="12"/>
      <c r="B48" s="46"/>
      <c r="C48" s="129">
        <f>Asset9</f>
        <v>0</v>
      </c>
      <c r="D48" s="12"/>
      <c r="E48" s="12"/>
      <c r="F48" s="115"/>
      <c r="G48" s="205">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outlineLevel="1">
      <c r="A49" s="12"/>
      <c r="B49" s="46"/>
      <c r="C49" s="129">
        <f>Asset10</f>
        <v>0</v>
      </c>
      <c r="D49" s="12"/>
      <c r="E49" s="12"/>
      <c r="F49" s="115"/>
      <c r="G49" s="205">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outlineLevel="1">
      <c r="A50" s="12"/>
      <c r="B50" s="46"/>
      <c r="C50" s="129">
        <f>Asset11</f>
        <v>0</v>
      </c>
      <c r="D50" s="12"/>
      <c r="E50" s="12"/>
      <c r="F50" s="115"/>
      <c r="G50" s="205">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outlineLevel="1">
      <c r="A51" s="12"/>
      <c r="B51" s="46"/>
      <c r="C51" s="129">
        <f>Asset12</f>
        <v>0</v>
      </c>
      <c r="D51" s="12"/>
      <c r="E51" s="12"/>
      <c r="F51" s="115"/>
      <c r="G51" s="205">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outlineLevel="1">
      <c r="A52" s="12"/>
      <c r="B52" s="46"/>
      <c r="C52" s="129">
        <f>Asset13</f>
        <v>0</v>
      </c>
      <c r="D52" s="12"/>
      <c r="E52" s="12"/>
      <c r="F52" s="115"/>
      <c r="G52" s="205">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outlineLevel="1">
      <c r="A53" s="12"/>
      <c r="B53" s="46"/>
      <c r="C53" s="129">
        <f>Asset14</f>
        <v>0</v>
      </c>
      <c r="D53" s="12"/>
      <c r="E53" s="12"/>
      <c r="F53" s="115"/>
      <c r="G53" s="205">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outlineLevel="1">
      <c r="A54" s="12"/>
      <c r="B54" s="46"/>
      <c r="C54" s="129">
        <f>Asset15</f>
        <v>0</v>
      </c>
      <c r="D54" s="12"/>
      <c r="E54" s="12"/>
      <c r="F54" s="115"/>
      <c r="G54" s="205">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outlineLevel="1">
      <c r="A55" s="12"/>
      <c r="B55" s="46"/>
      <c r="C55" s="129">
        <f>Asset16</f>
        <v>0</v>
      </c>
      <c r="D55" s="12"/>
      <c r="E55" s="12"/>
      <c r="F55" s="115"/>
      <c r="G55" s="205">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outlineLevel="1">
      <c r="A56" s="12"/>
      <c r="B56" s="46"/>
      <c r="C56" s="129">
        <f>Asset17</f>
        <v>0</v>
      </c>
      <c r="D56" s="12"/>
      <c r="E56" s="12"/>
      <c r="F56" s="115"/>
      <c r="G56" s="205">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outlineLevel="1">
      <c r="A57" s="12"/>
      <c r="B57" s="46"/>
      <c r="C57" s="129">
        <f>Asset18</f>
        <v>0</v>
      </c>
      <c r="D57" s="12"/>
      <c r="E57" s="12"/>
      <c r="F57" s="115"/>
      <c r="G57" s="205">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outlineLevel="1">
      <c r="A58" s="12"/>
      <c r="B58" s="46"/>
      <c r="C58" s="129">
        <f>Asset19</f>
        <v>0</v>
      </c>
      <c r="D58" s="12"/>
      <c r="E58" s="12"/>
      <c r="F58" s="115"/>
      <c r="G58" s="205">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outlineLevel="1">
      <c r="A59" s="12"/>
      <c r="B59" s="46"/>
      <c r="C59" s="129">
        <f>Asset20</f>
        <v>0</v>
      </c>
      <c r="D59" s="12"/>
      <c r="E59" s="12"/>
      <c r="F59" s="115"/>
      <c r="G59" s="205">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outlineLevel="1">
      <c r="A60" s="12"/>
      <c r="B60" s="46"/>
      <c r="C60" s="129">
        <f>Asset21</f>
        <v>0</v>
      </c>
      <c r="D60" s="12"/>
      <c r="E60" s="12"/>
      <c r="F60" s="115"/>
      <c r="G60" s="205">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outlineLevel="1">
      <c r="A61" s="12"/>
      <c r="B61" s="46"/>
      <c r="C61" s="129">
        <f>Asset22</f>
        <v>0</v>
      </c>
      <c r="D61" s="12"/>
      <c r="E61" s="12"/>
      <c r="F61" s="115"/>
      <c r="G61" s="205">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outlineLevel="1">
      <c r="A62" s="12"/>
      <c r="B62" s="46"/>
      <c r="C62" s="129">
        <f>Asset23</f>
        <v>0</v>
      </c>
      <c r="D62" s="12"/>
      <c r="E62" s="12"/>
      <c r="F62" s="115"/>
      <c r="G62" s="205">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outlineLevel="1">
      <c r="A63" s="12"/>
      <c r="B63" s="46"/>
      <c r="C63" s="129">
        <f>Asset24</f>
        <v>0</v>
      </c>
      <c r="D63" s="12"/>
      <c r="E63" s="12"/>
      <c r="F63" s="115"/>
      <c r="G63" s="205">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outlineLevel="1">
      <c r="A64" s="12"/>
      <c r="B64" s="46"/>
      <c r="C64" s="129">
        <f>Asset25</f>
        <v>0</v>
      </c>
      <c r="D64" s="12"/>
      <c r="E64" s="12"/>
      <c r="F64" s="115"/>
      <c r="G64" s="205">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outlineLevel="1">
      <c r="A65" s="12"/>
      <c r="B65" s="46"/>
      <c r="C65" s="129">
        <f>Asset26</f>
        <v>0</v>
      </c>
      <c r="D65" s="12"/>
      <c r="E65" s="12"/>
      <c r="F65" s="115"/>
      <c r="G65" s="205">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outlineLevel="1">
      <c r="A66" s="12"/>
      <c r="B66" s="46"/>
      <c r="C66" s="129">
        <f>Asset27</f>
        <v>0</v>
      </c>
      <c r="D66" s="12"/>
      <c r="E66" s="12"/>
      <c r="F66" s="115"/>
      <c r="G66" s="205">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outlineLevel="1">
      <c r="A67" s="12"/>
      <c r="B67" s="46"/>
      <c r="C67" s="129">
        <f>Asset28</f>
        <v>0</v>
      </c>
      <c r="D67" s="12"/>
      <c r="E67" s="12"/>
      <c r="F67" s="115"/>
      <c r="G67" s="205">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outlineLevel="1">
      <c r="A68" s="12"/>
      <c r="B68" s="46"/>
      <c r="C68" s="129">
        <f>Asset29</f>
        <v>0</v>
      </c>
      <c r="D68" s="12"/>
      <c r="E68" s="12"/>
      <c r="F68" s="115"/>
      <c r="G68" s="205">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outlineLevel="1">
      <c r="A69" s="12"/>
      <c r="B69" s="46"/>
      <c r="C69" s="129">
        <f>Asset30</f>
        <v>0</v>
      </c>
      <c r="D69" s="12"/>
      <c r="E69" s="12"/>
      <c r="F69" s="115"/>
      <c r="G69" s="205">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 r="A70" s="12"/>
      <c r="B70" s="17"/>
      <c r="C70" s="12"/>
      <c r="D70" s="12"/>
      <c r="E70" s="12"/>
      <c r="F70" s="115"/>
      <c r="G70" s="205"/>
      <c r="H70" s="106"/>
      <c r="I70" s="106"/>
      <c r="J70" s="106"/>
      <c r="K70" s="106"/>
      <c r="L70" s="106"/>
      <c r="M70" s="106"/>
      <c r="N70" s="106"/>
      <c r="O70" s="106"/>
      <c r="P70" s="106"/>
      <c r="Q70" s="106"/>
      <c r="R70" s="106"/>
      <c r="S70" s="106"/>
      <c r="T70" s="106"/>
      <c r="U70" s="106"/>
      <c r="V70" s="106"/>
      <c r="W70" s="106"/>
      <c r="X70" s="106"/>
      <c r="Y70" s="106"/>
      <c r="Z70" s="106"/>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-1.3800000000000001</v>
      </c>
      <c r="I71" s="118">
        <f t="shared" ref="I71:Q71" si="34">I85+I99+I113+I127+I141+I155+I169+I183+I197+I211+I225+I239+I253+I267+I281+I295+I309+I323+I337+I351+I365+I379+I393+I407+I421+I435+I449+I463+I477+I491</f>
        <v>-1.2011755209697226</v>
      </c>
      <c r="J71" s="118">
        <f t="shared" si="34"/>
        <v>-1.0934103667024282</v>
      </c>
      <c r="K71" s="118">
        <f t="shared" si="34"/>
        <v>-1.2404400741524271</v>
      </c>
      <c r="L71" s="118">
        <f t="shared" si="34"/>
        <v>-1.8544093705769242</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customHeight="1" outlineLevel="2">
      <c r="A72" s="9"/>
      <c r="B72" s="32" t="str">
        <f>Asset1</f>
        <v>Mains &amp; Services</v>
      </c>
      <c r="C72" s="33"/>
      <c r="D72" s="34" t="s">
        <v>67</v>
      </c>
      <c r="E72" s="33"/>
      <c r="F72" s="35"/>
      <c r="G72" s="206">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customHeight="1" outlineLevel="2">
      <c r="A73" s="9"/>
      <c r="B73" s="26"/>
      <c r="C73" s="25"/>
      <c r="D73" s="638" t="s">
        <v>84</v>
      </c>
      <c r="E73" s="86">
        <v>0</v>
      </c>
      <c r="F73" s="27"/>
      <c r="G73" s="207"/>
      <c r="H73" s="68"/>
      <c r="I73" s="68"/>
      <c r="J73" s="68"/>
      <c r="K73" s="68"/>
      <c r="L73" s="68"/>
      <c r="M73" s="68"/>
      <c r="N73" s="68"/>
      <c r="O73" s="68"/>
      <c r="P73" s="68"/>
      <c r="Q73" s="68"/>
      <c r="R73" s="68"/>
      <c r="S73" s="103"/>
      <c r="T73" s="103"/>
      <c r="U73" s="103"/>
      <c r="V73" s="103"/>
      <c r="W73" s="103"/>
      <c r="X73" s="103"/>
      <c r="Y73" s="103"/>
      <c r="Z73" s="103"/>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customHeight="1" outlineLevel="2">
      <c r="A74" s="9"/>
      <c r="B74" s="26"/>
      <c r="C74" s="25"/>
      <c r="D74" s="639"/>
      <c r="E74" s="86">
        <v>1</v>
      </c>
      <c r="F74" s="27"/>
      <c r="G74" s="208"/>
      <c r="H74" s="68">
        <f>IF(A1taxstdlife="n/a","n/a",IF(H$3&gt;(A1taxstdlife+$E74),(Input!$G$41-Input!$G$75)-SUM($G74:G74),(Input!$G$41-Input!$G$75)/A1taxstdlife))</f>
        <v>0.96700000000000008</v>
      </c>
      <c r="I74" s="68">
        <f>IF(A1taxstdlife="n/a","n/a",IF(I$3&gt;(A1taxstdlife+$E74),(Input!$G$41-Input!$G$75)-SUM($G74:H74),(Input!$G$41-Input!$G$75)/A1taxstdlife))</f>
        <v>0</v>
      </c>
      <c r="J74" s="68">
        <f>IF(A1taxstdlife="n/a","n/a",IF(J$3&gt;(A1taxstdlife+$E74),(Input!$G$41-Input!$G$75)-SUM($G74:I74),(Input!$G$41-Input!$G$75)/A1taxstdlife))</f>
        <v>0</v>
      </c>
      <c r="K74" s="68">
        <f>IF(A1taxstdlife="n/a","n/a",IF(K$3&gt;(A1taxstdlife+$E74),(Input!$G$41-Input!$G$75)-SUM($G74:J74),(Input!$G$41-Input!$G$75)/A1taxstdlife))</f>
        <v>0</v>
      </c>
      <c r="L74" s="68">
        <f>IF(A1taxstdlife="n/a","n/a",IF(L$3&gt;(A1taxstdlife+$E74),(Input!$G$41-Input!$G$75)-SUM($G74:K74),(Input!$G$41-Input!$G$75)/A1taxstdlife))</f>
        <v>0</v>
      </c>
      <c r="M74" s="68">
        <f>IF(A1taxstdlife="n/a","n/a",IF(M$3&gt;(A1taxstdlife+$E74),(Input!$G$41-Input!$G$75)-SUM($G74:L74),(Input!$G$41-Input!$G$75)/A1taxstdlife))</f>
        <v>0</v>
      </c>
      <c r="N74" s="68">
        <f>IF(A1taxstdlife="n/a","n/a",IF(N$3&gt;(A1taxstdlife+$E74),(Input!$G$41-Input!$G$75)-SUM($G74:M74),(Input!$G$41-Input!$G$75)/A1taxstdlife))</f>
        <v>0</v>
      </c>
      <c r="O74" s="68">
        <f>IF(A1taxstdlife="n/a","n/a",IF(O$3&gt;(A1taxstdlife+$E74),(Input!$G$41-Input!$G$75)-SUM($G74:N74),(Input!$G$41-Input!$G$75)/A1taxstdlife))</f>
        <v>0</v>
      </c>
      <c r="P74" s="68">
        <f>IF(A1taxstdlife="n/a","n/a",IF(P$3&gt;(A1taxstdlife+$E74),(Input!$G$41-Input!$G$75)-SUM($G74:O74),(Input!$G$41-Input!$G$75)/A1taxstdlife))</f>
        <v>0</v>
      </c>
      <c r="Q74" s="68">
        <f>IF(A1taxstdlife="n/a","n/a",IF(Q$3&gt;(A1taxstdlife+$E74),(Input!$G$41-Input!$G$75)-SUM($G74:P74),(Input!$G$41-Input!$G$75)/A1taxstdlife))</f>
        <v>0</v>
      </c>
      <c r="R74" s="68"/>
      <c r="S74" s="103"/>
      <c r="T74" s="244"/>
      <c r="U74" s="103"/>
      <c r="V74" s="103"/>
      <c r="W74" s="103"/>
      <c r="X74" s="103"/>
      <c r="Y74" s="103"/>
      <c r="Z74" s="103"/>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customHeight="1" outlineLevel="2">
      <c r="A75" s="9"/>
      <c r="B75" s="26"/>
      <c r="C75" s="25"/>
      <c r="D75" s="639"/>
      <c r="E75" s="86">
        <v>2</v>
      </c>
      <c r="F75" s="27"/>
      <c r="G75" s="209"/>
      <c r="H75" s="149"/>
      <c r="I75" s="68">
        <f>IF(A1taxstdlife="n/a","n/a",IF(I$3&gt;(A1taxstdlife+$E75),(Input!$H$41-Input!$H$75)-SUM($H75:H75),(Input!$H$41-Input!$H$75)/A1taxstdlife))</f>
        <v>0.89560293710519634</v>
      </c>
      <c r="J75" s="68">
        <f>IF(A1taxstdlife="n/a","n/a",IF(J$3&gt;(A1taxstdlife+$E75),(Input!$H$41-Input!$H$75)-SUM($H75:I75),(Input!$H$41-Input!$H$75)/A1taxstdlife))</f>
        <v>0</v>
      </c>
      <c r="K75" s="68">
        <f>IF(A1taxstdlife="n/a","n/a",IF(K$3&gt;(A1taxstdlife+$E75),(Input!$H$41-Input!$H$75)-SUM($H75:J75),(Input!$H$41-Input!$H$75)/A1taxstdlife))</f>
        <v>0</v>
      </c>
      <c r="L75" s="68">
        <f>IF(A1taxstdlife="n/a","n/a",IF(L$3&gt;(A1taxstdlife+$E75),(Input!$H$41-Input!$H$75)-SUM($H75:K75),(Input!$H$41-Input!$H$75)/A1taxstdlife))</f>
        <v>0</v>
      </c>
      <c r="M75" s="68">
        <f>IF(A1taxstdlife="n/a","n/a",IF(M$3&gt;(A1taxstdlife+$E75),(Input!$H$41-Input!$H$75)-SUM($H75:L75),(Input!$H$41-Input!$H$75)/A1taxstdlife))</f>
        <v>0</v>
      </c>
      <c r="N75" s="68">
        <f>IF(A1taxstdlife="n/a","n/a",IF(N$3&gt;(A1taxstdlife+$E75),(Input!$H$41-Input!$H$75)-SUM($H75:M75),(Input!$H$41-Input!$H$75)/A1taxstdlife))</f>
        <v>0</v>
      </c>
      <c r="O75" s="68">
        <f>IF(A1taxstdlife="n/a","n/a",IF(O$3&gt;(A1taxstdlife+$E75),(Input!$H$41-Input!$H$75)-SUM($H75:N75),(Input!$H$41-Input!$H$75)/A1taxstdlife))</f>
        <v>0</v>
      </c>
      <c r="P75" s="68">
        <f>IF(A1taxstdlife="n/a","n/a",IF(P$3&gt;(A1taxstdlife+$E75),(Input!$H$41-Input!$H$75)-SUM($H75:O75),(Input!$H$41-Input!$H$75)/A1taxstdlife))</f>
        <v>0</v>
      </c>
      <c r="Q75" s="68">
        <f>IF(A1taxstdlife="n/a","n/a",IF(Q$3&gt;(A1taxstdlife+$E75),(Input!$H$41-Input!$H$75)-SUM($H75:P75),(Input!$H$41-Input!$H$75)/A1taxstdlife))</f>
        <v>0</v>
      </c>
      <c r="R75" s="68"/>
      <c r="S75" s="103"/>
      <c r="T75" s="103"/>
      <c r="U75" s="103"/>
      <c r="V75" s="103"/>
      <c r="W75" s="103"/>
      <c r="X75" s="103"/>
      <c r="Y75" s="103"/>
      <c r="Z75" s="103"/>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customHeight="1" outlineLevel="2">
      <c r="A76" s="9"/>
      <c r="B76" s="26"/>
      <c r="C76" s="25"/>
      <c r="D76" s="639"/>
      <c r="E76" s="86">
        <v>3</v>
      </c>
      <c r="F76" s="27"/>
      <c r="G76" s="209"/>
      <c r="H76" s="150"/>
      <c r="I76" s="149"/>
      <c r="J76" s="68">
        <f>IF(A1taxstdlife="n/a","n/a",IF(J$3&gt;(A1taxstdlife+$E76),(Input!$I$41-Input!$I$75)-SUM($I76:I76),(Input!$I$41-Input!$I$75)/A1taxstdlife))</f>
        <v>0.83243921386986719</v>
      </c>
      <c r="K76" s="68">
        <f>IF(A1taxstdlife="n/a","n/a",IF(K$3&gt;(A1taxstdlife+$E76),(Input!$I$41-Input!$I$75)-SUM($I76:J76),(Input!$I$41-Input!$I$75)/A1taxstdlife))</f>
        <v>0</v>
      </c>
      <c r="L76" s="68">
        <f>IF(A1taxstdlife="n/a","n/a",IF(L$3&gt;(A1taxstdlife+$E76),(Input!$I$41-Input!$I$75)-SUM($I76:K76),(Input!$I$41-Input!$I$75)/A1taxstdlife))</f>
        <v>0</v>
      </c>
      <c r="M76" s="68">
        <f>IF(A1taxstdlife="n/a","n/a",IF(M$3&gt;(A1taxstdlife+$E76),(Input!$I$41-Input!$I$75)-SUM($I76:L76),(Input!$I$41-Input!$I$75)/A1taxstdlife))</f>
        <v>0</v>
      </c>
      <c r="N76" s="68">
        <f>IF(A1taxstdlife="n/a","n/a",IF(N$3&gt;(A1taxstdlife+$E76),(Input!$I$41-Input!$I$75)-SUM($I76:M76),(Input!$I$41-Input!$I$75)/A1taxstdlife))</f>
        <v>0</v>
      </c>
      <c r="O76" s="68">
        <f>IF(A1taxstdlife="n/a","n/a",IF(O$3&gt;(A1taxstdlife+$E76),(Input!$I$41-Input!$I$75)-SUM($I76:N76),(Input!$I$41-Input!$I$75)/A1taxstdlife))</f>
        <v>0</v>
      </c>
      <c r="P76" s="68">
        <f>IF(A1taxstdlife="n/a","n/a",IF(P$3&gt;(A1taxstdlife+$E76),(Input!$I$41-Input!$I$75)-SUM($I76:O76),(Input!$I$41-Input!$I$75)/A1taxstdlife))</f>
        <v>0</v>
      </c>
      <c r="Q76" s="68">
        <f>IF(A1taxstdlife="n/a","n/a",IF(Q$3&gt;(A1taxstdlife+$E76),(Input!$I$41-Input!$I$75)-SUM($I76:P76),(Input!$I$41-Input!$I$75)/A1taxstdlife))</f>
        <v>0</v>
      </c>
      <c r="R76" s="68"/>
      <c r="S76" s="103"/>
      <c r="T76" s="103"/>
      <c r="U76" s="103"/>
      <c r="V76" s="103"/>
      <c r="W76" s="103"/>
      <c r="X76" s="103"/>
      <c r="Y76" s="103"/>
      <c r="Z76" s="103"/>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customHeight="1" outlineLevel="2">
      <c r="A77" s="9"/>
      <c r="B77" s="26"/>
      <c r="C77" s="25"/>
      <c r="D77" s="639"/>
      <c r="E77" s="86">
        <v>4</v>
      </c>
      <c r="F77" s="27"/>
      <c r="G77" s="209"/>
      <c r="H77" s="150"/>
      <c r="I77" s="150"/>
      <c r="J77" s="149"/>
      <c r="K77" s="68">
        <f>IF(A1taxstdlife="n/a","n/a",IF(K$3&gt;(A1taxstdlife+$E77),(Input!$J$41-Input!$J$75)-SUM($J77:J77),(Input!$J$41-Input!$J$75)/A1taxstdlife))</f>
        <v>0.97938226486233637</v>
      </c>
      <c r="L77" s="68">
        <f>IF(A1taxstdlife="n/a","n/a",IF(L$3&gt;(A1taxstdlife+$E77),(Input!$J$41-Input!$J$75)-SUM($J77:K77),(Input!$J$41-Input!$J$75)/A1taxstdlife))</f>
        <v>0</v>
      </c>
      <c r="M77" s="68">
        <f>IF(A1taxstdlife="n/a","n/a",IF(M$3&gt;(A1taxstdlife+$E77),(Input!$J$41-Input!$J$75)-SUM($J77:L77),(Input!$J$41-Input!$J$75)/A1taxstdlife))</f>
        <v>0</v>
      </c>
      <c r="N77" s="68">
        <f>IF(A1taxstdlife="n/a","n/a",IF(N$3&gt;(A1taxstdlife+$E77),(Input!$J$41-Input!$J$75)-SUM($J77:M77),(Input!$J$41-Input!$J$75)/A1taxstdlife))</f>
        <v>0</v>
      </c>
      <c r="O77" s="68">
        <f>IF(A1taxstdlife="n/a","n/a",IF(O$3&gt;(A1taxstdlife+$E77),(Input!$J$41-Input!$J$75)-SUM($J77:N77),(Input!$J$41-Input!$J$75)/A1taxstdlife))</f>
        <v>0</v>
      </c>
      <c r="P77" s="68">
        <f>IF(A1taxstdlife="n/a","n/a",IF(P$3&gt;(A1taxstdlife+$E77),(Input!$J$41-Input!$J$75)-SUM($J77:O77),(Input!$J$41-Input!$J$75)/A1taxstdlife))</f>
        <v>0</v>
      </c>
      <c r="Q77" s="68">
        <f>IF(A1taxstdlife="n/a","n/a",IF(Q$3&gt;(A1taxstdlife+$E77),(Input!$J$41-Input!$J$75)-SUM($J77:P77),(Input!$J$41-Input!$J$75)/A1taxstdlife))</f>
        <v>0</v>
      </c>
      <c r="R77" s="68"/>
      <c r="S77" s="103"/>
      <c r="T77" s="103"/>
      <c r="U77" s="103"/>
      <c r="V77" s="103"/>
      <c r="W77" s="103"/>
      <c r="X77" s="103"/>
      <c r="Y77" s="103"/>
      <c r="Z77" s="103"/>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customHeight="1" outlineLevel="2">
      <c r="A78" s="9"/>
      <c r="B78" s="26"/>
      <c r="C78" s="25"/>
      <c r="D78" s="639"/>
      <c r="E78" s="86">
        <v>5</v>
      </c>
      <c r="F78" s="27"/>
      <c r="G78" s="209"/>
      <c r="H78" s="150"/>
      <c r="I78" s="150"/>
      <c r="J78" s="150"/>
      <c r="K78" s="149"/>
      <c r="L78" s="68">
        <f>IF(A1taxstdlife="n/a","n/a",IF(L$3&gt;(A1taxstdlife+$E78),(Input!$K$41-Input!$K$75)-SUM($K78:K78),(Input!$K$41-Input!$K$75)/A1taxstdlife))</f>
        <v>1.2008945690647885</v>
      </c>
      <c r="M78" s="68">
        <f>IF(A1taxstdlife="n/a","n/a",IF(M$3&gt;(A1taxstdlife+$E78),(Input!$K$41-Input!$K$75)-SUM($K78:L78),(Input!$K$41-Input!$K$75)/A1taxstdlife))</f>
        <v>0</v>
      </c>
      <c r="N78" s="68">
        <f>IF(A1taxstdlife="n/a","n/a",IF(N$3&gt;(A1taxstdlife+$E78),(Input!$K$41-Input!$K$75)-SUM($K78:M78),(Input!$K$41-Input!$K$75)/A1taxstdlife))</f>
        <v>0</v>
      </c>
      <c r="O78" s="68">
        <f>IF(A1taxstdlife="n/a","n/a",IF(O$3&gt;(A1taxstdlife+$E78),(Input!$K$41-Input!$K$75)-SUM($K78:N78),(Input!$K$41-Input!$K$75)/A1taxstdlife))</f>
        <v>0</v>
      </c>
      <c r="P78" s="68">
        <f>IF(A1taxstdlife="n/a","n/a",IF(P$3&gt;(A1taxstdlife+$E78),(Input!$K$41-Input!$K$75)-SUM($K78:O78),(Input!$K$41-Input!$K$75)/A1taxstdlife))</f>
        <v>0</v>
      </c>
      <c r="Q78" s="68">
        <f>IF(A1taxstdlife="n/a","n/a",IF(Q$3&gt;(A1taxstdlife+$E78),(Input!$K$41-Input!$K$75)-SUM($K78:P78),(Input!$K$41-Input!$K$75)/A1taxstdlife))</f>
        <v>0</v>
      </c>
      <c r="R78" s="68"/>
      <c r="S78" s="103"/>
      <c r="T78" s="103"/>
      <c r="U78" s="103"/>
      <c r="V78" s="103"/>
      <c r="W78" s="103"/>
      <c r="X78" s="103"/>
      <c r="Y78" s="103"/>
      <c r="Z78" s="103"/>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customHeight="1" outlineLevel="2">
      <c r="A79" s="9"/>
      <c r="B79" s="26"/>
      <c r="C79" s="25"/>
      <c r="D79" s="639"/>
      <c r="E79" s="86">
        <v>6</v>
      </c>
      <c r="F79" s="27"/>
      <c r="G79" s="209"/>
      <c r="H79" s="150"/>
      <c r="I79" s="150"/>
      <c r="J79" s="150"/>
      <c r="K79" s="150"/>
      <c r="L79" s="149"/>
      <c r="M79" s="68">
        <f>IF(A1taxstdlife="n/a","n/a",IF(M$3&gt;(A1taxstdlife+$E79),(Input!$L$41-Input!$L$75)-SUM($L79:L79),(Input!$L$41-Input!$L$75)/A1taxstdlife))</f>
        <v>1.2071615015395565</v>
      </c>
      <c r="N79" s="68">
        <f>IF(A1taxstdlife="n/a","n/a",IF(N$3&gt;(A1taxstdlife+$E79),(Input!$L$41-Input!$L$75)-SUM($L79:M79),(Input!$L$41-Input!$L$75)/A1taxstdlife))</f>
        <v>0</v>
      </c>
      <c r="O79" s="68">
        <f>IF(A1taxstdlife="n/a","n/a",IF(O$3&gt;(A1taxstdlife+$E79),(Input!$L$41-Input!$L$75)-SUM($L79:N79),(Input!$L$41-Input!$L$75)/A1taxstdlife))</f>
        <v>0</v>
      </c>
      <c r="P79" s="68">
        <f>IF(A1taxstdlife="n/a","n/a",IF(P$3&gt;(A1taxstdlife+$E79),(Input!$L$41-Input!$L$75)-SUM($L79:O79),(Input!$L$41-Input!$L$75)/A1taxstdlife))</f>
        <v>0</v>
      </c>
      <c r="Q79" s="68">
        <f>IF(A1taxstdlife="n/a","n/a",IF(Q$3&gt;(A1taxstdlife+$E79),(Input!$L$41-Input!$L$75)-SUM($L79:P79),(Input!$L$41-Input!$L$75)/A1taxstdlife))</f>
        <v>0</v>
      </c>
      <c r="R79" s="68"/>
      <c r="S79" s="103"/>
      <c r="T79" s="103"/>
      <c r="U79" s="103"/>
      <c r="V79" s="103"/>
      <c r="W79" s="103"/>
      <c r="X79" s="103"/>
      <c r="Y79" s="103"/>
      <c r="Z79" s="103"/>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customHeight="1" outlineLevel="2">
      <c r="A80" s="9"/>
      <c r="B80" s="26"/>
      <c r="C80" s="25"/>
      <c r="D80" s="639"/>
      <c r="E80" s="86">
        <v>7</v>
      </c>
      <c r="F80" s="27"/>
      <c r="G80" s="209"/>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customHeight="1" outlineLevel="2">
      <c r="A81" s="9"/>
      <c r="B81" s="26"/>
      <c r="C81" s="25"/>
      <c r="D81" s="639"/>
      <c r="E81" s="86">
        <v>8</v>
      </c>
      <c r="F81" s="27"/>
      <c r="G81" s="209"/>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customHeight="1" outlineLevel="2">
      <c r="A82" s="9"/>
      <c r="B82" s="26"/>
      <c r="C82" s="25"/>
      <c r="D82" s="639"/>
      <c r="E82" s="86">
        <v>9</v>
      </c>
      <c r="F82" s="27"/>
      <c r="G82" s="209"/>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customHeight="1" outlineLevel="2">
      <c r="A83" s="9"/>
      <c r="B83" s="26"/>
      <c r="C83" s="25"/>
      <c r="D83" s="639"/>
      <c r="E83" s="86">
        <v>10</v>
      </c>
      <c r="F83" s="27"/>
      <c r="G83" s="209"/>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customHeight="1" outlineLevel="2">
      <c r="A84" s="9"/>
      <c r="B84" s="26"/>
      <c r="C84" s="25"/>
      <c r="D84" s="639"/>
      <c r="E84" s="87">
        <v>11</v>
      </c>
      <c r="F84" s="27"/>
      <c r="G84" s="209"/>
      <c r="H84" s="150"/>
      <c r="I84" s="150"/>
      <c r="J84" s="150"/>
      <c r="K84" s="150"/>
      <c r="L84" s="150"/>
      <c r="M84" s="150"/>
      <c r="N84" s="150"/>
      <c r="O84" s="150"/>
      <c r="P84" s="189"/>
      <c r="Q84" s="149"/>
      <c r="R84" s="68"/>
      <c r="S84" s="103"/>
      <c r="T84" s="103"/>
      <c r="U84" s="103"/>
      <c r="V84" s="103"/>
      <c r="W84" s="103"/>
      <c r="X84" s="103"/>
      <c r="Y84" s="103"/>
      <c r="Z84" s="103"/>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outlineLevel="1">
      <c r="A85" s="9"/>
      <c r="B85" s="9"/>
      <c r="C85" s="26" t="str">
        <f>Asset1</f>
        <v>Mains &amp; Services</v>
      </c>
      <c r="D85" s="9"/>
      <c r="E85" s="9"/>
      <c r="F85" s="23"/>
      <c r="G85" s="210">
        <f t="shared" ref="G85:L85" si="35">-SUM(G72:G84)</f>
        <v>0</v>
      </c>
      <c r="H85" s="166">
        <f t="shared" si="35"/>
        <v>-0.96700000000000008</v>
      </c>
      <c r="I85" s="166">
        <f t="shared" si="35"/>
        <v>-0.89560293710519634</v>
      </c>
      <c r="J85" s="166">
        <f t="shared" si="35"/>
        <v>-0.83243921386986719</v>
      </c>
      <c r="K85" s="166">
        <f t="shared" si="35"/>
        <v>-0.97938226486233637</v>
      </c>
      <c r="L85" s="166">
        <f t="shared" si="35"/>
        <v>-1.2008945690647885</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customHeight="1" outlineLevel="2">
      <c r="A86" s="9"/>
      <c r="B86" s="32" t="str">
        <f>Asset2</f>
        <v>Meters</v>
      </c>
      <c r="C86" s="33"/>
      <c r="D86" s="34" t="s">
        <v>67</v>
      </c>
      <c r="E86" s="33"/>
      <c r="F86" s="35"/>
      <c r="G86" s="206">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customHeight="1" outlineLevel="2">
      <c r="A87" s="9"/>
      <c r="B87" s="9"/>
      <c r="C87" s="26"/>
      <c r="D87" s="638" t="s">
        <v>84</v>
      </c>
      <c r="E87" s="86">
        <v>0</v>
      </c>
      <c r="F87" s="27"/>
      <c r="G87" s="207"/>
      <c r="H87" s="68"/>
      <c r="I87" s="68"/>
      <c r="J87" s="68"/>
      <c r="K87" s="68"/>
      <c r="L87" s="68"/>
      <c r="M87" s="68"/>
      <c r="N87" s="68"/>
      <c r="O87" s="68"/>
      <c r="P87" s="68"/>
      <c r="Q87" s="68"/>
      <c r="R87" s="68"/>
      <c r="S87" s="103"/>
      <c r="T87" s="103"/>
      <c r="U87" s="103"/>
      <c r="V87" s="103"/>
      <c r="W87" s="103"/>
      <c r="X87" s="103"/>
      <c r="Y87" s="103"/>
      <c r="Z87" s="103"/>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customHeight="1" outlineLevel="2">
      <c r="A88" s="9"/>
      <c r="B88" s="9"/>
      <c r="C88" s="26"/>
      <c r="D88" s="639"/>
      <c r="E88" s="86">
        <v>1</v>
      </c>
      <c r="F88" s="27"/>
      <c r="G88" s="208"/>
      <c r="H88" s="68">
        <f>IF(A2taxstdlife="n/a","n/a",IF(H$3&gt;(A2taxstdlife+$E88),(Input!$G$42-Input!$G$76)-SUM($G88:G88),(Input!$G$42-Input!$G$76)/A2taxstdlife))</f>
        <v>0.39300000000000002</v>
      </c>
      <c r="I88" s="68">
        <f>IF(A2taxstdlife="n/a","n/a",IF(I$3&gt;(A2taxstdlife+$E88),(Input!$G$42-Input!$G$76)-SUM($G88:H88),(Input!$G$42-Input!$G$76)/A2taxstdlife))</f>
        <v>0</v>
      </c>
      <c r="J88" s="68">
        <f>IF(A2taxstdlife="n/a","n/a",IF(J$3&gt;(A2taxstdlife+$E88),(Input!$G$42-Input!$G$76)-SUM($G88:I88),(Input!$G$42-Input!$G$76)/A2taxstdlife))</f>
        <v>0</v>
      </c>
      <c r="K88" s="68">
        <f>IF(A2taxstdlife="n/a","n/a",IF(K$3&gt;(A2taxstdlife+$E88),(Input!$G$42-Input!$G$76)-SUM($G88:J88),(Input!$G$42-Input!$G$76)/A2taxstdlife))</f>
        <v>0</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customHeight="1" outlineLevel="2">
      <c r="A89" s="9"/>
      <c r="B89" s="9"/>
      <c r="C89" s="26"/>
      <c r="D89" s="639"/>
      <c r="E89" s="86">
        <v>2</v>
      </c>
      <c r="F89" s="27"/>
      <c r="G89" s="209"/>
      <c r="H89" s="149"/>
      <c r="I89" s="68">
        <f>IF(A2taxstdlife="n/a","n/a",IF(I$3&gt;(A2taxstdlife+$E89),(Input!$H$42-Input!$H$76)-SUM($H89:H89),(Input!$H$42-Input!$H$76)/A2taxstdlife))</f>
        <v>0.24701641516006828</v>
      </c>
      <c r="J89" s="68">
        <f>IF(A2taxstdlife="n/a","n/a",IF(J$3&gt;(A2taxstdlife+$E89),(Input!$H$42-Input!$H$76)-SUM($H89:I89),(Input!$H$42-Input!$H$76)/A2taxstdlife))</f>
        <v>0</v>
      </c>
      <c r="K89" s="68">
        <f>IF(A2taxstdlife="n/a","n/a",IF(K$3&gt;(A2taxstdlife+$E89),(Input!$H$42-Input!$H$76)-SUM($H89:J89),(Input!$H$42-Input!$H$76)/A2taxstdlife))</f>
        <v>0</v>
      </c>
      <c r="L89" s="68">
        <f>IF(A2taxstdlife="n/a","n/a",IF(L$3&gt;(A2taxstdlife+$E89),(Input!$H$42-Input!$H$76)-SUM($H89:K89),(Input!$H$42-Input!$H$76)/A2taxstdlife))</f>
        <v>0</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customHeight="1" outlineLevel="2">
      <c r="A90" s="9"/>
      <c r="B90" s="9"/>
      <c r="C90" s="26"/>
      <c r="D90" s="639"/>
      <c r="E90" s="86">
        <v>3</v>
      </c>
      <c r="F90" s="27"/>
      <c r="G90" s="209"/>
      <c r="H90" s="150"/>
      <c r="I90" s="149"/>
      <c r="J90" s="68">
        <f>IF(A2taxstdlife="n/a","n/a",IF(J$3&gt;(A2taxstdlife+$E90),(Input!$I$42-Input!$I$76)-SUM($I90:I90),(Input!$I$42-Input!$I$76)/A2taxstdlife))</f>
        <v>0.19916365015101242</v>
      </c>
      <c r="K90" s="68">
        <f>IF(A2taxstdlife="n/a","n/a",IF(K$3&gt;(A2taxstdlife+$E90),(Input!$I$42-Input!$I$76)-SUM($I90:J90),(Input!$I$42-Input!$I$76)/A2taxstdlife))</f>
        <v>0</v>
      </c>
      <c r="L90" s="68">
        <f>IF(A2taxstdlife="n/a","n/a",IF(L$3&gt;(A2taxstdlife+$E90),(Input!$I$42-Input!$I$76)-SUM($I90:K90),(Input!$I$42-Input!$I$76)/A2taxstdlife))</f>
        <v>0</v>
      </c>
      <c r="M90" s="68">
        <f>IF(A2taxstdlife="n/a","n/a",IF(M$3&gt;(A2taxstdlife+$E90),(Input!$I$42-Input!$I$76)-SUM($I90:L90),(Input!$I$42-Input!$I$76)/A2taxstdlife))</f>
        <v>0</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customHeight="1" outlineLevel="2">
      <c r="A91" s="9"/>
      <c r="B91" s="9"/>
      <c r="C91" s="26"/>
      <c r="D91" s="639"/>
      <c r="E91" s="86">
        <v>4</v>
      </c>
      <c r="F91" s="27"/>
      <c r="G91" s="209"/>
      <c r="H91" s="150"/>
      <c r="I91" s="150"/>
      <c r="J91" s="149"/>
      <c r="K91" s="68">
        <f>IF(A2taxstdlife="n/a","n/a",IF(K$3&gt;(A2taxstdlife+$E91),(Input!$J$42-Input!$J$76)-SUM($J91:J91),(Input!$J$42-Input!$J$76)/A2taxstdlife))</f>
        <v>0.20914106731125451</v>
      </c>
      <c r="L91" s="68">
        <f>IF(A2taxstdlife="n/a","n/a",IF(L$3&gt;(A2taxstdlife+$E91),(Input!$J$42-Input!$J$76)-SUM($J91:K91),(Input!$J$42-Input!$J$76)/A2taxstdlife))</f>
        <v>0</v>
      </c>
      <c r="M91" s="68">
        <f>IF(A2taxstdlife="n/a","n/a",IF(M$3&gt;(A2taxstdlife+$E91),(Input!$J$42-Input!$J$76)-SUM($J91:L91),(Input!$J$42-Input!$J$76)/A2taxstdlife))</f>
        <v>0</v>
      </c>
      <c r="N91" s="68">
        <f>IF(A2taxstdlife="n/a","n/a",IF(N$3&gt;(A2taxstdlife+$E91),(Input!$J$42-Input!$J$76)-SUM($J91:M91),(Input!$J$42-Input!$J$76)/A2taxstdlife))</f>
        <v>0</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customHeight="1" outlineLevel="2">
      <c r="A92" s="9"/>
      <c r="B92" s="9"/>
      <c r="C92" s="26"/>
      <c r="D92" s="639"/>
      <c r="E92" s="86">
        <v>5</v>
      </c>
      <c r="F92" s="27"/>
      <c r="G92" s="209"/>
      <c r="H92" s="150"/>
      <c r="I92" s="150"/>
      <c r="J92" s="150"/>
      <c r="K92" s="149"/>
      <c r="L92" s="68">
        <f>IF(A2taxstdlife="n/a","n/a",IF(L$3&gt;(A2taxstdlife+$E92),(Input!$K$42-Input!$K$76)-SUM($K92:K92),(Input!$K$42-Input!$K$76)/A2taxstdlife))</f>
        <v>0.52331890257361169</v>
      </c>
      <c r="M92" s="68">
        <f>IF(A2taxstdlife="n/a","n/a",IF(M$3&gt;(A2taxstdlife+$E92),(Input!$K$42-Input!$K$76)-SUM($K92:L92),(Input!$K$42-Input!$K$76)/A2taxstdlife))</f>
        <v>0</v>
      </c>
      <c r="N92" s="68">
        <f>IF(A2taxstdlife="n/a","n/a",IF(N$3&gt;(A2taxstdlife+$E92),(Input!$K$42-Input!$K$76)-SUM($K92:M92),(Input!$K$42-Input!$K$76)/A2taxstdlife))</f>
        <v>0</v>
      </c>
      <c r="O92" s="68">
        <f>IF(A2taxstdlife="n/a","n/a",IF(O$3&gt;(A2taxstdlife+$E92),(Input!$K$42-Input!$K$76)-SUM($K92:N92),(Input!$K$42-Input!$K$76)/A2taxstdlife))</f>
        <v>0</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customHeight="1" outlineLevel="2">
      <c r="A93" s="9"/>
      <c r="B93" s="9"/>
      <c r="C93" s="26"/>
      <c r="D93" s="639"/>
      <c r="E93" s="86">
        <v>6</v>
      </c>
      <c r="F93" s="27"/>
      <c r="G93" s="209"/>
      <c r="H93" s="150"/>
      <c r="I93" s="150"/>
      <c r="J93" s="150"/>
      <c r="K93" s="150"/>
      <c r="L93" s="149"/>
      <c r="M93" s="68">
        <f>IF(A2taxstdlife="n/a","n/a",IF(M$3&gt;(A2taxstdlife+$E93),(Input!$L$42-Input!$L$76)-SUM($L93:L93),(Input!$L$42-Input!$L$76)/A2taxstdlife))</f>
        <v>0.52401940580676887</v>
      </c>
      <c r="N93" s="68">
        <f>IF(A2taxstdlife="n/a","n/a",IF(N$3&gt;(A2taxstdlife+$E93),(Input!$L$42-Input!$L$76)-SUM($L93:M93),(Input!$L$42-Input!$L$76)/A2taxstdlife))</f>
        <v>0</v>
      </c>
      <c r="O93" s="68">
        <f>IF(A2taxstdlife="n/a","n/a",IF(O$3&gt;(A2taxstdlife+$E93),(Input!$L$42-Input!$L$76)-SUM($L93:N93),(Input!$L$42-Input!$L$76)/A2taxstdlife))</f>
        <v>0</v>
      </c>
      <c r="P93" s="68">
        <f>IF(A2taxstdlife="n/a","n/a",IF(P$3&gt;(A2taxstdlife+$E93),(Input!$L$42-Input!$L$76)-SUM($L93:O93),(Input!$L$42-Input!$L$76)/A2taxstdlife))</f>
        <v>0</v>
      </c>
      <c r="Q93" s="68">
        <f>IF(A2taxstdlife="n/a","n/a",IF(Q$3&gt;(A2taxstdlife+$E93),(Input!$L$42-Input!$L$76)-SUM($L93:P93),(Input!$L$42-Input!$L$76)/A2taxstdlife))</f>
        <v>0</v>
      </c>
      <c r="R93" s="68"/>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customHeight="1" outlineLevel="2">
      <c r="A94" s="9"/>
      <c r="B94" s="9"/>
      <c r="C94" s="26"/>
      <c r="D94" s="639"/>
      <c r="E94" s="86">
        <v>7</v>
      </c>
      <c r="F94" s="27"/>
      <c r="G94" s="209"/>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customHeight="1" outlineLevel="2">
      <c r="A95" s="9"/>
      <c r="B95" s="9"/>
      <c r="C95" s="26"/>
      <c r="D95" s="639"/>
      <c r="E95" s="86">
        <v>8</v>
      </c>
      <c r="F95" s="27"/>
      <c r="G95" s="209"/>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customHeight="1" outlineLevel="2">
      <c r="A96" s="9"/>
      <c r="B96" s="9"/>
      <c r="C96" s="26"/>
      <c r="D96" s="639"/>
      <c r="E96" s="86">
        <v>9</v>
      </c>
      <c r="F96" s="27"/>
      <c r="G96" s="209"/>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customHeight="1" outlineLevel="2">
      <c r="A97" s="9"/>
      <c r="B97" s="9"/>
      <c r="C97" s="26"/>
      <c r="D97" s="639"/>
      <c r="E97" s="86">
        <v>10</v>
      </c>
      <c r="F97" s="27"/>
      <c r="G97" s="209"/>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customHeight="1" outlineLevel="2">
      <c r="A98" s="9"/>
      <c r="B98" s="9"/>
      <c r="C98" s="26"/>
      <c r="D98" s="639"/>
      <c r="E98" s="87">
        <v>11</v>
      </c>
      <c r="F98" s="27"/>
      <c r="G98" s="209"/>
      <c r="H98" s="150"/>
      <c r="I98" s="150"/>
      <c r="J98" s="150"/>
      <c r="K98" s="150"/>
      <c r="L98" s="150"/>
      <c r="M98" s="150"/>
      <c r="N98" s="150"/>
      <c r="O98" s="150"/>
      <c r="P98" s="189"/>
      <c r="Q98" s="149"/>
      <c r="R98" s="68"/>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outlineLevel="1">
      <c r="A99" s="9"/>
      <c r="B99" s="9"/>
      <c r="C99" s="26" t="str">
        <f>Asset2</f>
        <v>Meters</v>
      </c>
      <c r="D99" s="9"/>
      <c r="E99" s="9"/>
      <c r="F99" s="23"/>
      <c r="G99" s="210">
        <f t="shared" ref="G99:L99" si="36">-SUM(G86:G98)</f>
        <v>0</v>
      </c>
      <c r="H99" s="166">
        <f t="shared" si="36"/>
        <v>-0.39300000000000002</v>
      </c>
      <c r="I99" s="166">
        <f t="shared" si="36"/>
        <v>-0.24701641516006828</v>
      </c>
      <c r="J99" s="166">
        <f t="shared" si="36"/>
        <v>-0.19916365015101242</v>
      </c>
      <c r="K99" s="166">
        <f t="shared" si="36"/>
        <v>-0.20914106731125451</v>
      </c>
      <c r="L99" s="166">
        <f t="shared" si="36"/>
        <v>-0.52331890257361169</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customHeight="1" outlineLevel="2">
      <c r="A100" s="9"/>
      <c r="B100" s="32" t="str">
        <f>Asset3</f>
        <v>Buildings</v>
      </c>
      <c r="C100" s="33"/>
      <c r="D100" s="34" t="s">
        <v>67</v>
      </c>
      <c r="E100" s="33"/>
      <c r="F100" s="35"/>
      <c r="G100" s="206">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customHeight="1" outlineLevel="2">
      <c r="A101" s="9"/>
      <c r="B101" s="9"/>
      <c r="C101" s="26"/>
      <c r="D101" s="638" t="s">
        <v>84</v>
      </c>
      <c r="E101" s="86">
        <v>0</v>
      </c>
      <c r="F101" s="27"/>
      <c r="G101" s="207"/>
      <c r="H101" s="68"/>
      <c r="I101" s="68"/>
      <c r="J101" s="68"/>
      <c r="K101" s="68"/>
      <c r="L101" s="68"/>
      <c r="M101" s="68"/>
      <c r="N101" s="68"/>
      <c r="O101" s="68"/>
      <c r="P101" s="68"/>
      <c r="Q101" s="68"/>
      <c r="R101" s="68"/>
      <c r="S101" s="103"/>
      <c r="T101" s="103"/>
      <c r="U101" s="103"/>
      <c r="V101" s="103"/>
      <c r="W101" s="103"/>
      <c r="X101" s="103"/>
      <c r="Y101" s="103"/>
      <c r="Z101" s="103"/>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customHeight="1" outlineLevel="2">
      <c r="A102" s="9"/>
      <c r="B102" s="9"/>
      <c r="C102" s="26"/>
      <c r="D102" s="639"/>
      <c r="E102" s="86">
        <v>1</v>
      </c>
      <c r="F102" s="27"/>
      <c r="G102" s="208"/>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customHeight="1" outlineLevel="2">
      <c r="A103" s="9"/>
      <c r="B103" s="9"/>
      <c r="C103" s="26"/>
      <c r="D103" s="639"/>
      <c r="E103" s="86">
        <v>2</v>
      </c>
      <c r="F103" s="27"/>
      <c r="G103" s="209"/>
      <c r="H103" s="149"/>
      <c r="I103" s="68">
        <f>IF(A3taxstdlife="n/a","n/a",IF(I$3&gt;(A3taxstdlife+$E103),(Input!$H$43-Input!$H$77)-SUM($H103:H103),(Input!$H$43-Input!$H$77)/A3taxstdlife))</f>
        <v>0</v>
      </c>
      <c r="J103" s="68">
        <f>IF(A3taxstdlife="n/a","n/a",IF(J$3&gt;(A3taxstdlife+$E103),(Input!$H$43-Input!$H$77)-SUM($H103:I103),(Input!$H$43-Input!$H$77)/A3taxstdlife))</f>
        <v>0</v>
      </c>
      <c r="K103" s="68">
        <f>IF(A3taxstdlife="n/a","n/a",IF(K$3&gt;(A3taxstdlife+$E103),(Input!$H$43-Input!$H$77)-SUM($H103:J103),(Input!$H$43-Input!$H$77)/A3taxstdlife))</f>
        <v>0</v>
      </c>
      <c r="L103" s="68">
        <f>IF(A3taxstdlife="n/a","n/a",IF(L$3&gt;(A3taxstdlife+$E103),(Input!$H$43-Input!$H$77)-SUM($H103:K103),(Input!$H$43-Input!$H$77)/A3taxstdlife))</f>
        <v>0</v>
      </c>
      <c r="M103" s="68">
        <f>IF(A3taxstdlife="n/a","n/a",IF(M$3&gt;(A3taxstdlife+$E103),(Input!$H$43-Input!$H$77)-SUM($H103:L103),(Input!$H$43-Input!$H$77)/A3taxstdlife))</f>
        <v>0</v>
      </c>
      <c r="N103" s="68">
        <f>IF(A3taxstdlife="n/a","n/a",IF(N$3&gt;(A3taxstdlife+$E103),(Input!$H$43-Input!$H$77)-SUM($H103:M103),(Input!$H$43-Input!$H$77)/A3taxstdlife))</f>
        <v>0</v>
      </c>
      <c r="O103" s="68">
        <f>IF(A3taxstdlife="n/a","n/a",IF(O$3&gt;(A3taxstdlife+$E103),(Input!$H$43-Input!$H$77)-SUM($H103:N103),(Input!$H$43-Input!$H$77)/A3taxstdlife))</f>
        <v>0</v>
      </c>
      <c r="P103" s="68">
        <f>IF(A3taxstdlife="n/a","n/a",IF(P$3&gt;(A3taxstdlife+$E103),(Input!$H$43-Input!$H$77)-SUM($H103:O103),(Input!$H$43-Input!$H$77)/A3taxstdlife))</f>
        <v>0</v>
      </c>
      <c r="Q103" s="68">
        <f>IF(A3taxstdlife="n/a","n/a",IF(Q$3&gt;(A3taxstdlife+$E103),(Input!$H$43-Input!$H$77)-SUM($H103:P103),(Input!$H$43-Input!$H$77)/A3taxstdlife))</f>
        <v>0</v>
      </c>
      <c r="R103" s="68"/>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customHeight="1" outlineLevel="2">
      <c r="A104" s="9"/>
      <c r="B104" s="9"/>
      <c r="C104" s="26"/>
      <c r="D104" s="639"/>
      <c r="E104" s="86">
        <v>3</v>
      </c>
      <c r="F104" s="27"/>
      <c r="G104" s="209"/>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customHeight="1" outlineLevel="2">
      <c r="A105" s="9"/>
      <c r="B105" s="9"/>
      <c r="C105" s="26"/>
      <c r="D105" s="639"/>
      <c r="E105" s="86">
        <v>4</v>
      </c>
      <c r="F105" s="27"/>
      <c r="G105" s="209"/>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customHeight="1" outlineLevel="2">
      <c r="A106" s="9"/>
      <c r="B106" s="9"/>
      <c r="C106" s="26"/>
      <c r="D106" s="639"/>
      <c r="E106" s="86">
        <v>5</v>
      </c>
      <c r="F106" s="27"/>
      <c r="G106" s="209"/>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customHeight="1" outlineLevel="2">
      <c r="A107" s="9"/>
      <c r="B107" s="9"/>
      <c r="C107" s="26"/>
      <c r="D107" s="639"/>
      <c r="E107" s="86">
        <v>6</v>
      </c>
      <c r="F107" s="27"/>
      <c r="G107" s="209"/>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customHeight="1" outlineLevel="2">
      <c r="A108" s="9"/>
      <c r="B108" s="9"/>
      <c r="C108" s="26"/>
      <c r="D108" s="639"/>
      <c r="E108" s="86">
        <v>7</v>
      </c>
      <c r="F108" s="27"/>
      <c r="G108" s="209"/>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customHeight="1" outlineLevel="2">
      <c r="A109" s="9"/>
      <c r="B109" s="9"/>
      <c r="C109" s="26"/>
      <c r="D109" s="639"/>
      <c r="E109" s="86">
        <v>8</v>
      </c>
      <c r="F109" s="27"/>
      <c r="G109" s="209"/>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customHeight="1" outlineLevel="2">
      <c r="A110" s="9"/>
      <c r="B110" s="9"/>
      <c r="C110" s="26"/>
      <c r="D110" s="639"/>
      <c r="E110" s="86">
        <v>9</v>
      </c>
      <c r="F110" s="27"/>
      <c r="G110" s="209"/>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customHeight="1" outlineLevel="2">
      <c r="A111" s="9"/>
      <c r="B111" s="9"/>
      <c r="C111" s="26"/>
      <c r="D111" s="639"/>
      <c r="E111" s="86">
        <v>10</v>
      </c>
      <c r="F111" s="27"/>
      <c r="G111" s="209"/>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customHeight="1" outlineLevel="2">
      <c r="A112" s="9"/>
      <c r="B112" s="9"/>
      <c r="C112" s="26"/>
      <c r="D112" s="639"/>
      <c r="E112" s="87">
        <v>11</v>
      </c>
      <c r="F112" s="27"/>
      <c r="G112" s="209"/>
      <c r="H112" s="150"/>
      <c r="I112" s="150"/>
      <c r="J112" s="150"/>
      <c r="K112" s="150"/>
      <c r="L112" s="150"/>
      <c r="M112" s="150"/>
      <c r="N112" s="150"/>
      <c r="O112" s="150"/>
      <c r="P112" s="189"/>
      <c r="Q112" s="149"/>
      <c r="R112" s="68"/>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outlineLevel="1">
      <c r="A113" s="9"/>
      <c r="B113" s="9"/>
      <c r="C113" s="26" t="str">
        <f>Asset3</f>
        <v>Buildings</v>
      </c>
      <c r="D113" s="9"/>
      <c r="E113" s="9"/>
      <c r="F113" s="23"/>
      <c r="G113" s="210">
        <f t="shared" ref="G113:L113" si="37">-SUM(G100:G112)</f>
        <v>0</v>
      </c>
      <c r="H113" s="166">
        <f t="shared" si="37"/>
        <v>0</v>
      </c>
      <c r="I113" s="166">
        <f t="shared" si="37"/>
        <v>0</v>
      </c>
      <c r="J113" s="166">
        <f t="shared" si="37"/>
        <v>0</v>
      </c>
      <c r="K113" s="166">
        <f t="shared" si="37"/>
        <v>0</v>
      </c>
      <c r="L113" s="166">
        <f t="shared" si="37"/>
        <v>0</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customHeight="1" outlineLevel="2">
      <c r="A114" s="9"/>
      <c r="B114" s="32" t="str">
        <f>Asset4</f>
        <v>SCADA</v>
      </c>
      <c r="C114" s="33"/>
      <c r="D114" s="34" t="s">
        <v>67</v>
      </c>
      <c r="E114" s="33"/>
      <c r="F114" s="35"/>
      <c r="G114" s="206">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customHeight="1" outlineLevel="2">
      <c r="A115" s="9"/>
      <c r="B115" s="9"/>
      <c r="C115" s="26"/>
      <c r="D115" s="638" t="s">
        <v>84</v>
      </c>
      <c r="E115" s="86">
        <v>0</v>
      </c>
      <c r="F115" s="27"/>
      <c r="G115" s="207"/>
      <c r="H115" s="68"/>
      <c r="I115" s="68"/>
      <c r="J115" s="68"/>
      <c r="K115" s="68"/>
      <c r="L115" s="68"/>
      <c r="M115" s="68"/>
      <c r="N115" s="68"/>
      <c r="O115" s="68"/>
      <c r="P115" s="68"/>
      <c r="Q115" s="68"/>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customHeight="1" outlineLevel="2">
      <c r="A116" s="9"/>
      <c r="B116" s="9"/>
      <c r="C116" s="26"/>
      <c r="D116" s="639"/>
      <c r="E116" s="86">
        <v>1</v>
      </c>
      <c r="F116" s="27"/>
      <c r="G116" s="208"/>
      <c r="H116" s="68">
        <f>IF(A4taxstdlife="n/a","n/a",IF(H$3&gt;(A4taxstdlife+$E116),(Input!$G$44-Input!$G$78)-SUM($G116:G116),(Input!$G$44-Input!$G$78)/A4taxstdlife))</f>
        <v>0.02</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customHeight="1" outlineLevel="2">
      <c r="A117" s="9"/>
      <c r="B117" s="9"/>
      <c r="C117" s="26"/>
      <c r="D117" s="639"/>
      <c r="E117" s="86">
        <v>2</v>
      </c>
      <c r="F117" s="27"/>
      <c r="G117" s="209"/>
      <c r="H117" s="149"/>
      <c r="I117" s="68">
        <f>IF(A4taxstdlife="n/a","n/a",IF(I$3&gt;(A4taxstdlife+$E117),(Input!$H$44-Input!$H$78)-SUM($H117:H117),(Input!$H$44-Input!$H$78)/A4taxstdlife))</f>
        <v>0</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customHeight="1" outlineLevel="2">
      <c r="A118" s="9"/>
      <c r="B118" s="9"/>
      <c r="C118" s="26"/>
      <c r="D118" s="639"/>
      <c r="E118" s="86">
        <v>3</v>
      </c>
      <c r="F118" s="27"/>
      <c r="G118" s="209"/>
      <c r="H118" s="150"/>
      <c r="I118" s="149"/>
      <c r="J118" s="68">
        <f>IF(A4taxstdlife="n/a","n/a",IF(J$3&gt;(A4taxstdlife+$E118),(Input!$I$44-Input!$I$78)-SUM($I118:I118),(Input!$I$44-Input!$I$78)/A4taxstdlife))</f>
        <v>0</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customHeight="1" outlineLevel="2">
      <c r="A119" s="9"/>
      <c r="B119" s="9"/>
      <c r="C119" s="26"/>
      <c r="D119" s="639"/>
      <c r="E119" s="86">
        <v>4</v>
      </c>
      <c r="F119" s="27"/>
      <c r="G119" s="209"/>
      <c r="H119" s="150"/>
      <c r="I119" s="150"/>
      <c r="J119" s="149"/>
      <c r="K119" s="68">
        <f>IF(A4taxstdlife="n/a","n/a",IF(K$3&gt;(A4taxstdlife+$E119),(Input!$J$44-Input!$J$78)-SUM($J119:J119),(Input!$J$44-Input!$J$78)/A4taxstdlife))</f>
        <v>0</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customHeight="1" outlineLevel="2">
      <c r="A120" s="9"/>
      <c r="B120" s="9"/>
      <c r="C120" s="26"/>
      <c r="D120" s="639"/>
      <c r="E120" s="86">
        <v>5</v>
      </c>
      <c r="F120" s="27"/>
      <c r="G120" s="209"/>
      <c r="H120" s="150"/>
      <c r="I120" s="150"/>
      <c r="J120" s="150"/>
      <c r="K120" s="149"/>
      <c r="L120" s="68">
        <f>IF(A4taxstdlife="n/a","n/a",IF(L$3&gt;(A4taxstdlife+$E120),(Input!$K$44-Input!$K$78)-SUM($K120:K120),(Input!$K$44-Input!$K$78)/A4taxstdlife))</f>
        <v>0</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customHeight="1" outlineLevel="2">
      <c r="A121" s="9"/>
      <c r="B121" s="9"/>
      <c r="C121" s="26"/>
      <c r="D121" s="639"/>
      <c r="E121" s="86">
        <v>6</v>
      </c>
      <c r="F121" s="27"/>
      <c r="G121" s="209"/>
      <c r="H121" s="150"/>
      <c r="I121" s="150"/>
      <c r="J121" s="150"/>
      <c r="K121" s="150"/>
      <c r="L121" s="149"/>
      <c r="M121" s="68">
        <f>IF(A4taxstdlife="n/a","n/a",IF(M$3&gt;(A4taxstdlife+$E121),(Input!$L$44-Input!$L$78)-SUM($L121:L121),(Input!$L$44-Input!$L$78)/A4taxstdlife))</f>
        <v>0</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customHeight="1" outlineLevel="2">
      <c r="A122" s="9"/>
      <c r="B122" s="9"/>
      <c r="C122" s="26"/>
      <c r="D122" s="639"/>
      <c r="E122" s="86">
        <v>7</v>
      </c>
      <c r="F122" s="27"/>
      <c r="G122" s="209"/>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customHeight="1" outlineLevel="2">
      <c r="A123" s="9"/>
      <c r="B123" s="9"/>
      <c r="C123" s="26"/>
      <c r="D123" s="639"/>
      <c r="E123" s="86">
        <v>8</v>
      </c>
      <c r="F123" s="27"/>
      <c r="G123" s="209"/>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customHeight="1" outlineLevel="2">
      <c r="A124" s="9"/>
      <c r="B124" s="9"/>
      <c r="C124" s="26"/>
      <c r="D124" s="639"/>
      <c r="E124" s="86">
        <v>9</v>
      </c>
      <c r="F124" s="27"/>
      <c r="G124" s="209"/>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customHeight="1" outlineLevel="2">
      <c r="A125" s="9"/>
      <c r="B125" s="9"/>
      <c r="C125" s="26"/>
      <c r="D125" s="639"/>
      <c r="E125" s="86">
        <v>10</v>
      </c>
      <c r="F125" s="27"/>
      <c r="G125" s="209"/>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customHeight="1" outlineLevel="2">
      <c r="A126" s="9"/>
      <c r="B126" s="9"/>
      <c r="C126" s="26"/>
      <c r="D126" s="639"/>
      <c r="E126" s="87">
        <v>11</v>
      </c>
      <c r="F126" s="27"/>
      <c r="G126" s="209"/>
      <c r="H126" s="150"/>
      <c r="I126" s="150"/>
      <c r="J126" s="150"/>
      <c r="K126" s="150"/>
      <c r="L126" s="150"/>
      <c r="M126" s="150"/>
      <c r="N126" s="150"/>
      <c r="O126" s="150"/>
      <c r="P126" s="189"/>
      <c r="Q126" s="149"/>
      <c r="R126" s="68"/>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outlineLevel="1">
      <c r="A127" s="9"/>
      <c r="B127" s="9"/>
      <c r="C127" s="26" t="str">
        <f>Asset4</f>
        <v>SCADA</v>
      </c>
      <c r="D127" s="9"/>
      <c r="E127" s="9"/>
      <c r="F127" s="23"/>
      <c r="G127" s="210">
        <f t="shared" ref="G127:L127" si="38">-SUM(G114:G126)</f>
        <v>0</v>
      </c>
      <c r="H127" s="166">
        <f t="shared" si="38"/>
        <v>-0.02</v>
      </c>
      <c r="I127" s="166">
        <f t="shared" si="38"/>
        <v>0</v>
      </c>
      <c r="J127" s="166">
        <f t="shared" si="38"/>
        <v>0</v>
      </c>
      <c r="K127" s="166">
        <f t="shared" si="38"/>
        <v>0</v>
      </c>
      <c r="L127" s="166">
        <f t="shared" si="38"/>
        <v>0</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customHeight="1" outlineLevel="2">
      <c r="A128" s="9"/>
      <c r="B128" s="32" t="str">
        <f>Asset5</f>
        <v>Computer Equipment</v>
      </c>
      <c r="C128" s="33"/>
      <c r="D128" s="34" t="s">
        <v>67</v>
      </c>
      <c r="E128" s="33"/>
      <c r="F128" s="35"/>
      <c r="G128" s="206">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customHeight="1" outlineLevel="2">
      <c r="A129" s="9"/>
      <c r="B129" s="9"/>
      <c r="C129" s="26"/>
      <c r="D129" s="638" t="s">
        <v>84</v>
      </c>
      <c r="E129" s="86">
        <v>0</v>
      </c>
      <c r="F129" s="27"/>
      <c r="G129" s="207"/>
      <c r="H129" s="68"/>
      <c r="I129" s="68"/>
      <c r="J129" s="68"/>
      <c r="K129" s="68"/>
      <c r="L129" s="68"/>
      <c r="M129" s="68"/>
      <c r="N129" s="68"/>
      <c r="O129" s="68"/>
      <c r="P129" s="68"/>
      <c r="Q129" s="68"/>
      <c r="R129" s="68"/>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customHeight="1" outlineLevel="2">
      <c r="A130" s="9"/>
      <c r="B130" s="9"/>
      <c r="C130" s="26"/>
      <c r="D130" s="639"/>
      <c r="E130" s="86">
        <v>1</v>
      </c>
      <c r="F130" s="27"/>
      <c r="G130" s="208"/>
      <c r="H130" s="68">
        <f>IF(A5taxstdlife="n/a","n/a",IF(H$3&gt;(A5taxstdlife+$E130),(Input!$G$45-Input!$G$79)-SUM($G130:G130),(Input!$G$45-Input!$G$79)/A5taxstdlife))</f>
        <v>0</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customHeight="1" outlineLevel="2">
      <c r="A131" s="9"/>
      <c r="B131" s="9"/>
      <c r="C131" s="26"/>
      <c r="D131" s="639"/>
      <c r="E131" s="86">
        <v>2</v>
      </c>
      <c r="F131" s="27"/>
      <c r="G131" s="209"/>
      <c r="H131" s="149"/>
      <c r="I131" s="68">
        <f>IF(A5taxstdlife="n/a","n/a",IF(I$3&gt;(A5taxstdlife+$E131),(Input!$H$45-Input!$H$79)-SUM($H131:H131),(Input!$H$45-Input!$H$79)/A5taxstdlife))</f>
        <v>0</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customHeight="1" outlineLevel="2">
      <c r="A132" s="9"/>
      <c r="B132" s="9"/>
      <c r="C132" s="26"/>
      <c r="D132" s="639"/>
      <c r="E132" s="86">
        <v>3</v>
      </c>
      <c r="F132" s="27"/>
      <c r="G132" s="209"/>
      <c r="H132" s="150"/>
      <c r="I132" s="149"/>
      <c r="J132" s="68">
        <f>IF(A5taxstdlife="n/a","n/a",IF(J$3&gt;(A5taxstdlife+$E132),(Input!$I$45-Input!$I$79)-SUM($I132:I132),(Input!$I$45-Input!$I$79)/A5taxstdlife))</f>
        <v>0</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customHeight="1" outlineLevel="2">
      <c r="A133" s="9"/>
      <c r="B133" s="9"/>
      <c r="C133" s="26"/>
      <c r="D133" s="639"/>
      <c r="E133" s="86">
        <v>4</v>
      </c>
      <c r="F133" s="27"/>
      <c r="G133" s="209"/>
      <c r="H133" s="150"/>
      <c r="I133" s="150"/>
      <c r="J133" s="149"/>
      <c r="K133" s="68">
        <f>IF(A5taxstdlife="n/a","n/a",IF(K$3&gt;(A5taxstdlife+$E133),(Input!$J$45-Input!$J$79)-SUM($J133:J133),(Input!$J$45-Input!$J$79)/A5taxstdlife))</f>
        <v>0</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customHeight="1" outlineLevel="2">
      <c r="A134" s="9"/>
      <c r="B134" s="9"/>
      <c r="C134" s="26"/>
      <c r="D134" s="639"/>
      <c r="E134" s="86">
        <v>5</v>
      </c>
      <c r="F134" s="27"/>
      <c r="G134" s="209"/>
      <c r="H134" s="150"/>
      <c r="I134" s="150"/>
      <c r="J134" s="150"/>
      <c r="K134" s="149"/>
      <c r="L134" s="68">
        <f>IF(A5taxstdlife="n/a","n/a",IF(L$3&gt;(A5taxstdlife+$E134),(Input!$K$45-Input!$K$79)-SUM($K134:K134),(Input!$K$45-Input!$K$79)/A5taxstdlife))</f>
        <v>4.313776014295536E-2</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customHeight="1" outlineLevel="2">
      <c r="A135" s="9"/>
      <c r="B135" s="9"/>
      <c r="C135" s="26"/>
      <c r="D135" s="639"/>
      <c r="E135" s="86">
        <v>6</v>
      </c>
      <c r="F135" s="27"/>
      <c r="G135" s="209"/>
      <c r="H135" s="150"/>
      <c r="I135" s="150"/>
      <c r="J135" s="150"/>
      <c r="K135" s="150"/>
      <c r="L135" s="149"/>
      <c r="M135" s="68">
        <f>IF(A5taxstdlife="n/a","n/a",IF(M$3&gt;(A5taxstdlife+$E135),(Input!$L$45-Input!$L$79)-SUM($L135:L135),(Input!$L$45-Input!$L$79)/A5taxstdlife))</f>
        <v>0.29469686686608215</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customHeight="1" outlineLevel="2">
      <c r="A136" s="9"/>
      <c r="B136" s="9"/>
      <c r="C136" s="26"/>
      <c r="D136" s="639"/>
      <c r="E136" s="86">
        <v>7</v>
      </c>
      <c r="F136" s="27"/>
      <c r="G136" s="209"/>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customHeight="1" outlineLevel="2">
      <c r="A137" s="9"/>
      <c r="B137" s="9"/>
      <c r="C137" s="26"/>
      <c r="D137" s="639"/>
      <c r="E137" s="86">
        <v>8</v>
      </c>
      <c r="F137" s="27"/>
      <c r="G137" s="209"/>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customHeight="1" outlineLevel="2">
      <c r="A138" s="9"/>
      <c r="B138" s="9"/>
      <c r="C138" s="26"/>
      <c r="D138" s="639"/>
      <c r="E138" s="86">
        <v>9</v>
      </c>
      <c r="F138" s="27"/>
      <c r="G138" s="209"/>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customHeight="1" outlineLevel="2">
      <c r="A139" s="9"/>
      <c r="B139" s="9"/>
      <c r="C139" s="26"/>
      <c r="D139" s="639"/>
      <c r="E139" s="86">
        <v>10</v>
      </c>
      <c r="F139" s="27"/>
      <c r="G139" s="209"/>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customHeight="1" outlineLevel="2">
      <c r="A140" s="9"/>
      <c r="B140" s="9"/>
      <c r="C140" s="26"/>
      <c r="D140" s="639"/>
      <c r="E140" s="87">
        <v>11</v>
      </c>
      <c r="F140" s="27"/>
      <c r="G140" s="209"/>
      <c r="H140" s="150"/>
      <c r="I140" s="150"/>
      <c r="J140" s="150"/>
      <c r="K140" s="150"/>
      <c r="L140" s="150"/>
      <c r="M140" s="150"/>
      <c r="N140" s="150"/>
      <c r="O140" s="150"/>
      <c r="P140" s="189"/>
      <c r="Q140" s="149"/>
      <c r="R140" s="68"/>
      <c r="S140" s="103"/>
      <c r="T140" s="103"/>
      <c r="U140" s="103"/>
      <c r="V140" s="103"/>
      <c r="W140" s="103"/>
      <c r="X140" s="103"/>
      <c r="Y140" s="103"/>
      <c r="Z140" s="103"/>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outlineLevel="1">
      <c r="A141" s="9"/>
      <c r="B141" s="9"/>
      <c r="C141" s="26" t="str">
        <f>Asset5</f>
        <v>Computer Equipment</v>
      </c>
      <c r="D141" s="9"/>
      <c r="E141" s="9"/>
      <c r="F141" s="23"/>
      <c r="G141" s="210">
        <f t="shared" ref="G141:L141" si="39">-SUM(G128:G140)</f>
        <v>0</v>
      </c>
      <c r="H141" s="166">
        <f t="shared" si="39"/>
        <v>0</v>
      </c>
      <c r="I141" s="166">
        <f t="shared" si="39"/>
        <v>0</v>
      </c>
      <c r="J141" s="166">
        <f t="shared" si="39"/>
        <v>0</v>
      </c>
      <c r="K141" s="166">
        <f t="shared" si="39"/>
        <v>0</v>
      </c>
      <c r="L141" s="166">
        <f t="shared" si="39"/>
        <v>-4.313776014295536E-2</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customHeight="1" outlineLevel="2">
      <c r="A142" s="9"/>
      <c r="B142" s="32" t="str">
        <f>Asset6</f>
        <v>Other Assets</v>
      </c>
      <c r="C142" s="33"/>
      <c r="D142" s="34" t="s">
        <v>67</v>
      </c>
      <c r="E142" s="33"/>
      <c r="F142" s="35"/>
      <c r="G142" s="206">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38" t="s">
        <v>84</v>
      </c>
      <c r="E143" s="86">
        <v>0</v>
      </c>
      <c r="F143" s="27"/>
      <c r="G143" s="207"/>
      <c r="H143" s="68"/>
      <c r="I143" s="68"/>
      <c r="J143" s="68"/>
      <c r="K143" s="68"/>
      <c r="L143" s="68"/>
      <c r="M143" s="68"/>
      <c r="N143" s="68"/>
      <c r="O143" s="68"/>
      <c r="P143" s="68"/>
      <c r="Q143" s="68"/>
      <c r="R143" s="68"/>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39"/>
      <c r="E144" s="86">
        <v>1</v>
      </c>
      <c r="F144" s="27"/>
      <c r="G144" s="208"/>
      <c r="H144" s="68">
        <f>IF(A6taxstdlife="n/a","n/a",IF(H$3&gt;(A6taxstdlife+$E144),(Input!$G$46-Input!$G$80)-SUM($G144:G144),(Input!$G$46-Input!$G$80)/A6taxstdlife))</f>
        <v>0</v>
      </c>
      <c r="I144" s="68">
        <f>IF(A6taxstdlife="n/a","n/a",IF(I$3&gt;(A6taxstdlife+$E144),(Input!$G$46-Input!$G$80)-SUM($G144:H144),(Input!$G$46-Input!$G$80)/A6taxstdlife))</f>
        <v>0</v>
      </c>
      <c r="J144" s="68">
        <f>IF(A6taxstdlife="n/a","n/a",IF(J$3&gt;(A6taxstdlife+$E144),(Input!$G$46-Input!$G$80)-SUM($G144:I144),(Input!$G$46-Input!$G$80)/A6taxstdlife))</f>
        <v>0</v>
      </c>
      <c r="K144" s="68">
        <f>IF(A6taxstdlife="n/a","n/a",IF(K$3&gt;(A6taxstdlife+$E144),(Input!$G$46-Input!$G$80)-SUM($G144:J144),(Input!$G$46-Input!$G$80)/A6taxstdlife))</f>
        <v>0</v>
      </c>
      <c r="L144" s="68">
        <f>IF(A6taxstdlife="n/a","n/a",IF(L$3&gt;(A6taxstdlife+$E144),(Input!$G$46-Input!$G$80)-SUM($G144:K144),(Input!$G$46-Input!$G$80)/A6taxstdlife))</f>
        <v>0</v>
      </c>
      <c r="M144" s="68">
        <f>IF(A6taxstdlife="n/a","n/a",IF(M$3&gt;(A6taxstdlife+$E144),(Input!$G$46-Input!$G$80)-SUM($G144:L144),(Input!$G$46-Input!$G$80)/A6taxstdlife))</f>
        <v>0</v>
      </c>
      <c r="N144" s="68">
        <f>IF(A6taxstdlife="n/a","n/a",IF(N$3&gt;(A6taxstdlife+$E144),(Input!$G$46-Input!$G$80)-SUM($G144:M144),(Input!$G$46-Input!$G$80)/A6taxstdlife))</f>
        <v>0</v>
      </c>
      <c r="O144" s="68">
        <f>IF(A6taxstdlife="n/a","n/a",IF(O$3&gt;(A6taxstdlife+$E144),(Input!$G$46-Input!$G$80)-SUM($G144:N144),(Input!$G$46-Input!$G$80)/A6taxstdlife))</f>
        <v>0</v>
      </c>
      <c r="P144" s="68">
        <f>IF(A6taxstdlife="n/a","n/a",IF(P$3&gt;(A6taxstdlife+$E144),(Input!$G$46-Input!$G$80)-SUM($G144:O144),(Input!$G$46-Input!$G$80)/A6taxstdlife))</f>
        <v>0</v>
      </c>
      <c r="Q144" s="68">
        <f>IF(A6taxstdlife="n/a","n/a",IF(Q$3&gt;(A6taxstdlife+$E144),(Input!$G$46-Input!$G$80)-SUM($G144:P144),(Input!$G$46-Input!$G$80)/A6taxstdlife))</f>
        <v>0</v>
      </c>
      <c r="R144" s="68"/>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39"/>
      <c r="E145" s="86">
        <v>2</v>
      </c>
      <c r="F145" s="27"/>
      <c r="G145" s="209"/>
      <c r="H145" s="149"/>
      <c r="I145" s="68">
        <f>IF(A6taxstdlife="n/a","n/a",IF(I$3&gt;(A6taxstdlife+$E145),(Input!$H$46-Input!$H$80)-SUM($H145:H145),(Input!$H$46-Input!$H$80)/A6taxstdlife))</f>
        <v>5.8556168704458074E-2</v>
      </c>
      <c r="J145" s="68">
        <f>IF(A6taxstdlife="n/a","n/a",IF(J$3&gt;(A6taxstdlife+$E145),(Input!$H$46-Input!$H$80)-SUM($H145:I145),(Input!$H$46-Input!$H$80)/A6taxstdlife))</f>
        <v>0</v>
      </c>
      <c r="K145" s="68">
        <f>IF(A6taxstdlife="n/a","n/a",IF(K$3&gt;(A6taxstdlife+$E145),(Input!$H$46-Input!$H$80)-SUM($H145:J145),(Input!$H$46-Input!$H$80)/A6taxstdlife))</f>
        <v>0</v>
      </c>
      <c r="L145" s="68">
        <f>IF(A6taxstdlife="n/a","n/a",IF(L$3&gt;(A6taxstdlife+$E145),(Input!$H$46-Input!$H$80)-SUM($H145:K145),(Input!$H$46-Input!$H$80)/A6taxstdlife))</f>
        <v>0</v>
      </c>
      <c r="M145" s="68">
        <f>IF(A6taxstdlife="n/a","n/a",IF(M$3&gt;(A6taxstdlife+$E145),(Input!$H$46-Input!$H$80)-SUM($H145:L145),(Input!$H$46-Input!$H$80)/A6taxstdlife))</f>
        <v>0</v>
      </c>
      <c r="N145" s="68">
        <f>IF(A6taxstdlife="n/a","n/a",IF(N$3&gt;(A6taxstdlife+$E145),(Input!$H$46-Input!$H$80)-SUM($H145:M145),(Input!$H$46-Input!$H$80)/A6taxstdlife))</f>
        <v>0</v>
      </c>
      <c r="O145" s="68">
        <f>IF(A6taxstdlife="n/a","n/a",IF(O$3&gt;(A6taxstdlife+$E145),(Input!$H$46-Input!$H$80)-SUM($H145:N145),(Input!$H$46-Input!$H$80)/A6taxstdlife))</f>
        <v>0</v>
      </c>
      <c r="P145" s="68">
        <f>IF(A6taxstdlife="n/a","n/a",IF(P$3&gt;(A6taxstdlife+$E145),(Input!$H$46-Input!$H$80)-SUM($H145:O145),(Input!$H$46-Input!$H$80)/A6taxstdlife))</f>
        <v>0</v>
      </c>
      <c r="Q145" s="68">
        <f>IF(A6taxstdlife="n/a","n/a",IF(Q$3&gt;(A6taxstdlife+$E145),(Input!$H$46-Input!$H$80)-SUM($H145:P145),(Input!$H$46-Input!$H$80)/A6taxstdlife))</f>
        <v>0</v>
      </c>
      <c r="R145" s="68"/>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39"/>
      <c r="E146" s="86">
        <v>3</v>
      </c>
      <c r="F146" s="27"/>
      <c r="G146" s="209"/>
      <c r="H146" s="150"/>
      <c r="I146" s="149"/>
      <c r="J146" s="68">
        <f>IF(A6taxstdlife="n/a","n/a",IF(J$3&gt;(A6taxstdlife+$E146),(Input!$I$46-Input!$I$80)-SUM($I146:I146),(Input!$I$46-Input!$I$80)/A6taxstdlife))</f>
        <v>6.180750268154854E-2</v>
      </c>
      <c r="K146" s="68">
        <f>IF(A6taxstdlife="n/a","n/a",IF(K$3&gt;(A6taxstdlife+$E146),(Input!$I$46-Input!$I$80)-SUM($I146:J146),(Input!$I$46-Input!$I$80)/A6taxstdlife))</f>
        <v>0</v>
      </c>
      <c r="L146" s="68">
        <f>IF(A6taxstdlife="n/a","n/a",IF(L$3&gt;(A6taxstdlife+$E146),(Input!$I$46-Input!$I$80)-SUM($I146:K146),(Input!$I$46-Input!$I$80)/A6taxstdlife))</f>
        <v>0</v>
      </c>
      <c r="M146" s="68">
        <f>IF(A6taxstdlife="n/a","n/a",IF(M$3&gt;(A6taxstdlife+$E146),(Input!$I$46-Input!$I$80)-SUM($I146:L146),(Input!$I$46-Input!$I$80)/A6taxstdlife))</f>
        <v>0</v>
      </c>
      <c r="N146" s="68">
        <f>IF(A6taxstdlife="n/a","n/a",IF(N$3&gt;(A6taxstdlife+$E146),(Input!$I$46-Input!$I$80)-SUM($I146:M146),(Input!$I$46-Input!$I$80)/A6taxstdlife))</f>
        <v>0</v>
      </c>
      <c r="O146" s="68">
        <f>IF(A6taxstdlife="n/a","n/a",IF(O$3&gt;(A6taxstdlife+$E146),(Input!$I$46-Input!$I$80)-SUM($I146:N146),(Input!$I$46-Input!$I$80)/A6taxstdlife))</f>
        <v>0</v>
      </c>
      <c r="P146" s="68">
        <f>IF(A6taxstdlife="n/a","n/a",IF(P$3&gt;(A6taxstdlife+$E146),(Input!$I$46-Input!$I$80)-SUM($I146:O146),(Input!$I$46-Input!$I$80)/A6taxstdlife))</f>
        <v>0</v>
      </c>
      <c r="Q146" s="68">
        <f>IF(A6taxstdlife="n/a","n/a",IF(Q$3&gt;(A6taxstdlife+$E146),(Input!$I$46-Input!$I$80)-SUM($I146:P146),(Input!$I$46-Input!$I$80)/A6taxstdlife))</f>
        <v>0</v>
      </c>
      <c r="R146" s="68"/>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39"/>
      <c r="E147" s="86">
        <v>4</v>
      </c>
      <c r="F147" s="27"/>
      <c r="G147" s="209"/>
      <c r="H147" s="150"/>
      <c r="I147" s="150"/>
      <c r="J147" s="149"/>
      <c r="K147" s="68">
        <f>IF(A6taxstdlife="n/a","n/a",IF(K$3&gt;(A6taxstdlife+$E147),(Input!$J$46-Input!$J$80)-SUM($J147:J147),(Input!$J$46-Input!$J$80)/A6taxstdlife))</f>
        <v>5.1916741978836285E-2</v>
      </c>
      <c r="L147" s="68">
        <f>IF(A6taxstdlife="n/a","n/a",IF(L$3&gt;(A6taxstdlife+$E147),(Input!$J$46-Input!$J$80)-SUM($J147:K147),(Input!$J$46-Input!$J$80)/A6taxstdlife))</f>
        <v>0</v>
      </c>
      <c r="M147" s="68">
        <f>IF(A6taxstdlife="n/a","n/a",IF(M$3&gt;(A6taxstdlife+$E147),(Input!$J$46-Input!$J$80)-SUM($J147:L147),(Input!$J$46-Input!$J$80)/A6taxstdlife))</f>
        <v>0</v>
      </c>
      <c r="N147" s="68">
        <f>IF(A6taxstdlife="n/a","n/a",IF(N$3&gt;(A6taxstdlife+$E147),(Input!$J$46-Input!$J$80)-SUM($J147:M147),(Input!$J$46-Input!$J$80)/A6taxstdlife))</f>
        <v>0</v>
      </c>
      <c r="O147" s="68">
        <f>IF(A6taxstdlife="n/a","n/a",IF(O$3&gt;(A6taxstdlife+$E147),(Input!$J$46-Input!$J$80)-SUM($J147:N147),(Input!$J$46-Input!$J$80)/A6taxstdlife))</f>
        <v>0</v>
      </c>
      <c r="P147" s="68">
        <f>IF(A6taxstdlife="n/a","n/a",IF(P$3&gt;(A6taxstdlife+$E147),(Input!$J$46-Input!$J$80)-SUM($J147:O147),(Input!$J$46-Input!$J$80)/A6taxstdlife))</f>
        <v>0</v>
      </c>
      <c r="Q147" s="68">
        <f>IF(A6taxstdlife="n/a","n/a",IF(Q$3&gt;(A6taxstdlife+$E147),(Input!$J$46-Input!$J$80)-SUM($J147:P147),(Input!$J$46-Input!$J$80)/A6taxstdlife))</f>
        <v>0</v>
      </c>
      <c r="R147" s="68"/>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39"/>
      <c r="E148" s="86">
        <v>5</v>
      </c>
      <c r="F148" s="27"/>
      <c r="G148" s="209"/>
      <c r="H148" s="150"/>
      <c r="I148" s="150"/>
      <c r="J148" s="150"/>
      <c r="K148" s="149"/>
      <c r="L148" s="68">
        <f>IF(A6taxstdlife="n/a","n/a",IF(L$3&gt;(A6taxstdlife+$E148),(Input!$K$46-Input!$K$80)-SUM($K148:K148),(Input!$K$46-Input!$K$80)/A6taxstdlife))</f>
        <v>8.705813879556859E-2</v>
      </c>
      <c r="M148" s="68">
        <f>IF(A6taxstdlife="n/a","n/a",IF(M$3&gt;(A6taxstdlife+$E148),(Input!$K$46-Input!$K$80)-SUM($K148:L148),(Input!$K$46-Input!$K$80)/A6taxstdlife))</f>
        <v>0</v>
      </c>
      <c r="N148" s="68">
        <f>IF(A6taxstdlife="n/a","n/a",IF(N$3&gt;(A6taxstdlife+$E148),(Input!$K$46-Input!$K$80)-SUM($K148:M148),(Input!$K$46-Input!$K$80)/A6taxstdlife))</f>
        <v>0</v>
      </c>
      <c r="O148" s="68">
        <f>IF(A6taxstdlife="n/a","n/a",IF(O$3&gt;(A6taxstdlife+$E148),(Input!$K$46-Input!$K$80)-SUM($K148:N148),(Input!$K$46-Input!$K$80)/A6taxstdlife))</f>
        <v>0</v>
      </c>
      <c r="P148" s="68">
        <f>IF(A6taxstdlife="n/a","n/a",IF(P$3&gt;(A6taxstdlife+$E148),(Input!$K$46-Input!$K$80)-SUM($K148:O148),(Input!$K$46-Input!$K$80)/A6taxstdlife))</f>
        <v>0</v>
      </c>
      <c r="Q148" s="68">
        <f>IF(A6taxstdlife="n/a","n/a",IF(Q$3&gt;(A6taxstdlife+$E148),(Input!$K$46-Input!$K$80)-SUM($K148:P148),(Input!$K$46-Input!$K$80)/A6taxstdlife))</f>
        <v>0</v>
      </c>
      <c r="R148" s="68"/>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39"/>
      <c r="E149" s="86">
        <v>6</v>
      </c>
      <c r="F149" s="27"/>
      <c r="G149" s="209"/>
      <c r="H149" s="150"/>
      <c r="I149" s="150"/>
      <c r="J149" s="150"/>
      <c r="K149" s="150"/>
      <c r="L149" s="149"/>
      <c r="M149" s="68">
        <f>IF(A6taxstdlife="n/a","n/a",IF(M$3&gt;(A6taxstdlife+$E149),(Input!$L$46-Input!$L$80)-SUM($L149:L149),(Input!$L$46-Input!$L$80)/A6taxstdlife))</f>
        <v>0.1189174209854845</v>
      </c>
      <c r="N149" s="68">
        <f>IF(A6taxstdlife="n/a","n/a",IF(N$3&gt;(A6taxstdlife+$E149),(Input!$L$46-Input!$L$80)-SUM($L149:M149),(Input!$L$46-Input!$L$80)/A6taxstdlife))</f>
        <v>0</v>
      </c>
      <c r="O149" s="68">
        <f>IF(A6taxstdlife="n/a","n/a",IF(O$3&gt;(A6taxstdlife+$E149),(Input!$L$46-Input!$L$80)-SUM($L149:N149),(Input!$L$46-Input!$L$80)/A6taxstdlife))</f>
        <v>0</v>
      </c>
      <c r="P149" s="68">
        <f>IF(A6taxstdlife="n/a","n/a",IF(P$3&gt;(A6taxstdlife+$E149),(Input!$L$46-Input!$L$80)-SUM($L149:O149),(Input!$L$46-Input!$L$80)/A6taxstdlife))</f>
        <v>0</v>
      </c>
      <c r="Q149" s="68">
        <f>IF(A6taxstdlife="n/a","n/a",IF(Q$3&gt;(A6taxstdlife+$E149),(Input!$L$46-Input!$L$80)-SUM($L149:P149),(Input!$L$46-Input!$L$80)/A6taxstdlife))</f>
        <v>0</v>
      </c>
      <c r="R149" s="68"/>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39"/>
      <c r="E150" s="86">
        <v>7</v>
      </c>
      <c r="F150" s="27"/>
      <c r="G150" s="209"/>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39"/>
      <c r="E151" s="86">
        <v>8</v>
      </c>
      <c r="F151" s="27"/>
      <c r="G151" s="209"/>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39"/>
      <c r="E152" s="86">
        <v>9</v>
      </c>
      <c r="F152" s="27"/>
      <c r="G152" s="209"/>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39"/>
      <c r="E153" s="86">
        <v>10</v>
      </c>
      <c r="F153" s="27"/>
      <c r="G153" s="209"/>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39"/>
      <c r="E154" s="87">
        <v>11</v>
      </c>
      <c r="F154" s="27"/>
      <c r="G154" s="209"/>
      <c r="H154" s="150"/>
      <c r="I154" s="150"/>
      <c r="J154" s="150"/>
      <c r="K154" s="150"/>
      <c r="L154" s="150"/>
      <c r="M154" s="150"/>
      <c r="N154" s="150"/>
      <c r="O154" s="150"/>
      <c r="P154" s="189"/>
      <c r="Q154" s="149"/>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10">
        <f t="shared" ref="G155:L155" si="40">-SUM(G142:G154)</f>
        <v>0</v>
      </c>
      <c r="H155" s="166">
        <f t="shared" si="40"/>
        <v>0</v>
      </c>
      <c r="I155" s="166">
        <f t="shared" si="40"/>
        <v>-5.8556168704458074E-2</v>
      </c>
      <c r="J155" s="166">
        <f t="shared" si="40"/>
        <v>-6.180750268154854E-2</v>
      </c>
      <c r="K155" s="166">
        <f t="shared" si="40"/>
        <v>-5.1916741978836285E-2</v>
      </c>
      <c r="L155" s="166">
        <f t="shared" si="40"/>
        <v>-8.705813879556859E-2</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6">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38" t="s">
        <v>84</v>
      </c>
      <c r="E157" s="86">
        <v>0</v>
      </c>
      <c r="F157" s="27"/>
      <c r="G157" s="207"/>
      <c r="H157" s="68"/>
      <c r="I157" s="68"/>
      <c r="J157" s="68"/>
      <c r="K157" s="68"/>
      <c r="L157" s="68"/>
      <c r="M157" s="68"/>
      <c r="N157" s="68"/>
      <c r="O157" s="68"/>
      <c r="P157" s="68"/>
      <c r="Q157" s="68"/>
      <c r="R157" s="68"/>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39"/>
      <c r="E158" s="86">
        <v>1</v>
      </c>
      <c r="F158" s="27"/>
      <c r="G158" s="208"/>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39"/>
      <c r="E159" s="86">
        <v>2</v>
      </c>
      <c r="F159" s="27"/>
      <c r="G159" s="209"/>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39"/>
      <c r="E160" s="86">
        <v>3</v>
      </c>
      <c r="F160" s="27"/>
      <c r="G160" s="209"/>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39"/>
      <c r="E161" s="86">
        <v>4</v>
      </c>
      <c r="F161" s="27"/>
      <c r="G161" s="209"/>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39"/>
      <c r="E162" s="86">
        <v>5</v>
      </c>
      <c r="F162" s="27"/>
      <c r="G162" s="209"/>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39"/>
      <c r="E163" s="86">
        <v>6</v>
      </c>
      <c r="F163" s="27"/>
      <c r="G163" s="209"/>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39"/>
      <c r="E164" s="86">
        <v>7</v>
      </c>
      <c r="F164" s="27"/>
      <c r="G164" s="209"/>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39"/>
      <c r="E165" s="86">
        <v>8</v>
      </c>
      <c r="F165" s="27"/>
      <c r="G165" s="209"/>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39"/>
      <c r="E166" s="86">
        <v>9</v>
      </c>
      <c r="F166" s="27"/>
      <c r="G166" s="209"/>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39"/>
      <c r="E167" s="86">
        <v>10</v>
      </c>
      <c r="F167" s="27"/>
      <c r="G167" s="209"/>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39"/>
      <c r="E168" s="87">
        <v>11</v>
      </c>
      <c r="F168" s="27"/>
      <c r="G168" s="209"/>
      <c r="H168" s="150"/>
      <c r="I168" s="150"/>
      <c r="J168" s="150"/>
      <c r="K168" s="150"/>
      <c r="L168" s="150"/>
      <c r="M168" s="150"/>
      <c r="N168" s="150"/>
      <c r="O168" s="150"/>
      <c r="P168" s="189"/>
      <c r="Q168" s="149"/>
      <c r="R168" s="68"/>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10">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6">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38" t="s">
        <v>84</v>
      </c>
      <c r="E171" s="86">
        <v>0</v>
      </c>
      <c r="F171" s="27"/>
      <c r="G171" s="207"/>
      <c r="H171" s="68"/>
      <c r="I171" s="68"/>
      <c r="J171" s="68"/>
      <c r="K171" s="68"/>
      <c r="L171" s="68"/>
      <c r="M171" s="68"/>
      <c r="N171" s="68"/>
      <c r="O171" s="68"/>
      <c r="P171" s="68"/>
      <c r="Q171" s="68"/>
      <c r="R171" s="68"/>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39"/>
      <c r="E172" s="86">
        <v>1</v>
      </c>
      <c r="F172" s="27"/>
      <c r="G172" s="208"/>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39"/>
      <c r="E173" s="86">
        <v>2</v>
      </c>
      <c r="F173" s="27"/>
      <c r="G173" s="209"/>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39"/>
      <c r="E174" s="86">
        <v>3</v>
      </c>
      <c r="F174" s="27"/>
      <c r="G174" s="209"/>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39"/>
      <c r="E175" s="86">
        <v>4</v>
      </c>
      <c r="F175" s="27"/>
      <c r="G175" s="209"/>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39"/>
      <c r="E176" s="86">
        <v>5</v>
      </c>
      <c r="F176" s="27"/>
      <c r="G176" s="209"/>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39"/>
      <c r="E177" s="86">
        <v>6</v>
      </c>
      <c r="F177" s="27"/>
      <c r="G177" s="209"/>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39"/>
      <c r="E178" s="86">
        <v>7</v>
      </c>
      <c r="F178" s="27"/>
      <c r="G178" s="209"/>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39"/>
      <c r="E179" s="86">
        <v>8</v>
      </c>
      <c r="F179" s="27"/>
      <c r="G179" s="209"/>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39"/>
      <c r="E180" s="86">
        <v>9</v>
      </c>
      <c r="F180" s="27"/>
      <c r="G180" s="209"/>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39"/>
      <c r="E181" s="86">
        <v>10</v>
      </c>
      <c r="F181" s="27"/>
      <c r="G181" s="209"/>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39"/>
      <c r="E182" s="87">
        <v>11</v>
      </c>
      <c r="F182" s="27"/>
      <c r="G182" s="209"/>
      <c r="H182" s="150"/>
      <c r="I182" s="150"/>
      <c r="J182" s="150"/>
      <c r="K182" s="150"/>
      <c r="L182" s="150"/>
      <c r="M182" s="150"/>
      <c r="N182" s="150"/>
      <c r="O182" s="150"/>
      <c r="P182" s="189"/>
      <c r="Q182" s="149"/>
      <c r="R182" s="68"/>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10">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6">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38" t="s">
        <v>84</v>
      </c>
      <c r="E185" s="86">
        <v>0</v>
      </c>
      <c r="F185" s="27"/>
      <c r="G185" s="207"/>
      <c r="H185" s="68"/>
      <c r="I185" s="68"/>
      <c r="J185" s="68"/>
      <c r="K185" s="68"/>
      <c r="L185" s="68"/>
      <c r="M185" s="68"/>
      <c r="N185" s="68"/>
      <c r="O185" s="68"/>
      <c r="P185" s="68"/>
      <c r="Q185" s="68"/>
      <c r="R185" s="68"/>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39"/>
      <c r="E186" s="86">
        <v>1</v>
      </c>
      <c r="F186" s="27"/>
      <c r="G186" s="208"/>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39"/>
      <c r="E187" s="86">
        <v>2</v>
      </c>
      <c r="F187" s="27"/>
      <c r="G187" s="209"/>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39"/>
      <c r="E188" s="86">
        <v>3</v>
      </c>
      <c r="F188" s="27"/>
      <c r="G188" s="209"/>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39"/>
      <c r="E189" s="86">
        <v>4</v>
      </c>
      <c r="F189" s="27"/>
      <c r="G189" s="209"/>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39"/>
      <c r="E190" s="86">
        <v>5</v>
      </c>
      <c r="F190" s="27"/>
      <c r="G190" s="209"/>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39"/>
      <c r="E191" s="86">
        <v>6</v>
      </c>
      <c r="F191" s="27"/>
      <c r="G191" s="209"/>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39"/>
      <c r="E192" s="86">
        <v>7</v>
      </c>
      <c r="F192" s="27"/>
      <c r="G192" s="209"/>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39"/>
      <c r="E193" s="86">
        <v>8</v>
      </c>
      <c r="F193" s="27"/>
      <c r="G193" s="209"/>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39"/>
      <c r="E194" s="86">
        <v>9</v>
      </c>
      <c r="F194" s="27"/>
      <c r="G194" s="209"/>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39"/>
      <c r="E195" s="86">
        <v>10</v>
      </c>
      <c r="F195" s="27"/>
      <c r="G195" s="209"/>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39"/>
      <c r="E196" s="87">
        <v>11</v>
      </c>
      <c r="F196" s="27"/>
      <c r="G196" s="209"/>
      <c r="H196" s="150"/>
      <c r="I196" s="150"/>
      <c r="J196" s="150"/>
      <c r="K196" s="150"/>
      <c r="L196" s="150"/>
      <c r="M196" s="150"/>
      <c r="N196" s="150"/>
      <c r="O196" s="150"/>
      <c r="P196" s="189"/>
      <c r="Q196" s="149"/>
      <c r="R196" s="68"/>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10">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6">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38" t="s">
        <v>84</v>
      </c>
      <c r="E199" s="86">
        <v>0</v>
      </c>
      <c r="F199" s="27"/>
      <c r="G199" s="207"/>
      <c r="H199" s="68"/>
      <c r="I199" s="68"/>
      <c r="J199" s="68"/>
      <c r="K199" s="68"/>
      <c r="L199" s="68"/>
      <c r="M199" s="68"/>
      <c r="N199" s="68"/>
      <c r="O199" s="68"/>
      <c r="P199" s="68"/>
      <c r="Q199" s="68"/>
      <c r="R199" s="68"/>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39"/>
      <c r="E200" s="86">
        <v>1</v>
      </c>
      <c r="F200" s="27"/>
      <c r="G200" s="208"/>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39"/>
      <c r="E201" s="86">
        <v>2</v>
      </c>
      <c r="F201" s="27"/>
      <c r="G201" s="209"/>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39"/>
      <c r="E202" s="86">
        <v>3</v>
      </c>
      <c r="F202" s="27"/>
      <c r="G202" s="209"/>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39"/>
      <c r="E203" s="86">
        <v>4</v>
      </c>
      <c r="F203" s="27"/>
      <c r="G203" s="209"/>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39"/>
      <c r="E204" s="86">
        <v>5</v>
      </c>
      <c r="F204" s="27"/>
      <c r="G204" s="209"/>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39"/>
      <c r="E205" s="86">
        <v>6</v>
      </c>
      <c r="F205" s="27"/>
      <c r="G205" s="209"/>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39"/>
      <c r="E206" s="86">
        <v>7</v>
      </c>
      <c r="F206" s="27"/>
      <c r="G206" s="209"/>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39"/>
      <c r="E207" s="86">
        <v>8</v>
      </c>
      <c r="F207" s="27"/>
      <c r="G207" s="209"/>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39"/>
      <c r="E208" s="86">
        <v>9</v>
      </c>
      <c r="F208" s="27"/>
      <c r="G208" s="209"/>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39"/>
      <c r="E209" s="86">
        <v>10</v>
      </c>
      <c r="F209" s="27"/>
      <c r="G209" s="209"/>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39"/>
      <c r="E210" s="87">
        <v>11</v>
      </c>
      <c r="F210" s="27"/>
      <c r="G210" s="209"/>
      <c r="H210" s="150"/>
      <c r="I210" s="150"/>
      <c r="J210" s="150"/>
      <c r="K210" s="150"/>
      <c r="L210" s="150"/>
      <c r="M210" s="150"/>
      <c r="N210" s="150"/>
      <c r="O210" s="150"/>
      <c r="P210" s="189"/>
      <c r="Q210" s="149"/>
      <c r="R210" s="68"/>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10">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6">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38" t="s">
        <v>84</v>
      </c>
      <c r="E213" s="86">
        <v>0</v>
      </c>
      <c r="F213" s="27"/>
      <c r="G213" s="207"/>
      <c r="H213" s="68"/>
      <c r="I213" s="68"/>
      <c r="J213" s="68"/>
      <c r="K213" s="68"/>
      <c r="L213" s="68"/>
      <c r="M213" s="68"/>
      <c r="N213" s="68"/>
      <c r="O213" s="68"/>
      <c r="P213" s="68"/>
      <c r="Q213" s="68"/>
      <c r="R213" s="68"/>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39"/>
      <c r="E214" s="86">
        <v>1</v>
      </c>
      <c r="F214" s="27"/>
      <c r="G214" s="208"/>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39"/>
      <c r="E215" s="86">
        <v>2</v>
      </c>
      <c r="F215" s="27"/>
      <c r="G215" s="209"/>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39"/>
      <c r="E216" s="86">
        <v>3</v>
      </c>
      <c r="F216" s="27"/>
      <c r="G216" s="209"/>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39"/>
      <c r="E217" s="86">
        <v>4</v>
      </c>
      <c r="F217" s="27"/>
      <c r="G217" s="209"/>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39"/>
      <c r="E218" s="86">
        <v>5</v>
      </c>
      <c r="F218" s="27"/>
      <c r="G218" s="209"/>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39"/>
      <c r="E219" s="86">
        <v>6</v>
      </c>
      <c r="F219" s="27"/>
      <c r="G219" s="209"/>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39"/>
      <c r="E220" s="86">
        <v>7</v>
      </c>
      <c r="F220" s="27"/>
      <c r="G220" s="209"/>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39"/>
      <c r="E221" s="86">
        <v>8</v>
      </c>
      <c r="F221" s="27"/>
      <c r="G221" s="209"/>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39"/>
      <c r="E222" s="86">
        <v>9</v>
      </c>
      <c r="F222" s="27"/>
      <c r="G222" s="209"/>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39"/>
      <c r="E223" s="86">
        <v>10</v>
      </c>
      <c r="F223" s="27"/>
      <c r="G223" s="209"/>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39"/>
      <c r="E224" s="87">
        <v>11</v>
      </c>
      <c r="F224" s="27"/>
      <c r="G224" s="209"/>
      <c r="H224" s="150"/>
      <c r="I224" s="150"/>
      <c r="J224" s="150"/>
      <c r="K224" s="150"/>
      <c r="L224" s="150"/>
      <c r="M224" s="150"/>
      <c r="N224" s="150"/>
      <c r="O224" s="150"/>
      <c r="P224" s="189"/>
      <c r="Q224" s="149"/>
      <c r="R224" s="68"/>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10">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6">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38" t="s">
        <v>84</v>
      </c>
      <c r="E227" s="86">
        <v>0</v>
      </c>
      <c r="F227" s="27"/>
      <c r="G227" s="207"/>
      <c r="H227" s="68"/>
      <c r="I227" s="68"/>
      <c r="J227" s="68"/>
      <c r="K227" s="68"/>
      <c r="L227" s="68"/>
      <c r="M227" s="68"/>
      <c r="N227" s="68"/>
      <c r="O227" s="68"/>
      <c r="P227" s="68"/>
      <c r="Q227" s="68"/>
      <c r="R227" s="68"/>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39"/>
      <c r="E228" s="86">
        <v>1</v>
      </c>
      <c r="F228" s="27"/>
      <c r="G228" s="208"/>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39"/>
      <c r="E229" s="86">
        <v>2</v>
      </c>
      <c r="F229" s="27"/>
      <c r="G229" s="209"/>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39"/>
      <c r="E230" s="86">
        <v>3</v>
      </c>
      <c r="F230" s="27"/>
      <c r="G230" s="209"/>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39"/>
      <c r="E231" s="86">
        <v>4</v>
      </c>
      <c r="F231" s="27"/>
      <c r="G231" s="209"/>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39"/>
      <c r="E232" s="86">
        <v>5</v>
      </c>
      <c r="F232" s="27"/>
      <c r="G232" s="209"/>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39"/>
      <c r="E233" s="86">
        <v>6</v>
      </c>
      <c r="F233" s="27"/>
      <c r="G233" s="209"/>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39"/>
      <c r="E234" s="86">
        <v>7</v>
      </c>
      <c r="F234" s="27"/>
      <c r="G234" s="209"/>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39"/>
      <c r="E235" s="86">
        <v>8</v>
      </c>
      <c r="F235" s="27"/>
      <c r="G235" s="209"/>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39"/>
      <c r="E236" s="86">
        <v>9</v>
      </c>
      <c r="F236" s="27"/>
      <c r="G236" s="209"/>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39"/>
      <c r="E237" s="86">
        <v>10</v>
      </c>
      <c r="F237" s="27"/>
      <c r="G237" s="209"/>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39"/>
      <c r="E238" s="87">
        <v>11</v>
      </c>
      <c r="F238" s="27"/>
      <c r="G238" s="209"/>
      <c r="H238" s="150"/>
      <c r="I238" s="150"/>
      <c r="J238" s="150"/>
      <c r="K238" s="150"/>
      <c r="L238" s="150"/>
      <c r="M238" s="150"/>
      <c r="N238" s="150"/>
      <c r="O238" s="150"/>
      <c r="P238" s="189"/>
      <c r="Q238" s="149"/>
      <c r="R238" s="68"/>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10">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6">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38" t="s">
        <v>84</v>
      </c>
      <c r="E241" s="86">
        <v>0</v>
      </c>
      <c r="F241" s="27"/>
      <c r="G241" s="207"/>
      <c r="H241" s="68"/>
      <c r="I241" s="68"/>
      <c r="J241" s="68"/>
      <c r="K241" s="68"/>
      <c r="L241" s="68"/>
      <c r="M241" s="68"/>
      <c r="N241" s="68"/>
      <c r="O241" s="68"/>
      <c r="P241" s="68"/>
      <c r="Q241" s="68"/>
      <c r="R241" s="68"/>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39"/>
      <c r="E242" s="86">
        <v>1</v>
      </c>
      <c r="F242" s="27"/>
      <c r="G242" s="208"/>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39"/>
      <c r="E243" s="86">
        <v>2</v>
      </c>
      <c r="F243" s="27"/>
      <c r="G243" s="209"/>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39"/>
      <c r="E244" s="86">
        <v>3</v>
      </c>
      <c r="F244" s="27"/>
      <c r="G244" s="209"/>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39"/>
      <c r="E245" s="86">
        <v>4</v>
      </c>
      <c r="F245" s="27"/>
      <c r="G245" s="209"/>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39"/>
      <c r="E246" s="86">
        <v>5</v>
      </c>
      <c r="F246" s="27"/>
      <c r="G246" s="209"/>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39"/>
      <c r="E247" s="86">
        <v>6</v>
      </c>
      <c r="F247" s="27"/>
      <c r="G247" s="209"/>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39"/>
      <c r="E248" s="86">
        <v>7</v>
      </c>
      <c r="F248" s="27"/>
      <c r="G248" s="209"/>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39"/>
      <c r="E249" s="86">
        <v>8</v>
      </c>
      <c r="F249" s="27"/>
      <c r="G249" s="209"/>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39"/>
      <c r="E250" s="86">
        <v>9</v>
      </c>
      <c r="F250" s="27"/>
      <c r="G250" s="209"/>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39"/>
      <c r="E251" s="86">
        <v>10</v>
      </c>
      <c r="F251" s="27"/>
      <c r="G251" s="209"/>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39"/>
      <c r="E252" s="87">
        <v>11</v>
      </c>
      <c r="F252" s="27"/>
      <c r="G252" s="209"/>
      <c r="H252" s="150"/>
      <c r="I252" s="150"/>
      <c r="J252" s="150"/>
      <c r="K252" s="150"/>
      <c r="L252" s="150"/>
      <c r="M252" s="150"/>
      <c r="N252" s="150"/>
      <c r="O252" s="150"/>
      <c r="P252" s="189"/>
      <c r="Q252" s="149"/>
      <c r="R252" s="68"/>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10">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6">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38" t="s">
        <v>84</v>
      </c>
      <c r="E255" s="86">
        <v>0</v>
      </c>
      <c r="F255" s="27"/>
      <c r="G255" s="207"/>
      <c r="H255" s="68"/>
      <c r="I255" s="68"/>
      <c r="J255" s="68"/>
      <c r="K255" s="68"/>
      <c r="L255" s="68"/>
      <c r="M255" s="68"/>
      <c r="N255" s="68"/>
      <c r="O255" s="68"/>
      <c r="P255" s="68"/>
      <c r="Q255" s="68"/>
      <c r="R255" s="68"/>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39"/>
      <c r="E256" s="86">
        <v>1</v>
      </c>
      <c r="F256" s="27"/>
      <c r="G256" s="208"/>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39"/>
      <c r="E257" s="86">
        <v>2</v>
      </c>
      <c r="F257" s="27"/>
      <c r="G257" s="209"/>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39"/>
      <c r="E258" s="86">
        <v>3</v>
      </c>
      <c r="F258" s="27"/>
      <c r="G258" s="209"/>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39"/>
      <c r="E259" s="86">
        <v>4</v>
      </c>
      <c r="F259" s="27"/>
      <c r="G259" s="209"/>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39"/>
      <c r="E260" s="86">
        <v>5</v>
      </c>
      <c r="F260" s="27"/>
      <c r="G260" s="209"/>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39"/>
      <c r="E261" s="86">
        <v>6</v>
      </c>
      <c r="F261" s="27"/>
      <c r="G261" s="209"/>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39"/>
      <c r="E262" s="86">
        <v>7</v>
      </c>
      <c r="F262" s="27"/>
      <c r="G262" s="209"/>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39"/>
      <c r="E263" s="86">
        <v>8</v>
      </c>
      <c r="F263" s="27"/>
      <c r="G263" s="209"/>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39"/>
      <c r="E264" s="86">
        <v>9</v>
      </c>
      <c r="F264" s="27"/>
      <c r="G264" s="209"/>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39"/>
      <c r="E265" s="86">
        <v>10</v>
      </c>
      <c r="F265" s="27"/>
      <c r="G265" s="209"/>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39"/>
      <c r="E266" s="87">
        <v>11</v>
      </c>
      <c r="F266" s="27"/>
      <c r="G266" s="209"/>
      <c r="H266" s="150"/>
      <c r="I266" s="150"/>
      <c r="J266" s="150"/>
      <c r="K266" s="150"/>
      <c r="L266" s="150"/>
      <c r="M266" s="150"/>
      <c r="N266" s="150"/>
      <c r="O266" s="150"/>
      <c r="P266" s="189"/>
      <c r="Q266" s="149"/>
      <c r="R266" s="68"/>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10">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6">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38" t="s">
        <v>84</v>
      </c>
      <c r="E269" s="86">
        <v>0</v>
      </c>
      <c r="F269" s="27"/>
      <c r="G269" s="207"/>
      <c r="H269" s="68"/>
      <c r="I269" s="68"/>
      <c r="J269" s="68"/>
      <c r="K269" s="68"/>
      <c r="L269" s="68"/>
      <c r="M269" s="68"/>
      <c r="N269" s="68"/>
      <c r="O269" s="68"/>
      <c r="P269" s="68"/>
      <c r="Q269" s="68"/>
      <c r="R269" s="68"/>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39"/>
      <c r="E270" s="86">
        <v>1</v>
      </c>
      <c r="F270" s="27"/>
      <c r="G270" s="208"/>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39"/>
      <c r="E271" s="86">
        <v>2</v>
      </c>
      <c r="F271" s="27"/>
      <c r="G271" s="209"/>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39"/>
      <c r="E272" s="86">
        <v>3</v>
      </c>
      <c r="F272" s="27"/>
      <c r="G272" s="209"/>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39"/>
      <c r="E273" s="86">
        <v>4</v>
      </c>
      <c r="F273" s="27"/>
      <c r="G273" s="209"/>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39"/>
      <c r="E274" s="86">
        <v>5</v>
      </c>
      <c r="F274" s="27"/>
      <c r="G274" s="209"/>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39"/>
      <c r="E275" s="86">
        <v>6</v>
      </c>
      <c r="F275" s="27"/>
      <c r="G275" s="209"/>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39"/>
      <c r="E276" s="86">
        <v>7</v>
      </c>
      <c r="F276" s="27"/>
      <c r="G276" s="209"/>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39"/>
      <c r="E277" s="86">
        <v>8</v>
      </c>
      <c r="F277" s="27"/>
      <c r="G277" s="209"/>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39"/>
      <c r="E278" s="86">
        <v>9</v>
      </c>
      <c r="F278" s="27"/>
      <c r="G278" s="209"/>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39"/>
      <c r="E279" s="86">
        <v>10</v>
      </c>
      <c r="F279" s="27"/>
      <c r="G279" s="209"/>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39"/>
      <c r="E280" s="87">
        <v>11</v>
      </c>
      <c r="F280" s="27"/>
      <c r="G280" s="209"/>
      <c r="H280" s="150"/>
      <c r="I280" s="150"/>
      <c r="J280" s="150"/>
      <c r="K280" s="150"/>
      <c r="L280" s="150"/>
      <c r="M280" s="150"/>
      <c r="N280" s="150"/>
      <c r="O280" s="150"/>
      <c r="P280" s="189"/>
      <c r="Q280" s="149"/>
      <c r="R280" s="68"/>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10">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6">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38" t="s">
        <v>84</v>
      </c>
      <c r="E283" s="86">
        <v>0</v>
      </c>
      <c r="F283" s="27"/>
      <c r="G283" s="207"/>
      <c r="H283" s="68"/>
      <c r="I283" s="68"/>
      <c r="J283" s="68"/>
      <c r="K283" s="68"/>
      <c r="L283" s="68"/>
      <c r="M283" s="68"/>
      <c r="N283" s="68"/>
      <c r="O283" s="68"/>
      <c r="P283" s="68"/>
      <c r="Q283" s="68"/>
      <c r="R283" s="68"/>
      <c r="S283" s="103"/>
      <c r="T283" s="103"/>
      <c r="U283" s="103"/>
      <c r="V283" s="103"/>
      <c r="W283" s="103"/>
      <c r="X283" s="103"/>
      <c r="Y283" s="103"/>
      <c r="Z283" s="103"/>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39"/>
      <c r="E284" s="86">
        <v>1</v>
      </c>
      <c r="F284" s="27"/>
      <c r="G284" s="208"/>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39"/>
      <c r="E285" s="86">
        <v>2</v>
      </c>
      <c r="F285" s="27"/>
      <c r="G285" s="209"/>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39"/>
      <c r="E286" s="86">
        <v>3</v>
      </c>
      <c r="F286" s="27"/>
      <c r="G286" s="209"/>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39"/>
      <c r="E287" s="86">
        <v>4</v>
      </c>
      <c r="F287" s="27"/>
      <c r="G287" s="209"/>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39"/>
      <c r="E288" s="86">
        <v>5</v>
      </c>
      <c r="F288" s="27"/>
      <c r="G288" s="209"/>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39"/>
      <c r="E289" s="86">
        <v>6</v>
      </c>
      <c r="F289" s="27"/>
      <c r="G289" s="209"/>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39"/>
      <c r="E290" s="86">
        <v>7</v>
      </c>
      <c r="F290" s="27"/>
      <c r="G290" s="209"/>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39"/>
      <c r="E291" s="86">
        <v>8</v>
      </c>
      <c r="F291" s="27"/>
      <c r="G291" s="209"/>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39"/>
      <c r="E292" s="86">
        <v>9</v>
      </c>
      <c r="F292" s="27"/>
      <c r="G292" s="209"/>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39"/>
      <c r="E293" s="86">
        <v>10</v>
      </c>
      <c r="F293" s="27"/>
      <c r="G293" s="209"/>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39"/>
      <c r="E294" s="87">
        <v>11</v>
      </c>
      <c r="F294" s="27"/>
      <c r="G294" s="209"/>
      <c r="H294" s="150"/>
      <c r="I294" s="150"/>
      <c r="J294" s="150"/>
      <c r="K294" s="150"/>
      <c r="L294" s="150"/>
      <c r="M294" s="150"/>
      <c r="N294" s="150"/>
      <c r="O294" s="150"/>
      <c r="P294" s="189"/>
      <c r="Q294" s="149"/>
      <c r="R294" s="68"/>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10">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6">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38" t="s">
        <v>84</v>
      </c>
      <c r="E297" s="86">
        <v>0</v>
      </c>
      <c r="F297" s="27"/>
      <c r="G297" s="207"/>
      <c r="H297" s="68"/>
      <c r="I297" s="68"/>
      <c r="J297" s="68"/>
      <c r="K297" s="68"/>
      <c r="L297" s="68"/>
      <c r="M297" s="68"/>
      <c r="N297" s="68"/>
      <c r="O297" s="68"/>
      <c r="P297" s="68"/>
      <c r="Q297" s="68"/>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39"/>
      <c r="E298" s="86">
        <v>1</v>
      </c>
      <c r="F298" s="27"/>
      <c r="G298" s="208"/>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39"/>
      <c r="E299" s="86">
        <v>2</v>
      </c>
      <c r="F299" s="27"/>
      <c r="G299" s="209"/>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39"/>
      <c r="E300" s="86">
        <v>3</v>
      </c>
      <c r="F300" s="27"/>
      <c r="G300" s="209"/>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39"/>
      <c r="E301" s="86">
        <v>4</v>
      </c>
      <c r="F301" s="27"/>
      <c r="G301" s="209"/>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39"/>
      <c r="E302" s="86">
        <v>5</v>
      </c>
      <c r="F302" s="27"/>
      <c r="G302" s="209"/>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39"/>
      <c r="E303" s="86">
        <v>6</v>
      </c>
      <c r="F303" s="27"/>
      <c r="G303" s="209"/>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39"/>
      <c r="E304" s="86">
        <v>7</v>
      </c>
      <c r="F304" s="27"/>
      <c r="G304" s="209"/>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39"/>
      <c r="E305" s="86">
        <v>8</v>
      </c>
      <c r="F305" s="27"/>
      <c r="G305" s="209"/>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39"/>
      <c r="E306" s="86">
        <v>9</v>
      </c>
      <c r="F306" s="27"/>
      <c r="G306" s="209"/>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39"/>
      <c r="E307" s="86">
        <v>10</v>
      </c>
      <c r="F307" s="27"/>
      <c r="G307" s="209"/>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39"/>
      <c r="E308" s="87">
        <v>11</v>
      </c>
      <c r="F308" s="27"/>
      <c r="G308" s="209"/>
      <c r="H308" s="150"/>
      <c r="I308" s="150"/>
      <c r="J308" s="150"/>
      <c r="K308" s="150"/>
      <c r="L308" s="150"/>
      <c r="M308" s="150"/>
      <c r="N308" s="150"/>
      <c r="O308" s="150"/>
      <c r="P308" s="189"/>
      <c r="Q308" s="149"/>
      <c r="R308" s="68"/>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10">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6">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38" t="s">
        <v>84</v>
      </c>
      <c r="E311" s="86">
        <v>0</v>
      </c>
      <c r="F311" s="27"/>
      <c r="G311" s="207"/>
      <c r="H311" s="68"/>
      <c r="I311" s="68"/>
      <c r="J311" s="68"/>
      <c r="K311" s="68"/>
      <c r="L311" s="68"/>
      <c r="M311" s="68"/>
      <c r="N311" s="68"/>
      <c r="O311" s="68"/>
      <c r="P311" s="68"/>
      <c r="Q311" s="68"/>
      <c r="R311" s="68"/>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39"/>
      <c r="E312" s="86">
        <v>1</v>
      </c>
      <c r="F312" s="27"/>
      <c r="G312" s="208"/>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39"/>
      <c r="E313" s="86">
        <v>2</v>
      </c>
      <c r="F313" s="27"/>
      <c r="G313" s="209"/>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39"/>
      <c r="E314" s="86">
        <v>3</v>
      </c>
      <c r="F314" s="27"/>
      <c r="G314" s="209"/>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39"/>
      <c r="E315" s="86">
        <v>4</v>
      </c>
      <c r="F315" s="27"/>
      <c r="G315" s="209"/>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39"/>
      <c r="E316" s="86">
        <v>5</v>
      </c>
      <c r="F316" s="27"/>
      <c r="G316" s="209"/>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39"/>
      <c r="E317" s="86">
        <v>6</v>
      </c>
      <c r="F317" s="27"/>
      <c r="G317" s="209"/>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39"/>
      <c r="E318" s="86">
        <v>7</v>
      </c>
      <c r="F318" s="27"/>
      <c r="G318" s="209"/>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39"/>
      <c r="E319" s="86">
        <v>8</v>
      </c>
      <c r="F319" s="27"/>
      <c r="G319" s="209"/>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39"/>
      <c r="E320" s="86">
        <v>9</v>
      </c>
      <c r="F320" s="27"/>
      <c r="G320" s="209"/>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39"/>
      <c r="E321" s="86">
        <v>10</v>
      </c>
      <c r="F321" s="27"/>
      <c r="G321" s="209"/>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39"/>
      <c r="E322" s="87">
        <v>11</v>
      </c>
      <c r="F322" s="27"/>
      <c r="G322" s="209"/>
      <c r="H322" s="150"/>
      <c r="I322" s="150"/>
      <c r="J322" s="150"/>
      <c r="K322" s="150"/>
      <c r="L322" s="150"/>
      <c r="M322" s="150"/>
      <c r="N322" s="150"/>
      <c r="O322" s="150"/>
      <c r="P322" s="189"/>
      <c r="Q322" s="149"/>
      <c r="R322" s="68"/>
      <c r="S322" s="103"/>
      <c r="T322" s="103"/>
      <c r="U322" s="103"/>
      <c r="V322" s="103"/>
      <c r="W322" s="103"/>
      <c r="X322" s="103"/>
      <c r="Y322" s="103"/>
      <c r="Z322" s="103"/>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10">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6">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38" t="s">
        <v>84</v>
      </c>
      <c r="E325" s="86">
        <v>0</v>
      </c>
      <c r="F325" s="27"/>
      <c r="G325" s="207"/>
      <c r="H325" s="68"/>
      <c r="I325" s="68"/>
      <c r="J325" s="68"/>
      <c r="K325" s="68"/>
      <c r="L325" s="68"/>
      <c r="M325" s="68"/>
      <c r="N325" s="68"/>
      <c r="O325" s="68"/>
      <c r="P325" s="68"/>
      <c r="Q325" s="68"/>
      <c r="R325" s="68"/>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39"/>
      <c r="E326" s="86">
        <v>1</v>
      </c>
      <c r="F326" s="27"/>
      <c r="G326" s="208"/>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39"/>
      <c r="E327" s="86">
        <v>2</v>
      </c>
      <c r="F327" s="27"/>
      <c r="G327" s="209"/>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39"/>
      <c r="E328" s="86">
        <v>3</v>
      </c>
      <c r="F328" s="27"/>
      <c r="G328" s="209"/>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39"/>
      <c r="E329" s="86">
        <v>4</v>
      </c>
      <c r="F329" s="27"/>
      <c r="G329" s="209"/>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39"/>
      <c r="E330" s="86">
        <v>5</v>
      </c>
      <c r="F330" s="27"/>
      <c r="G330" s="209"/>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39"/>
      <c r="E331" s="86">
        <v>6</v>
      </c>
      <c r="F331" s="27"/>
      <c r="G331" s="209"/>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39"/>
      <c r="E332" s="86">
        <v>7</v>
      </c>
      <c r="F332" s="27"/>
      <c r="G332" s="209"/>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39"/>
      <c r="E333" s="86">
        <v>8</v>
      </c>
      <c r="F333" s="27"/>
      <c r="G333" s="209"/>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39"/>
      <c r="E334" s="86">
        <v>9</v>
      </c>
      <c r="F334" s="27"/>
      <c r="G334" s="209"/>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39"/>
      <c r="E335" s="86">
        <v>10</v>
      </c>
      <c r="F335" s="27"/>
      <c r="G335" s="209"/>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39"/>
      <c r="E336" s="87">
        <v>11</v>
      </c>
      <c r="F336" s="27"/>
      <c r="G336" s="209"/>
      <c r="H336" s="150"/>
      <c r="I336" s="150"/>
      <c r="J336" s="150"/>
      <c r="K336" s="150"/>
      <c r="L336" s="150"/>
      <c r="M336" s="150"/>
      <c r="N336" s="150"/>
      <c r="O336" s="150"/>
      <c r="P336" s="189"/>
      <c r="Q336" s="149"/>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10">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6">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38" t="s">
        <v>84</v>
      </c>
      <c r="E339" s="86">
        <v>0</v>
      </c>
      <c r="F339" s="27"/>
      <c r="G339" s="207"/>
      <c r="H339" s="68"/>
      <c r="I339" s="68"/>
      <c r="J339" s="68"/>
      <c r="K339" s="68"/>
      <c r="L339" s="68"/>
      <c r="M339" s="68"/>
      <c r="N339" s="68"/>
      <c r="O339" s="68"/>
      <c r="P339" s="68"/>
      <c r="Q339" s="68"/>
      <c r="R339" s="68"/>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39"/>
      <c r="E340" s="86">
        <v>1</v>
      </c>
      <c r="F340" s="27"/>
      <c r="G340" s="208"/>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39"/>
      <c r="E341" s="86">
        <v>2</v>
      </c>
      <c r="F341" s="27"/>
      <c r="G341" s="209"/>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39"/>
      <c r="E342" s="86">
        <v>3</v>
      </c>
      <c r="F342" s="27"/>
      <c r="G342" s="209"/>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39"/>
      <c r="E343" s="86">
        <v>4</v>
      </c>
      <c r="F343" s="27"/>
      <c r="G343" s="209"/>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39"/>
      <c r="E344" s="86">
        <v>5</v>
      </c>
      <c r="F344" s="27"/>
      <c r="G344" s="209"/>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39"/>
      <c r="E345" s="86">
        <v>6</v>
      </c>
      <c r="F345" s="27"/>
      <c r="G345" s="209"/>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39"/>
      <c r="E346" s="86">
        <v>7</v>
      </c>
      <c r="F346" s="27"/>
      <c r="G346" s="209"/>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39"/>
      <c r="E347" s="86">
        <v>8</v>
      </c>
      <c r="F347" s="27"/>
      <c r="G347" s="209"/>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39"/>
      <c r="E348" s="86">
        <v>9</v>
      </c>
      <c r="F348" s="27"/>
      <c r="G348" s="209"/>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39"/>
      <c r="E349" s="86">
        <v>10</v>
      </c>
      <c r="F349" s="27"/>
      <c r="G349" s="209"/>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39"/>
      <c r="E350" s="87">
        <v>11</v>
      </c>
      <c r="F350" s="27"/>
      <c r="G350" s="209"/>
      <c r="H350" s="150"/>
      <c r="I350" s="150"/>
      <c r="J350" s="150"/>
      <c r="K350" s="150"/>
      <c r="L350" s="150"/>
      <c r="M350" s="150"/>
      <c r="N350" s="150"/>
      <c r="O350" s="150"/>
      <c r="P350" s="189"/>
      <c r="Q350" s="149"/>
      <c r="R350" s="68"/>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10">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6">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38" t="s">
        <v>84</v>
      </c>
      <c r="E353" s="86">
        <v>0</v>
      </c>
      <c r="F353" s="27"/>
      <c r="G353" s="207"/>
      <c r="H353" s="68"/>
      <c r="I353" s="68"/>
      <c r="J353" s="68"/>
      <c r="K353" s="68"/>
      <c r="L353" s="68"/>
      <c r="M353" s="68"/>
      <c r="N353" s="68"/>
      <c r="O353" s="68"/>
      <c r="P353" s="68"/>
      <c r="Q353" s="68"/>
      <c r="R353" s="68"/>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39"/>
      <c r="E354" s="86">
        <v>1</v>
      </c>
      <c r="F354" s="27"/>
      <c r="G354" s="208"/>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39"/>
      <c r="E355" s="86">
        <v>2</v>
      </c>
      <c r="F355" s="27"/>
      <c r="G355" s="209"/>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39"/>
      <c r="E356" s="86">
        <v>3</v>
      </c>
      <c r="F356" s="27"/>
      <c r="G356" s="209"/>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39"/>
      <c r="E357" s="86">
        <v>4</v>
      </c>
      <c r="F357" s="27"/>
      <c r="G357" s="209"/>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39"/>
      <c r="E358" s="86">
        <v>5</v>
      </c>
      <c r="F358" s="27"/>
      <c r="G358" s="209"/>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39"/>
      <c r="E359" s="86">
        <v>6</v>
      </c>
      <c r="F359" s="27"/>
      <c r="G359" s="209"/>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39"/>
      <c r="E360" s="86">
        <v>7</v>
      </c>
      <c r="F360" s="27"/>
      <c r="G360" s="209"/>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39"/>
      <c r="E361" s="86">
        <v>8</v>
      </c>
      <c r="F361" s="27"/>
      <c r="G361" s="209"/>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39"/>
      <c r="E362" s="86">
        <v>9</v>
      </c>
      <c r="F362" s="27"/>
      <c r="G362" s="209"/>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39"/>
      <c r="E363" s="86">
        <v>10</v>
      </c>
      <c r="F363" s="27"/>
      <c r="G363" s="209"/>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39"/>
      <c r="E364" s="87">
        <v>11</v>
      </c>
      <c r="F364" s="27"/>
      <c r="G364" s="209"/>
      <c r="H364" s="150"/>
      <c r="I364" s="150"/>
      <c r="J364" s="150"/>
      <c r="K364" s="150"/>
      <c r="L364" s="150"/>
      <c r="M364" s="150"/>
      <c r="N364" s="150"/>
      <c r="O364" s="150"/>
      <c r="P364" s="189"/>
      <c r="Q364" s="149"/>
      <c r="R364" s="68"/>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10">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6">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38" t="s">
        <v>84</v>
      </c>
      <c r="E367" s="86">
        <v>0</v>
      </c>
      <c r="F367" s="27"/>
      <c r="G367" s="207"/>
      <c r="H367" s="68"/>
      <c r="I367" s="68"/>
      <c r="J367" s="68"/>
      <c r="K367" s="68"/>
      <c r="L367" s="68"/>
      <c r="M367" s="68"/>
      <c r="N367" s="68"/>
      <c r="O367" s="68"/>
      <c r="P367" s="68"/>
      <c r="Q367" s="68"/>
      <c r="R367" s="68"/>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39"/>
      <c r="E368" s="86">
        <v>1</v>
      </c>
      <c r="F368" s="27"/>
      <c r="G368" s="208"/>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39"/>
      <c r="E369" s="86">
        <v>2</v>
      </c>
      <c r="F369" s="27"/>
      <c r="G369" s="209"/>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39"/>
      <c r="E370" s="86">
        <v>3</v>
      </c>
      <c r="F370" s="27"/>
      <c r="G370" s="209"/>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39"/>
      <c r="E371" s="86">
        <v>4</v>
      </c>
      <c r="F371" s="27"/>
      <c r="G371" s="209"/>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39"/>
      <c r="E372" s="86">
        <v>5</v>
      </c>
      <c r="F372" s="27"/>
      <c r="G372" s="209"/>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39"/>
      <c r="E373" s="86">
        <v>6</v>
      </c>
      <c r="F373" s="27"/>
      <c r="G373" s="209"/>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39"/>
      <c r="E374" s="86">
        <v>7</v>
      </c>
      <c r="F374" s="27"/>
      <c r="G374" s="209"/>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39"/>
      <c r="E375" s="86">
        <v>8</v>
      </c>
      <c r="F375" s="27"/>
      <c r="G375" s="209"/>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39"/>
      <c r="E376" s="86">
        <v>9</v>
      </c>
      <c r="F376" s="27"/>
      <c r="G376" s="209"/>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39"/>
      <c r="E377" s="86">
        <v>10</v>
      </c>
      <c r="F377" s="27"/>
      <c r="G377" s="209"/>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39"/>
      <c r="E378" s="87">
        <v>11</v>
      </c>
      <c r="F378" s="27"/>
      <c r="G378" s="209"/>
      <c r="H378" s="150"/>
      <c r="I378" s="150"/>
      <c r="J378" s="150"/>
      <c r="K378" s="150"/>
      <c r="L378" s="150"/>
      <c r="M378" s="150"/>
      <c r="N378" s="150"/>
      <c r="O378" s="150"/>
      <c r="P378" s="189"/>
      <c r="Q378" s="149"/>
      <c r="R378" s="68"/>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10">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6">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38" t="s">
        <v>84</v>
      </c>
      <c r="E381" s="86">
        <v>0</v>
      </c>
      <c r="F381" s="27"/>
      <c r="G381" s="207"/>
      <c r="H381" s="68"/>
      <c r="I381" s="68"/>
      <c r="J381" s="68"/>
      <c r="K381" s="68"/>
      <c r="L381" s="68"/>
      <c r="M381" s="68"/>
      <c r="N381" s="68"/>
      <c r="O381" s="68"/>
      <c r="P381" s="68"/>
      <c r="Q381" s="68"/>
      <c r="R381" s="68"/>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39"/>
      <c r="E382" s="86">
        <v>1</v>
      </c>
      <c r="F382" s="27"/>
      <c r="G382" s="208"/>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39"/>
      <c r="E383" s="86">
        <v>2</v>
      </c>
      <c r="F383" s="27"/>
      <c r="G383" s="209"/>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39"/>
      <c r="E384" s="86">
        <v>3</v>
      </c>
      <c r="F384" s="27"/>
      <c r="G384" s="209"/>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39"/>
      <c r="E385" s="86">
        <v>4</v>
      </c>
      <c r="F385" s="27"/>
      <c r="G385" s="209"/>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39"/>
      <c r="E386" s="86">
        <v>5</v>
      </c>
      <c r="F386" s="27"/>
      <c r="G386" s="209"/>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39"/>
      <c r="E387" s="86">
        <v>6</v>
      </c>
      <c r="F387" s="27"/>
      <c r="G387" s="209"/>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39"/>
      <c r="E388" s="86">
        <v>7</v>
      </c>
      <c r="F388" s="27"/>
      <c r="G388" s="209"/>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39"/>
      <c r="E389" s="86">
        <v>8</v>
      </c>
      <c r="F389" s="27"/>
      <c r="G389" s="209"/>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39"/>
      <c r="E390" s="86">
        <v>9</v>
      </c>
      <c r="F390" s="27"/>
      <c r="G390" s="209"/>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39"/>
      <c r="E391" s="86">
        <v>10</v>
      </c>
      <c r="F391" s="27"/>
      <c r="G391" s="209"/>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39"/>
      <c r="E392" s="87">
        <v>11</v>
      </c>
      <c r="F392" s="27"/>
      <c r="G392" s="209"/>
      <c r="H392" s="150"/>
      <c r="I392" s="150"/>
      <c r="J392" s="150"/>
      <c r="K392" s="150"/>
      <c r="L392" s="150"/>
      <c r="M392" s="150"/>
      <c r="N392" s="150"/>
      <c r="O392" s="150"/>
      <c r="P392" s="189"/>
      <c r="Q392" s="149"/>
      <c r="R392" s="68"/>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10">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6">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38" t="s">
        <v>84</v>
      </c>
      <c r="E395" s="86">
        <v>0</v>
      </c>
      <c r="F395" s="27"/>
      <c r="G395" s="207"/>
      <c r="H395" s="68"/>
      <c r="I395" s="68"/>
      <c r="J395" s="68"/>
      <c r="K395" s="68"/>
      <c r="L395" s="68"/>
      <c r="M395" s="68"/>
      <c r="N395" s="68"/>
      <c r="O395" s="68"/>
      <c r="P395" s="68"/>
      <c r="Q395" s="68"/>
      <c r="R395" s="68"/>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39"/>
      <c r="E396" s="86">
        <v>1</v>
      </c>
      <c r="F396" s="27"/>
      <c r="G396" s="208"/>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39"/>
      <c r="E397" s="86">
        <v>2</v>
      </c>
      <c r="F397" s="27"/>
      <c r="G397" s="209"/>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39"/>
      <c r="E398" s="86">
        <v>3</v>
      </c>
      <c r="F398" s="27"/>
      <c r="G398" s="209"/>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39"/>
      <c r="E399" s="86">
        <v>4</v>
      </c>
      <c r="F399" s="27"/>
      <c r="G399" s="209"/>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39"/>
      <c r="E400" s="86">
        <v>5</v>
      </c>
      <c r="F400" s="27"/>
      <c r="G400" s="209"/>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39"/>
      <c r="E401" s="86">
        <v>6</v>
      </c>
      <c r="F401" s="27"/>
      <c r="G401" s="209"/>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39"/>
      <c r="E402" s="86">
        <v>7</v>
      </c>
      <c r="F402" s="27"/>
      <c r="G402" s="209"/>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39"/>
      <c r="E403" s="86">
        <v>8</v>
      </c>
      <c r="F403" s="27"/>
      <c r="G403" s="209"/>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39"/>
      <c r="E404" s="86">
        <v>9</v>
      </c>
      <c r="F404" s="27"/>
      <c r="G404" s="209"/>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39"/>
      <c r="E405" s="86">
        <v>10</v>
      </c>
      <c r="F405" s="27"/>
      <c r="G405" s="209"/>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39"/>
      <c r="E406" s="87">
        <v>11</v>
      </c>
      <c r="F406" s="27"/>
      <c r="G406" s="209"/>
      <c r="H406" s="150"/>
      <c r="I406" s="150"/>
      <c r="J406" s="150"/>
      <c r="K406" s="150"/>
      <c r="L406" s="150"/>
      <c r="M406" s="150"/>
      <c r="N406" s="150"/>
      <c r="O406" s="150"/>
      <c r="P406" s="189"/>
      <c r="Q406" s="149"/>
      <c r="R406" s="68"/>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10">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6">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38" t="s">
        <v>84</v>
      </c>
      <c r="E409" s="86">
        <v>0</v>
      </c>
      <c r="F409" s="27"/>
      <c r="G409" s="207"/>
      <c r="H409" s="68"/>
      <c r="I409" s="68"/>
      <c r="J409" s="68"/>
      <c r="K409" s="68"/>
      <c r="L409" s="68"/>
      <c r="M409" s="68"/>
      <c r="N409" s="68"/>
      <c r="O409" s="68"/>
      <c r="P409" s="68"/>
      <c r="Q409" s="68"/>
      <c r="R409" s="68"/>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39"/>
      <c r="E410" s="86">
        <v>1</v>
      </c>
      <c r="F410" s="27"/>
      <c r="G410" s="208"/>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39"/>
      <c r="E411" s="86">
        <v>2</v>
      </c>
      <c r="F411" s="27"/>
      <c r="G411" s="209"/>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39"/>
      <c r="E412" s="86">
        <v>3</v>
      </c>
      <c r="F412" s="27"/>
      <c r="G412" s="209"/>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39"/>
      <c r="E413" s="86">
        <v>4</v>
      </c>
      <c r="F413" s="27"/>
      <c r="G413" s="209"/>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39"/>
      <c r="E414" s="86">
        <v>5</v>
      </c>
      <c r="F414" s="27"/>
      <c r="G414" s="209"/>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39"/>
      <c r="E415" s="86">
        <v>6</v>
      </c>
      <c r="F415" s="27"/>
      <c r="G415" s="209"/>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39"/>
      <c r="E416" s="86">
        <v>7</v>
      </c>
      <c r="F416" s="27"/>
      <c r="G416" s="209"/>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39"/>
      <c r="E417" s="86">
        <v>8</v>
      </c>
      <c r="F417" s="27"/>
      <c r="G417" s="209"/>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39"/>
      <c r="E418" s="86">
        <v>9</v>
      </c>
      <c r="F418" s="27"/>
      <c r="G418" s="209"/>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39"/>
      <c r="E419" s="86">
        <v>10</v>
      </c>
      <c r="F419" s="27"/>
      <c r="G419" s="209"/>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39"/>
      <c r="E420" s="87">
        <v>11</v>
      </c>
      <c r="F420" s="27"/>
      <c r="G420" s="209"/>
      <c r="H420" s="150"/>
      <c r="I420" s="150"/>
      <c r="J420" s="150"/>
      <c r="K420" s="150"/>
      <c r="L420" s="150"/>
      <c r="M420" s="150"/>
      <c r="N420" s="150"/>
      <c r="O420" s="150"/>
      <c r="P420" s="189"/>
      <c r="Q420" s="149"/>
      <c r="R420" s="68"/>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10">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6">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38" t="s">
        <v>84</v>
      </c>
      <c r="E423" s="86">
        <v>0</v>
      </c>
      <c r="F423" s="27"/>
      <c r="G423" s="207"/>
      <c r="H423" s="68"/>
      <c r="I423" s="68"/>
      <c r="J423" s="68"/>
      <c r="K423" s="68"/>
      <c r="L423" s="68"/>
      <c r="M423" s="68"/>
      <c r="N423" s="68"/>
      <c r="O423" s="68"/>
      <c r="P423" s="68"/>
      <c r="Q423" s="68"/>
      <c r="R423" s="68"/>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39"/>
      <c r="E424" s="86">
        <v>1</v>
      </c>
      <c r="F424" s="27"/>
      <c r="G424" s="208"/>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39"/>
      <c r="E425" s="86">
        <v>2</v>
      </c>
      <c r="F425" s="27"/>
      <c r="G425" s="209"/>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39"/>
      <c r="E426" s="86">
        <v>3</v>
      </c>
      <c r="F426" s="27"/>
      <c r="G426" s="209"/>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39"/>
      <c r="E427" s="86">
        <v>4</v>
      </c>
      <c r="F427" s="27"/>
      <c r="G427" s="209"/>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39"/>
      <c r="E428" s="86">
        <v>5</v>
      </c>
      <c r="F428" s="27"/>
      <c r="G428" s="209"/>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39"/>
      <c r="E429" s="86">
        <v>6</v>
      </c>
      <c r="F429" s="27"/>
      <c r="G429" s="209"/>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39"/>
      <c r="E430" s="86">
        <v>7</v>
      </c>
      <c r="F430" s="27"/>
      <c r="G430" s="209"/>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39"/>
      <c r="E431" s="86">
        <v>8</v>
      </c>
      <c r="F431" s="27"/>
      <c r="G431" s="209"/>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39"/>
      <c r="E432" s="86">
        <v>9</v>
      </c>
      <c r="F432" s="27"/>
      <c r="G432" s="209"/>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39"/>
      <c r="E433" s="86">
        <v>10</v>
      </c>
      <c r="F433" s="27"/>
      <c r="G433" s="209"/>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39"/>
      <c r="E434" s="87">
        <v>11</v>
      </c>
      <c r="F434" s="27"/>
      <c r="G434" s="209"/>
      <c r="H434" s="150"/>
      <c r="I434" s="150"/>
      <c r="J434" s="150"/>
      <c r="K434" s="150"/>
      <c r="L434" s="150"/>
      <c r="M434" s="150"/>
      <c r="N434" s="150"/>
      <c r="O434" s="150"/>
      <c r="P434" s="189"/>
      <c r="Q434" s="149"/>
      <c r="R434" s="68"/>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10">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6">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38" t="s">
        <v>84</v>
      </c>
      <c r="E437" s="86">
        <v>0</v>
      </c>
      <c r="F437" s="27"/>
      <c r="G437" s="207"/>
      <c r="H437" s="68"/>
      <c r="I437" s="68"/>
      <c r="J437" s="68"/>
      <c r="K437" s="68"/>
      <c r="L437" s="68"/>
      <c r="M437" s="68"/>
      <c r="N437" s="68"/>
      <c r="O437" s="68"/>
      <c r="P437" s="68"/>
      <c r="Q437" s="68"/>
      <c r="R437" s="68"/>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39"/>
      <c r="E438" s="86">
        <v>1</v>
      </c>
      <c r="F438" s="27"/>
      <c r="G438" s="208"/>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39"/>
      <c r="E439" s="86">
        <v>2</v>
      </c>
      <c r="F439" s="27"/>
      <c r="G439" s="209"/>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39"/>
      <c r="E440" s="86">
        <v>3</v>
      </c>
      <c r="F440" s="27"/>
      <c r="G440" s="209"/>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39"/>
      <c r="E441" s="86">
        <v>4</v>
      </c>
      <c r="F441" s="27"/>
      <c r="G441" s="209"/>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39"/>
      <c r="E442" s="86">
        <v>5</v>
      </c>
      <c r="F442" s="27"/>
      <c r="G442" s="209"/>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39"/>
      <c r="E443" s="86">
        <v>6</v>
      </c>
      <c r="F443" s="27"/>
      <c r="G443" s="209"/>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39"/>
      <c r="E444" s="86">
        <v>7</v>
      </c>
      <c r="F444" s="27"/>
      <c r="G444" s="209"/>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39"/>
      <c r="E445" s="86">
        <v>8</v>
      </c>
      <c r="F445" s="27"/>
      <c r="G445" s="209"/>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39"/>
      <c r="E446" s="86">
        <v>9</v>
      </c>
      <c r="F446" s="27"/>
      <c r="G446" s="209"/>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39"/>
      <c r="E447" s="86">
        <v>10</v>
      </c>
      <c r="F447" s="27"/>
      <c r="G447" s="209"/>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39"/>
      <c r="E448" s="87">
        <v>11</v>
      </c>
      <c r="F448" s="27"/>
      <c r="G448" s="209"/>
      <c r="H448" s="150"/>
      <c r="I448" s="150"/>
      <c r="J448" s="150"/>
      <c r="K448" s="150"/>
      <c r="L448" s="150"/>
      <c r="M448" s="150"/>
      <c r="N448" s="150"/>
      <c r="O448" s="150"/>
      <c r="P448" s="189"/>
      <c r="Q448" s="149"/>
      <c r="R448" s="68"/>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10">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6">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38" t="s">
        <v>84</v>
      </c>
      <c r="E451" s="86">
        <v>0</v>
      </c>
      <c r="F451" s="27"/>
      <c r="G451" s="207"/>
      <c r="H451" s="68"/>
      <c r="I451" s="68"/>
      <c r="J451" s="68"/>
      <c r="K451" s="68"/>
      <c r="L451" s="68"/>
      <c r="M451" s="68"/>
      <c r="N451" s="68"/>
      <c r="O451" s="68"/>
      <c r="P451" s="68"/>
      <c r="Q451" s="68"/>
      <c r="R451" s="68"/>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39"/>
      <c r="E452" s="86">
        <v>1</v>
      </c>
      <c r="F452" s="27"/>
      <c r="G452" s="208"/>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39"/>
      <c r="E453" s="86">
        <v>2</v>
      </c>
      <c r="F453" s="27"/>
      <c r="G453" s="209"/>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39"/>
      <c r="E454" s="86">
        <v>3</v>
      </c>
      <c r="F454" s="27"/>
      <c r="G454" s="209"/>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39"/>
      <c r="E455" s="86">
        <v>4</v>
      </c>
      <c r="F455" s="27"/>
      <c r="G455" s="209"/>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39"/>
      <c r="E456" s="86">
        <v>5</v>
      </c>
      <c r="F456" s="27"/>
      <c r="G456" s="209"/>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39"/>
      <c r="E457" s="86">
        <v>6</v>
      </c>
      <c r="F457" s="27"/>
      <c r="G457" s="209"/>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39"/>
      <c r="E458" s="86">
        <v>7</v>
      </c>
      <c r="F458" s="27"/>
      <c r="G458" s="209"/>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39"/>
      <c r="E459" s="86">
        <v>8</v>
      </c>
      <c r="F459" s="27"/>
      <c r="G459" s="209"/>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39"/>
      <c r="E460" s="86">
        <v>9</v>
      </c>
      <c r="F460" s="27"/>
      <c r="G460" s="209"/>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39"/>
      <c r="E461" s="86">
        <v>10</v>
      </c>
      <c r="F461" s="27"/>
      <c r="G461" s="209"/>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39"/>
      <c r="E462" s="87">
        <v>11</v>
      </c>
      <c r="F462" s="27"/>
      <c r="G462" s="209"/>
      <c r="H462" s="150"/>
      <c r="I462" s="150"/>
      <c r="J462" s="150"/>
      <c r="K462" s="150"/>
      <c r="L462" s="150"/>
      <c r="M462" s="150"/>
      <c r="N462" s="150"/>
      <c r="O462" s="150"/>
      <c r="P462" s="189"/>
      <c r="Q462" s="149"/>
      <c r="R462" s="68"/>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10">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6">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38" t="s">
        <v>84</v>
      </c>
      <c r="E465" s="86">
        <v>0</v>
      </c>
      <c r="F465" s="27"/>
      <c r="G465" s="207"/>
      <c r="H465" s="68"/>
      <c r="I465" s="68"/>
      <c r="J465" s="68"/>
      <c r="K465" s="68"/>
      <c r="L465" s="68"/>
      <c r="M465" s="68"/>
      <c r="N465" s="68"/>
      <c r="O465" s="68"/>
      <c r="P465" s="68"/>
      <c r="Q465" s="68"/>
      <c r="R465" s="68"/>
      <c r="S465" s="103"/>
      <c r="T465" s="103"/>
      <c r="U465" s="103"/>
      <c r="V465" s="103"/>
      <c r="W465" s="103"/>
      <c r="X465" s="103"/>
      <c r="Y465" s="103"/>
      <c r="Z465" s="103"/>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39"/>
      <c r="E466" s="86">
        <v>1</v>
      </c>
      <c r="F466" s="27"/>
      <c r="G466" s="208"/>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39"/>
      <c r="E467" s="86">
        <v>2</v>
      </c>
      <c r="F467" s="27"/>
      <c r="G467" s="209"/>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39"/>
      <c r="E468" s="86">
        <v>3</v>
      </c>
      <c r="F468" s="27"/>
      <c r="G468" s="209"/>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39"/>
      <c r="E469" s="86">
        <v>4</v>
      </c>
      <c r="F469" s="27"/>
      <c r="G469" s="209"/>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39"/>
      <c r="E470" s="86">
        <v>5</v>
      </c>
      <c r="F470" s="27"/>
      <c r="G470" s="209"/>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39"/>
      <c r="E471" s="86">
        <v>6</v>
      </c>
      <c r="F471" s="27"/>
      <c r="G471" s="209"/>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39"/>
      <c r="E472" s="86">
        <v>7</v>
      </c>
      <c r="F472" s="27"/>
      <c r="G472" s="209"/>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39"/>
      <c r="E473" s="86">
        <v>8</v>
      </c>
      <c r="F473" s="27"/>
      <c r="G473" s="209"/>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39"/>
      <c r="E474" s="86">
        <v>9</v>
      </c>
      <c r="F474" s="27"/>
      <c r="G474" s="209"/>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39"/>
      <c r="E475" s="86">
        <v>10</v>
      </c>
      <c r="F475" s="27"/>
      <c r="G475" s="209"/>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39"/>
      <c r="E476" s="87">
        <v>11</v>
      </c>
      <c r="F476" s="27"/>
      <c r="G476" s="209"/>
      <c r="H476" s="150"/>
      <c r="I476" s="150"/>
      <c r="J476" s="150"/>
      <c r="K476" s="150"/>
      <c r="L476" s="150"/>
      <c r="M476" s="150"/>
      <c r="N476" s="150"/>
      <c r="O476" s="150"/>
      <c r="P476" s="189"/>
      <c r="Q476" s="149"/>
      <c r="R476" s="68"/>
      <c r="S476" s="103"/>
      <c r="T476" s="103"/>
      <c r="U476" s="103"/>
      <c r="V476" s="103"/>
      <c r="W476" s="103"/>
      <c r="X476" s="103"/>
      <c r="Y476" s="103"/>
      <c r="Z476" s="103"/>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10">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6">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38" t="s">
        <v>84</v>
      </c>
      <c r="E479" s="86">
        <v>0</v>
      </c>
      <c r="F479" s="27"/>
      <c r="G479" s="207"/>
      <c r="H479" s="68"/>
      <c r="I479" s="68"/>
      <c r="J479" s="68"/>
      <c r="K479" s="68"/>
      <c r="L479" s="68"/>
      <c r="M479" s="68"/>
      <c r="N479" s="68"/>
      <c r="O479" s="68"/>
      <c r="P479" s="68"/>
      <c r="Q479" s="68"/>
      <c r="R479" s="68"/>
      <c r="S479" s="103"/>
      <c r="T479" s="103"/>
      <c r="U479" s="103"/>
      <c r="V479" s="103"/>
      <c r="W479" s="103"/>
      <c r="X479" s="103"/>
      <c r="Y479" s="103"/>
      <c r="Z479" s="103"/>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39"/>
      <c r="E480" s="86">
        <v>1</v>
      </c>
      <c r="F480" s="27"/>
      <c r="G480" s="208"/>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39"/>
      <c r="E481" s="86">
        <v>2</v>
      </c>
      <c r="F481" s="27"/>
      <c r="G481" s="209"/>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39"/>
      <c r="E482" s="86">
        <v>3</v>
      </c>
      <c r="F482" s="27"/>
      <c r="G482" s="209"/>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39"/>
      <c r="E483" s="86">
        <v>4</v>
      </c>
      <c r="F483" s="27"/>
      <c r="G483" s="209"/>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39"/>
      <c r="E484" s="86">
        <v>5</v>
      </c>
      <c r="F484" s="27"/>
      <c r="G484" s="209"/>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39"/>
      <c r="E485" s="86">
        <v>6</v>
      </c>
      <c r="F485" s="27"/>
      <c r="G485" s="209"/>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39"/>
      <c r="E486" s="86">
        <v>7</v>
      </c>
      <c r="F486" s="27"/>
      <c r="G486" s="209"/>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39"/>
      <c r="E487" s="86">
        <v>8</v>
      </c>
      <c r="F487" s="27"/>
      <c r="G487" s="209"/>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39"/>
      <c r="E488" s="86">
        <v>9</v>
      </c>
      <c r="F488" s="27"/>
      <c r="G488" s="209"/>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39"/>
      <c r="E489" s="86">
        <v>10</v>
      </c>
      <c r="F489" s="27"/>
      <c r="G489" s="209"/>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39"/>
      <c r="E490" s="87">
        <v>11</v>
      </c>
      <c r="F490" s="27"/>
      <c r="G490" s="209"/>
      <c r="H490" s="150"/>
      <c r="I490" s="150"/>
      <c r="J490" s="150"/>
      <c r="K490" s="150"/>
      <c r="L490" s="150"/>
      <c r="M490" s="150"/>
      <c r="N490" s="150"/>
      <c r="O490" s="150"/>
      <c r="P490" s="189"/>
      <c r="Q490" s="149"/>
      <c r="R490" s="68"/>
      <c r="S490" s="103"/>
      <c r="T490" s="103"/>
      <c r="U490" s="103"/>
      <c r="V490" s="103"/>
      <c r="W490" s="103"/>
      <c r="X490" s="103"/>
      <c r="Y490" s="103"/>
      <c r="Z490" s="103"/>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10">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443</vt:i4>
      </vt:variant>
    </vt:vector>
  </HeadingPairs>
  <TitlesOfParts>
    <vt:vector size="452" baseType="lpstr">
      <vt:lpstr>Intro</vt:lpstr>
      <vt:lpstr>Input</vt:lpstr>
      <vt:lpstr>Adjustment for previous period</vt:lpstr>
      <vt:lpstr>Actual RAB roll forward</vt:lpstr>
      <vt:lpstr>Tax Depn</vt:lpstr>
      <vt:lpstr>PTRM Tax Inputs</vt:lpstr>
      <vt:lpstr>Total actual RAB roll forward</vt:lpstr>
      <vt:lpstr>Asset lives roll forward</vt:lpstr>
      <vt:lpstr>Tax value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A1remlife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A2remlife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A3remlife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A4remlife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A5remlife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A6remlife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A7remlife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A8remlife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2017-07-03T01:50:21Z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