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Amadeus GAAR 2021-26\3 Draft Decision\"/>
    </mc:Choice>
  </mc:AlternateContent>
  <bookViews>
    <workbookView xWindow="2130" yWindow="1560" windowWidth="8670" windowHeight="4785" tabRatio="807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_xlnm._FilterDatabase" localSheetId="1">'Input|General'!$G$6:$G$15</definedName>
    <definedName name="_xlnm._FilterDatabase" localSheetId="3">'Input|Reported opex'!$C$37:$F$37</definedName>
    <definedName name="BaseYear">'Input|General'!$G$11</definedName>
    <definedName name="dollars">'Lookup|Tables'!$G$10</definedName>
    <definedName name="factor">'Lookup|Tables'!$G$17</definedName>
    <definedName name="FPFirstYear">'Input|General'!$G$13</definedName>
    <definedName name="FPLastYear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'Input|General'!$G$10</definedName>
    <definedName name="PPLastYear">'Input|General'!$G$12</definedName>
    <definedName name="Real_to_Nominal">'Lookup|Tables'!$H$65:$H$70</definedName>
    <definedName name="thousands">'Lookup|Tables'!$G$11</definedName>
    <definedName name="unit">'Lookup|Tables'!$G$15</definedName>
  </definedNames>
  <calcPr calcId="162913" calcOnSave="0"/>
</workbook>
</file>

<file path=xl/calcChain.xml><?xml version="1.0" encoding="utf-8"?>
<calcChain xmlns="http://schemas.openxmlformats.org/spreadsheetml/2006/main">
  <c r="Q58" i="2" l="1"/>
  <c r="P58" i="2"/>
  <c r="R58" i="2"/>
  <c r="S58" i="2"/>
  <c r="T58" i="2"/>
  <c r="F66" i="55" l="1"/>
  <c r="F64" i="55"/>
  <c r="F65" i="55" s="1"/>
  <c r="F63" i="55" l="1"/>
  <c r="T4" i="44"/>
  <c r="T11" i="44" s="1"/>
  <c r="T16" i="44" s="1"/>
  <c r="S106" i="2"/>
  <c r="T106" i="2"/>
  <c r="R106" i="2"/>
  <c r="G76" i="4"/>
  <c r="G72" i="4"/>
  <c r="G73" i="4"/>
  <c r="G74" i="4"/>
  <c r="G75" i="4"/>
  <c r="H71" i="4"/>
  <c r="G71" i="4" s="1"/>
  <c r="T4" i="53"/>
  <c r="T36" i="53" s="1"/>
  <c r="T40" i="53" s="1"/>
  <c r="T4" i="58"/>
  <c r="T14" i="44" l="1"/>
  <c r="T15" i="44"/>
  <c r="T26" i="53"/>
  <c r="T32" i="53" s="1"/>
  <c r="T10" i="53"/>
  <c r="T22" i="53" s="1"/>
  <c r="J93" i="2" l="1" a="1"/>
  <c r="J93" i="2" s="1"/>
  <c r="K93" i="2" a="1"/>
  <c r="K93" i="2" s="1"/>
  <c r="L93" i="2" a="1"/>
  <c r="L93" i="2" s="1"/>
  <c r="M93" i="2" a="1"/>
  <c r="M93" i="2" s="1"/>
  <c r="T65" i="55" l="1"/>
  <c r="T66" i="55"/>
  <c r="G63" i="55"/>
  <c r="G64" i="55"/>
  <c r="G65" i="55"/>
  <c r="G66" i="55"/>
  <c r="C16" i="16"/>
  <c r="C15" i="16"/>
  <c r="C14" i="16"/>
  <c r="C13" i="16"/>
  <c r="C12" i="16"/>
  <c r="C11" i="16"/>
  <c r="H65" i="4"/>
  <c r="G65" i="4" s="1"/>
  <c r="F47" i="58" l="1"/>
  <c r="F42" i="58"/>
  <c r="F43" i="58"/>
  <c r="F44" i="58"/>
  <c r="F45" i="58"/>
  <c r="F41" i="58"/>
  <c r="C80" i="4" l="1"/>
  <c r="K47" i="58" l="1"/>
  <c r="L47" i="58"/>
  <c r="M47" i="58"/>
  <c r="N47" i="58"/>
  <c r="P47" i="58"/>
  <c r="Q47" i="58"/>
  <c r="R47" i="58"/>
  <c r="S47" i="58"/>
  <c r="J47" i="58"/>
  <c r="X29" i="58"/>
  <c r="C97" i="2" l="1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C97" i="2"/>
  <c r="C98" i="2"/>
  <c r="C99" i="2"/>
  <c r="F38" i="53" l="1"/>
  <c r="F19" i="42"/>
  <c r="F8" i="42" l="1"/>
  <c r="F8" i="44" l="1"/>
  <c r="F24" i="42" l="1"/>
  <c r="E24" i="42"/>
  <c r="F22" i="42"/>
  <c r="E22" i="42"/>
  <c r="F20" i="42"/>
  <c r="E20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29" i="42" l="1"/>
  <c r="F28" i="42"/>
  <c r="F29" i="42"/>
  <c r="C29" i="42"/>
  <c r="E68" i="58"/>
  <c r="E28" i="42" s="1"/>
  <c r="F35" i="42" l="1"/>
  <c r="E35" i="42"/>
  <c r="K56" i="58"/>
  <c r="L56" i="58"/>
  <c r="M56" i="58"/>
  <c r="N56" i="58"/>
  <c r="P56" i="58"/>
  <c r="Q56" i="58"/>
  <c r="R56" i="58"/>
  <c r="S56" i="58"/>
  <c r="J56" i="58"/>
  <c r="E47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41" i="4"/>
  <c r="H70" i="4"/>
  <c r="G70" i="4" s="1"/>
  <c r="H69" i="4"/>
  <c r="G69" i="4" s="1"/>
  <c r="H68" i="4"/>
  <c r="H67" i="4"/>
  <c r="G67" i="4" s="1"/>
  <c r="H76" i="4"/>
  <c r="H75" i="4"/>
  <c r="H74" i="4"/>
  <c r="H73" i="4"/>
  <c r="H72" i="4"/>
  <c r="H66" i="4"/>
  <c r="G66" i="4" s="1"/>
  <c r="C40" i="4"/>
  <c r="G68" i="4" l="1"/>
  <c r="F31" i="42" l="1"/>
  <c r="E31" i="42"/>
  <c r="F26" i="42"/>
  <c r="E26" i="42"/>
  <c r="S4" i="44"/>
  <c r="R4" i="44"/>
  <c r="Q4" i="44"/>
  <c r="P4" i="44"/>
  <c r="O4" i="44"/>
  <c r="N4" i="44"/>
  <c r="M4" i="44"/>
  <c r="L4" i="44"/>
  <c r="K4" i="44"/>
  <c r="J4" i="44"/>
  <c r="S4" i="42"/>
  <c r="S35" i="42" s="1"/>
  <c r="R4" i="42"/>
  <c r="R35" i="42" s="1"/>
  <c r="Q4" i="42"/>
  <c r="Q35" i="42" s="1"/>
  <c r="P4" i="42"/>
  <c r="O4" i="42"/>
  <c r="N4" i="42"/>
  <c r="M4" i="42"/>
  <c r="L4" i="42"/>
  <c r="K4" i="42"/>
  <c r="K35" i="42" s="1"/>
  <c r="J4" i="42"/>
  <c r="J35" i="42" s="1"/>
  <c r="S4" i="53"/>
  <c r="S10" i="53" s="1"/>
  <c r="R4" i="53"/>
  <c r="Q4" i="53"/>
  <c r="P4" i="53"/>
  <c r="P36" i="53" s="1"/>
  <c r="O4" i="53"/>
  <c r="N4" i="53"/>
  <c r="N36" i="53" s="1"/>
  <c r="M4" i="53"/>
  <c r="L4" i="53"/>
  <c r="L36" i="53" s="1"/>
  <c r="K4" i="53"/>
  <c r="J4" i="53"/>
  <c r="J4" i="2"/>
  <c r="J95" i="2" s="1"/>
  <c r="T4" i="2"/>
  <c r="T95" i="2" s="1"/>
  <c r="S4" i="2"/>
  <c r="S95" i="2" s="1"/>
  <c r="R4" i="2"/>
  <c r="R95" i="2" s="1"/>
  <c r="Q4" i="2"/>
  <c r="Q95" i="2" s="1"/>
  <c r="P4" i="2"/>
  <c r="P95" i="2" s="1"/>
  <c r="O4" i="2"/>
  <c r="O95" i="2" s="1"/>
  <c r="N4" i="2"/>
  <c r="N95" i="2" s="1"/>
  <c r="M4" i="2"/>
  <c r="M95" i="2" s="1"/>
  <c r="L4" i="2"/>
  <c r="L95" i="2" s="1"/>
  <c r="K4" i="2"/>
  <c r="K95" i="2" s="1"/>
  <c r="S4" i="58"/>
  <c r="S60" i="58" s="1"/>
  <c r="R4" i="58"/>
  <c r="R60" i="58" s="1"/>
  <c r="Q4" i="58"/>
  <c r="Q60" i="58" s="1"/>
  <c r="P4" i="58"/>
  <c r="P60" i="58" s="1"/>
  <c r="O4" i="58"/>
  <c r="O60" i="58" s="1"/>
  <c r="N4" i="58"/>
  <c r="N60" i="58" s="1"/>
  <c r="M4" i="58"/>
  <c r="M60" i="58" s="1"/>
  <c r="L4" i="58"/>
  <c r="L60" i="58" s="1"/>
  <c r="K4" i="58"/>
  <c r="K60" i="58" s="1"/>
  <c r="J4" i="58"/>
  <c r="J60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N34" i="58" l="1"/>
  <c r="R34" i="58"/>
  <c r="R98" i="2"/>
  <c r="R97" i="2"/>
  <c r="R100" i="2"/>
  <c r="R99" i="2"/>
  <c r="K99" i="2"/>
  <c r="K98" i="2"/>
  <c r="K97" i="2"/>
  <c r="K100" i="2"/>
  <c r="O99" i="2"/>
  <c r="O98" i="2"/>
  <c r="O97" i="2"/>
  <c r="O100" i="2"/>
  <c r="S99" i="2"/>
  <c r="S98" i="2"/>
  <c r="S97" i="2"/>
  <c r="S100" i="2"/>
  <c r="L100" i="2"/>
  <c r="L99" i="2"/>
  <c r="L98" i="2"/>
  <c r="L97" i="2"/>
  <c r="P100" i="2"/>
  <c r="P99" i="2"/>
  <c r="P98" i="2"/>
  <c r="P97" i="2"/>
  <c r="T100" i="2"/>
  <c r="T99" i="2"/>
  <c r="T97" i="2"/>
  <c r="T98" i="2"/>
  <c r="N98" i="2"/>
  <c r="N99" i="2"/>
  <c r="N100" i="2"/>
  <c r="N97" i="2"/>
  <c r="M97" i="2"/>
  <c r="M100" i="2"/>
  <c r="M99" i="2"/>
  <c r="M98" i="2"/>
  <c r="Q97" i="2"/>
  <c r="Q100" i="2"/>
  <c r="Q99" i="2"/>
  <c r="Q98" i="2"/>
  <c r="J98" i="2"/>
  <c r="J99" i="2"/>
  <c r="J97" i="2"/>
  <c r="J100" i="2"/>
  <c r="J23" i="42"/>
  <c r="J21" i="42"/>
  <c r="J19" i="42"/>
  <c r="L23" i="42"/>
  <c r="L21" i="42"/>
  <c r="L19" i="42"/>
  <c r="N23" i="42"/>
  <c r="N21" i="42"/>
  <c r="N19" i="42"/>
  <c r="P23" i="42"/>
  <c r="P21" i="42"/>
  <c r="P19" i="42"/>
  <c r="R23" i="42"/>
  <c r="R21" i="42"/>
  <c r="R19" i="42"/>
  <c r="K23" i="42"/>
  <c r="K21" i="42"/>
  <c r="K19" i="42"/>
  <c r="M23" i="42"/>
  <c r="M21" i="42"/>
  <c r="M19" i="42"/>
  <c r="O23" i="42"/>
  <c r="O21" i="42"/>
  <c r="O19" i="42"/>
  <c r="Q23" i="42"/>
  <c r="Q21" i="42"/>
  <c r="Q19" i="42"/>
  <c r="S23" i="42"/>
  <c r="S21" i="42"/>
  <c r="S19" i="42"/>
  <c r="J33" i="42"/>
  <c r="R33" i="42"/>
  <c r="K33" i="42"/>
  <c r="Q33" i="42"/>
  <c r="S33" i="42"/>
  <c r="L12" i="42"/>
  <c r="J12" i="42"/>
  <c r="K12" i="42"/>
  <c r="M12" i="42"/>
  <c r="O49" i="42"/>
  <c r="O12" i="42"/>
  <c r="Q49" i="42"/>
  <c r="Q12" i="42"/>
  <c r="S12" i="42"/>
  <c r="N49" i="42"/>
  <c r="N12" i="42"/>
  <c r="P49" i="42"/>
  <c r="P12" i="42"/>
  <c r="R49" i="42"/>
  <c r="R12" i="42"/>
  <c r="J10" i="58"/>
  <c r="N10" i="58"/>
  <c r="R10" i="58"/>
  <c r="L34" i="58"/>
  <c r="P34" i="58"/>
  <c r="S10" i="2"/>
  <c r="S12" i="2" s="1"/>
  <c r="O10" i="2"/>
  <c r="K10" i="2"/>
  <c r="M14" i="2"/>
  <c r="Q14" i="2"/>
  <c r="J24" i="2"/>
  <c r="K75" i="2"/>
  <c r="O75" i="2"/>
  <c r="S75" i="2"/>
  <c r="J64" i="2"/>
  <c r="Q64" i="2"/>
  <c r="M64" i="2"/>
  <c r="L10" i="58"/>
  <c r="P10" i="58"/>
  <c r="J34" i="58"/>
  <c r="J10" i="2"/>
  <c r="Q10" i="2"/>
  <c r="Q12" i="2" s="1"/>
  <c r="M10" i="2"/>
  <c r="K14" i="2"/>
  <c r="O14" i="2"/>
  <c r="S14" i="2"/>
  <c r="J49" i="2"/>
  <c r="M75" i="2"/>
  <c r="Q75" i="2"/>
  <c r="J104" i="2"/>
  <c r="S64" i="2"/>
  <c r="O64" i="2"/>
  <c r="K64" i="2"/>
  <c r="M34" i="58"/>
  <c r="M10" i="58"/>
  <c r="O34" i="58"/>
  <c r="O10" i="58"/>
  <c r="S34" i="58"/>
  <c r="S10" i="58"/>
  <c r="L64" i="2"/>
  <c r="L75" i="2"/>
  <c r="L14" i="2"/>
  <c r="L10" i="2"/>
  <c r="P64" i="2"/>
  <c r="P75" i="2"/>
  <c r="P14" i="2"/>
  <c r="P10" i="2"/>
  <c r="P12" i="2" s="1"/>
  <c r="R64" i="2"/>
  <c r="R75" i="2"/>
  <c r="R14" i="2"/>
  <c r="R10" i="2"/>
  <c r="R12" i="2" s="1"/>
  <c r="T64" i="2"/>
  <c r="T75" i="2"/>
  <c r="T14" i="2"/>
  <c r="T10" i="2"/>
  <c r="T12" i="2" s="1"/>
  <c r="J26" i="53"/>
  <c r="J10" i="53"/>
  <c r="R26" i="53"/>
  <c r="R10" i="53"/>
  <c r="L49" i="42"/>
  <c r="L24" i="2"/>
  <c r="P24" i="2"/>
  <c r="T24" i="2"/>
  <c r="R36" i="2"/>
  <c r="N36" i="2"/>
  <c r="N49" i="2"/>
  <c r="R49" i="2"/>
  <c r="L104" i="2"/>
  <c r="P104" i="2"/>
  <c r="T104" i="2"/>
  <c r="L10" i="53"/>
  <c r="P26" i="53"/>
  <c r="K34" i="58"/>
  <c r="K10" i="58"/>
  <c r="Q34" i="58"/>
  <c r="Q10" i="58"/>
  <c r="N64" i="2"/>
  <c r="N75" i="2"/>
  <c r="N14" i="2"/>
  <c r="N10" i="2"/>
  <c r="N26" i="53"/>
  <c r="N10" i="53"/>
  <c r="J49" i="42"/>
  <c r="N24" i="2"/>
  <c r="R24" i="2"/>
  <c r="T36" i="2"/>
  <c r="P36" i="2"/>
  <c r="L36" i="2"/>
  <c r="L49" i="2"/>
  <c r="P49" i="2"/>
  <c r="T49" i="2"/>
  <c r="N104" i="2"/>
  <c r="R104" i="2"/>
  <c r="P10" i="53"/>
  <c r="L26" i="53"/>
  <c r="J36" i="53"/>
  <c r="R36" i="53"/>
  <c r="K36" i="53"/>
  <c r="K26" i="53"/>
  <c r="K10" i="53"/>
  <c r="M36" i="53"/>
  <c r="M26" i="53"/>
  <c r="M10" i="53"/>
  <c r="O36" i="53"/>
  <c r="O26" i="53"/>
  <c r="O10" i="53"/>
  <c r="Q36" i="53"/>
  <c r="Q26" i="53"/>
  <c r="Q10" i="53"/>
  <c r="S36" i="53"/>
  <c r="S26" i="53"/>
  <c r="K49" i="42"/>
  <c r="M49" i="42"/>
  <c r="S49" i="42"/>
  <c r="J14" i="2"/>
  <c r="K24" i="2"/>
  <c r="M24" i="2"/>
  <c r="O24" i="2"/>
  <c r="Q24" i="2"/>
  <c r="S24" i="2"/>
  <c r="J36" i="2"/>
  <c r="S36" i="2"/>
  <c r="Q36" i="2"/>
  <c r="O36" i="2"/>
  <c r="M36" i="2"/>
  <c r="K36" i="2"/>
  <c r="K49" i="2"/>
  <c r="M49" i="2"/>
  <c r="O49" i="2"/>
  <c r="Q49" i="2"/>
  <c r="S49" i="2"/>
  <c r="J75" i="2"/>
  <c r="K104" i="2"/>
  <c r="M104" i="2"/>
  <c r="O104" i="2"/>
  <c r="Q104" i="2"/>
  <c r="S104" i="2"/>
  <c r="J31" i="42"/>
  <c r="R31" i="42"/>
  <c r="S31" i="42"/>
  <c r="Q31" i="42"/>
  <c r="K31" i="42"/>
  <c r="J10" i="42"/>
  <c r="R10" i="42"/>
  <c r="P10" i="42"/>
  <c r="N10" i="42"/>
  <c r="L10" i="42"/>
  <c r="J16" i="42"/>
  <c r="R16" i="42"/>
  <c r="P16" i="42"/>
  <c r="N16" i="42"/>
  <c r="L16" i="42"/>
  <c r="J37" i="42"/>
  <c r="L37" i="42"/>
  <c r="P37" i="42"/>
  <c r="R37" i="42"/>
  <c r="J40" i="42"/>
  <c r="L40" i="42"/>
  <c r="N40" i="42"/>
  <c r="P40" i="42"/>
  <c r="R40" i="42"/>
  <c r="J43" i="42"/>
  <c r="L43" i="42"/>
  <c r="N43" i="42"/>
  <c r="P43" i="42"/>
  <c r="R43" i="42"/>
  <c r="J46" i="42"/>
  <c r="L46" i="42"/>
  <c r="N46" i="42"/>
  <c r="P46" i="42"/>
  <c r="R46" i="42"/>
  <c r="S10" i="42"/>
  <c r="Q10" i="42"/>
  <c r="O10" i="42"/>
  <c r="M10" i="42"/>
  <c r="K10" i="42"/>
  <c r="S16" i="42"/>
  <c r="Q16" i="42"/>
  <c r="O16" i="42"/>
  <c r="K16" i="42"/>
  <c r="K37" i="42"/>
  <c r="M37" i="42"/>
  <c r="O37" i="42"/>
  <c r="Q37" i="42"/>
  <c r="S37" i="42"/>
  <c r="K40" i="42"/>
  <c r="M40" i="42"/>
  <c r="O40" i="42"/>
  <c r="Q40" i="42"/>
  <c r="S40" i="42"/>
  <c r="K43" i="42"/>
  <c r="M43" i="42"/>
  <c r="O43" i="42"/>
  <c r="Q43" i="42"/>
  <c r="S43" i="42"/>
  <c r="K46" i="42"/>
  <c r="M46" i="42"/>
  <c r="O46" i="42"/>
  <c r="Q46" i="42"/>
  <c r="S46" i="42"/>
  <c r="S8" i="54"/>
  <c r="J14" i="42"/>
  <c r="F49" i="42"/>
  <c r="C49" i="42"/>
  <c r="F46" i="42"/>
  <c r="C46" i="42"/>
  <c r="F43" i="42"/>
  <c r="C43" i="42"/>
  <c r="F40" i="42"/>
  <c r="C40" i="42"/>
  <c r="F37" i="42"/>
  <c r="C37" i="42"/>
  <c r="F16" i="42"/>
  <c r="E16" i="42"/>
  <c r="F14" i="42"/>
  <c r="E14" i="42"/>
  <c r="F12" i="42"/>
  <c r="E12" i="42"/>
  <c r="U75" i="2"/>
  <c r="C26" i="2" l="1" a="1"/>
  <c r="C16" i="2" a="1"/>
  <c r="Q28" i="42"/>
  <c r="M28" i="42"/>
  <c r="S28" i="42"/>
  <c r="R28" i="42"/>
  <c r="P28" i="42"/>
  <c r="J28" i="42"/>
  <c r="O28" i="42"/>
  <c r="N28" i="42"/>
  <c r="K28" i="42"/>
  <c r="L28" i="42"/>
  <c r="E66" i="58"/>
  <c r="E49" i="42" s="1"/>
  <c r="E65" i="58"/>
  <c r="E46" i="42" s="1"/>
  <c r="E64" i="58"/>
  <c r="E43" i="42" s="1"/>
  <c r="E63" i="58"/>
  <c r="E62" i="58"/>
  <c r="E37" i="42" s="1"/>
  <c r="F54" i="58"/>
  <c r="E54" i="58"/>
  <c r="F53" i="58"/>
  <c r="E53" i="58"/>
  <c r="F52" i="58"/>
  <c r="E52" i="58"/>
  <c r="F51" i="58"/>
  <c r="E51" i="58"/>
  <c r="E45" i="58"/>
  <c r="E44" i="58"/>
  <c r="E43" i="58"/>
  <c r="E42" i="58"/>
  <c r="E41" i="58"/>
  <c r="E37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C1" i="58"/>
  <c r="C27" i="2" l="1"/>
  <c r="C26" i="2"/>
  <c r="C29" i="2"/>
  <c r="C30" i="2"/>
  <c r="C32" i="2"/>
  <c r="C28" i="2"/>
  <c r="C31" i="2"/>
  <c r="C16" i="2"/>
  <c r="C19" i="2"/>
  <c r="C18" i="2"/>
  <c r="C20" i="2"/>
  <c r="C22" i="2"/>
  <c r="C21" i="2"/>
  <c r="C17" i="2"/>
  <c r="F23" i="42"/>
  <c r="F21" i="42"/>
  <c r="E21" i="42"/>
  <c r="E23" i="42"/>
  <c r="E40" i="42"/>
  <c r="E19" i="42"/>
  <c r="F16" i="44"/>
  <c r="F15" i="44"/>
  <c r="F14" i="44"/>
  <c r="P22" i="2" l="1"/>
  <c r="O22" i="2" s="1"/>
  <c r="N22" i="2" s="1"/>
  <c r="M22" i="2" s="1"/>
  <c r="L22" i="2" s="1"/>
  <c r="K22" i="2" s="1"/>
  <c r="J22" i="2"/>
  <c r="J32" i="2" s="1"/>
  <c r="E22" i="2"/>
  <c r="D22" i="2"/>
  <c r="D32" i="2"/>
  <c r="E32" i="2"/>
  <c r="L32" i="2"/>
  <c r="N32" i="2"/>
  <c r="T32" i="2"/>
  <c r="M32" i="2"/>
  <c r="S32" i="2"/>
  <c r="O32" i="2"/>
  <c r="K32" i="2"/>
  <c r="Q32" i="2"/>
  <c r="R32" i="2"/>
  <c r="P32" i="2"/>
  <c r="E16" i="44"/>
  <c r="E15" i="44"/>
  <c r="E14" i="44"/>
  <c r="C15" i="44"/>
  <c r="C16" i="44"/>
  <c r="C13" i="44"/>
  <c r="C14" i="44"/>
  <c r="S11" i="44"/>
  <c r="R11" i="44"/>
  <c r="Q11" i="44"/>
  <c r="P11" i="44"/>
  <c r="O11" i="44"/>
  <c r="N11" i="44"/>
  <c r="M11" i="44"/>
  <c r="L11" i="44"/>
  <c r="K11" i="44"/>
  <c r="J11" i="44"/>
  <c r="F100" i="42"/>
  <c r="E100" i="42"/>
  <c r="K15" i="44" l="1"/>
  <c r="K13" i="44"/>
  <c r="K16" i="44"/>
  <c r="K14" i="44"/>
  <c r="M14" i="44"/>
  <c r="M16" i="44"/>
  <c r="M15" i="44"/>
  <c r="M13" i="44"/>
  <c r="L14" i="44"/>
  <c r="L16" i="44"/>
  <c r="L15" i="44"/>
  <c r="L13" i="44"/>
  <c r="J15" i="44"/>
  <c r="J13" i="44"/>
  <c r="J14" i="44"/>
  <c r="J16" i="44"/>
  <c r="N15" i="44"/>
  <c r="N13" i="44"/>
  <c r="N14" i="44"/>
  <c r="N16" i="44"/>
  <c r="F102" i="42"/>
  <c r="F101" i="42"/>
  <c r="F94" i="42"/>
  <c r="F92" i="42"/>
  <c r="F91" i="42"/>
  <c r="F90" i="42"/>
  <c r="F84" i="42"/>
  <c r="F82" i="42"/>
  <c r="F81" i="42"/>
  <c r="F80" i="42"/>
  <c r="F79" i="42"/>
  <c r="F78" i="42"/>
  <c r="F77" i="42"/>
  <c r="F76" i="42"/>
  <c r="F75" i="42"/>
  <c r="F74" i="42"/>
  <c r="S40" i="53"/>
  <c r="R22" i="53"/>
  <c r="Q40" i="53"/>
  <c r="P22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J12" i="2" s="1"/>
  <c r="G47" i="55"/>
  <c r="G48" i="55"/>
  <c r="G49" i="55"/>
  <c r="G50" i="55"/>
  <c r="K12" i="2" s="1"/>
  <c r="G51" i="55"/>
  <c r="G52" i="55"/>
  <c r="G53" i="55"/>
  <c r="G54" i="55"/>
  <c r="L12" i="2" s="1"/>
  <c r="G55" i="55"/>
  <c r="G56" i="55"/>
  <c r="G57" i="55"/>
  <c r="G58" i="55"/>
  <c r="M12" i="2" s="1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8" i="2"/>
  <c r="S108" i="2"/>
  <c r="Q108" i="2"/>
  <c r="O108" i="2"/>
  <c r="M108" i="2"/>
  <c r="C24" i="4"/>
  <c r="S9" i="54"/>
  <c r="N12" i="2" l="1"/>
  <c r="O12" i="2"/>
  <c r="K14" i="42"/>
  <c r="M14" i="42"/>
  <c r="O14" i="42"/>
  <c r="Q14" i="42"/>
  <c r="S14" i="42"/>
  <c r="N14" i="42"/>
  <c r="P14" i="42"/>
  <c r="R14" i="42"/>
  <c r="J98" i="42"/>
  <c r="L98" i="42"/>
  <c r="N98" i="42"/>
  <c r="P98" i="42"/>
  <c r="R98" i="42"/>
  <c r="K98" i="42"/>
  <c r="M98" i="42"/>
  <c r="O98" i="42"/>
  <c r="Q98" i="42"/>
  <c r="S98" i="42"/>
  <c r="J88" i="42"/>
  <c r="J72" i="42"/>
  <c r="J58" i="42"/>
  <c r="J61" i="42" s="1"/>
  <c r="L88" i="42"/>
  <c r="L72" i="42"/>
  <c r="L58" i="42"/>
  <c r="L61" i="42" s="1"/>
  <c r="N88" i="42"/>
  <c r="N72" i="42"/>
  <c r="N58" i="42"/>
  <c r="N61" i="42" s="1"/>
  <c r="P88" i="42"/>
  <c r="P72" i="42"/>
  <c r="P58" i="42"/>
  <c r="P61" i="42" s="1"/>
  <c r="R88" i="42"/>
  <c r="R72" i="42"/>
  <c r="R58" i="42"/>
  <c r="R61" i="42" s="1"/>
  <c r="K58" i="42"/>
  <c r="K61" i="42" s="1"/>
  <c r="M58" i="42"/>
  <c r="M61" i="42" s="1"/>
  <c r="O58" i="42"/>
  <c r="O61" i="42" s="1"/>
  <c r="Q58" i="42"/>
  <c r="Q61" i="42" s="1"/>
  <c r="S58" i="42"/>
  <c r="S61" i="42" s="1"/>
  <c r="K72" i="42"/>
  <c r="M72" i="42"/>
  <c r="O72" i="42"/>
  <c r="Q72" i="42"/>
  <c r="S72" i="42"/>
  <c r="K88" i="42"/>
  <c r="M88" i="42"/>
  <c r="O88" i="42"/>
  <c r="Q88" i="42"/>
  <c r="S88" i="42"/>
  <c r="S22" i="53"/>
  <c r="Q22" i="53"/>
  <c r="O22" i="53"/>
  <c r="M22" i="53"/>
  <c r="K22" i="53"/>
  <c r="J32" i="53"/>
  <c r="L32" i="53"/>
  <c r="N32" i="53"/>
  <c r="P32" i="53"/>
  <c r="R32" i="53"/>
  <c r="J40" i="53"/>
  <c r="L40" i="53"/>
  <c r="N40" i="53"/>
  <c r="P40" i="53"/>
  <c r="R40" i="53"/>
  <c r="K32" i="53"/>
  <c r="M32" i="53"/>
  <c r="O32" i="53"/>
  <c r="Q32" i="53"/>
  <c r="S32" i="53"/>
  <c r="K47" i="2"/>
  <c r="M47" i="2"/>
  <c r="Q60" i="2"/>
  <c r="M60" i="2"/>
  <c r="O47" i="2"/>
  <c r="K60" i="2"/>
  <c r="O60" i="2"/>
  <c r="S60" i="2"/>
  <c r="L60" i="2"/>
  <c r="L47" i="2"/>
  <c r="L108" i="2"/>
  <c r="L73" i="2"/>
  <c r="N60" i="2"/>
  <c r="N47" i="2"/>
  <c r="N108" i="2"/>
  <c r="N73" i="2"/>
  <c r="P60" i="2"/>
  <c r="P108" i="2"/>
  <c r="P73" i="2"/>
  <c r="R60" i="2"/>
  <c r="R108" i="2"/>
  <c r="R73" i="2"/>
  <c r="T60" i="2"/>
  <c r="T108" i="2"/>
  <c r="T73" i="2"/>
  <c r="J60" i="2"/>
  <c r="J108" i="2"/>
  <c r="J73" i="2"/>
  <c r="J47" i="2"/>
  <c r="S73" i="2"/>
  <c r="Q73" i="2"/>
  <c r="O73" i="2"/>
  <c r="M73" i="2"/>
  <c r="K73" i="2"/>
  <c r="W60" i="2" l="1"/>
  <c r="W73" i="2"/>
  <c r="J68" i="42" a="1"/>
  <c r="J68" i="42" s="1"/>
  <c r="L68" i="42" a="1"/>
  <c r="L68" i="42" s="1"/>
  <c r="K68" i="42" a="1"/>
  <c r="K68" i="42" s="1"/>
  <c r="K100" i="42"/>
  <c r="K101" i="42"/>
  <c r="K102" i="42" s="1"/>
  <c r="L101" i="42"/>
  <c r="L102" i="42" s="1"/>
  <c r="L100" i="42"/>
  <c r="J100" i="42"/>
  <c r="J101" i="42"/>
  <c r="J102" i="42" s="1"/>
  <c r="W22" i="53"/>
  <c r="W40" i="53"/>
  <c r="W32" i="53"/>
  <c r="W108" i="2"/>
  <c r="P47" i="2" l="1"/>
  <c r="S47" i="2"/>
  <c r="Q47" i="2"/>
  <c r="R47" i="2"/>
  <c r="T47" i="2"/>
  <c r="W47" i="2" l="1"/>
  <c r="C50" i="42" l="1"/>
  <c r="F50" i="42"/>
  <c r="E50" i="42"/>
  <c r="C47" i="42"/>
  <c r="C44" i="42"/>
  <c r="C41" i="42"/>
  <c r="C38" i="42"/>
  <c r="F47" i="42"/>
  <c r="E47" i="42"/>
  <c r="F44" i="42"/>
  <c r="E44" i="42"/>
  <c r="F41" i="42"/>
  <c r="E41" i="42"/>
  <c r="F38" i="42"/>
  <c r="E38" i="42"/>
  <c r="E84" i="42" l="1"/>
  <c r="E102" i="42" l="1"/>
  <c r="F17" i="42" l="1"/>
  <c r="F15" i="42"/>
  <c r="F54" i="42"/>
  <c r="F52" i="42"/>
  <c r="C75" i="42" l="1"/>
  <c r="C76" i="42"/>
  <c r="C77" i="42"/>
  <c r="C78" i="42"/>
  <c r="C79" i="42"/>
  <c r="C80" i="42"/>
  <c r="C81" i="42"/>
  <c r="C82" i="42"/>
  <c r="C90" i="42"/>
  <c r="C91" i="42"/>
  <c r="C92" i="42"/>
  <c r="F13" i="44"/>
  <c r="E54" i="42"/>
  <c r="F33" i="42"/>
  <c r="E52" i="42"/>
  <c r="F13" i="42"/>
  <c r="E13" i="42"/>
  <c r="E15" i="42"/>
  <c r="E13" i="44"/>
  <c r="E101" i="42"/>
  <c r="E17" i="42"/>
  <c r="E74" i="42"/>
  <c r="E75" i="42"/>
  <c r="E76" i="42"/>
  <c r="E77" i="42"/>
  <c r="E78" i="42"/>
  <c r="E79" i="42"/>
  <c r="E80" i="42"/>
  <c r="E81" i="42"/>
  <c r="E82" i="42"/>
  <c r="E90" i="42"/>
  <c r="E91" i="42"/>
  <c r="E92" i="42"/>
  <c r="E94" i="42"/>
  <c r="E33" i="42"/>
  <c r="B2" i="55"/>
  <c r="S11" i="54"/>
  <c r="S14" i="54"/>
  <c r="G16" i="16"/>
  <c r="T1" i="55"/>
  <c r="G11" i="16" s="1"/>
  <c r="B1" i="55"/>
  <c r="E12" i="2"/>
  <c r="O63" i="42"/>
  <c r="O65" i="42"/>
  <c r="J63" i="42"/>
  <c r="J65" i="42"/>
  <c r="K63" i="42"/>
  <c r="K65" i="42"/>
  <c r="L63" i="42"/>
  <c r="L65" i="42"/>
  <c r="M63" i="42"/>
  <c r="M65" i="42"/>
  <c r="N63" i="42"/>
  <c r="N65" i="42"/>
  <c r="P63" i="42"/>
  <c r="Q63" i="42"/>
  <c r="R63" i="42"/>
  <c r="S63" i="42"/>
  <c r="C74" i="42"/>
  <c r="P65" i="42"/>
  <c r="Q65" i="42"/>
  <c r="R65" i="42"/>
  <c r="S65" i="42"/>
  <c r="C78" i="2"/>
  <c r="C79" i="2"/>
  <c r="C80" i="2"/>
  <c r="C81" i="2"/>
  <c r="C82" i="2"/>
  <c r="C77" i="2"/>
  <c r="S7" i="54"/>
  <c r="S10" i="54"/>
  <c r="S12" i="54"/>
  <c r="S13" i="54"/>
  <c r="S1" i="53"/>
  <c r="G14" i="16" s="1"/>
  <c r="D12" i="16"/>
  <c r="D13" i="16"/>
  <c r="D14" i="16"/>
  <c r="D15" i="16"/>
  <c r="D16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M67" i="42" l="1"/>
  <c r="K67" i="42"/>
  <c r="L67" i="42"/>
  <c r="R67" i="42"/>
  <c r="T1" i="2"/>
  <c r="G13" i="16" s="1"/>
  <c r="S1" i="54"/>
  <c r="G10" i="16" s="1"/>
  <c r="N67" i="42"/>
  <c r="J67" i="42"/>
  <c r="M68" i="42" l="1" a="1"/>
  <c r="M68" i="42" s="1"/>
  <c r="N68" i="42" a="1"/>
  <c r="N68" i="42" s="1"/>
  <c r="P67" i="42"/>
  <c r="O67" i="42"/>
  <c r="S67" i="42"/>
  <c r="Q67" i="42"/>
  <c r="S68" i="42" l="1" a="1"/>
  <c r="S68" i="42" s="1"/>
  <c r="Q68" i="42" a="1"/>
  <c r="Q68" i="42" s="1"/>
  <c r="R68" i="42" a="1"/>
  <c r="R68" i="42" s="1"/>
  <c r="O68" i="42" a="1"/>
  <c r="O68" i="42" s="1"/>
  <c r="P68" i="42" a="1"/>
  <c r="P68" i="42" s="1"/>
  <c r="O21" i="2"/>
  <c r="P21" i="2" l="1"/>
  <c r="L29" i="42"/>
  <c r="O29" i="42"/>
  <c r="K47" i="42"/>
  <c r="S44" i="42"/>
  <c r="S38" i="42"/>
  <c r="O38" i="42"/>
  <c r="S47" i="42"/>
  <c r="M47" i="42"/>
  <c r="O41" i="42"/>
  <c r="Q38" i="42"/>
  <c r="J41" i="42"/>
  <c r="J38" i="42"/>
  <c r="J47" i="42"/>
  <c r="R38" i="42"/>
  <c r="J50" i="42"/>
  <c r="N47" i="42"/>
  <c r="R29" i="42"/>
  <c r="J29" i="42"/>
  <c r="Q29" i="42"/>
  <c r="L44" i="42"/>
  <c r="K44" i="42"/>
  <c r="P44" i="42"/>
  <c r="N41" i="42"/>
  <c r="Q50" i="42"/>
  <c r="K38" i="42"/>
  <c r="N44" i="42"/>
  <c r="R47" i="42"/>
  <c r="O47" i="42"/>
  <c r="L47" i="42"/>
  <c r="S50" i="42"/>
  <c r="Q44" i="42"/>
  <c r="L38" i="42"/>
  <c r="P29" i="42"/>
  <c r="S29" i="42"/>
  <c r="S41" i="42"/>
  <c r="L50" i="42"/>
  <c r="K41" i="42"/>
  <c r="R41" i="42"/>
  <c r="M50" i="42"/>
  <c r="P38" i="42"/>
  <c r="M38" i="42"/>
  <c r="O44" i="42"/>
  <c r="K50" i="42"/>
  <c r="Q47" i="42"/>
  <c r="M29" i="42"/>
  <c r="K29" i="42"/>
  <c r="P47" i="42"/>
  <c r="M41" i="42"/>
  <c r="R50" i="42"/>
  <c r="R44" i="42"/>
  <c r="M44" i="42"/>
  <c r="N50" i="42"/>
  <c r="O50" i="42"/>
  <c r="P50" i="42"/>
  <c r="J44" i="42"/>
  <c r="P41" i="42"/>
  <c r="L41" i="42"/>
  <c r="Q41" i="42"/>
  <c r="N29" i="42"/>
  <c r="N21" i="2"/>
  <c r="M19" i="2"/>
  <c r="M29" i="2" s="1"/>
  <c r="N20" i="2"/>
  <c r="O20" i="2" s="1"/>
  <c r="P20" i="2" s="1"/>
  <c r="P30" i="2" s="1"/>
  <c r="J16" i="2"/>
  <c r="K16" i="2" s="1"/>
  <c r="K26" i="2" s="1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0" i="42" s="1"/>
  <c r="R31" i="2"/>
  <c r="Q20" i="42" s="1"/>
  <c r="Q31" i="2"/>
  <c r="P20" i="42" s="1"/>
  <c r="T31" i="2"/>
  <c r="S20" i="42" s="1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P13" i="42" l="1"/>
  <c r="P26" i="42" s="1"/>
  <c r="R13" i="42"/>
  <c r="R26" i="42" s="1"/>
  <c r="S13" i="42"/>
  <c r="S26" i="42" s="1"/>
  <c r="M21" i="2"/>
  <c r="O30" i="2"/>
  <c r="K18" i="2"/>
  <c r="K28" i="2" s="1"/>
  <c r="O31" i="2"/>
  <c r="N20" i="42" s="1"/>
  <c r="J17" i="2"/>
  <c r="J27" i="2" s="1"/>
  <c r="L19" i="2"/>
  <c r="L29" i="2" s="1"/>
  <c r="L16" i="2"/>
  <c r="L26" i="2" s="1"/>
  <c r="M18" i="2"/>
  <c r="L17" i="2"/>
  <c r="L27" i="2" s="1"/>
  <c r="P31" i="2"/>
  <c r="O20" i="42" s="1"/>
  <c r="M20" i="2"/>
  <c r="M30" i="2" s="1"/>
  <c r="N31" i="2"/>
  <c r="M20" i="42" s="1"/>
  <c r="N19" i="2"/>
  <c r="N29" i="2" s="1"/>
  <c r="Q13" i="42"/>
  <c r="Q26" i="42" s="1"/>
  <c r="J26" i="2"/>
  <c r="N30" i="2"/>
  <c r="M16" i="2" l="1"/>
  <c r="M26" i="2" s="1"/>
  <c r="L21" i="2"/>
  <c r="L20" i="2"/>
  <c r="L30" i="2" s="1"/>
  <c r="M17" i="2"/>
  <c r="K19" i="2"/>
  <c r="K29" i="2" s="1"/>
  <c r="O19" i="2"/>
  <c r="N18" i="2"/>
  <c r="N28" i="2" s="1"/>
  <c r="J18" i="2"/>
  <c r="J28" i="2" s="1"/>
  <c r="N16" i="2"/>
  <c r="M31" i="2"/>
  <c r="L20" i="42" s="1"/>
  <c r="M13" i="42"/>
  <c r="M26" i="42" s="1"/>
  <c r="M28" i="2"/>
  <c r="K74" i="42" l="1"/>
  <c r="M74" i="42"/>
  <c r="L74" i="42"/>
  <c r="P74" i="42"/>
  <c r="S74" i="42"/>
  <c r="Q74" i="42"/>
  <c r="N74" i="42"/>
  <c r="O74" i="42"/>
  <c r="J74" i="42"/>
  <c r="R74" i="42"/>
  <c r="O29" i="2"/>
  <c r="P19" i="2"/>
  <c r="P29" i="2" s="1"/>
  <c r="N13" i="42"/>
  <c r="N26" i="42" s="1"/>
  <c r="O13" i="42"/>
  <c r="O26" i="42" s="1"/>
  <c r="L13" i="42"/>
  <c r="L26" i="42" s="1"/>
  <c r="K21" i="2"/>
  <c r="O18" i="2"/>
  <c r="P18" i="2" s="1"/>
  <c r="P28" i="2" s="1"/>
  <c r="J19" i="2"/>
  <c r="J29" i="2" s="1"/>
  <c r="N17" i="2"/>
  <c r="M27" i="2"/>
  <c r="K20" i="2"/>
  <c r="K30" i="2" s="1"/>
  <c r="O16" i="2"/>
  <c r="N26" i="2"/>
  <c r="L31" i="2"/>
  <c r="J22" i="42" l="1"/>
  <c r="L22" i="42"/>
  <c r="K22" i="42"/>
  <c r="S24" i="42"/>
  <c r="M24" i="42"/>
  <c r="S22" i="42"/>
  <c r="K24" i="42"/>
  <c r="N22" i="42"/>
  <c r="M22" i="42"/>
  <c r="P22" i="42"/>
  <c r="L24" i="42"/>
  <c r="R22" i="42"/>
  <c r="Q22" i="42"/>
  <c r="J24" i="42"/>
  <c r="O24" i="42"/>
  <c r="O22" i="42"/>
  <c r="R24" i="42"/>
  <c r="Q24" i="42"/>
  <c r="N24" i="42"/>
  <c r="P24" i="42"/>
  <c r="R17" i="42"/>
  <c r="P17" i="42"/>
  <c r="N15" i="42"/>
  <c r="J15" i="42"/>
  <c r="N17" i="42"/>
  <c r="O17" i="42"/>
  <c r="Q15" i="42"/>
  <c r="K15" i="42"/>
  <c r="R15" i="42"/>
  <c r="S15" i="42"/>
  <c r="P15" i="42"/>
  <c r="M15" i="42"/>
  <c r="S17" i="42"/>
  <c r="L17" i="42"/>
  <c r="Q17" i="42"/>
  <c r="J17" i="42"/>
  <c r="K17" i="42"/>
  <c r="O15" i="42"/>
  <c r="K20" i="42"/>
  <c r="N37" i="42"/>
  <c r="N38" i="42" s="1"/>
  <c r="S90" i="42"/>
  <c r="S14" i="44" s="1"/>
  <c r="O92" i="42"/>
  <c r="O16" i="44" s="1"/>
  <c r="P75" i="42"/>
  <c r="J77" i="42"/>
  <c r="O78" i="42"/>
  <c r="N81" i="42"/>
  <c r="S82" i="42"/>
  <c r="L90" i="42"/>
  <c r="R91" i="42"/>
  <c r="R15" i="44" s="1"/>
  <c r="M75" i="42"/>
  <c r="R76" i="42"/>
  <c r="L78" i="42"/>
  <c r="Q79" i="42"/>
  <c r="K81" i="42"/>
  <c r="P82" i="42"/>
  <c r="K91" i="42"/>
  <c r="Q92" i="42"/>
  <c r="Q16" i="44" s="1"/>
  <c r="R75" i="42"/>
  <c r="L77" i="42"/>
  <c r="Q78" i="42"/>
  <c r="P91" i="42"/>
  <c r="P15" i="44" s="1"/>
  <c r="K79" i="42"/>
  <c r="N82" i="42"/>
  <c r="N90" i="42"/>
  <c r="J78" i="42"/>
  <c r="N92" i="42"/>
  <c r="S79" i="42"/>
  <c r="R82" i="42"/>
  <c r="R92" i="42"/>
  <c r="R16" i="44" s="1"/>
  <c r="K80" i="42"/>
  <c r="M91" i="42"/>
  <c r="S92" i="42"/>
  <c r="S16" i="44" s="1"/>
  <c r="N77" i="42"/>
  <c r="S78" i="42"/>
  <c r="M80" i="42"/>
  <c r="R81" i="42"/>
  <c r="P90" i="42"/>
  <c r="P14" i="44" s="1"/>
  <c r="L92" i="42"/>
  <c r="Q75" i="42"/>
  <c r="K77" i="42"/>
  <c r="P78" i="42"/>
  <c r="J80" i="42"/>
  <c r="O81" i="42"/>
  <c r="O91" i="42"/>
  <c r="O15" i="44" s="1"/>
  <c r="J91" i="42"/>
  <c r="K76" i="42"/>
  <c r="P77" i="42"/>
  <c r="J79" i="42"/>
  <c r="J92" i="42"/>
  <c r="L80" i="42"/>
  <c r="O79" i="42"/>
  <c r="Q82" i="42"/>
  <c r="O75" i="42"/>
  <c r="P80" i="42"/>
  <c r="S75" i="42"/>
  <c r="S80" i="42"/>
  <c r="K90" i="42"/>
  <c r="Q91" i="42"/>
  <c r="Q15" i="44" s="1"/>
  <c r="J90" i="42"/>
  <c r="M76" i="42"/>
  <c r="R77" i="42"/>
  <c r="L79" i="42"/>
  <c r="Q80" i="42"/>
  <c r="K82" i="42"/>
  <c r="P92" i="42"/>
  <c r="P16" i="44" s="1"/>
  <c r="J76" i="42"/>
  <c r="O77" i="42"/>
  <c r="N80" i="42"/>
  <c r="S81" i="42"/>
  <c r="M90" i="42"/>
  <c r="S91" i="42"/>
  <c r="S15" i="44" s="1"/>
  <c r="J75" i="42"/>
  <c r="O76" i="42"/>
  <c r="N79" i="42"/>
  <c r="L76" i="42"/>
  <c r="K75" i="42"/>
  <c r="O80" i="42"/>
  <c r="M81" i="42"/>
  <c r="M77" i="42"/>
  <c r="P81" i="42"/>
  <c r="O90" i="42"/>
  <c r="O14" i="44" s="1"/>
  <c r="K92" i="42"/>
  <c r="L75" i="42"/>
  <c r="Q76" i="42"/>
  <c r="K78" i="42"/>
  <c r="P79" i="42"/>
  <c r="J81" i="42"/>
  <c r="O82" i="42"/>
  <c r="N91" i="42"/>
  <c r="N76" i="42"/>
  <c r="S77" i="42"/>
  <c r="M79" i="42"/>
  <c r="R80" i="42"/>
  <c r="L82" i="42"/>
  <c r="Q90" i="42"/>
  <c r="Q14" i="44" s="1"/>
  <c r="M92" i="42"/>
  <c r="N75" i="42"/>
  <c r="S76" i="42"/>
  <c r="M78" i="42"/>
  <c r="R79" i="42"/>
  <c r="Q77" i="42"/>
  <c r="Q81" i="42"/>
  <c r="P76" i="42"/>
  <c r="L81" i="42"/>
  <c r="R90" i="42"/>
  <c r="R14" i="44" s="1"/>
  <c r="N78" i="42"/>
  <c r="J82" i="42"/>
  <c r="L91" i="42"/>
  <c r="R78" i="42"/>
  <c r="M82" i="42"/>
  <c r="P16" i="2"/>
  <c r="P26" i="2" s="1"/>
  <c r="K13" i="42"/>
  <c r="K26" i="42" s="1"/>
  <c r="J21" i="2"/>
  <c r="J31" i="2" s="1"/>
  <c r="J20" i="2"/>
  <c r="J30" i="2" s="1"/>
  <c r="O17" i="2"/>
  <c r="P17" i="2" s="1"/>
  <c r="P27" i="2" s="1"/>
  <c r="N27" i="2"/>
  <c r="O28" i="2"/>
  <c r="O26" i="2"/>
  <c r="K31" i="2"/>
  <c r="J20" i="42" s="1"/>
  <c r="L31" i="42" l="1"/>
  <c r="P31" i="42"/>
  <c r="J94" i="42"/>
  <c r="K52" i="42"/>
  <c r="K54" i="42" s="1"/>
  <c r="S84" i="42"/>
  <c r="L84" i="42"/>
  <c r="S52" i="42"/>
  <c r="S54" i="42" s="1"/>
  <c r="P84" i="42"/>
  <c r="J84" i="42"/>
  <c r="K84" i="42"/>
  <c r="Q84" i="42"/>
  <c r="S94" i="42"/>
  <c r="L94" i="42"/>
  <c r="Q52" i="42"/>
  <c r="Q54" i="42" s="1"/>
  <c r="R94" i="42"/>
  <c r="N84" i="42"/>
  <c r="K94" i="42"/>
  <c r="R84" i="42"/>
  <c r="R52" i="42"/>
  <c r="R54" i="42" s="1"/>
  <c r="O84" i="42"/>
  <c r="Q94" i="42"/>
  <c r="N94" i="42"/>
  <c r="M84" i="42"/>
  <c r="J52" i="42"/>
  <c r="J54" i="42" s="1"/>
  <c r="O94" i="42"/>
  <c r="P94" i="42"/>
  <c r="M94" i="42"/>
  <c r="J13" i="42"/>
  <c r="J26" i="42" s="1"/>
  <c r="O27" i="2"/>
  <c r="O35" i="42" l="1"/>
  <c r="P35" i="42"/>
  <c r="P33" i="42"/>
  <c r="P52" i="42" s="1"/>
  <c r="L35" i="42"/>
  <c r="M35" i="42"/>
  <c r="L33" i="42"/>
  <c r="L52" i="42" s="1"/>
  <c r="N35" i="42"/>
  <c r="P54" i="42" l="1"/>
  <c r="L54" i="42"/>
  <c r="M100" i="42" l="1"/>
  <c r="M101" i="42"/>
  <c r="M102" i="42" s="1"/>
  <c r="M16" i="42" l="1"/>
  <c r="M17" i="42" s="1"/>
  <c r="L14" i="42"/>
  <c r="L15" i="42" s="1"/>
  <c r="N31" i="42" l="1"/>
  <c r="O31" i="42"/>
  <c r="M31" i="42"/>
  <c r="O33" i="42" l="1"/>
  <c r="N33" i="42"/>
  <c r="M33" i="42"/>
  <c r="O52" i="42" l="1"/>
  <c r="O54" i="42" s="1"/>
  <c r="M52" i="42"/>
  <c r="N52" i="42"/>
  <c r="N54" i="42" l="1"/>
  <c r="M54" i="42"/>
  <c r="N101" i="42" l="1"/>
  <c r="N102" i="42" s="1"/>
  <c r="T13" i="44"/>
  <c r="N100" i="42"/>
  <c r="Q100" i="42"/>
  <c r="Q13" i="44" s="1"/>
  <c r="Q101" i="42"/>
  <c r="S101" i="42"/>
  <c r="R100" i="42"/>
  <c r="R13" i="44" s="1"/>
  <c r="P101" i="42"/>
  <c r="R101" i="42"/>
  <c r="O101" i="42"/>
  <c r="O100" i="42"/>
  <c r="O13" i="44" s="1"/>
  <c r="P100" i="42"/>
  <c r="P13" i="44" s="1"/>
  <c r="S100" i="42"/>
  <c r="S13" i="44" s="1"/>
  <c r="P102" i="42" l="1"/>
  <c r="S102" i="42"/>
  <c r="Q102" i="42"/>
  <c r="O102" i="42"/>
  <c r="R102" i="42"/>
  <c r="O47" i="58" l="1"/>
  <c r="X56" i="58"/>
  <c r="S1" i="58" s="1"/>
  <c r="G12" i="16" s="1"/>
  <c r="O56" i="58"/>
  <c r="G15" i="16" l="1"/>
  <c r="S1" i="16"/>
  <c r="V1" i="53" s="1"/>
  <c r="V1" i="54" l="1"/>
  <c r="V1" i="42"/>
  <c r="W1" i="55"/>
  <c r="W1" i="44"/>
  <c r="W1" i="58"/>
  <c r="V1" i="4"/>
  <c r="W1" i="2"/>
</calcChain>
</file>

<file path=xl/sharedStrings.xml><?xml version="1.0" encoding="utf-8"?>
<sst xmlns="http://schemas.openxmlformats.org/spreadsheetml/2006/main" count="689" uniqueCount="197">
  <si>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</si>
  <si>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</si>
  <si>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</si>
  <si>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</si>
  <si>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</si>
  <si>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</si>
  <si>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</si>
  <si>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</si>
  <si>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</si>
  <si>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</si>
  <si>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</si>
  <si>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</si>
  <si>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</si>
  <si>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</si>
  <si>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</si>
  <si>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</si>
  <si>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</si>
  <si>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</si>
  <si>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</si>
  <si>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</si>
  <si>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</si>
  <si>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</si>
  <si>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</si>
  <si>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</si>
  <si>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</si>
  <si>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</si>
  <si>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</si>
  <si>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</si>
  <si>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</si>
  <si>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</si>
  <si>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</si>
  <si>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</si>
  <si>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</si>
  <si>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</si>
  <si>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</si>
  <si>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</si>
  <si>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</si>
  <si>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</si>
  <si>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</si>
  <si>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</si>
  <si>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</si>
  <si>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</si>
  <si>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</si>
  <si>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</si>
  <si>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</si>
  <si>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Input | Opex allowances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</si>
  <si>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</si>
  <si>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</si>
  <si>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</si>
  <si>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</si>
  <si>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</si>
  <si>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</si>
  <si>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</si>
  <si>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</si>
  <si>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</si>
  <si>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</si>
  <si>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</si>
  <si>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</si>
  <si>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</si>
  <si>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</si>
  <si>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</si>
  <si>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</si>
  <si>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</si>
  <si>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</si>
  <si>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</si>
  <si>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</si>
  <si>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</si>
  <si>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</si>
  <si>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</si>
  <si>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</si>
  <si>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</si>
  <si>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</si>
  <si>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</si>
  <si>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</si>
  <si>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</si>
  <si>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</si>
  <si>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</si>
  <si>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</si>
  <si>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</si>
  <si>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</si>
  <si>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</si>
  <si>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</si>
  <si>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</si>
  <si>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</si>
  <si>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</si>
  <si>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</si>
  <si>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</si>
  <si>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</si>
  <si>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</si>
  <si>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</si>
  <si>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</si>
  <si>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</si>
  <si>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</si>
  <si>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</si>
  <si>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</si>
  <si>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</si>
  <si>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</si>
  <si>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</si>
  <si>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</si>
  <si>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</si>
  <si>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</si>
  <si>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</si>
  <si>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</si>
  <si>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</si>
  <si>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</si>
  <si>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</si>
  <si>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</si>
  <si>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</si>
  <si>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</si>
  <si>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</si>
  <si>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</si>
  <si>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</si>
  <si>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</si>
  <si>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</si>
  <si>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Adjustment 2</t>
  </si>
  <si>
    <t>Adjustment 3</t>
  </si>
  <si>
    <t>Adjustment 4</t>
  </si>
  <si>
    <t>Adjustment 5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</si>
  <si>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</si>
  <si>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</si>
  <si>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</si>
  <si>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</si>
  <si>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</si>
  <si>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</si>
  <si>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</si>
  <si>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</si>
  <si>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</si>
  <si>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</si>
  <si>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</si>
  <si>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</si>
  <si>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</si>
  <si>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</si>
  <si>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</si>
  <si>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</si>
  <si>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</si>
  <si>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</si>
  <si>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</si>
  <si>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</si>
  <si>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</si>
  <si>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draft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</si>
  <si>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</si>
  <si>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</si>
  <si>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</si>
  <si>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</si>
  <si>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</si>
  <si>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</si>
  <si>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</si>
  <si>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</si>
  <si>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</si>
  <si>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</si>
  <si>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</si>
  <si>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</si>
  <si>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</si>
  <si>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first year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</si>
  <si>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</si>
  <si>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</si>
  <si>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</si>
  <si>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</si>
  <si>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</si>
  <si>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</si>
  <si>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</si>
  <si>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</si>
  <si>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</si>
  <si>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</si>
  <si>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</si>
  <si>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</si>
  <si>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</si>
  <si>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</si>
  <si>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</si>
  <si>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</si>
  <si>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Remove estimated final year opex for categories forecast specifically</t>
  </si>
  <si>
    <t>Adjusted final year opex</t>
  </si>
  <si>
    <t>Output weights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</si>
  <si>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</si>
  <si>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</si>
  <si>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</si>
  <si>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</si>
  <si>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</si>
  <si>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Trend from base or final year</t>
  </si>
  <si>
    <t>Option 1</t>
  </si>
  <si>
    <t>Option 2</t>
  </si>
  <si>
    <t>Final</t>
  </si>
  <si>
    <t>AER opex model v1.8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</si>
  <si>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</si>
  <si>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</si>
  <si>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final year.</t>
  </si>
  <si>
    <t>Previous period year 0</t>
  </si>
  <si>
    <t>Previous period year 6</t>
  </si>
  <si>
    <t>Amadeus</t>
  </si>
  <si>
    <t>Remove lease costs to be capitalised</t>
  </si>
  <si>
    <t>No output growth</t>
  </si>
  <si>
    <t>No growth</t>
  </si>
  <si>
    <t>Pigging costs (in-line inspection and excavation costs)</t>
  </si>
  <si>
    <t>Ok</t>
  </si>
  <si>
    <t>Input | Rate of change</t>
  </si>
  <si>
    <t>Calc | Opex Forecast</t>
  </si>
  <si>
    <t>Output |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</si>
</sst>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</numFmts>
  <fonts count="89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264">
    <xf numFmtId="0" fontId="0" fillId="0" borderId="0"/>
    <xf numFmtId="170" fontId="3" fillId="7" borderId="0" applyProtection="0"/>
    <xf numFmtId="9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  <xf numFmtId="171" fontId="12" fillId="0" borderId="5">
      <alignment horizontal="right" vertical="center"/>
      <protection locked="0"/>
    </xf>
    <xf numFmtId="167" fontId="10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2" fillId="0" borderId="0"/>
    <xf numFmtId="178" fontId="12" fillId="0" borderId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3" fillId="0" borderId="0"/>
    <xf numFmtId="16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 applyNumberFormat="0" applyFill="0" applyBorder="0" applyAlignment="0"/>
    <xf numFmtId="165" fontId="19" fillId="4" borderId="0" applyNumberFormat="0" applyFont="0" applyBorder="0" applyAlignment="0">
      <alignment horizontal="right"/>
    </xf>
    <xf numFmtId="165" fontId="19" fillId="4" borderId="0" applyNumberFormat="0" applyFont="0" applyBorder="0" applyAlignment="0">
      <alignment horizontal="right"/>
    </xf>
    <xf numFmtId="0" fontId="27" fillId="0" borderId="0" applyNumberFormat="0" applyFill="0" applyBorder="0" applyAlignment="0">
      <protection locked="0"/>
    </xf>
    <xf numFmtId="0" fontId="28" fillId="14" borderId="11" applyNumberFormat="0" applyAlignment="0" applyProtection="0"/>
    <xf numFmtId="0" fontId="29" fillId="31" borderId="12" applyNumberFormat="0" applyAlignment="0" applyProtection="0"/>
    <xf numFmtId="165" fontId="1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3" fontId="3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33" fillId="32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180" fontId="1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35" fillId="0" borderId="0"/>
    <xf numFmtId="0" fontId="36" fillId="0" borderId="0"/>
    <xf numFmtId="0" fontId="37" fillId="35" borderId="0" applyNumberFormat="0" applyBorder="0" applyAlignment="0" applyProtection="0"/>
    <xf numFmtId="0" fontId="21" fillId="0" borderId="0" applyFill="0" applyBorder="0">
      <alignment vertical="center"/>
    </xf>
    <xf numFmtId="0" fontId="38" fillId="0" borderId="13" applyNumberFormat="0" applyFill="0" applyAlignment="0" applyProtection="0"/>
    <xf numFmtId="0" fontId="21" fillId="0" borderId="0" applyFill="0" applyBorder="0">
      <alignment vertical="center"/>
    </xf>
    <xf numFmtId="0" fontId="39" fillId="0" borderId="0" applyFill="0" applyBorder="0">
      <alignment vertical="center"/>
    </xf>
    <xf numFmtId="0" fontId="40" fillId="0" borderId="14" applyNumberFormat="0" applyFill="0" applyAlignment="0" applyProtection="0"/>
    <xf numFmtId="0" fontId="39" fillId="0" borderId="0" applyFill="0" applyBorder="0">
      <alignment vertical="center"/>
    </xf>
    <xf numFmtId="0" fontId="9" fillId="0" borderId="0" applyFill="0" applyBorder="0">
      <alignment vertical="center"/>
    </xf>
    <xf numFmtId="0" fontId="41" fillId="0" borderId="15" applyNumberFormat="0" applyFill="0" applyAlignment="0" applyProtection="0"/>
    <xf numFmtId="0" fontId="9" fillId="0" borderId="0" applyFill="0" applyBorder="0">
      <alignment vertical="center"/>
    </xf>
    <xf numFmtId="0" fontId="12" fillId="0" borderId="0" applyFill="0" applyBorder="0">
      <alignment vertical="center"/>
    </xf>
    <xf numFmtId="0" fontId="41" fillId="0" borderId="0" applyNumberFormat="0" applyFill="0" applyBorder="0" applyAlignment="0" applyProtection="0"/>
    <xf numFmtId="0" fontId="12" fillId="0" borderId="0" applyFill="0" applyBorder="0">
      <alignment vertical="center"/>
    </xf>
    <xf numFmtId="182" fontId="42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Fill="0" applyBorder="0">
      <alignment horizontal="center" vertical="center"/>
      <protection locked="0"/>
    </xf>
    <xf numFmtId="0" fontId="45" fillId="0" borderId="0" applyFill="0" applyBorder="0">
      <alignment horizontal="left" vertical="center"/>
      <protection locked="0"/>
    </xf>
    <xf numFmtId="0" fontId="46" fillId="12" borderId="11" applyNumberFormat="0" applyAlignment="0" applyProtection="0"/>
    <xf numFmtId="165" fontId="19" fillId="36" borderId="0" applyFont="0" applyBorder="0" applyAlignment="0">
      <alignment horizontal="right"/>
      <protection locked="0"/>
    </xf>
    <xf numFmtId="165" fontId="19" fillId="36" borderId="0" applyFont="0" applyBorder="0" applyAlignment="0">
      <alignment horizontal="right"/>
      <protection locked="0"/>
    </xf>
    <xf numFmtId="183" fontId="19" fillId="6" borderId="0" applyFont="0" applyBorder="0">
      <alignment horizontal="right"/>
      <protection locked="0"/>
    </xf>
    <xf numFmtId="183" fontId="19" fillId="6" borderId="0" applyFont="0" applyBorder="0">
      <alignment horizontal="right"/>
      <protection locked="0"/>
    </xf>
    <xf numFmtId="165" fontId="19" fillId="10" borderId="0" applyFont="0" applyBorder="0">
      <alignment horizontal="right"/>
      <protection locked="0"/>
    </xf>
    <xf numFmtId="165" fontId="19" fillId="10" borderId="0" applyFont="0" applyBorder="0">
      <alignment horizontal="right"/>
      <protection locked="0"/>
    </xf>
    <xf numFmtId="0" fontId="12" fillId="4" borderId="0"/>
    <xf numFmtId="0" fontId="47" fillId="0" borderId="16" applyNumberFormat="0" applyFill="0" applyAlignment="0" applyProtection="0"/>
    <xf numFmtId="184" fontId="48" fillId="0" borderId="0"/>
    <xf numFmtId="0" fontId="49" fillId="0" borderId="0" applyFill="0" applyBorder="0">
      <alignment horizontal="left" vertical="center"/>
    </xf>
    <xf numFmtId="0" fontId="50" fillId="15" borderId="0" applyNumberFormat="0" applyBorder="0" applyAlignment="0" applyProtection="0"/>
    <xf numFmtId="185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24" fillId="0" borderId="0"/>
    <xf numFmtId="0" fontId="19" fillId="3" borderId="0"/>
    <xf numFmtId="0" fontId="52" fillId="0" borderId="0"/>
    <xf numFmtId="0" fontId="19" fillId="0" borderId="0"/>
    <xf numFmtId="0" fontId="19" fillId="0" borderId="0"/>
    <xf numFmtId="0" fontId="19" fillId="13" borderId="17" applyNumberFormat="0" applyFont="0" applyAlignment="0" applyProtection="0"/>
    <xf numFmtId="0" fontId="53" fillId="14" borderId="18" applyNumberFormat="0" applyAlignment="0" applyProtection="0"/>
    <xf numFmtId="186" fontId="19" fillId="0" borderId="0" applyFill="0" applyBorder="0"/>
    <xf numFmtId="186" fontId="19" fillId="0" borderId="0" applyFill="0" applyBorder="0"/>
    <xf numFmtId="186" fontId="19" fillId="0" borderId="0" applyFill="0" applyBorder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2" fontId="54" fillId="0" borderId="0"/>
    <xf numFmtId="0" fontId="9" fillId="0" borderId="0" applyFill="0" applyBorder="0">
      <alignment vertical="center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187" fontId="55" fillId="0" borderId="19"/>
    <xf numFmtId="0" fontId="56" fillId="0" borderId="20">
      <alignment horizontal="center"/>
    </xf>
    <xf numFmtId="3" fontId="30" fillId="0" borderId="0" applyFont="0" applyFill="0" applyBorder="0" applyAlignment="0" applyProtection="0"/>
    <xf numFmtId="0" fontId="30" fillId="37" borderId="0" applyNumberFormat="0" applyFont="0" applyBorder="0" applyAlignment="0" applyProtection="0"/>
    <xf numFmtId="188" fontId="19" fillId="0" borderId="0"/>
    <xf numFmtId="188" fontId="19" fillId="0" borderId="0"/>
    <xf numFmtId="188" fontId="19" fillId="0" borderId="0"/>
    <xf numFmtId="189" fontId="12" fillId="0" borderId="0" applyFill="0" applyBorder="0">
      <alignment horizontal="right" vertical="center"/>
    </xf>
    <xf numFmtId="190" fontId="12" fillId="0" borderId="0" applyFill="0" applyBorder="0">
      <alignment horizontal="right" vertical="center"/>
    </xf>
    <xf numFmtId="191" fontId="12" fillId="0" borderId="0" applyFill="0" applyBorder="0">
      <alignment horizontal="right" vertical="center"/>
    </xf>
    <xf numFmtId="0" fontId="19" fillId="13" borderId="0" applyNumberFormat="0" applyFont="0" applyBorder="0" applyAlignment="0" applyProtection="0"/>
    <xf numFmtId="0" fontId="19" fillId="13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16" borderId="0" applyNumberFormat="0" applyFont="0" applyBorder="0" applyAlignment="0" applyProtection="0"/>
    <xf numFmtId="0" fontId="19" fillId="16" borderId="0" applyNumberFormat="0" applyFont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49" fillId="0" borderId="0"/>
    <xf numFmtId="0" fontId="58" fillId="0" borderId="0"/>
    <xf numFmtId="15" fontId="19" fillId="0" borderId="0"/>
    <xf numFmtId="15" fontId="19" fillId="0" borderId="0"/>
    <xf numFmtId="15" fontId="19" fillId="0" borderId="0"/>
    <xf numFmtId="10" fontId="19" fillId="0" borderId="0"/>
    <xf numFmtId="10" fontId="19" fillId="0" borderId="0"/>
    <xf numFmtId="10" fontId="19" fillId="0" borderId="0"/>
    <xf numFmtId="0" fontId="59" fillId="9" borderId="7" applyBorder="0" applyProtection="0">
      <alignment horizontal="centerContinuous" vertical="center"/>
    </xf>
    <xf numFmtId="0" fontId="60" fillId="0" borderId="0" applyBorder="0" applyProtection="0">
      <alignment vertical="center"/>
    </xf>
    <xf numFmtId="0" fontId="61" fillId="0" borderId="0">
      <alignment horizontal="left"/>
    </xf>
    <xf numFmtId="0" fontId="61" fillId="0" borderId="10" applyFill="0" applyBorder="0" applyProtection="0">
      <alignment horizontal="left" vertical="top"/>
    </xf>
    <xf numFmtId="49" fontId="19" fillId="0" borderId="0" applyFont="0" applyFill="0" applyBorder="0" applyAlignment="0" applyProtection="0"/>
    <xf numFmtId="0" fontId="62" fillId="0" borderId="0"/>
    <xf numFmtId="49" fontId="19" fillId="0" borderId="0" applyFont="0" applyFill="0" applyBorder="0" applyAlignment="0" applyProtection="0"/>
    <xf numFmtId="0" fontId="63" fillId="0" borderId="0"/>
    <xf numFmtId="0" fontId="63" fillId="0" borderId="0"/>
    <xf numFmtId="0" fontId="62" fillId="0" borderId="0"/>
    <xf numFmtId="184" fontId="64" fillId="0" borderId="0"/>
    <xf numFmtId="0" fontId="57" fillId="0" borderId="0" applyNumberFormat="0" applyFill="0" applyBorder="0" applyAlignment="0" applyProtection="0"/>
    <xf numFmtId="0" fontId="65" fillId="0" borderId="0" applyFill="0" applyBorder="0">
      <alignment horizontal="left" vertical="center"/>
      <protection locked="0"/>
    </xf>
    <xf numFmtId="0" fontId="62" fillId="0" borderId="0"/>
    <xf numFmtId="0" fontId="66" fillId="0" borderId="0" applyFill="0" applyBorder="0">
      <alignment horizontal="left" vertical="center"/>
      <protection locked="0"/>
    </xf>
    <xf numFmtId="0" fontId="33" fillId="0" borderId="21" applyNumberFormat="0" applyFill="0" applyAlignment="0" applyProtection="0"/>
    <xf numFmtId="0" fontId="67" fillId="0" borderId="0" applyNumberFormat="0" applyFill="0" applyBorder="0" applyAlignment="0" applyProtection="0"/>
    <xf numFmtId="192" fontId="19" fillId="0" borderId="7" applyBorder="0" applyProtection="0">
      <alignment horizontal="right"/>
    </xf>
    <xf numFmtId="192" fontId="19" fillId="0" borderId="7" applyBorder="0" applyProtection="0">
      <alignment horizontal="right"/>
    </xf>
    <xf numFmtId="192" fontId="19" fillId="0" borderId="7" applyBorder="0" applyProtection="0">
      <alignment horizontal="right"/>
    </xf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3" fillId="42" borderId="0"/>
    <xf numFmtId="202" fontId="74" fillId="0" borderId="23">
      <alignment horizontal="center"/>
    </xf>
    <xf numFmtId="0" fontId="75" fillId="43" borderId="6">
      <alignment horizontal="center" vertical="center"/>
    </xf>
    <xf numFmtId="0" fontId="19" fillId="44" borderId="11"/>
    <xf numFmtId="0" fontId="76" fillId="0" borderId="0" applyFill="0" applyBorder="0"/>
    <xf numFmtId="0" fontId="77" fillId="0" borderId="0" applyNumberFormat="0" applyFill="0"/>
    <xf numFmtId="0" fontId="78" fillId="0" borderId="0" applyFill="0"/>
    <xf numFmtId="0" fontId="79" fillId="0" borderId="0" applyFill="0"/>
    <xf numFmtId="0" fontId="80" fillId="0" borderId="0" applyFill="0"/>
    <xf numFmtId="0" fontId="73" fillId="45" borderId="0"/>
    <xf numFmtId="0" fontId="19" fillId="38" borderId="24" applyNumberFormat="0" applyFont="0" applyAlignment="0"/>
    <xf numFmtId="0" fontId="81" fillId="7" borderId="25" applyNumberFormat="0"/>
    <xf numFmtId="0" fontId="82" fillId="46" borderId="0"/>
    <xf numFmtId="0" fontId="83" fillId="46" borderId="0" applyNumberFormat="0"/>
    <xf numFmtId="0" fontId="84" fillId="46" borderId="0"/>
    <xf numFmtId="0" fontId="85" fillId="47" borderId="6" applyNumberFormat="0">
      <alignment horizontal="center" vertical="center"/>
    </xf>
    <xf numFmtId="0" fontId="86" fillId="48" borderId="11" applyNumberFormat="0" applyAlignment="0">
      <alignment horizontal="right"/>
    </xf>
    <xf numFmtId="0" fontId="21" fillId="38" borderId="24" applyNumberFormat="0" applyAlignment="0"/>
    <xf numFmtId="0" fontId="74" fillId="0" borderId="0" applyNumberFormat="0" applyFill="0" applyBorder="0"/>
    <xf numFmtId="0" fontId="87" fillId="49" borderId="24" applyNumberFormat="0">
      <protection locked="0"/>
    </xf>
  </cellStyleXfs>
  <cellXfs count="22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2" fillId="2" borderId="1" xfId="0" applyFont="1" applyFill="1" applyBorder="1"/>
    <xf numFmtId="168" fontId="3" fillId="3" borderId="0" xfId="0" applyNumberFormat="1" applyFont="1" applyFill="1"/>
    <xf numFmtId="168" fontId="4" fillId="0" borderId="0" xfId="0" applyNumberFormat="1" applyFont="1"/>
    <xf numFmtId="168" fontId="3" fillId="0" borderId="0" xfId="0" applyNumberFormat="1" applyFont="1"/>
    <xf numFmtId="168" fontId="5" fillId="0" borderId="0" xfId="0" applyNumberFormat="1" applyFont="1"/>
    <xf numFmtId="168" fontId="6" fillId="0" borderId="0" xfId="0" applyNumberFormat="1" applyFont="1" applyAlignment="1" applyProtection="1"/>
    <xf numFmtId="0" fontId="3" fillId="5" borderId="0" xfId="0" applyFont="1" applyFill="1" applyBorder="1"/>
    <xf numFmtId="0" fontId="3" fillId="6" borderId="0" xfId="0" applyFont="1" applyFill="1" applyBorder="1"/>
    <xf numFmtId="168" fontId="9" fillId="0" borderId="0" xfId="0" applyNumberFormat="1" applyFont="1"/>
    <xf numFmtId="168" fontId="5" fillId="0" borderId="0" xfId="0" applyNumberFormat="1" applyFont="1" applyAlignment="1">
      <alignment horizontal="center"/>
    </xf>
    <xf numFmtId="168" fontId="3" fillId="0" borderId="0" xfId="0" applyNumberFormat="1" applyFont="1" applyAlignment="1">
      <alignment horizontal="left" indent="1"/>
    </xf>
    <xf numFmtId="168" fontId="4" fillId="0" borderId="0" xfId="0" applyNumberFormat="1" applyFont="1" applyAlignment="1">
      <alignment horizontal="center"/>
    </xf>
    <xf numFmtId="168" fontId="0" fillId="0" borderId="0" xfId="0" applyNumberFormat="1"/>
    <xf numFmtId="167" fontId="9" fillId="0" borderId="6" xfId="0" applyNumberFormat="1" applyFont="1" applyBorder="1" applyAlignment="1">
      <alignment horizontal="center"/>
    </xf>
    <xf numFmtId="168" fontId="14" fillId="0" borderId="0" xfId="3" applyNumberFormat="1" applyFont="1" applyAlignment="1" applyProtection="1"/>
    <xf numFmtId="168" fontId="4" fillId="3" borderId="0" xfId="0" applyNumberFormat="1" applyFont="1" applyFill="1"/>
    <xf numFmtId="168" fontId="15" fillId="0" borderId="0" xfId="0" applyNumberFormat="1" applyFont="1" applyAlignment="1">
      <alignment horizontal="center"/>
    </xf>
    <xf numFmtId="173" fontId="12" fillId="0" borderId="0" xfId="5" applyNumberFormat="1" applyFont="1" applyFill="1" applyBorder="1" applyAlignment="1" applyProtection="1">
      <alignment horizontal="center" vertical="center"/>
    </xf>
    <xf numFmtId="174" fontId="9" fillId="0" borderId="0" xfId="5" applyNumberFormat="1" applyFont="1" applyFill="1" applyBorder="1" applyAlignment="1" applyProtection="1">
      <alignment horizontal="center" vertical="center"/>
    </xf>
    <xf numFmtId="174" fontId="17" fillId="0" borderId="0" xfId="5" applyNumberFormat="1" applyFont="1" applyFill="1" applyBorder="1" applyAlignment="1" applyProtection="1">
      <alignment horizontal="center" vertical="center"/>
    </xf>
    <xf numFmtId="175" fontId="3" fillId="0" borderId="0" xfId="0" applyNumberFormat="1" applyFont="1"/>
    <xf numFmtId="177" fontId="12" fillId="0" borderId="0" xfId="5" applyNumberFormat="1" applyFont="1" applyFill="1" applyBorder="1" applyAlignment="1" applyProtection="1">
      <alignment horizontal="center" vertical="center"/>
    </xf>
    <xf numFmtId="168" fontId="3" fillId="3" borderId="0" xfId="0" applyNumberFormat="1" applyFont="1" applyFill="1" applyProtection="1"/>
    <xf numFmtId="168" fontId="4" fillId="3" borderId="0" xfId="0" applyNumberFormat="1" applyFont="1" applyFill="1" applyAlignment="1" applyProtection="1">
      <alignment horizontal="center"/>
    </xf>
    <xf numFmtId="168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/>
    </xf>
    <xf numFmtId="168" fontId="9" fillId="0" borderId="0" xfId="0" applyNumberFormat="1" applyFont="1" applyProtection="1"/>
    <xf numFmtId="168" fontId="15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center"/>
    </xf>
    <xf numFmtId="168" fontId="14" fillId="0" borderId="0" xfId="3" applyNumberFormat="1" applyFont="1" applyAlignment="1" applyProtection="1">
      <alignment horizontal="center"/>
    </xf>
    <xf numFmtId="0" fontId="68" fillId="38" borderId="0" xfId="0" applyFont="1" applyFill="1" applyBorder="1" applyAlignment="1">
      <alignment horizontal="left" vertical="center"/>
    </xf>
    <xf numFmtId="0" fontId="68" fillId="38" borderId="0" xfId="0" applyFont="1" applyFill="1" applyBorder="1" applyAlignment="1">
      <alignment horizontal="left" indent="9"/>
    </xf>
    <xf numFmtId="0" fontId="69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7" fontId="20" fillId="38" borderId="0" xfId="0" applyNumberFormat="1" applyFont="1" applyFill="1" applyBorder="1" applyAlignment="1">
      <alignment horizontal="center"/>
    </xf>
    <xf numFmtId="0" fontId="70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1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1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0" fillId="39" borderId="4" xfId="0" applyFont="1" applyFill="1" applyBorder="1"/>
    <xf numFmtId="169" fontId="3" fillId="41" borderId="3" xfId="0" applyNumberFormat="1" applyFont="1" applyFill="1" applyBorder="1" applyAlignment="1" applyProtection="1">
      <alignment horizontal="center"/>
      <protection locked="0"/>
    </xf>
    <xf numFmtId="0" fontId="70" fillId="38" borderId="0" xfId="0" applyFont="1" applyFill="1" applyBorder="1" applyAlignment="1">
      <alignment horizontal="left"/>
    </xf>
    <xf numFmtId="0" fontId="70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3" fillId="40" borderId="0" xfId="0" applyFont="1" applyFill="1" applyBorder="1" applyAlignment="1">
      <alignment horizontal="center"/>
    </xf>
    <xf numFmtId="10" fontId="3" fillId="41" borderId="3" xfId="2" applyNumberFormat="1" applyFont="1" applyFill="1" applyBorder="1" applyAlignment="1" applyProtection="1">
      <alignment horizontal="center"/>
      <protection locked="0"/>
    </xf>
    <xf numFmtId="49" fontId="3" fillId="41" borderId="3" xfId="0" applyNumberFormat="1" applyFont="1" applyFill="1" applyBorder="1" applyAlignment="1" applyProtection="1">
      <alignment horizontal="left" indent="1"/>
      <protection locked="0"/>
    </xf>
    <xf numFmtId="168" fontId="15" fillId="0" borderId="0" xfId="0" applyNumberFormat="1" applyFont="1" applyAlignment="1" applyProtection="1">
      <alignment horizontal="center" wrapText="1"/>
    </xf>
    <xf numFmtId="193" fontId="3" fillId="41" borderId="3" xfId="0" applyNumberFormat="1" applyFont="1" applyFill="1" applyBorder="1" applyAlignment="1" applyProtection="1">
      <alignment horizontal="center"/>
      <protection locked="0"/>
    </xf>
    <xf numFmtId="197" fontId="3" fillId="0" borderId="0" xfId="0" applyNumberFormat="1" applyFont="1" applyAlignment="1" applyProtection="1">
      <alignment horizontal="left"/>
    </xf>
    <xf numFmtId="195" fontId="3" fillId="0" borderId="0" xfId="0" applyNumberFormat="1" applyFont="1" applyProtection="1"/>
    <xf numFmtId="168" fontId="4" fillId="0" borderId="0" xfId="0" applyNumberFormat="1" applyFont="1" applyAlignment="1" applyProtection="1">
      <alignment horizontal="center" wrapText="1"/>
    </xf>
    <xf numFmtId="168" fontId="5" fillId="0" borderId="0" xfId="0" applyNumberFormat="1" applyFont="1" applyProtection="1"/>
    <xf numFmtId="168" fontId="16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8" fillId="38" borderId="0" xfId="0" applyFont="1" applyFill="1" applyBorder="1" applyAlignment="1" applyProtection="1">
      <alignment horizontal="left" vertical="center"/>
    </xf>
    <xf numFmtId="0" fontId="68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3" fillId="40" borderId="0" xfId="0" applyFont="1" applyFill="1" applyBorder="1" applyAlignment="1" applyProtection="1">
      <alignment horizontal="center"/>
    </xf>
    <xf numFmtId="0" fontId="3" fillId="5" borderId="0" xfId="0" applyFont="1" applyFill="1" applyBorder="1" applyProtection="1"/>
    <xf numFmtId="0" fontId="3" fillId="6" borderId="0" xfId="0" applyFont="1" applyFill="1" applyBorder="1" applyProtection="1"/>
    <xf numFmtId="167" fontId="20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0" fillId="38" borderId="1" xfId="0" applyFont="1" applyFill="1" applyBorder="1" applyAlignment="1" applyProtection="1">
      <alignment horizontal="left"/>
    </xf>
    <xf numFmtId="0" fontId="70" fillId="38" borderId="1" xfId="0" applyFont="1" applyFill="1" applyBorder="1" applyAlignment="1" applyProtection="1">
      <alignment horizontal="left" indent="9"/>
    </xf>
    <xf numFmtId="0" fontId="20" fillId="38" borderId="2" xfId="0" applyNumberFormat="1" applyFont="1" applyFill="1" applyBorder="1" applyProtection="1"/>
    <xf numFmtId="0" fontId="20" fillId="38" borderId="2" xfId="0" applyFont="1" applyFill="1" applyBorder="1" applyProtection="1"/>
    <xf numFmtId="0" fontId="71" fillId="38" borderId="2" xfId="0" applyNumberFormat="1" applyFont="1" applyFill="1" applyBorder="1" applyProtection="1"/>
    <xf numFmtId="0" fontId="71" fillId="39" borderId="4" xfId="0" applyFont="1" applyFill="1" applyBorder="1" applyProtection="1"/>
    <xf numFmtId="0" fontId="71" fillId="39" borderId="4" xfId="0" applyFont="1" applyFill="1" applyBorder="1" applyAlignment="1" applyProtection="1">
      <alignment horizontal="center"/>
    </xf>
    <xf numFmtId="0" fontId="16" fillId="39" borderId="4" xfId="0" applyFont="1" applyFill="1" applyBorder="1" applyAlignment="1" applyProtection="1">
      <alignment horizontal="center" vertical="center"/>
    </xf>
    <xf numFmtId="0" fontId="16" fillId="39" borderId="4" xfId="0" applyFont="1" applyFill="1" applyBorder="1" applyAlignment="1" applyProtection="1">
      <alignment vertical="center"/>
    </xf>
    <xf numFmtId="0" fontId="71" fillId="39" borderId="4" xfId="0" applyFont="1" applyFill="1" applyBorder="1" applyAlignment="1" applyProtection="1">
      <alignment wrapText="1"/>
    </xf>
    <xf numFmtId="166" fontId="16" fillId="39" borderId="4" xfId="0" applyNumberFormat="1" applyFont="1" applyFill="1" applyBorder="1" applyAlignment="1" applyProtection="1">
      <alignment horizontal="center" wrapText="1"/>
    </xf>
    <xf numFmtId="0" fontId="71" fillId="3" borderId="0" xfId="0" applyFont="1" applyFill="1" applyBorder="1" applyAlignment="1" applyProtection="1">
      <alignment wrapText="1"/>
    </xf>
    <xf numFmtId="0" fontId="71" fillId="3" borderId="0" xfId="0" applyFont="1" applyFill="1" applyAlignment="1" applyProtection="1">
      <alignment wrapText="1"/>
    </xf>
    <xf numFmtId="0" fontId="71" fillId="3" borderId="0" xfId="0" applyFont="1" applyFill="1" applyProtection="1"/>
    <xf numFmtId="0" fontId="71" fillId="0" borderId="0" xfId="0" applyFont="1" applyFill="1" applyProtection="1"/>
    <xf numFmtId="0" fontId="71" fillId="0" borderId="0" xfId="0" applyFont="1" applyProtection="1"/>
    <xf numFmtId="0" fontId="0" fillId="39" borderId="4" xfId="0" applyFill="1" applyBorder="1" applyProtection="1"/>
    <xf numFmtId="0" fontId="20" fillId="39" borderId="4" xfId="0" applyFont="1" applyFill="1" applyBorder="1" applyProtection="1"/>
    <xf numFmtId="0" fontId="21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6" fontId="21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5" fillId="0" borderId="0" xfId="0" applyNumberFormat="1" applyFont="1" applyFill="1" applyBorder="1" applyProtection="1"/>
    <xf numFmtId="168" fontId="4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Border="1" applyAlignment="1" applyProtection="1">
      <alignment horizontal="left" indent="1"/>
    </xf>
    <xf numFmtId="168" fontId="3" fillId="0" borderId="0" xfId="0" applyNumberFormat="1" applyFont="1" applyAlignment="1" applyProtection="1">
      <alignment horizontal="center"/>
    </xf>
    <xf numFmtId="168" fontId="14" fillId="0" borderId="0" xfId="3" applyNumberFormat="1" applyFont="1" applyFill="1" applyAlignment="1" applyProtection="1">
      <alignment horizontal="center"/>
    </xf>
    <xf numFmtId="198" fontId="3" fillId="0" borderId="0" xfId="0" applyNumberFormat="1" applyFont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Alignment="1" applyProtection="1">
      <alignment horizontal="left" indent="1"/>
    </xf>
    <xf numFmtId="168" fontId="4" fillId="0" borderId="7" xfId="0" applyNumberFormat="1" applyFont="1" applyBorder="1" applyAlignment="1" applyProtection="1">
      <alignment horizontal="center"/>
    </xf>
    <xf numFmtId="168" fontId="5" fillId="0" borderId="8" xfId="0" applyNumberFormat="1" applyFont="1" applyBorder="1" applyAlignment="1" applyProtection="1">
      <alignment horizontal="left" indent="1"/>
    </xf>
    <xf numFmtId="168" fontId="4" fillId="0" borderId="8" xfId="0" applyNumberFormat="1" applyFont="1" applyBorder="1" applyAlignment="1" applyProtection="1">
      <alignment horizontal="center"/>
    </xf>
    <xf numFmtId="198" fontId="5" fillId="0" borderId="0" xfId="0" applyNumberFormat="1" applyFont="1" applyAlignment="1" applyProtection="1">
      <alignment horizontal="center"/>
    </xf>
    <xf numFmtId="168" fontId="4" fillId="0" borderId="0" xfId="0" applyNumberFormat="1" applyFont="1" applyAlignment="1" applyProtection="1">
      <alignment horizontal="left"/>
    </xf>
    <xf numFmtId="10" fontId="3" fillId="0" borderId="0" xfId="2" applyNumberFormat="1" applyFont="1" applyAlignment="1" applyProtection="1">
      <alignment horizontal="center"/>
    </xf>
    <xf numFmtId="168" fontId="5" fillId="0" borderId="8" xfId="0" applyNumberFormat="1" applyFont="1" applyBorder="1" applyProtection="1"/>
    <xf numFmtId="176" fontId="3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Fill="1" applyAlignment="1" applyProtection="1">
      <alignment horizontal="left" indent="2"/>
    </xf>
    <xf numFmtId="168" fontId="15" fillId="0" borderId="8" xfId="0" applyNumberFormat="1" applyFont="1" applyBorder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Border="1" applyProtection="1"/>
    <xf numFmtId="195" fontId="5" fillId="0" borderId="0" xfId="0" applyNumberFormat="1" applyFont="1" applyBorder="1" applyAlignment="1" applyProtection="1">
      <alignment horizontal="center"/>
    </xf>
    <xf numFmtId="168" fontId="15" fillId="0" borderId="0" xfId="0" applyNumberFormat="1" applyFont="1" applyBorder="1" applyAlignment="1" applyProtection="1">
      <alignment horizontal="center"/>
    </xf>
    <xf numFmtId="201" fontId="3" fillId="0" borderId="0" xfId="0" applyNumberFormat="1" applyFont="1" applyAlignment="1" applyProtection="1">
      <alignment horizontal="center"/>
    </xf>
    <xf numFmtId="201" fontId="5" fillId="0" borderId="0" xfId="0" applyNumberFormat="1" applyFont="1" applyAlignment="1" applyProtection="1">
      <alignment horizontal="center"/>
    </xf>
    <xf numFmtId="199" fontId="9" fillId="0" borderId="4" xfId="5" applyNumberFormat="1" applyFont="1" applyFill="1" applyBorder="1" applyAlignment="1" applyProtection="1">
      <alignment horizontal="center" vertical="center"/>
    </xf>
    <xf numFmtId="49" fontId="4" fillId="41" borderId="22" xfId="0" applyNumberFormat="1" applyFont="1" applyFill="1" applyBorder="1" applyAlignment="1" applyProtection="1">
      <alignment horizontal="center"/>
      <protection locked="0"/>
    </xf>
    <xf numFmtId="167" fontId="9" fillId="0" borderId="3" xfId="0" applyNumberFormat="1" applyFont="1" applyBorder="1" applyAlignment="1" applyProtection="1">
      <alignment horizontal="center"/>
    </xf>
    <xf numFmtId="167" fontId="9" fillId="0" borderId="0" xfId="0" applyNumberFormat="1" applyFont="1" applyBorder="1" applyAlignment="1" applyProtection="1">
      <alignment horizontal="center"/>
    </xf>
    <xf numFmtId="0" fontId="7" fillId="38" borderId="2" xfId="0" applyNumberFormat="1" applyFont="1" applyFill="1" applyBorder="1" applyProtection="1"/>
    <xf numFmtId="0" fontId="7" fillId="38" borderId="2" xfId="0" applyFont="1" applyFill="1" applyBorder="1" applyProtection="1"/>
    <xf numFmtId="0" fontId="8" fillId="38" borderId="2" xfId="0" applyNumberFormat="1" applyFont="1" applyFill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168" fontId="5" fillId="0" borderId="7" xfId="0" applyNumberFormat="1" applyFont="1" applyBorder="1" applyProtection="1"/>
    <xf numFmtId="168" fontId="3" fillId="0" borderId="7" xfId="0" applyNumberFormat="1" applyFont="1" applyBorder="1" applyProtection="1"/>
    <xf numFmtId="168" fontId="5" fillId="0" borderId="4" xfId="0" applyNumberFormat="1" applyFont="1" applyBorder="1" applyAlignment="1" applyProtection="1">
      <alignment horizontal="left"/>
    </xf>
    <xf numFmtId="168" fontId="4" fillId="0" borderId="4" xfId="0" applyNumberFormat="1" applyFont="1" applyBorder="1" applyAlignment="1" applyProtection="1">
      <alignment horizontal="center"/>
    </xf>
    <xf numFmtId="167" fontId="3" fillId="0" borderId="0" xfId="0" applyNumberFormat="1" applyFont="1" applyProtection="1"/>
    <xf numFmtId="168" fontId="3" fillId="0" borderId="0" xfId="0" applyNumberFormat="1" applyFont="1" applyBorder="1" applyProtection="1"/>
    <xf numFmtId="10" fontId="3" fillId="0" borderId="0" xfId="2" applyNumberFormat="1" applyFont="1" applyBorder="1" applyAlignment="1" applyProtection="1">
      <alignment horizontal="center"/>
    </xf>
    <xf numFmtId="168" fontId="4" fillId="0" borderId="0" xfId="6" applyNumberFormat="1" applyFont="1" applyAlignment="1" applyProtection="1">
      <alignment horizontal="center"/>
    </xf>
    <xf numFmtId="172" fontId="12" fillId="0" borderId="0" xfId="2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Protection="1"/>
    <xf numFmtId="168" fontId="3" fillId="0" borderId="0" xfId="0" applyNumberFormat="1" applyFont="1" applyAlignment="1" applyProtection="1">
      <alignment horizontal="left"/>
    </xf>
    <xf numFmtId="194" fontId="3" fillId="8" borderId="3" xfId="0" applyNumberFormat="1" applyFont="1" applyFill="1" applyBorder="1" applyAlignment="1" applyProtection="1">
      <alignment horizontal="left" indent="1"/>
    </xf>
    <xf numFmtId="0" fontId="72" fillId="39" borderId="4" xfId="0" applyFont="1" applyFill="1" applyBorder="1" applyAlignment="1" applyProtection="1"/>
    <xf numFmtId="196" fontId="4" fillId="41" borderId="3" xfId="2" applyNumberFormat="1" applyFont="1" applyFill="1" applyBorder="1" applyAlignment="1" applyProtection="1">
      <alignment horizontal="center"/>
      <protection locked="0"/>
    </xf>
    <xf numFmtId="200" fontId="5" fillId="0" borderId="0" xfId="0" applyNumberFormat="1" applyFont="1" applyBorder="1" applyAlignment="1" applyProtection="1">
      <alignment horizontal="center"/>
    </xf>
    <xf numFmtId="168" fontId="3" fillId="0" borderId="0" xfId="0" applyNumberFormat="1" applyFont="1" applyProtection="1">
      <protection locked="0"/>
    </xf>
    <xf numFmtId="203" fontId="3" fillId="41" borderId="3" xfId="0" applyNumberFormat="1" applyFont="1" applyFill="1" applyBorder="1" applyAlignment="1" applyProtection="1">
      <alignment horizontal="center"/>
      <protection locked="0"/>
    </xf>
    <xf numFmtId="1" fontId="3" fillId="41" borderId="3" xfId="0" applyNumberFormat="1" applyFont="1" applyFill="1" applyBorder="1" applyAlignment="1" applyProtection="1">
      <alignment horizontal="center"/>
      <protection locked="0"/>
    </xf>
    <xf numFmtId="204" fontId="71" fillId="39" borderId="4" xfId="0" applyNumberFormat="1" applyFont="1" applyFill="1" applyBorder="1" applyAlignment="1" applyProtection="1">
      <alignment horizontal="center" wrapText="1"/>
    </xf>
    <xf numFmtId="204" fontId="88" fillId="38" borderId="2" xfId="0" applyNumberFormat="1" applyFont="1" applyFill="1" applyBorder="1" applyAlignment="1" applyProtection="1">
      <alignment horizontal="center"/>
    </xf>
    <xf numFmtId="204" fontId="71" fillId="38" borderId="2" xfId="0" applyNumberFormat="1" applyFont="1" applyFill="1" applyBorder="1" applyAlignment="1" applyProtection="1">
      <alignment horizontal="left"/>
    </xf>
    <xf numFmtId="204" fontId="5" fillId="0" borderId="7" xfId="0" applyNumberFormat="1" applyFont="1" applyBorder="1" applyAlignment="1" applyProtection="1">
      <alignment horizontal="center"/>
    </xf>
    <xf numFmtId="204" fontId="3" fillId="0" borderId="0" xfId="0" applyNumberFormat="1" applyFont="1" applyAlignment="1">
      <alignment horizontal="left" indent="1"/>
    </xf>
    <xf numFmtId="204" fontId="4" fillId="0" borderId="0" xfId="0" applyNumberFormat="1" applyFont="1" applyAlignment="1" applyProtection="1">
      <alignment horizontal="center"/>
    </xf>
    <xf numFmtId="204" fontId="4" fillId="41" borderId="22" xfId="0" applyNumberFormat="1" applyFont="1" applyFill="1" applyBorder="1" applyAlignment="1" applyProtection="1">
      <alignment horizontal="center"/>
      <protection locked="0"/>
    </xf>
    <xf numFmtId="204" fontId="5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  <protection locked="0"/>
    </xf>
    <xf numFmtId="168" fontId="3" fillId="0" borderId="0" xfId="0" applyNumberFormat="1" applyFont="1" applyFill="1" applyBorder="1" applyProtection="1"/>
    <xf numFmtId="204" fontId="3" fillId="0" borderId="0" xfId="0" applyNumberFormat="1" applyFont="1" applyAlignment="1" applyProtection="1">
      <alignment horizontal="left" indent="1"/>
    </xf>
    <xf numFmtId="168" fontId="11" fillId="0" borderId="0" xfId="3" applyNumberFormat="1" applyAlignment="1" applyProtection="1">
      <alignment horizontal="center"/>
    </xf>
    <xf numFmtId="10" fontId="3" fillId="41" borderId="26" xfId="2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  <protection locked="0"/>
    </xf>
    <xf numFmtId="196" fontId="3" fillId="0" borderId="0" xfId="2" applyNumberFormat="1" applyFont="1" applyFill="1" applyBorder="1" applyAlignment="1" applyProtection="1">
      <alignment horizontal="center"/>
      <protection locked="0"/>
    </xf>
    <xf numFmtId="204" fontId="3" fillId="41" borderId="3" xfId="2" applyNumberFormat="1" applyFont="1" applyFill="1" applyBorder="1" applyAlignment="1" applyProtection="1">
      <alignment horizontal="center"/>
      <protection locked="0"/>
    </xf>
    <xf numFmtId="0" fontId="71" fillId="38" borderId="27" xfId="0" applyNumberFormat="1" applyFont="1" applyFill="1" applyBorder="1" applyAlignment="1" applyProtection="1"/>
    <xf numFmtId="168" fontId="3" fillId="0" borderId="0" xfId="0" applyNumberFormat="1" applyFont="1" applyBorder="1" applyAlignment="1" applyProtection="1">
      <alignment horizontal="center"/>
    </xf>
    <xf numFmtId="204" fontId="15" fillId="0" borderId="0" xfId="0" applyNumberFormat="1" applyFont="1" applyAlignment="1" applyProtection="1">
      <alignment horizontal="center"/>
    </xf>
    <xf numFmtId="201" fontId="3" fillId="0" borderId="0" xfId="0" applyNumberFormat="1" applyFont="1" applyBorder="1" applyAlignment="1" applyProtection="1">
      <alignment horizontal="center"/>
    </xf>
    <xf numFmtId="201" fontId="5" fillId="0" borderId="0" xfId="0" applyNumberFormat="1" applyFont="1" applyBorder="1" applyAlignment="1" applyProtection="1">
      <alignment horizontal="center"/>
    </xf>
    <xf numFmtId="198" fontId="5" fillId="0" borderId="0" xfId="0" applyNumberFormat="1" applyFont="1" applyBorder="1" applyAlignment="1" applyProtection="1">
      <alignment horizontal="center"/>
    </xf>
    <xf numFmtId="168" fontId="5" fillId="0" borderId="7" xfId="0" applyNumberFormat="1" applyFont="1" applyBorder="1" applyAlignment="1" applyProtection="1">
      <alignment horizontal="left" indent="1"/>
    </xf>
    <xf numFmtId="204" fontId="4" fillId="0" borderId="7" xfId="0" applyNumberFormat="1" applyFont="1" applyBorder="1" applyAlignment="1" applyProtection="1">
      <alignment horizontal="center"/>
    </xf>
    <xf numFmtId="205" fontId="3" fillId="0" borderId="0" xfId="2" applyNumberFormat="1" applyFont="1" applyFill="1" applyBorder="1" applyAlignment="1" applyProtection="1">
      <alignment horizontal="center"/>
    </xf>
    <xf numFmtId="0" fontId="11" fillId="38" borderId="0" xfId="3" applyFill="1" applyBorder="1" applyAlignment="1">
      <alignment horizontal="right"/>
    </xf>
    <xf numFmtId="0" fontId="71" fillId="38" borderId="2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  <protection locked="0"/>
    </xf>
    <xf numFmtId="1" fontId="3" fillId="0" borderId="3" xfId="0" applyNumberFormat="1" applyFont="1" applyFill="1" applyBorder="1" applyAlignment="1" applyProtection="1">
      <alignment horizontal="center"/>
      <protection locked="0"/>
    </xf>
    <xf numFmtId="204" fontId="3" fillId="0" borderId="3" xfId="0" applyNumberFormat="1" applyFont="1" applyFill="1" applyBorder="1" applyAlignment="1" applyProtection="1">
      <alignment horizontal="center"/>
      <protection locked="0"/>
    </xf>
    <xf numFmtId="2" fontId="9" fillId="0" borderId="4" xfId="5" applyNumberFormat="1" applyFont="1" applyFill="1" applyBorder="1" applyAlignment="1" applyProtection="1">
      <alignment horizontal="center" vertical="center"/>
    </xf>
    <xf numFmtId="0" fontId="11" fillId="38" borderId="0" xfId="3" applyFill="1" applyBorder="1" applyAlignment="1" applyProtection="1">
      <alignment horizontal="right"/>
    </xf>
    <xf numFmtId="195" fontId="3" fillId="0" borderId="0" xfId="0" applyNumberFormat="1" applyFont="1" applyProtection="1">
      <protection locked="0"/>
    </xf>
    <xf numFmtId="195" fontId="5" fillId="0" borderId="0" xfId="0" applyNumberFormat="1" applyFont="1" applyProtection="1">
      <protection locked="0"/>
    </xf>
    <xf numFmtId="49" fontId="4" fillId="0" borderId="22" xfId="0" applyNumberFormat="1" applyFont="1" applyFill="1" applyBorder="1" applyAlignment="1" applyProtection="1">
      <alignment horizontal="center"/>
    </xf>
    <xf numFmtId="204" fontId="4" fillId="0" borderId="22" xfId="0" applyNumberFormat="1" applyFont="1" applyFill="1" applyBorder="1" applyAlignment="1" applyProtection="1">
      <alignment horizontal="center"/>
    </xf>
    <xf numFmtId="10" fontId="3" fillId="0" borderId="0" xfId="2" applyNumberFormat="1" applyFont="1" applyFill="1" applyBorder="1" applyAlignment="1" applyProtection="1">
      <alignment horizontal="center"/>
    </xf>
    <xf numFmtId="182" fontId="3" fillId="0" borderId="0" xfId="2" applyNumberFormat="1" applyFont="1" applyAlignment="1" applyProtection="1">
      <alignment horizontal="center"/>
      <protection locked="0"/>
    </xf>
    <xf numFmtId="174" fontId="9" fillId="0" borderId="0" xfId="5" applyNumberFormat="1" applyFont="1" applyFill="1" applyBorder="1" applyAlignment="1" applyProtection="1">
      <alignment horizontal="center" vertical="center"/>
      <protection locked="0"/>
    </xf>
    <xf numFmtId="168" fontId="12" fillId="0" borderId="0" xfId="5" applyNumberFormat="1" applyFont="1" applyFill="1" applyBorder="1" applyAlignment="1" applyProtection="1">
      <alignment horizontal="center" vertical="center"/>
      <protection locked="0"/>
    </xf>
    <xf numFmtId="168" fontId="3" fillId="0" borderId="0" xfId="0" applyNumberFormat="1" applyFont="1" applyAlignment="1" applyProtection="1">
      <alignment horizontal="center"/>
      <protection locked="0"/>
    </xf>
    <xf numFmtId="168" fontId="3" fillId="0" borderId="0" xfId="0" applyNumberFormat="1" applyFont="1" applyFill="1" applyProtection="1"/>
    <xf numFmtId="49" fontId="3" fillId="0" borderId="3" xfId="0" applyNumberFormat="1" applyFont="1" applyFill="1" applyBorder="1" applyAlignment="1" applyProtection="1">
      <alignment horizontal="left" indent="1"/>
      <protection locked="0"/>
    </xf>
    <xf numFmtId="204" fontId="3" fillId="0" borderId="0" xfId="2" applyNumberFormat="1" applyFont="1" applyFill="1" applyBorder="1" applyAlignment="1" applyProtection="1">
      <alignment horizontal="center"/>
      <protection locked="0"/>
    </xf>
    <xf numFmtId="168" fontId="15" fillId="0" borderId="0" xfId="0" applyNumberFormat="1" applyFont="1" applyFill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82" fontId="3" fillId="0" borderId="0" xfId="2" applyNumberFormat="1" applyFont="1" applyFill="1" applyBorder="1" applyAlignment="1" applyProtection="1">
      <alignment horizontal="center"/>
      <protection locked="0"/>
    </xf>
    <xf numFmtId="204" fontId="4" fillId="0" borderId="22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204" fontId="16" fillId="8" borderId="9" xfId="0" applyNumberFormat="1" applyFont="1" applyFill="1" applyBorder="1" applyAlignment="1" applyProtection="1">
      <alignment horizontal="center"/>
      <protection locked="0"/>
    </xf>
    <xf numFmtId="206" fontId="3" fillId="0" borderId="0" xfId="0" applyNumberFormat="1" applyFont="1" applyProtection="1">
      <protection locked="0"/>
    </xf>
    <xf numFmtId="10" fontId="12" fillId="0" borderId="0" xfId="2" applyNumberFormat="1" applyFont="1" applyFill="1" applyBorder="1" applyAlignment="1" applyProtection="1">
      <alignment horizontal="center" vertical="center"/>
    </xf>
    <xf numFmtId="10" fontId="3" fillId="0" borderId="0" xfId="2" applyNumberFormat="1" applyFont="1" applyProtection="1">
      <protection locked="0"/>
    </xf>
    <xf numFmtId="204" fontId="12" fillId="8" borderId="9" xfId="0" applyNumberFormat="1" applyFont="1" applyFill="1" applyBorder="1" applyAlignment="1" applyProtection="1">
      <alignment horizontal="center"/>
      <protection locked="0"/>
    </xf>
    <xf numFmtId="194" fontId="5" fillId="8" borderId="28" xfId="0" applyNumberFormat="1" applyFont="1" applyFill="1" applyBorder="1" applyAlignment="1" applyProtection="1">
      <alignment horizontal="center"/>
      <protection locked="0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204" fontId="3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Border="1" applyAlignment="1">
      <alignment horizontal="center"/>
    </xf>
    <xf numFmtId="168" fontId="4" fillId="41" borderId="3" xfId="0" applyNumberFormat="1" applyFont="1" applyFill="1" applyBorder="1" applyAlignment="1" applyProtection="1">
      <alignment horizontal="center"/>
    </xf>
    <xf numFmtId="204" fontId="4" fillId="41" borderId="3" xfId="0" applyNumberFormat="1" applyFont="1" applyFill="1" applyBorder="1" applyAlignment="1" applyProtection="1">
      <alignment horizontal="center"/>
    </xf>
    <xf numFmtId="0" fontId="69" fillId="38" borderId="0" xfId="3" applyFont="1" applyFill="1" applyBorder="1" applyAlignment="1" applyProtection="1"/>
    <xf numFmtId="10" fontId="3" fillId="41" borderId="3" xfId="2" applyNumberFormat="1" applyFont="1" applyFill="1" applyBorder="1" applyAlignment="1" applyProtection="1">
      <alignment horizontal="center"/>
    </xf>
    <xf numFmtId="49" fontId="3" fillId="41" borderId="3" xfId="0" applyNumberFormat="1" applyFont="1" applyFill="1" applyBorder="1" applyAlignment="1" applyProtection="1">
      <alignment horizontal="left" indent="1"/>
    </xf>
    <xf numFmtId="0" fontId="71" fillId="38" borderId="2" xfId="0" applyNumberFormat="1" applyFont="1" applyFill="1" applyBorder="1" applyAlignment="1" applyProtection="1">
      <alignment horizontal="center"/>
    </xf>
    <xf numFmtId="0" fontId="71" fillId="38" borderId="2" xfId="0" applyNumberFormat="1" applyFont="1" applyFill="1" applyBorder="1" applyAlignment="1" applyProtection="1">
      <alignment horizontal="center"/>
    </xf>
  </cellXfs>
  <cellStyles count="264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0" xfId="86"/>
    <cellStyle name="Currency 11" xfId="87"/>
    <cellStyle name="Currency 11 2" xfId="88"/>
    <cellStyle name="Currency 2" xfId="89"/>
    <cellStyle name="Currency 2 2" xfId="90"/>
    <cellStyle name="Currency 3" xfId="91"/>
    <cellStyle name="Currency 3 2" xfId="92"/>
    <cellStyle name="Currency 4" xfId="93"/>
    <cellStyle name="Currency 4 2" xfId="94"/>
    <cellStyle name="Currency 5" xfId="243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3" xfId="137"/>
    <cellStyle name="Normal 13 2" xfId="7"/>
    <cellStyle name="Normal 13_29(d) - Gas extensions -tariffs" xfId="138"/>
    <cellStyle name="Normal 15" xfId="139"/>
    <cellStyle name="Normal 16" xfId="140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4" xfId="178"/>
    <cellStyle name="Percent 5" xfId="242"/>
    <cellStyle name="Percent 7" xfId="17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19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BE5F1"/>
      <color rgb="FFDAEEF3"/>
      <color rgb="FF006100"/>
      <color rgb="FFC6EFCE"/>
      <color rgb="FF9C0006"/>
      <color rgb="FFFFFF99"/>
      <color rgb="FFFFFFCC"/>
      <color rgb="FFCCFFCC"/>
      <color rgb="FFC0C0C0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tabSelected="1" workbookViewId="0"/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182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63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61</v>
      </c>
      <c r="D7" s="7" t="s">
        <v>62</v>
      </c>
    </row>
    <row r="8" spans="1:47">
      <c r="C8" s="19" t="s">
        <v>35</v>
      </c>
      <c r="D8" s="7" t="s">
        <v>96</v>
      </c>
    </row>
    <row r="9" spans="1:47">
      <c r="C9" s="19" t="s">
        <v>57</v>
      </c>
      <c r="D9" s="7" t="s">
        <v>58</v>
      </c>
    </row>
    <row r="10" spans="1:47">
      <c r="C10" s="19" t="s">
        <v>194</v>
      </c>
      <c r="D10" s="7" t="s">
        <v>183</v>
      </c>
    </row>
    <row r="11" spans="1:47">
      <c r="C11" s="19" t="s">
        <v>60</v>
      </c>
      <c r="D11" s="7" t="s">
        <v>51</v>
      </c>
    </row>
    <row r="12" spans="1:47">
      <c r="C12" s="19" t="s">
        <v>195</v>
      </c>
      <c r="D12" s="7" t="s">
        <v>184</v>
      </c>
    </row>
    <row r="13" spans="1:47">
      <c r="C13" s="19" t="s">
        <v>196</v>
      </c>
      <c r="D13" s="7" t="s">
        <v>185</v>
      </c>
    </row>
    <row r="14" spans="1:47">
      <c r="C14" s="19" t="s">
        <v>53</v>
      </c>
      <c r="D14" s="7" t="s">
        <v>59</v>
      </c>
    </row>
    <row r="15" spans="1:47">
      <c r="C15" s="19" t="s">
        <v>25</v>
      </c>
      <c r="D15" s="7" t="s">
        <v>52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"/>
    <hyperlink ref="C13" location="'Output|Models'!A1" display="Output | Models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"/>
    <hyperlink ref="C11" location="'Input|Step changes'!A1" display="Input | Step changes"/>
    <hyperlink ref="C8" location="'Input|Inflation'!A1" display="Input | Inflation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7"/>
  <sheetViews>
    <sheetView showGridLines="0" zoomScaleNormal="10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IF(COUNTA($S$5:$S$16)=COUNTIF($S5:$S17,"OK"),"OK","Check")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93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94</v>
      </c>
      <c r="D6" s="32" t="s">
        <v>7</v>
      </c>
      <c r="E6" s="32"/>
      <c r="F6" s="33"/>
      <c r="G6" s="33" t="s">
        <v>67</v>
      </c>
      <c r="H6" s="33"/>
      <c r="I6" s="29"/>
    </row>
    <row r="7" spans="1:47">
      <c r="C7" s="29" t="s">
        <v>64</v>
      </c>
      <c r="D7" s="30" t="s">
        <v>68</v>
      </c>
      <c r="E7" s="29"/>
      <c r="F7" s="29"/>
      <c r="G7" s="52" t="s">
        <v>188</v>
      </c>
      <c r="H7" s="29"/>
      <c r="I7" s="29"/>
      <c r="S7" s="131" t="str">
        <f>IF(COUNTBLANK($G7),"Check","Ok")</f>
        <v>Ok</v>
      </c>
    </row>
    <row r="8" spans="1:47">
      <c r="C8" s="29" t="s">
        <v>138</v>
      </c>
      <c r="D8" s="30" t="s">
        <v>69</v>
      </c>
      <c r="E8" s="29"/>
      <c r="F8" s="29"/>
      <c r="G8" s="52" t="s">
        <v>139</v>
      </c>
      <c r="H8" s="29"/>
      <c r="I8" s="29"/>
      <c r="S8" s="131" t="str">
        <f>IF(COUNTBLANK($G8),"Check","Ok")</f>
        <v>Ok</v>
      </c>
    </row>
    <row r="9" spans="1:47">
      <c r="C9" s="29" t="s">
        <v>122</v>
      </c>
      <c r="D9" s="30" t="s">
        <v>68</v>
      </c>
      <c r="E9" s="29"/>
      <c r="F9" s="29"/>
      <c r="G9" s="153">
        <v>36678</v>
      </c>
      <c r="H9" s="29"/>
      <c r="I9" s="29"/>
      <c r="S9" s="131" t="str">
        <f>IF(COUNTBLANK($G9),"Check","Ok")</f>
        <v>Ok</v>
      </c>
    </row>
    <row r="10" spans="1:47">
      <c r="C10" s="29" t="s">
        <v>153</v>
      </c>
      <c r="D10" s="30" t="s">
        <v>68</v>
      </c>
      <c r="E10" s="29"/>
      <c r="F10" s="29"/>
      <c r="G10" s="154">
        <v>2017</v>
      </c>
      <c r="H10" s="29"/>
      <c r="I10" s="29"/>
      <c r="S10" s="131" t="str">
        <f t="shared" ref="S10:S14" si="0">IF(COUNTBLANK($G10),"Check","Ok")</f>
        <v>Ok</v>
      </c>
    </row>
    <row r="11" spans="1:47">
      <c r="C11" s="29" t="s">
        <v>71</v>
      </c>
      <c r="D11" s="30" t="s">
        <v>68</v>
      </c>
      <c r="E11" s="29"/>
      <c r="F11" s="29"/>
      <c r="G11" s="154">
        <v>2018</v>
      </c>
      <c r="H11" s="29"/>
      <c r="I11" s="29"/>
      <c r="S11" s="131" t="str">
        <f t="shared" si="0"/>
        <v>Ok</v>
      </c>
    </row>
    <row r="12" spans="1:47">
      <c r="C12" s="29" t="s">
        <v>154</v>
      </c>
      <c r="D12" s="30" t="s">
        <v>68</v>
      </c>
      <c r="E12" s="29"/>
      <c r="F12" s="29"/>
      <c r="G12" s="154">
        <v>2021</v>
      </c>
      <c r="H12" s="29"/>
      <c r="I12" s="29"/>
      <c r="S12" s="131" t="str">
        <f t="shared" si="0"/>
        <v>Ok</v>
      </c>
    </row>
    <row r="13" spans="1:47">
      <c r="C13" s="29" t="s">
        <v>65</v>
      </c>
      <c r="D13" s="30" t="s">
        <v>68</v>
      </c>
      <c r="E13" s="29"/>
      <c r="F13" s="29"/>
      <c r="G13" s="154">
        <v>2022</v>
      </c>
      <c r="H13" s="29"/>
      <c r="I13" s="29"/>
      <c r="S13" s="131" t="str">
        <f t="shared" si="0"/>
        <v>Ok</v>
      </c>
    </row>
    <row r="14" spans="1:47">
      <c r="C14" s="29" t="s">
        <v>66</v>
      </c>
      <c r="D14" s="30" t="s">
        <v>68</v>
      </c>
      <c r="E14" s="29"/>
      <c r="F14" s="29"/>
      <c r="G14" s="154">
        <v>2026</v>
      </c>
      <c r="H14" s="29"/>
      <c r="I14" s="29"/>
      <c r="S14" s="131" t="str">
        <f t="shared" si="0"/>
        <v>Ok</v>
      </c>
    </row>
    <row r="15" spans="1:47">
      <c r="C15" s="29" t="s">
        <v>178</v>
      </c>
      <c r="D15" s="30" t="s">
        <v>69</v>
      </c>
      <c r="E15" s="29"/>
      <c r="F15" s="29"/>
      <c r="G15" s="154" t="s">
        <v>181</v>
      </c>
      <c r="H15" s="29"/>
      <c r="I15" s="29"/>
      <c r="S15" s="132"/>
    </row>
    <row r="16" spans="1:47">
      <c r="D16" s="29"/>
      <c r="E16" s="29"/>
      <c r="F16" s="29"/>
      <c r="G16" s="29"/>
      <c r="H16" s="29"/>
      <c r="I16" s="29"/>
    </row>
    <row r="17" spans="1:47" s="103" customFormat="1" ht="12.75">
      <c r="A17" s="94"/>
      <c r="B17" s="95" t="s">
        <v>21</v>
      </c>
      <c r="C17" s="94"/>
      <c r="D17" s="94"/>
      <c r="E17" s="94"/>
      <c r="F17" s="96"/>
      <c r="G17" s="96"/>
      <c r="H17" s="96"/>
      <c r="I17" s="96"/>
      <c r="J17" s="97"/>
      <c r="K17" s="98"/>
      <c r="L17" s="97"/>
      <c r="M17" s="98"/>
      <c r="N17" s="97"/>
      <c r="O17" s="97"/>
      <c r="P17" s="97"/>
      <c r="Q17" s="97"/>
      <c r="R17" s="97"/>
      <c r="S17" s="97"/>
      <c r="T17" s="97"/>
      <c r="U17" s="97"/>
      <c r="V17" s="98"/>
      <c r="W17" s="98"/>
      <c r="X17" s="99"/>
      <c r="Y17" s="99"/>
      <c r="Z17" s="99"/>
      <c r="AA17" s="99"/>
      <c r="AB17" s="100"/>
      <c r="AC17" s="101"/>
      <c r="AD17" s="101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</row>
    <row r="18" spans="1:47" hidden="1">
      <c r="G18" s="32"/>
      <c r="H18" s="3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</sheetData>
  <dataConsolidate/>
  <conditionalFormatting sqref="W14:W16">
    <cfRule type="cellIs" dxfId="197" priority="13" operator="equal">
      <formula>"Check"</formula>
    </cfRule>
    <cfRule type="cellIs" dxfId="196" priority="14" operator="equal">
      <formula>"Ok"</formula>
    </cfRule>
  </conditionalFormatting>
  <conditionalFormatting sqref="V1">
    <cfRule type="cellIs" dxfId="195" priority="3" operator="equal">
      <formula>"Check"</formula>
    </cfRule>
    <cfRule type="cellIs" dxfId="194" priority="4" operator="equal">
      <formula>"Ok"</formula>
    </cfRule>
  </conditionalFormatting>
  <conditionalFormatting sqref="S7:S15">
    <cfRule type="cellIs" dxfId="193" priority="5" operator="equal">
      <formula>"Check"</formula>
    </cfRule>
    <cfRule type="cellIs" dxfId="192" priority="6" operator="equal">
      <formula>"Ok"</formula>
    </cfRule>
  </conditionalFormatting>
  <conditionalFormatting sqref="S1">
    <cfRule type="cellIs" dxfId="191" priority="1" operator="equal">
      <formula>"Check"</formula>
    </cfRule>
    <cfRule type="cellIs" dxfId="190" priority="2" operator="equal">
      <formula>"Ok"</formula>
    </cfRule>
  </conditionalFormatting>
  <dataValidations count="4">
    <dataValidation type="list" allowBlank="1" showInputMessage="1" showErrorMessage="1" sqref="F12:F13">
      <formula1>#REF!</formula1>
    </dataValidation>
    <dataValidation type="list" allowBlank="1" showInputMessage="1" showErrorMessage="1" sqref="F14:F16">
      <formula1>"Real 2010,Real 2011,Real 2012,Real 2013,Real 2014,Real 2015,Nominal"</formula1>
    </dataValidation>
    <dataValidation type="list" allowBlank="1" showInputMessage="1" showErrorMessage="1" sqref="I12:I16">
      <formula1>#REF!</formula1>
    </dataValidation>
    <dataValidation type="list" allowBlank="1" showInputMessage="1" showErrorMessage="1" sqref="G8">
      <formula1>"draft,final"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'Lookup|Tables'!$G$25:$G$36</xm:f>
          </x14:formula1>
          <xm:sqref>G9</xm:sqref>
        </x14:dataValidation>
        <x14:dataValidation type="list" allowBlank="1" showInputMessage="1" showErrorMessage="1">
          <x14:formula1>
            <xm:f>'Lookup|Tables'!$G$41:$G$60</xm:f>
          </x14:formula1>
          <xm:sqref>G10:G14</xm:sqref>
        </x14:dataValidation>
        <x14:dataValidation type="list" allowBlank="1" showInputMessage="1" showErrorMessage="1">
          <x14:formula1>
            <xm:f>'Lookup|Tables'!$G$81:$G$82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workbookViewId="0"/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v1.8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IF(COUNTA($T$5:$T$67)=COUNTIF($T5:$T68,"OK"),"OK","Check")</f>
        <v>OK</v>
      </c>
      <c r="V1" s="187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93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97</v>
      </c>
      <c r="E6" s="62" t="s">
        <v>136</v>
      </c>
      <c r="F6" s="62" t="s">
        <v>97</v>
      </c>
      <c r="G6" s="62" t="s">
        <v>136</v>
      </c>
      <c r="H6" s="62"/>
      <c r="I6" s="29"/>
      <c r="J6" s="29"/>
    </row>
    <row r="7" spans="1:48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83</v>
      </c>
      <c r="E8" s="66" t="s">
        <v>16</v>
      </c>
      <c r="F8" s="66" t="s">
        <v>83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IF(C9&gt;EOMONTH(DATE('Input|General'!$G$12,MONTH('Input|General'!$G$9),1),0),"Ok",IF(ISBLANK($D9),"Check","Ok"))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IF(C10&gt;EOMONTH(DATE('Input|General'!$G$12,MONTH('Input|General'!$G$9),1),0),"Ok",IF(ISBLANK($D10),"Check","Ok"))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IF(C11&gt;EOMONTH(DATE('Input|General'!$G$12,MONTH('Input|General'!$G$9),1),0),"Ok",IF(ISBLANK($D11),"Check","Ok"))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IF(C12&gt;EOMONTH(DATE('Input|General'!$G$12,MONTH('Input|General'!$G$9),1),0),"Ok",IF(ISBLANK($D12),"Check","Ok"))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IF(C13&gt;EOMONTH(DATE('Input|General'!$G$12,MONTH('Input|General'!$G$9),1),0),"Ok",IF(ISBLANK($D13),"Check","Ok"))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IF(C14&gt;EOMONTH(DATE('Input|General'!$G$12,MONTH('Input|General'!$G$9),1),0),"Ok",IF(ISBLANK($D14),"Check","Ok"))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IF(C15&gt;EOMONTH(DATE('Input|General'!$G$12,MONTH('Input|General'!$G$9),1),0),"Ok",IF(ISBLANK($D15),"Check","Ok"))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IF(C16&gt;EOMONTH(DATE('Input|General'!$G$12,MONTH('Input|General'!$G$9),1),0),"Ok",IF(ISBLANK($D16),"Check","Ok"))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IF(C17&gt;EOMONTH(DATE('Input|General'!$G$12,MONTH('Input|General'!$G$9),1),0),"Ok",IF(ISBLANK($D17),"Check","Ok"))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IF(C18&gt;EOMONTH(DATE('Input|General'!$G$12,MONTH('Input|General'!$G$9),1),0),"Ok",IF(ISBLANK($D18),"Check","Ok"))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IF(C19&gt;EOMONTH(DATE('Input|General'!$G$12,MONTH('Input|General'!$G$9),1),0),"Ok",IF(ISBLANK($D19),"Check","Ok"))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IF(C20&gt;EOMONTH(DATE('Input|General'!$G$12,MONTH('Input|General'!$G$9),1),0),"Ok",IF(ISBLANK($D20),"Check","Ok"))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8"/>
      <c r="I21" s="29"/>
      <c r="J21" s="29"/>
      <c r="T21" s="131" t="str">
        <f>IF(C21&gt;EOMONTH(DATE('Input|General'!$G$12,MONTH('Input|General'!$G$9),1),0),"Ok",IF(ISBLANK($F21),"Check","Ok"))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8"/>
      <c r="I22" s="29"/>
      <c r="J22" s="29"/>
      <c r="T22" s="131" t="str">
        <f>IF(C22&gt;EOMONTH(DATE('Input|General'!$G$12,MONTH('Input|General'!$G$9),1),0),"Ok",IF(ISBLANK($F22),"Check","Ok"))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8"/>
      <c r="I23" s="29"/>
      <c r="J23" s="29"/>
      <c r="T23" s="131" t="str">
        <f>IF(C23&gt;EOMONTH(DATE('Input|General'!$G$12,MONTH('Input|General'!$G$9),1),0),"Ok",IF(ISBLANK($F23),"Check","Ok"))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8"/>
      <c r="I24" s="29"/>
      <c r="J24" s="29"/>
      <c r="T24" s="131" t="str">
        <f>IF(C24&gt;EOMONTH(DATE('Input|General'!$G$12,MONTH('Input|General'!$G$9),1),0),"Ok",IF(ISBLANK($F24),"Check","Ok"))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8"/>
      <c r="I25" s="29"/>
      <c r="J25" s="29"/>
      <c r="T25" s="131" t="str">
        <f>IF(C25&gt;EOMONTH(DATE('Input|General'!$G$12,MONTH('Input|General'!$G$9),1),0),"Ok",IF(ISBLANK($F25),"Check","Ok"))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66" si="1">IF(ISBLANK(F26),"",F26/F22-1)</f>
        <v>3.5490605427975108E-2</v>
      </c>
      <c r="H26" s="188"/>
      <c r="I26" s="29"/>
      <c r="J26" s="29"/>
      <c r="T26" s="131" t="str">
        <f>IF(C26&gt;EOMONTH(DATE('Input|General'!$G$12,MONTH('Input|General'!$G$9),1),0),"Ok",IF(ISBLANK($F26),"Check","Ok"))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8"/>
      <c r="I27" s="29"/>
      <c r="J27" s="29"/>
      <c r="T27" s="131" t="str">
        <f>IF(C27&gt;EOMONTH(DATE('Input|General'!$G$12,MONTH('Input|General'!$G$9),1),0),"Ok",IF(ISBLANK($F27),"Check","Ok"))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8"/>
      <c r="I28" s="29"/>
      <c r="J28" s="29"/>
      <c r="T28" s="131" t="str">
        <f>IF(C28&gt;EOMONTH(DATE('Input|General'!$G$12,MONTH('Input|General'!$G$9),1),0),"Ok",IF(ISBLANK($F28),"Check","Ok"))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8"/>
      <c r="I29" s="29"/>
      <c r="J29" s="29"/>
      <c r="T29" s="131" t="str">
        <f>IF(C29&gt;EOMONTH(DATE('Input|General'!$G$12,MONTH('Input|General'!$G$9),1),0),"Ok",IF(ISBLANK($F29),"Check","Ok"))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8"/>
      <c r="I30" s="29"/>
      <c r="J30" s="29"/>
      <c r="T30" s="131" t="str">
        <f>IF(C30&gt;EOMONTH(DATE('Input|General'!$G$12,MONTH('Input|General'!$G$9),1),0),"Ok",IF(ISBLANK($F30),"Check","Ok"))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8"/>
      <c r="I31" s="29"/>
      <c r="J31" s="29"/>
      <c r="T31" s="131" t="str">
        <f>IF(C31&gt;EOMONTH(DATE('Input|General'!$G$12,MONTH('Input|General'!$G$9),1),0),"Ok",IF(ISBLANK($F31),"Check","Ok"))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8"/>
      <c r="I32" s="29"/>
      <c r="J32" s="29"/>
      <c r="T32" s="131" t="str">
        <f>IF(C32&gt;EOMONTH(DATE('Input|General'!$G$12,MONTH('Input|General'!$G$9),1),0),"Ok",IF(ISBLANK($F32),"Check","Ok"))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8"/>
      <c r="I33" s="29"/>
      <c r="J33" s="29"/>
      <c r="T33" s="131" t="str">
        <f>IF(C33&gt;EOMONTH(DATE('Input|General'!$G$12,MONTH('Input|General'!$G$9),1),0),"Ok",IF(ISBLANK($F33),"Check","Ok"))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8"/>
      <c r="I34" s="29"/>
      <c r="J34" s="29"/>
      <c r="T34" s="131" t="str">
        <f>IF(C34&gt;EOMONTH(DATE('Input|General'!$G$12,MONTH('Input|General'!$G$9),1),0),"Ok",IF(ISBLANK($F34),"Check","Ok"))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8"/>
      <c r="I35" s="29"/>
      <c r="J35" s="29"/>
      <c r="T35" s="131" t="str">
        <f>IF(C35&gt;EOMONTH(DATE('Input|General'!$G$12,MONTH('Input|General'!$G$9),1),0),"Ok",IF(ISBLANK($F35),"Check","Ok"))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8"/>
      <c r="I36" s="29"/>
      <c r="J36" s="29"/>
      <c r="T36" s="131" t="str">
        <f>IF(C36&gt;EOMONTH(DATE('Input|General'!$G$12,MONTH('Input|General'!$G$9),1),0),"Ok",IF(ISBLANK($F36),"Check","Ok"))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8"/>
      <c r="I37" s="29"/>
      <c r="J37" s="29"/>
      <c r="T37" s="131" t="str">
        <f>IF(C37&gt;EOMONTH(DATE('Input|General'!$G$12,MONTH('Input|General'!$G$9),1),0),"Ok",IF(ISBLANK($F37),"Check","Ok"))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8"/>
      <c r="I38" s="29"/>
      <c r="J38" s="29"/>
      <c r="T38" s="131" t="str">
        <f>IF(C38&gt;EOMONTH(DATE('Input|General'!$G$12,MONTH('Input|General'!$G$9),1),0),"Ok",IF(ISBLANK($F38),"Check","Ok"))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8"/>
      <c r="I39" s="29"/>
      <c r="J39" s="29"/>
      <c r="T39" s="131" t="str">
        <f>IF(C39&gt;EOMONTH(DATE('Input|General'!$G$12,MONTH('Input|General'!$G$9),1),0),"Ok",IF(ISBLANK($F39),"Check","Ok"))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8"/>
      <c r="I40" s="29"/>
      <c r="J40" s="29"/>
      <c r="T40" s="131" t="str">
        <f>IF(C40&gt;EOMONTH(DATE('Input|General'!$G$12,MONTH('Input|General'!$G$9),1),0),"Ok",IF(ISBLANK($F40),"Check","Ok"))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8"/>
      <c r="I41" s="29"/>
      <c r="J41" s="29"/>
      <c r="T41" s="131" t="str">
        <f>IF(C41&gt;EOMONTH(DATE('Input|General'!$G$12,MONTH('Input|General'!$G$9),1),0),"Ok",IF(ISBLANK($F41),"Check","Ok"))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8"/>
      <c r="I42" s="29"/>
      <c r="J42" s="29"/>
      <c r="T42" s="131" t="str">
        <f>IF(C42&gt;EOMONTH(DATE('Input|General'!$G$12,MONTH('Input|General'!$G$9),1),0),"Ok",IF(ISBLANK($F42),"Check","Ok"))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8"/>
      <c r="I43" s="29"/>
      <c r="J43" s="29"/>
      <c r="T43" s="131" t="str">
        <f>IF(C43&gt;EOMONTH(DATE('Input|General'!$G$12,MONTH('Input|General'!$G$9),1),0),"Ok",IF(ISBLANK($F43),"Check","Ok"))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8"/>
      <c r="I44" s="29"/>
      <c r="J44" s="29"/>
      <c r="T44" s="131" t="str">
        <f>IF(C44&gt;EOMONTH(DATE('Input|General'!$G$12,MONTH('Input|General'!$G$9),1),0),"Ok",IF(ISBLANK($F44),"Check","Ok"))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8"/>
      <c r="I45" s="29"/>
      <c r="J45" s="29"/>
      <c r="T45" s="131" t="str">
        <f>IF(C45&gt;EOMONTH(DATE('Input|General'!$G$12,MONTH('Input|General'!$G$9),1),0),"Ok",IF(ISBLANK($F45),"Check","Ok"))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8"/>
      <c r="I46" s="29"/>
      <c r="J46" s="29"/>
      <c r="T46" s="131" t="str">
        <f>IF(C46&gt;EOMONTH(DATE('Input|General'!$G$12,MONTH('Input|General'!$G$9),1),0),"Ok",IF(ISBLANK($F46),"Check","Ok"))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8"/>
      <c r="I47" s="29"/>
      <c r="J47" s="29"/>
      <c r="T47" s="131" t="str">
        <f>IF(C47&gt;EOMONTH(DATE('Input|General'!$G$12,MONTH('Input|General'!$G$9),1),0),"Ok",IF(ISBLANK($F47),"Check","Ok"))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8"/>
      <c r="I48" s="29"/>
      <c r="J48" s="29"/>
      <c r="T48" s="131" t="str">
        <f>IF(C48&gt;EOMONTH(DATE('Input|General'!$G$12,MONTH('Input|General'!$G$9),1),0),"Ok",IF(ISBLANK($F48),"Check","Ok"))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8"/>
      <c r="I49" s="29"/>
      <c r="J49" s="29"/>
      <c r="T49" s="131" t="str">
        <f>IF(C49&gt;EOMONTH(DATE('Input|General'!$G$12,MONTH('Input|General'!$G$9),1),0),"Ok",IF(ISBLANK($F49),"Check","Ok"))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9"/>
      <c r="I50" s="29"/>
      <c r="J50" s="29"/>
      <c r="T50" s="131" t="str">
        <f>IF(C50&gt;EOMONTH(DATE('Input|General'!$G$12,MONTH('Input|General'!$G$9),1),0),"Ok",IF(ISBLANK($F50),"Check","Ok"))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8"/>
      <c r="I51" s="29"/>
      <c r="J51" s="29"/>
      <c r="T51" s="131" t="str">
        <f>IF(C51&gt;EOMONTH(DATE('Input|General'!$G$12,MONTH('Input|General'!$G$9),1),0),"Ok",IF(ISBLANK($F51),"Check","Ok"))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8"/>
      <c r="I52" s="29"/>
      <c r="J52" s="29"/>
      <c r="T52" s="131" t="str">
        <f>IF(C52&gt;EOMONTH(DATE('Input|General'!$G$12,MONTH('Input|General'!$G$9),1),0),"Ok",IF(ISBLANK($F52),"Check","Ok"))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8"/>
      <c r="I53" s="29"/>
      <c r="J53" s="29"/>
      <c r="T53" s="131" t="str">
        <f>IF(C53&gt;EOMONTH(DATE('Input|General'!$G$12,MONTH('Input|General'!$G$9),1),0),"Ok",IF(ISBLANK($F53),"Check","Ok"))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8"/>
      <c r="I54" s="29"/>
      <c r="J54" s="29"/>
      <c r="T54" s="131" t="str">
        <f>IF(C54&gt;EOMONTH(DATE('Input|General'!$G$12,MONTH('Input|General'!$G$9),1),0),"Ok",IF(ISBLANK($F54),"Check","Ok"))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8"/>
      <c r="I55" s="29"/>
      <c r="J55" s="29"/>
      <c r="T55" s="131" t="str">
        <f>IF(C55&gt;EOMONTH(DATE('Input|General'!$G$12,MONTH('Input|General'!$G$9),1),0),"Ok",IF(ISBLANK($F55),"Check","Ok"))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8"/>
      <c r="I56" s="29"/>
      <c r="J56" s="29"/>
      <c r="T56" s="131" t="str">
        <f>IF(C56&gt;EOMONTH(DATE('Input|General'!$G$12,MONTH('Input|General'!$G$9),1),0),"Ok",IF(ISBLANK($F56),"Check","Ok"))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8"/>
      <c r="I57" s="29"/>
      <c r="J57" s="29"/>
      <c r="T57" s="131" t="str">
        <f>IF(C57&gt;EOMONTH(DATE('Input|General'!$G$12,MONTH('Input|General'!$G$9),1),0),"Ok",IF(ISBLANK($F57),"Check","Ok"))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8"/>
      <c r="I58" s="29"/>
      <c r="J58" s="29"/>
      <c r="T58" s="131" t="str">
        <f>IF(C58&gt;EOMONTH(DATE('Input|General'!$G$12,MONTH('Input|General'!$G$9),1),0),"Ok",IF(ISBLANK($F58),"Check","Ok"))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8"/>
      <c r="I59" s="29"/>
      <c r="J59" s="29"/>
      <c r="T59" s="131" t="str">
        <f>IF(C59&gt;EOMONTH(DATE('Input|General'!$G$12,MONTH('Input|General'!$G$9),1),0),"Ok",IF(ISBLANK($F59),"Check","Ok"))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8"/>
      <c r="I60" s="29"/>
      <c r="J60" s="29"/>
      <c r="T60" s="131" t="str">
        <f>IF(C60&gt;EOMONTH(DATE('Input|General'!$G$12,MONTH('Input|General'!$G$9),1),0),"Ok",IF(ISBLANK($F60),"Check","Ok"))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8"/>
      <c r="I61" s="29"/>
      <c r="J61" s="29"/>
      <c r="T61" s="131" t="str">
        <f>IF(C61&gt;EOMONTH(DATE('Input|General'!$G$12,MONTH('Input|General'!$G$9),1),0),"Ok",IF(ISBLANK($F61),"Check","Ok"))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8"/>
      <c r="I62" s="29"/>
      <c r="J62" s="29"/>
      <c r="T62" s="131" t="str">
        <f>IF(C62&gt;EOMONTH(DATE('Input|General'!$G$12,MONTH('Input|General'!$G$9),1),0),"Ok",IF(ISBLANK($F62),"Check","Ok"))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116.02625</v>
      </c>
      <c r="G63" s="117">
        <f t="shared" si="1"/>
        <v>5.4267764298092658E-3</v>
      </c>
      <c r="H63" s="188"/>
      <c r="I63" s="29"/>
      <c r="J63" s="29"/>
      <c r="T63" s="131" t="str">
        <f>IF(C63&gt;EOMONTH(DATE('Input|General'!$G$12,MONTH('Input|General'!$G$9),1),0),"Ok",IF(ISBLANK($F63),"Check","Ok"))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F60*(1+1.25%)</f>
        <v>117.6525</v>
      </c>
      <c r="G64" s="117">
        <f t="shared" si="1"/>
        <v>1.2499999999999956E-2</v>
      </c>
      <c r="H64" s="188"/>
      <c r="I64" s="29"/>
      <c r="J64" s="29"/>
      <c r="T64" s="131" t="str">
        <f>IF(C64&gt;EOMONTH(DATE('Input|General'!$G$12,MONTH('Input|General'!$G$9),1),0),"Ok",IF(ISBLANK($F64),"Check","Ok"))</f>
        <v>Ok</v>
      </c>
    </row>
    <row r="65" spans="1:48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8"/>
      <c r="I65" s="29"/>
      <c r="J65" s="29"/>
      <c r="T65" s="131" t="str">
        <f>IF(C65&gt;EOMONTH(DATE('Input|General'!$G$12,MONTH('Input|General'!$G$9),1),0),"Ok",IF(ISBLANK($F65),"Check","Ok"))</f>
        <v>Ok</v>
      </c>
    </row>
    <row r="66" spans="1:48">
      <c r="C66" s="64">
        <v>44377</v>
      </c>
      <c r="D66" s="29"/>
      <c r="E66" s="29"/>
      <c r="F66" s="63">
        <f>F62*(1+3%)</f>
        <v>117.83200000000001</v>
      </c>
      <c r="G66" s="117">
        <f t="shared" si="1"/>
        <v>3.0000000000000027E-2</v>
      </c>
      <c r="H66" s="188"/>
      <c r="I66" s="29"/>
      <c r="J66" s="29"/>
      <c r="T66" s="131" t="str">
        <f>IF(C66&gt;EOMONTH(DATE('Input|General'!$G$12,MONTH('Input|General'!$G$9),1),0),"Ok",IF(ISBLANK($F66),"Check","Ok"))</f>
        <v>Ok</v>
      </c>
    </row>
    <row r="67" spans="1:48">
      <c r="F67" s="29"/>
      <c r="G67" s="29"/>
      <c r="H67" s="29"/>
      <c r="I67" s="29"/>
      <c r="J67" s="29"/>
      <c r="T67" s="132"/>
    </row>
    <row r="68" spans="1:48" s="103" customFormat="1" ht="12.75">
      <c r="A68" s="94"/>
      <c r="B68" s="95" t="s">
        <v>21</v>
      </c>
      <c r="C68" s="94"/>
      <c r="D68" s="94"/>
      <c r="E68" s="94"/>
      <c r="F68" s="94"/>
      <c r="G68" s="96"/>
      <c r="H68" s="96"/>
      <c r="I68" s="96"/>
      <c r="J68" s="96"/>
      <c r="K68" s="97"/>
      <c r="L68" s="98"/>
      <c r="M68" s="97"/>
      <c r="N68" s="98"/>
      <c r="O68" s="97"/>
      <c r="P68" s="97"/>
      <c r="Q68" s="97"/>
      <c r="R68" s="97"/>
      <c r="S68" s="97"/>
      <c r="T68" s="97"/>
      <c r="U68" s="97"/>
      <c r="V68" s="97"/>
      <c r="W68" s="98"/>
      <c r="X68" s="98"/>
      <c r="Y68" s="99"/>
      <c r="Z68" s="99"/>
      <c r="AA68" s="99"/>
      <c r="AB68" s="99"/>
      <c r="AC68" s="100"/>
      <c r="AD68" s="101"/>
      <c r="AE68" s="101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</row>
    <row r="69" spans="1:48" hidden="1">
      <c r="H69" s="32"/>
      <c r="I69" s="32"/>
    </row>
    <row r="70" spans="1:48" hidden="1">
      <c r="H70" s="32"/>
      <c r="I70" s="32"/>
    </row>
    <row r="71" spans="1:48" s="30" customFormat="1" hidden="1">
      <c r="A71" s="29"/>
      <c r="B71" s="29"/>
      <c r="C71" s="29"/>
      <c r="H71" s="32"/>
      <c r="I71" s="32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</row>
    <row r="72" spans="1:48" s="30" customFormat="1" hidden="1">
      <c r="A72" s="29"/>
      <c r="B72" s="29"/>
      <c r="C72" s="29"/>
      <c r="H72" s="32"/>
      <c r="I72" s="32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</row>
    <row r="73" spans="1:48" s="30" customFormat="1" hidden="1">
      <c r="A73" s="29"/>
      <c r="B73" s="29"/>
      <c r="C73" s="29"/>
      <c r="H73" s="32"/>
      <c r="I73" s="32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</row>
    <row r="74" spans="1:48" s="30" customFormat="1" hidden="1">
      <c r="A74" s="29"/>
      <c r="B74" s="29"/>
      <c r="C74" s="29"/>
      <c r="H74" s="32"/>
      <c r="I74" s="32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</row>
    <row r="75" spans="1:48" s="30" customFormat="1" hidden="1">
      <c r="A75" s="29"/>
      <c r="B75" s="29"/>
      <c r="C75" s="29"/>
      <c r="H75" s="32"/>
      <c r="I75" s="32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</row>
    <row r="76" spans="1:48" s="30" customFormat="1" hidden="1">
      <c r="A76" s="29"/>
      <c r="B76" s="29"/>
      <c r="C76" s="29"/>
      <c r="H76" s="32"/>
      <c r="I76" s="32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</row>
    <row r="77" spans="1:48" s="30" customFormat="1" hidden="1">
      <c r="A77" s="29"/>
      <c r="B77" s="29"/>
      <c r="C77" s="29"/>
      <c r="H77" s="32"/>
      <c r="I77" s="32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</row>
    <row r="78" spans="1:48" s="30" customFormat="1" hidden="1">
      <c r="A78" s="29"/>
      <c r="B78" s="29"/>
      <c r="C78" s="29"/>
      <c r="H78" s="32"/>
      <c r="I78" s="32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</row>
    <row r="79" spans="1:48" ht="11.25" hidden="1" customHeight="1"/>
    <row r="80" spans="1:48" ht="11.25" hidden="1" customHeight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  <row r="91" ht="11.25" hidden="1" customHeight="1"/>
    <row r="92" ht="11.25" hidden="1" customHeight="1"/>
    <row r="93" ht="11.25" hidden="1" customHeight="1"/>
    <row r="94" ht="11.25" hidden="1" customHeight="1"/>
    <row r="95" ht="11.25" hidden="1" customHeight="1"/>
    <row r="96" ht="11.25" hidden="1" customHeight="1"/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67 X63:X67">
    <cfRule type="cellIs" dxfId="189" priority="11" operator="equal">
      <formula>"Check"</formula>
    </cfRule>
    <cfRule type="cellIs" dxfId="188" priority="12" operator="equal">
      <formula>"Ok"</formula>
    </cfRule>
  </conditionalFormatting>
  <conditionalFormatting sqref="W1">
    <cfRule type="cellIs" dxfId="187" priority="7" operator="equal">
      <formula>"Check"</formula>
    </cfRule>
    <cfRule type="cellIs" dxfId="186" priority="8" operator="equal">
      <formula>"Ok"</formula>
    </cfRule>
  </conditionalFormatting>
  <conditionalFormatting sqref="T1">
    <cfRule type="cellIs" dxfId="185" priority="5" operator="equal">
      <formula>"Check"</formula>
    </cfRule>
    <cfRule type="cellIs" dxfId="184" priority="6" operator="equal">
      <formula>"Ok"</formula>
    </cfRule>
  </conditionalFormatting>
  <conditionalFormatting sqref="X51:X57">
    <cfRule type="cellIs" dxfId="183" priority="3" operator="equal">
      <formula>"Check"</formula>
    </cfRule>
    <cfRule type="cellIs" dxfId="182" priority="4" operator="equal">
      <formula>"Ok"</formula>
    </cfRule>
  </conditionalFormatting>
  <conditionalFormatting sqref="T9:T66">
    <cfRule type="cellIs" dxfId="181" priority="1" operator="equal">
      <formula>"Check"</formula>
    </cfRule>
    <cfRule type="cellIs" dxfId="180" priority="2" operator="equal">
      <formula>"Ok"</formula>
    </cfRule>
  </conditionalFormatting>
  <dataValidations disablePrompts="1" count="2">
    <dataValidation type="list" allowBlank="1" showInputMessage="1" showErrorMessage="1" sqref="G67">
      <formula1>"Real 2010,Real 2011,Real 2012,Real 2013,Real 2014,Real 2015,Nominal"</formula1>
    </dataValidation>
    <dataValidation type="list" allowBlank="1" showInputMessage="1" showErrorMessage="1" sqref="J12:J67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72"/>
  <sheetViews>
    <sheetView zoomScale="115" zoomScaleNormal="115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v1.8</v>
      </c>
      <c r="D1" s="70"/>
      <c r="E1" s="70"/>
      <c r="F1" s="71"/>
      <c r="G1" s="71"/>
      <c r="H1" s="71"/>
      <c r="I1" s="71"/>
      <c r="J1" s="21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82</v>
      </c>
      <c r="S1" s="76" t="str">
        <f>IF(COUNTA($X$29:$X$265)=COUNTIF($X$29:$X$265,"OK"),"OK","Check")</f>
        <v>OK</v>
      </c>
      <c r="T1" s="76"/>
      <c r="U1" s="69"/>
      <c r="V1" s="187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7" t="s">
        <v>122</v>
      </c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42887</v>
      </c>
      <c r="K4" s="155">
        <f>DATE(PPFirstYear+1,MONTH('Input|General'!$G$9),1)</f>
        <v>43252</v>
      </c>
      <c r="L4" s="155">
        <f>DATE(PPFirstYear+2,MONTH('Input|General'!$G$9),1)</f>
        <v>43617</v>
      </c>
      <c r="M4" s="155">
        <f>DATE(PPFirstYear+3,MONTH('Input|General'!$G$9),1)</f>
        <v>43983</v>
      </c>
      <c r="N4" s="155">
        <f>DATE(PPFirstYear+4,MONTH('Input|General'!$G$9),1)</f>
        <v>44348</v>
      </c>
      <c r="O4" s="155">
        <f>DATE(PPFirstYear+5,MONTH('Input|General'!$G$9),1)</f>
        <v>44713</v>
      </c>
      <c r="P4" s="155">
        <f>DATE(PPFirstYear+6,MONTH('Input|General'!$G$9),1)</f>
        <v>45078</v>
      </c>
      <c r="Q4" s="155">
        <f>DATE(PPFirstYear+7,MONTH('Input|General'!$G$9),1)</f>
        <v>45444</v>
      </c>
      <c r="R4" s="155">
        <f>DATE(PPFirstYear+8,MONTH('Input|General'!$G$9),1)</f>
        <v>45809</v>
      </c>
      <c r="S4" s="155">
        <f>DATE(PPFirstYear+9,MONTH('Input|General'!$G$9),1)</f>
        <v>46174</v>
      </c>
      <c r="T4" s="155">
        <f>DATE(PPFirstYear+10,MONTH('Input|General'!$G$9),1)</f>
        <v>46539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45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76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8">
        <f t="shared" ref="J10:S10" si="0">IF(YEAR(J$4)&lt;=PPLastYear,J$4,"")</f>
        <v>42887</v>
      </c>
      <c r="K10" s="158">
        <f t="shared" si="0"/>
        <v>43252</v>
      </c>
      <c r="L10" s="158">
        <f t="shared" si="0"/>
        <v>43617</v>
      </c>
      <c r="M10" s="158">
        <f t="shared" si="0"/>
        <v>43983</v>
      </c>
      <c r="N10" s="158">
        <f t="shared" si="0"/>
        <v>44348</v>
      </c>
      <c r="O10" s="158" t="str">
        <f t="shared" si="0"/>
        <v/>
      </c>
      <c r="P10" s="158" t="str">
        <f t="shared" si="0"/>
        <v/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/>
      <c r="U10" s="137" t="s">
        <v>54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9"/>
      <c r="V12" s="29"/>
      <c r="W12" s="29"/>
      <c r="X12" s="29"/>
    </row>
    <row r="13" spans="1:24">
      <c r="A13" s="29"/>
      <c r="B13" s="29"/>
      <c r="C13" s="61" t="s">
        <v>73</v>
      </c>
      <c r="D13" s="30" t="s">
        <v>69</v>
      </c>
      <c r="E13" s="171" t="s">
        <v>15</v>
      </c>
      <c r="F13" s="171">
        <v>42522</v>
      </c>
      <c r="G13" s="32"/>
      <c r="H13" s="32"/>
      <c r="I13" s="30"/>
      <c r="J13" s="163">
        <v>11.982714482707106</v>
      </c>
      <c r="K13" s="163">
        <v>12.963992941602271</v>
      </c>
      <c r="L13" s="163">
        <v>13.917194525687922</v>
      </c>
      <c r="M13" s="163">
        <v>11.865609350039584</v>
      </c>
      <c r="N13" s="163">
        <v>12.355533399474199</v>
      </c>
      <c r="O13" s="163"/>
      <c r="P13" s="163"/>
      <c r="Q13" s="163"/>
      <c r="R13" s="163"/>
      <c r="S13" s="163"/>
      <c r="T13" s="163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9"/>
      <c r="V14" s="29"/>
      <c r="W14" s="29"/>
      <c r="X14" s="29"/>
    </row>
    <row r="15" spans="1:24">
      <c r="A15" s="29"/>
      <c r="B15" s="29"/>
      <c r="C15" s="139" t="s">
        <v>73</v>
      </c>
      <c r="D15" s="140" t="str">
        <f>D13</f>
        <v>AER</v>
      </c>
      <c r="E15" s="203" t="str">
        <f>E13</f>
        <v>$millions</v>
      </c>
      <c r="F15" s="203">
        <f>F13</f>
        <v>42522</v>
      </c>
      <c r="G15" s="32"/>
      <c r="H15" s="32"/>
      <c r="I15" s="30"/>
      <c r="J15" s="129">
        <f>J13</f>
        <v>11.982714482707106</v>
      </c>
      <c r="K15" s="129">
        <f t="shared" ref="K15:S15" si="1">K13</f>
        <v>12.963992941602271</v>
      </c>
      <c r="L15" s="129">
        <f t="shared" si="1"/>
        <v>13.917194525687922</v>
      </c>
      <c r="M15" s="129">
        <f t="shared" si="1"/>
        <v>11.865609350039584</v>
      </c>
      <c r="N15" s="129">
        <f t="shared" si="1"/>
        <v>12.355533399474199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/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9"/>
      <c r="V16" s="29"/>
      <c r="W16" s="29"/>
      <c r="X16" s="29"/>
    </row>
    <row r="17" spans="1:24">
      <c r="A17" s="29"/>
      <c r="B17" s="29"/>
      <c r="C17" s="67" t="s">
        <v>163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69</v>
      </c>
      <c r="E19" s="30" t="str">
        <f>$E$29</f>
        <v>$millions</v>
      </c>
      <c r="F19" s="160">
        <f t="shared" ref="F19:F27" si="2">$F$15</f>
        <v>42522</v>
      </c>
      <c r="G19" s="32"/>
      <c r="H19" s="32"/>
      <c r="I19" s="30"/>
      <c r="J19" s="163">
        <v>6.4502837662057749E-2</v>
      </c>
      <c r="K19" s="163">
        <v>6.689599064229039E-2</v>
      </c>
      <c r="L19" s="163">
        <v>6.625406124071001E-2</v>
      </c>
      <c r="M19" s="163">
        <v>6.5353239453482356E-2</v>
      </c>
      <c r="N19" s="163">
        <v>6.4415279601242062E-2</v>
      </c>
      <c r="O19" s="163"/>
      <c r="P19" s="163"/>
      <c r="Q19" s="163"/>
      <c r="R19" s="163"/>
      <c r="S19" s="163"/>
      <c r="T19" s="163"/>
      <c r="U19" s="29"/>
      <c r="V19" s="29"/>
      <c r="W19" s="29"/>
      <c r="X19" s="29"/>
    </row>
    <row r="20" spans="1:24">
      <c r="A20" s="29"/>
      <c r="B20" s="29"/>
      <c r="C20" s="61" t="s">
        <v>192</v>
      </c>
      <c r="D20" s="30" t="s">
        <v>69</v>
      </c>
      <c r="E20" s="30" t="str">
        <f t="shared" ref="E20:E27" si="3">$E$15</f>
        <v>$millions</v>
      </c>
      <c r="F20" s="160">
        <f t="shared" si="2"/>
        <v>42522</v>
      </c>
      <c r="G20" s="32"/>
      <c r="H20" s="32"/>
      <c r="I20" s="30"/>
      <c r="J20" s="163">
        <v>0.365619554244</v>
      </c>
      <c r="K20" s="163">
        <v>1.26521436134772</v>
      </c>
      <c r="L20" s="163">
        <v>2.1302859019257898</v>
      </c>
      <c r="M20" s="163">
        <v>0</v>
      </c>
      <c r="N20" s="163">
        <v>0.41054404728959198</v>
      </c>
      <c r="O20" s="163"/>
      <c r="P20" s="163"/>
      <c r="Q20" s="163"/>
      <c r="R20" s="163"/>
      <c r="S20" s="163"/>
      <c r="T20" s="163"/>
      <c r="U20" s="29"/>
      <c r="V20" s="29"/>
      <c r="W20" s="29"/>
      <c r="X20" s="29"/>
    </row>
    <row r="21" spans="1:24">
      <c r="A21" s="29"/>
      <c r="B21" s="29"/>
      <c r="C21" s="61"/>
      <c r="D21" s="30" t="s">
        <v>69</v>
      </c>
      <c r="E21" s="30" t="str">
        <f t="shared" si="3"/>
        <v>$millions</v>
      </c>
      <c r="F21" s="160">
        <f t="shared" si="2"/>
        <v>42522</v>
      </c>
      <c r="G21" s="32"/>
      <c r="H21" s="32"/>
      <c r="I21" s="30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29"/>
      <c r="V21" s="29"/>
      <c r="W21" s="29"/>
      <c r="X21" s="29"/>
    </row>
    <row r="22" spans="1:24">
      <c r="A22" s="29"/>
      <c r="B22" s="29"/>
      <c r="C22" s="61"/>
      <c r="D22" s="30" t="s">
        <v>69</v>
      </c>
      <c r="E22" s="30" t="str">
        <f t="shared" si="3"/>
        <v>$millions</v>
      </c>
      <c r="F22" s="160">
        <f t="shared" si="2"/>
        <v>42522</v>
      </c>
      <c r="G22" s="32"/>
      <c r="H22" s="32"/>
      <c r="I22" s="30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29"/>
      <c r="V22" s="29"/>
      <c r="W22" s="29"/>
      <c r="X22" s="29"/>
    </row>
    <row r="23" spans="1:24">
      <c r="A23" s="29"/>
      <c r="B23" s="29"/>
      <c r="C23" s="61"/>
      <c r="D23" s="30" t="s">
        <v>69</v>
      </c>
      <c r="E23" s="30" t="str">
        <f t="shared" si="3"/>
        <v>$millions</v>
      </c>
      <c r="F23" s="160">
        <f t="shared" si="2"/>
        <v>42522</v>
      </c>
      <c r="G23" s="32"/>
      <c r="H23" s="32"/>
      <c r="I23" s="30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29"/>
      <c r="V23" s="29"/>
      <c r="W23" s="29"/>
      <c r="X23" s="29"/>
    </row>
    <row r="24" spans="1:24">
      <c r="A24" s="29"/>
      <c r="B24" s="29"/>
      <c r="C24" s="61"/>
      <c r="D24" s="30" t="s">
        <v>69</v>
      </c>
      <c r="E24" s="30" t="str">
        <f t="shared" si="3"/>
        <v>$millions</v>
      </c>
      <c r="F24" s="160">
        <f t="shared" si="2"/>
        <v>42522</v>
      </c>
      <c r="G24" s="32"/>
      <c r="H24" s="32"/>
      <c r="I24" s="30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29"/>
      <c r="V24" s="29"/>
      <c r="W24" s="29"/>
      <c r="X24" s="29"/>
    </row>
    <row r="25" spans="1:24">
      <c r="A25" s="29"/>
      <c r="B25" s="29"/>
      <c r="C25" s="61"/>
      <c r="D25" s="30" t="s">
        <v>69</v>
      </c>
      <c r="E25" s="30" t="str">
        <f t="shared" si="3"/>
        <v>$millions</v>
      </c>
      <c r="F25" s="160">
        <f t="shared" si="2"/>
        <v>42522</v>
      </c>
      <c r="G25" s="32"/>
      <c r="H25" s="32"/>
      <c r="I25" s="30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29"/>
      <c r="V25" s="29"/>
      <c r="W25" s="29"/>
      <c r="X25" s="29"/>
    </row>
    <row r="26" spans="1:24">
      <c r="A26" s="29"/>
      <c r="B26" s="29"/>
      <c r="C26" s="61"/>
      <c r="D26" s="30" t="s">
        <v>69</v>
      </c>
      <c r="E26" s="30" t="str">
        <f t="shared" si="3"/>
        <v>$millions</v>
      </c>
      <c r="F26" s="160">
        <f t="shared" si="2"/>
        <v>42522</v>
      </c>
      <c r="G26" s="32"/>
      <c r="H26" s="32"/>
      <c r="I26" s="30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29"/>
      <c r="V26" s="29"/>
      <c r="W26" s="29"/>
      <c r="X26" s="29"/>
    </row>
    <row r="27" spans="1:24">
      <c r="A27" s="29"/>
      <c r="B27" s="29"/>
      <c r="C27" s="61"/>
      <c r="D27" s="30" t="s">
        <v>69</v>
      </c>
      <c r="E27" s="30" t="str">
        <f t="shared" si="3"/>
        <v>$millions</v>
      </c>
      <c r="F27" s="160">
        <f t="shared" si="2"/>
        <v>42522</v>
      </c>
      <c r="G27" s="32"/>
      <c r="H27" s="32"/>
      <c r="I27" s="30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161</v>
      </c>
      <c r="D29" s="140" t="s">
        <v>30</v>
      </c>
      <c r="E29" s="130" t="s">
        <v>15</v>
      </c>
      <c r="F29" s="161">
        <f>F27</f>
        <v>42522</v>
      </c>
      <c r="G29" s="32"/>
      <c r="H29" s="32"/>
      <c r="I29" s="30"/>
      <c r="J29" s="129">
        <f>SUM(J19:J27)</f>
        <v>0.43012239190605772</v>
      </c>
      <c r="K29" s="129">
        <f t="shared" ref="K29:S29" si="4">SUM(K19:K27)</f>
        <v>1.3321103519900104</v>
      </c>
      <c r="L29" s="129">
        <f t="shared" si="4"/>
        <v>2.1965399631664999</v>
      </c>
      <c r="M29" s="129">
        <f t="shared" si="4"/>
        <v>6.5353239453482356E-2</v>
      </c>
      <c r="N29" s="129">
        <f t="shared" si="4"/>
        <v>0.47495932689083403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57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0"/>
      <c r="H32" s="30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29"/>
      <c r="D33" s="30"/>
      <c r="E33" s="30"/>
      <c r="F33" s="30"/>
      <c r="G33" s="30"/>
      <c r="H33" s="30"/>
      <c r="I33" s="30"/>
      <c r="J33" s="163" t="s">
        <v>23</v>
      </c>
      <c r="K33" s="163" t="s">
        <v>23</v>
      </c>
      <c r="L33" s="163" t="s">
        <v>23</v>
      </c>
      <c r="M33" s="163" t="s">
        <v>23</v>
      </c>
      <c r="N33" s="163" t="s">
        <v>74</v>
      </c>
      <c r="O33" s="163"/>
      <c r="P33" s="163"/>
      <c r="Q33" s="163"/>
      <c r="R33" s="163"/>
      <c r="S33" s="163"/>
      <c r="T33" s="163"/>
      <c r="U33" s="29"/>
      <c r="V33" s="29"/>
      <c r="W33" s="29"/>
      <c r="X33" s="29"/>
    </row>
    <row r="34" spans="1:24">
      <c r="A34" s="29"/>
      <c r="B34" s="29"/>
      <c r="C34" s="67" t="s">
        <v>76</v>
      </c>
      <c r="D34" s="32" t="s">
        <v>7</v>
      </c>
      <c r="E34" s="32" t="s">
        <v>8</v>
      </c>
      <c r="F34" s="32" t="s">
        <v>22</v>
      </c>
      <c r="G34" s="32"/>
      <c r="H34" s="32"/>
      <c r="I34" s="32"/>
      <c r="J34" s="158">
        <f t="shared" ref="J34:S34" si="5">IF(YEAR(J$4)&lt;=PPLastYear,J$4,"")</f>
        <v>42887</v>
      </c>
      <c r="K34" s="158">
        <f t="shared" si="5"/>
        <v>43252</v>
      </c>
      <c r="L34" s="158">
        <f t="shared" si="5"/>
        <v>43617</v>
      </c>
      <c r="M34" s="158">
        <f t="shared" si="5"/>
        <v>43983</v>
      </c>
      <c r="N34" s="158">
        <f t="shared" si="5"/>
        <v>44348</v>
      </c>
      <c r="O34" s="158" t="str">
        <f t="shared" si="5"/>
        <v/>
      </c>
      <c r="P34" s="158" t="str">
        <f t="shared" si="5"/>
        <v/>
      </c>
      <c r="Q34" s="158" t="str">
        <f t="shared" si="5"/>
        <v/>
      </c>
      <c r="R34" s="158" t="str">
        <f t="shared" si="5"/>
        <v/>
      </c>
      <c r="S34" s="158" t="str">
        <f t="shared" si="5"/>
        <v/>
      </c>
      <c r="T34" s="158"/>
      <c r="U34" s="137" t="s">
        <v>54</v>
      </c>
      <c r="V34" s="138"/>
      <c r="W34" s="138"/>
      <c r="X34" s="29"/>
    </row>
    <row r="35" spans="1:24">
      <c r="A35" s="29"/>
      <c r="B35" s="29"/>
      <c r="C35" s="111"/>
      <c r="D35" s="30"/>
      <c r="E35" s="30"/>
      <c r="F35" s="30"/>
      <c r="G35" s="32"/>
      <c r="H35" s="32"/>
      <c r="I35" s="30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111"/>
      <c r="D36" s="30"/>
      <c r="E36" s="30"/>
      <c r="F36" s="30"/>
      <c r="G36" s="32"/>
      <c r="H36" s="32"/>
      <c r="I36" s="30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>
      <c r="A37" s="29"/>
      <c r="B37" s="29"/>
      <c r="C37" s="61" t="s">
        <v>73</v>
      </c>
      <c r="D37" s="30" t="s">
        <v>75</v>
      </c>
      <c r="E37" s="215" t="str">
        <f>$E$56</f>
        <v>$millions</v>
      </c>
      <c r="F37" s="216" t="s">
        <v>100</v>
      </c>
      <c r="G37" s="32"/>
      <c r="H37" s="32"/>
      <c r="I37" s="30"/>
      <c r="J37" s="163">
        <v>12.221570514673159</v>
      </c>
      <c r="K37" s="163">
        <v>11.748571738152711</v>
      </c>
      <c r="L37" s="163">
        <v>12.049037235418451</v>
      </c>
      <c r="M37" s="163"/>
      <c r="N37" s="163"/>
      <c r="O37" s="163"/>
      <c r="P37" s="163"/>
      <c r="Q37" s="163"/>
      <c r="R37" s="163"/>
      <c r="S37" s="163"/>
      <c r="T37" s="163"/>
      <c r="U37" s="29"/>
      <c r="V37" s="29"/>
      <c r="W37" s="29"/>
      <c r="X37" s="29"/>
    </row>
    <row r="38" spans="1:24">
      <c r="A38" s="29"/>
      <c r="B38" s="29"/>
      <c r="C38" s="111"/>
      <c r="D38" s="30"/>
      <c r="E38" s="30"/>
      <c r="F38" s="160"/>
      <c r="G38" s="32"/>
      <c r="H38" s="32"/>
      <c r="I38" s="30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29"/>
      <c r="V38" s="29"/>
      <c r="W38" s="29"/>
      <c r="X38" s="29"/>
    </row>
    <row r="39" spans="1:24">
      <c r="A39" s="29"/>
      <c r="B39" s="29"/>
      <c r="C39" s="67" t="s">
        <v>177</v>
      </c>
      <c r="D39" s="30"/>
      <c r="E39" s="30"/>
      <c r="F39" s="160"/>
      <c r="G39" s="32"/>
      <c r="H39" s="32"/>
      <c r="I39" s="30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29"/>
      <c r="V39" s="29"/>
      <c r="W39" s="29"/>
      <c r="X39" s="29"/>
    </row>
    <row r="40" spans="1:24">
      <c r="A40" s="29"/>
      <c r="B40" s="29"/>
      <c r="C40" s="67"/>
      <c r="D40" s="30"/>
      <c r="E40" s="30"/>
      <c r="F40" s="160"/>
      <c r="G40" s="32"/>
      <c r="H40" s="32"/>
      <c r="I40" s="30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29"/>
      <c r="V40" s="29"/>
      <c r="W40" s="29"/>
      <c r="X40" s="29"/>
    </row>
    <row r="41" spans="1:24">
      <c r="A41" s="29"/>
      <c r="B41" s="29"/>
      <c r="C41" s="61" t="s">
        <v>174</v>
      </c>
      <c r="D41" s="30" t="s">
        <v>75</v>
      </c>
      <c r="E41" s="30" t="str">
        <f>$E$56</f>
        <v>$millions</v>
      </c>
      <c r="F41" s="160" t="str">
        <f>$F$37</f>
        <v>nominal</v>
      </c>
      <c r="G41" s="32"/>
      <c r="H41" s="32"/>
      <c r="I41" s="30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29"/>
      <c r="V41" s="29"/>
      <c r="W41" s="29"/>
      <c r="X41" s="29"/>
    </row>
    <row r="42" spans="1:24">
      <c r="A42" s="29"/>
      <c r="B42" s="29"/>
      <c r="C42" s="61"/>
      <c r="D42" s="30" t="s">
        <v>75</v>
      </c>
      <c r="E42" s="30" t="str">
        <f>$E$56</f>
        <v>$millions</v>
      </c>
      <c r="F42" s="160" t="str">
        <f t="shared" ref="F42:F45" si="6">$F$37</f>
        <v>nominal</v>
      </c>
      <c r="G42" s="32"/>
      <c r="H42" s="32"/>
      <c r="I42" s="30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29"/>
      <c r="V42" s="29"/>
      <c r="W42" s="29"/>
      <c r="X42" s="29"/>
    </row>
    <row r="43" spans="1:24">
      <c r="A43" s="29"/>
      <c r="B43" s="29"/>
      <c r="C43" s="61"/>
      <c r="D43" s="30" t="s">
        <v>75</v>
      </c>
      <c r="E43" s="30" t="str">
        <f>$E$56</f>
        <v>$millions</v>
      </c>
      <c r="F43" s="160" t="str">
        <f t="shared" si="6"/>
        <v>nominal</v>
      </c>
      <c r="G43" s="32"/>
      <c r="H43" s="32"/>
      <c r="I43" s="30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29"/>
      <c r="V43" s="29"/>
      <c r="W43" s="29"/>
      <c r="X43" s="29"/>
    </row>
    <row r="44" spans="1:24">
      <c r="A44" s="29"/>
      <c r="B44" s="29"/>
      <c r="C44" s="61"/>
      <c r="D44" s="30" t="s">
        <v>75</v>
      </c>
      <c r="E44" s="30" t="str">
        <f>$E$56</f>
        <v>$millions</v>
      </c>
      <c r="F44" s="160" t="str">
        <f t="shared" si="6"/>
        <v>nominal</v>
      </c>
      <c r="G44" s="32"/>
      <c r="H44" s="32"/>
      <c r="I44" s="30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29"/>
      <c r="V44" s="29"/>
      <c r="W44" s="29"/>
      <c r="X44" s="29"/>
    </row>
    <row r="45" spans="1:24">
      <c r="A45" s="29"/>
      <c r="B45" s="29"/>
      <c r="C45" s="61"/>
      <c r="D45" s="30" t="s">
        <v>75</v>
      </c>
      <c r="E45" s="30" t="str">
        <f>$E$56</f>
        <v>$millions</v>
      </c>
      <c r="F45" s="160" t="str">
        <f t="shared" si="6"/>
        <v>nominal</v>
      </c>
      <c r="G45" s="32"/>
      <c r="H45" s="32"/>
      <c r="I45" s="30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29"/>
      <c r="V45" s="29"/>
      <c r="W45" s="29"/>
      <c r="X45" s="29"/>
    </row>
    <row r="46" spans="1:24">
      <c r="A46" s="29"/>
      <c r="B46" s="29"/>
      <c r="C46" s="111"/>
      <c r="D46" s="30"/>
      <c r="E46" s="30"/>
      <c r="F46" s="30"/>
      <c r="G46" s="32"/>
      <c r="H46" s="32"/>
      <c r="I46" s="30"/>
      <c r="J46" s="29"/>
      <c r="K46" s="29"/>
      <c r="L46" s="29"/>
      <c r="M46" s="29"/>
      <c r="N46" s="141"/>
      <c r="O46" s="141"/>
      <c r="P46" s="141"/>
      <c r="Q46" s="141"/>
      <c r="R46" s="141"/>
      <c r="S46" s="141"/>
      <c r="T46" s="141"/>
      <c r="U46" s="29"/>
      <c r="V46" s="29"/>
      <c r="W46" s="29"/>
      <c r="X46" s="29"/>
    </row>
    <row r="47" spans="1:24">
      <c r="A47" s="29"/>
      <c r="B47" s="29"/>
      <c r="C47" s="139" t="s">
        <v>175</v>
      </c>
      <c r="D47" s="140" t="s">
        <v>30</v>
      </c>
      <c r="E47" s="190" t="str">
        <f>$E$56</f>
        <v>$millions</v>
      </c>
      <c r="F47" s="191" t="str">
        <f>F37</f>
        <v>nominal</v>
      </c>
      <c r="G47" s="32"/>
      <c r="H47" s="32"/>
      <c r="I47" s="30"/>
      <c r="J47" s="129">
        <f>J37-SUM(J41:J45)</f>
        <v>12.221570514673159</v>
      </c>
      <c r="K47" s="129">
        <f t="shared" ref="K47:S47" si="7">K37-SUM(K41:K45)</f>
        <v>11.748571738152711</v>
      </c>
      <c r="L47" s="129">
        <f t="shared" si="7"/>
        <v>12.049037235418451</v>
      </c>
      <c r="M47" s="129">
        <f t="shared" si="7"/>
        <v>0</v>
      </c>
      <c r="N47" s="129">
        <f t="shared" si="7"/>
        <v>0</v>
      </c>
      <c r="O47" s="129">
        <f t="shared" si="7"/>
        <v>0</v>
      </c>
      <c r="P47" s="129">
        <f t="shared" si="7"/>
        <v>0</v>
      </c>
      <c r="Q47" s="129">
        <f t="shared" si="7"/>
        <v>0</v>
      </c>
      <c r="R47" s="129">
        <f t="shared" si="7"/>
        <v>0</v>
      </c>
      <c r="S47" s="129">
        <f t="shared" si="7"/>
        <v>0</v>
      </c>
      <c r="T47" s="129"/>
      <c r="U47" s="29"/>
      <c r="V47" s="29"/>
      <c r="W47" s="29"/>
      <c r="X47" s="29"/>
    </row>
    <row r="48" spans="1:24">
      <c r="A48" s="29"/>
      <c r="B48" s="29"/>
      <c r="C48" s="29"/>
      <c r="D48" s="30"/>
      <c r="E48" s="30"/>
      <c r="F48" s="30"/>
      <c r="G48" s="30"/>
      <c r="H48" s="30"/>
      <c r="I48" s="30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29"/>
      <c r="V48" s="29"/>
      <c r="W48" s="29"/>
      <c r="X48" s="29"/>
    </row>
    <row r="49" spans="1:24">
      <c r="A49" s="29"/>
      <c r="B49" s="29"/>
      <c r="C49" s="67" t="s">
        <v>111</v>
      </c>
      <c r="D49" s="30"/>
      <c r="E49" s="30"/>
      <c r="F49" s="30"/>
      <c r="G49" s="30"/>
      <c r="H49" s="30"/>
      <c r="I49" s="30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29"/>
      <c r="V49" s="29"/>
      <c r="W49" s="29"/>
      <c r="X49" s="29"/>
    </row>
    <row r="50" spans="1:24">
      <c r="A50" s="29"/>
      <c r="B50" s="29"/>
      <c r="C50" s="29"/>
      <c r="D50" s="30"/>
      <c r="E50" s="30"/>
      <c r="F50" s="30"/>
      <c r="G50" s="30"/>
      <c r="H50" s="30"/>
      <c r="I50" s="30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29"/>
      <c r="V50" s="29"/>
      <c r="W50" s="29"/>
      <c r="X50" s="29"/>
    </row>
    <row r="51" spans="1:24">
      <c r="A51" s="29"/>
      <c r="B51" s="29"/>
      <c r="C51" s="61" t="s">
        <v>39</v>
      </c>
      <c r="D51" s="30" t="s">
        <v>75</v>
      </c>
      <c r="E51" s="30" t="str">
        <f>$E$56</f>
        <v>$millions</v>
      </c>
      <c r="F51" s="160" t="str">
        <f t="shared" ref="F51:F54" si="8">$F$56</f>
        <v>nominal</v>
      </c>
      <c r="G51" s="32"/>
      <c r="H51" s="32"/>
      <c r="I51" s="30"/>
      <c r="J51" s="163">
        <v>6.4502837662057777E-2</v>
      </c>
      <c r="K51" s="163">
        <v>6.6472816701770715E-2</v>
      </c>
      <c r="L51" s="163">
        <v>6.6677525299859847E-2</v>
      </c>
      <c r="M51" s="163"/>
      <c r="N51" s="163"/>
      <c r="O51" s="163"/>
      <c r="P51" s="163"/>
      <c r="Q51" s="163"/>
      <c r="R51" s="163"/>
      <c r="S51" s="163"/>
      <c r="T51" s="163"/>
      <c r="U51" s="29"/>
      <c r="V51" s="29"/>
      <c r="W51" s="29"/>
      <c r="X51" s="29"/>
    </row>
    <row r="52" spans="1:24">
      <c r="A52" s="29"/>
      <c r="B52" s="29"/>
      <c r="C52" s="61" t="s">
        <v>192</v>
      </c>
      <c r="D52" s="30" t="s">
        <v>75</v>
      </c>
      <c r="E52" s="30" t="str">
        <f>$E$56</f>
        <v>$millions</v>
      </c>
      <c r="F52" s="160" t="str">
        <f t="shared" si="8"/>
        <v>nominal</v>
      </c>
      <c r="G52" s="32"/>
      <c r="H52" s="32"/>
      <c r="I52" s="30"/>
      <c r="J52" s="163">
        <v>5.6908599999999998E-3</v>
      </c>
      <c r="K52" s="163">
        <v>1.5975693299999998</v>
      </c>
      <c r="L52" s="163">
        <v>0.77135990999999993</v>
      </c>
      <c r="M52" s="163"/>
      <c r="N52" s="163"/>
      <c r="O52" s="163"/>
      <c r="P52" s="163"/>
      <c r="Q52" s="163"/>
      <c r="R52" s="163"/>
      <c r="S52" s="163"/>
      <c r="T52" s="163"/>
      <c r="U52" s="29"/>
      <c r="V52" s="29"/>
      <c r="W52" s="29"/>
      <c r="X52" s="29"/>
    </row>
    <row r="53" spans="1:24">
      <c r="A53" s="29"/>
      <c r="B53" s="29"/>
      <c r="C53" s="61"/>
      <c r="D53" s="30" t="s">
        <v>75</v>
      </c>
      <c r="E53" s="30" t="str">
        <f>$E$56</f>
        <v>$millions</v>
      </c>
      <c r="F53" s="160" t="str">
        <f t="shared" si="8"/>
        <v>nominal</v>
      </c>
      <c r="G53" s="32"/>
      <c r="H53" s="32"/>
      <c r="I53" s="30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29"/>
      <c r="V53" s="29"/>
      <c r="W53" s="29"/>
      <c r="X53" s="29"/>
    </row>
    <row r="54" spans="1:24">
      <c r="A54" s="29"/>
      <c r="B54" s="29"/>
      <c r="C54" s="61"/>
      <c r="D54" s="30" t="s">
        <v>75</v>
      </c>
      <c r="E54" s="30" t="str">
        <f>$E$56</f>
        <v>$millions</v>
      </c>
      <c r="F54" s="160" t="str">
        <f t="shared" si="8"/>
        <v>nominal</v>
      </c>
      <c r="G54" s="32"/>
      <c r="H54" s="32"/>
      <c r="I54" s="30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29"/>
      <c r="V54" s="29"/>
      <c r="W54" s="29"/>
      <c r="X54" s="29"/>
    </row>
    <row r="55" spans="1:24">
      <c r="A55" s="29"/>
      <c r="B55" s="29"/>
      <c r="C55" s="111"/>
      <c r="D55" s="30"/>
      <c r="E55" s="30"/>
      <c r="F55" s="30"/>
      <c r="G55" s="32"/>
      <c r="H55" s="32"/>
      <c r="I55" s="30"/>
      <c r="J55" s="29"/>
      <c r="K55" s="29"/>
      <c r="L55" s="29"/>
      <c r="M55" s="29"/>
      <c r="N55" s="141"/>
      <c r="O55" s="141"/>
      <c r="P55" s="141"/>
      <c r="Q55" s="141"/>
      <c r="R55" s="141"/>
      <c r="S55" s="141"/>
      <c r="T55" s="141"/>
      <c r="U55" s="29"/>
      <c r="V55" s="29"/>
      <c r="W55" s="29"/>
      <c r="X55" s="29"/>
    </row>
    <row r="56" spans="1:24">
      <c r="A56" s="29"/>
      <c r="B56" s="29"/>
      <c r="C56" s="139" t="s">
        <v>161</v>
      </c>
      <c r="D56" s="140" t="s">
        <v>30</v>
      </c>
      <c r="E56" s="130" t="s">
        <v>15</v>
      </c>
      <c r="F56" s="161" t="s">
        <v>100</v>
      </c>
      <c r="G56" s="32"/>
      <c r="H56" s="32"/>
      <c r="I56" s="30"/>
      <c r="J56" s="186">
        <f>SUM(J51:J54)</f>
        <v>7.0193697662057783E-2</v>
      </c>
      <c r="K56" s="186">
        <f t="shared" ref="K56:S56" si="9">SUM(K51:K54)</f>
        <v>1.6640421467017705</v>
      </c>
      <c r="L56" s="186">
        <f t="shared" si="9"/>
        <v>0.83803743529985975</v>
      </c>
      <c r="M56" s="186">
        <f t="shared" si="9"/>
        <v>0</v>
      </c>
      <c r="N56" s="186">
        <f t="shared" si="9"/>
        <v>0</v>
      </c>
      <c r="O56" s="186">
        <f t="shared" si="9"/>
        <v>0</v>
      </c>
      <c r="P56" s="186">
        <f t="shared" si="9"/>
        <v>0</v>
      </c>
      <c r="Q56" s="186">
        <f t="shared" si="9"/>
        <v>0</v>
      </c>
      <c r="R56" s="186">
        <f t="shared" si="9"/>
        <v>0</v>
      </c>
      <c r="S56" s="186">
        <f t="shared" si="9"/>
        <v>0</v>
      </c>
      <c r="T56" s="186"/>
      <c r="U56" s="29"/>
      <c r="V56" s="29"/>
      <c r="W56" s="29"/>
      <c r="X56" s="29" t="str">
        <f>IF(COUNTIF(J51:S54,"&lt;0")&gt;0,"Check","Ok")</f>
        <v>Ok</v>
      </c>
    </row>
    <row r="57" spans="1:24">
      <c r="A57" s="29"/>
      <c r="B57" s="29"/>
      <c r="C57" s="29"/>
      <c r="D57" s="30"/>
      <c r="E57" s="30"/>
      <c r="F57" s="30"/>
      <c r="G57" s="32"/>
      <c r="H57" s="32"/>
      <c r="I57" s="30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</row>
    <row r="58" spans="1:24" ht="12.75">
      <c r="A58" s="94"/>
      <c r="B58" s="95" t="s">
        <v>112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</row>
    <row r="59" spans="1:24">
      <c r="A59" s="29"/>
      <c r="B59" s="29"/>
      <c r="C59" s="29"/>
      <c r="D59" s="30"/>
      <c r="E59" s="30"/>
      <c r="F59" s="30"/>
      <c r="G59" s="30"/>
      <c r="H59" s="30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7" t="s">
        <v>113</v>
      </c>
      <c r="D60" s="32" t="s">
        <v>7</v>
      </c>
      <c r="E60" s="32" t="s">
        <v>8</v>
      </c>
      <c r="F60" s="32" t="s">
        <v>22</v>
      </c>
      <c r="G60" s="32"/>
      <c r="H60" s="32"/>
      <c r="I60" s="32"/>
      <c r="J60" s="158" t="str">
        <f t="shared" ref="J60:S60" si="10">IF(YEAR(J$4)=PPLastYear,J$4,"")</f>
        <v/>
      </c>
      <c r="K60" s="158" t="str">
        <f t="shared" si="10"/>
        <v/>
      </c>
      <c r="L60" s="158" t="str">
        <f t="shared" si="10"/>
        <v/>
      </c>
      <c r="M60" s="158" t="str">
        <f t="shared" si="10"/>
        <v/>
      </c>
      <c r="N60" s="158">
        <f t="shared" si="10"/>
        <v>44348</v>
      </c>
      <c r="O60" s="158" t="str">
        <f t="shared" si="10"/>
        <v/>
      </c>
      <c r="P60" s="158" t="str">
        <f t="shared" si="10"/>
        <v/>
      </c>
      <c r="Q60" s="158" t="str">
        <f t="shared" si="10"/>
        <v/>
      </c>
      <c r="R60" s="158" t="str">
        <f t="shared" si="10"/>
        <v/>
      </c>
      <c r="S60" s="158" t="str">
        <f t="shared" si="10"/>
        <v/>
      </c>
      <c r="T60" s="158"/>
      <c r="U60" s="29"/>
      <c r="V60" s="29"/>
      <c r="W60" s="29"/>
      <c r="X60" s="29"/>
    </row>
    <row r="61" spans="1:24">
      <c r="A61" s="29"/>
      <c r="B61" s="29"/>
      <c r="C61" s="67"/>
      <c r="D61" s="32"/>
      <c r="E61" s="32"/>
      <c r="F61" s="32"/>
      <c r="G61" s="32"/>
      <c r="H61" s="32"/>
      <c r="I61" s="3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29"/>
      <c r="V61" s="29"/>
      <c r="W61" s="29"/>
      <c r="X61" s="29"/>
    </row>
    <row r="62" spans="1:24">
      <c r="A62" s="29"/>
      <c r="B62" s="29"/>
      <c r="C62" s="61" t="s">
        <v>189</v>
      </c>
      <c r="D62" s="30" t="s">
        <v>34</v>
      </c>
      <c r="E62" s="30" t="str">
        <f>$E$56</f>
        <v>$millions</v>
      </c>
      <c r="F62" s="171">
        <v>44348</v>
      </c>
      <c r="G62" s="32"/>
      <c r="H62" s="32"/>
      <c r="I62" s="32"/>
      <c r="J62" s="163"/>
      <c r="K62" s="163"/>
      <c r="L62" s="163"/>
      <c r="M62" s="163"/>
      <c r="N62" s="163">
        <v>-0.43688981020776013</v>
      </c>
      <c r="O62" s="163"/>
      <c r="P62" s="163"/>
      <c r="Q62" s="163"/>
      <c r="R62" s="163"/>
      <c r="S62" s="163"/>
      <c r="T62" s="163"/>
      <c r="U62" s="29"/>
      <c r="V62" s="142"/>
      <c r="W62" s="142"/>
      <c r="X62" s="29"/>
    </row>
    <row r="63" spans="1:24">
      <c r="A63" s="29"/>
      <c r="B63" s="29"/>
      <c r="C63" s="61" t="s">
        <v>114</v>
      </c>
      <c r="D63" s="30" t="s">
        <v>34</v>
      </c>
      <c r="E63" s="30" t="str">
        <f t="shared" ref="E63:E68" si="11">$E$56</f>
        <v>$millions</v>
      </c>
      <c r="F63" s="171">
        <v>44348</v>
      </c>
      <c r="G63" s="32"/>
      <c r="H63" s="32"/>
      <c r="I63" s="32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24"/>
      <c r="V63" s="142"/>
      <c r="W63" s="142"/>
      <c r="X63" s="29"/>
    </row>
    <row r="64" spans="1:24">
      <c r="A64" s="29"/>
      <c r="B64" s="29"/>
      <c r="C64" s="61" t="s">
        <v>115</v>
      </c>
      <c r="D64" s="30" t="s">
        <v>34</v>
      </c>
      <c r="E64" s="30" t="str">
        <f t="shared" si="11"/>
        <v>$millions</v>
      </c>
      <c r="F64" s="171">
        <v>44348</v>
      </c>
      <c r="G64" s="32"/>
      <c r="H64" s="32"/>
      <c r="I64" s="32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24"/>
      <c r="V64" s="142"/>
      <c r="W64" s="142"/>
      <c r="X64" s="29"/>
    </row>
    <row r="65" spans="1:24">
      <c r="A65" s="29"/>
      <c r="B65" s="29"/>
      <c r="C65" s="61" t="s">
        <v>116</v>
      </c>
      <c r="D65" s="30" t="s">
        <v>34</v>
      </c>
      <c r="E65" s="30" t="str">
        <f t="shared" si="11"/>
        <v>$millions</v>
      </c>
      <c r="F65" s="171">
        <v>44348</v>
      </c>
      <c r="G65" s="32"/>
      <c r="H65" s="32"/>
      <c r="I65" s="32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24"/>
      <c r="V65" s="142"/>
      <c r="W65" s="142"/>
      <c r="X65" s="29"/>
    </row>
    <row r="66" spans="1:24">
      <c r="A66" s="29"/>
      <c r="B66" s="29"/>
      <c r="C66" s="61" t="s">
        <v>117</v>
      </c>
      <c r="D66" s="30" t="s">
        <v>34</v>
      </c>
      <c r="E66" s="30" t="str">
        <f t="shared" si="11"/>
        <v>$millions</v>
      </c>
      <c r="F66" s="171">
        <v>44348</v>
      </c>
      <c r="G66" s="32"/>
      <c r="H66" s="32"/>
      <c r="I66" s="32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24"/>
      <c r="V66" s="142"/>
      <c r="W66" s="142"/>
      <c r="X66" s="29"/>
    </row>
    <row r="67" spans="1:24" s="102" customFormat="1">
      <c r="A67" s="197"/>
      <c r="B67" s="197"/>
      <c r="C67" s="198"/>
      <c r="D67" s="105"/>
      <c r="E67" s="105"/>
      <c r="F67" s="199"/>
      <c r="G67" s="200"/>
      <c r="H67" s="200"/>
      <c r="I67" s="200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104"/>
      <c r="V67" s="164"/>
      <c r="W67" s="164"/>
      <c r="X67" s="197"/>
    </row>
    <row r="68" spans="1:24">
      <c r="A68" s="29"/>
      <c r="B68" s="29"/>
      <c r="C68" s="61" t="s">
        <v>176</v>
      </c>
      <c r="D68" s="30" t="s">
        <v>34</v>
      </c>
      <c r="E68" s="30" t="str">
        <f t="shared" si="11"/>
        <v>$millions</v>
      </c>
      <c r="F68" s="171">
        <v>44348</v>
      </c>
      <c r="G68" s="32"/>
      <c r="H68" s="32"/>
      <c r="I68" s="32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24"/>
      <c r="V68" s="142"/>
      <c r="W68" s="142"/>
      <c r="X68" s="29"/>
    </row>
    <row r="69" spans="1:24" s="102" customFormat="1">
      <c r="A69" s="197"/>
      <c r="B69" s="197"/>
      <c r="C69" s="198"/>
      <c r="D69" s="105"/>
      <c r="E69" s="105"/>
      <c r="F69" s="199"/>
      <c r="G69" s="200"/>
      <c r="H69" s="200"/>
      <c r="I69" s="200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104"/>
      <c r="V69" s="164"/>
      <c r="W69" s="164"/>
      <c r="X69" s="197"/>
    </row>
    <row r="70" spans="1:24">
      <c r="A70" s="29"/>
      <c r="B70" s="29"/>
      <c r="C70" s="61" t="s">
        <v>89</v>
      </c>
      <c r="D70" s="30" t="s">
        <v>34</v>
      </c>
      <c r="E70" s="30" t="s">
        <v>31</v>
      </c>
      <c r="F70" s="32"/>
      <c r="G70" s="32"/>
      <c r="H70" s="32"/>
      <c r="I70" s="3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124"/>
      <c r="V70" s="142"/>
      <c r="W70" s="142"/>
      <c r="X70" s="29"/>
    </row>
    <row r="71" spans="1:24">
      <c r="A71" s="29"/>
      <c r="B71" s="29"/>
      <c r="C71" s="111"/>
      <c r="D71" s="30"/>
      <c r="E71" s="30"/>
      <c r="F71" s="30"/>
      <c r="G71" s="32"/>
      <c r="H71" s="32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 ht="12.75">
      <c r="A72" s="94"/>
      <c r="B72" s="95" t="s">
        <v>21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</row>
  </sheetData>
  <conditionalFormatting sqref="X37 X51:X54 X41:X45">
    <cfRule type="cellIs" dxfId="179" priority="60" operator="equal">
      <formula>"Check"</formula>
    </cfRule>
    <cfRule type="cellIs" dxfId="178" priority="61" operator="equal">
      <formula>"Ok"</formula>
    </cfRule>
  </conditionalFormatting>
  <conditionalFormatting sqref="X56">
    <cfRule type="cellIs" dxfId="177" priority="58" operator="equal">
      <formula>"Check"</formula>
    </cfRule>
    <cfRule type="cellIs" dxfId="176" priority="59" operator="equal">
      <formula>"Ok"</formula>
    </cfRule>
  </conditionalFormatting>
  <conditionalFormatting sqref="X15">
    <cfRule type="cellIs" dxfId="175" priority="56" operator="equal">
      <formula>"Check"</formula>
    </cfRule>
    <cfRule type="cellIs" dxfId="174" priority="57" operator="equal">
      <formula>"Ok"</formula>
    </cfRule>
  </conditionalFormatting>
  <conditionalFormatting sqref="W1">
    <cfRule type="cellIs" dxfId="173" priority="54" operator="equal">
      <formula>"Check"</formula>
    </cfRule>
    <cfRule type="cellIs" dxfId="172" priority="55" operator="equal">
      <formula>"Ok"</formula>
    </cfRule>
  </conditionalFormatting>
  <conditionalFormatting sqref="S1">
    <cfRule type="cellIs" dxfId="171" priority="52" operator="equal">
      <formula>"Check"</formula>
    </cfRule>
    <cfRule type="cellIs" dxfId="170" priority="53" operator="equal">
      <formula>"Ok"</formula>
    </cfRule>
  </conditionalFormatting>
  <conditionalFormatting sqref="J15:N15">
    <cfRule type="cellIs" dxfId="169" priority="51" operator="equal">
      <formula>0</formula>
    </cfRule>
  </conditionalFormatting>
  <conditionalFormatting sqref="J56:N56">
    <cfRule type="cellIs" dxfId="168" priority="50" operator="equal">
      <formula>0</formula>
    </cfRule>
  </conditionalFormatting>
  <conditionalFormatting sqref="X48:X50">
    <cfRule type="cellIs" dxfId="167" priority="48" operator="equal">
      <formula>"Check"</formula>
    </cfRule>
    <cfRule type="cellIs" dxfId="166" priority="49" operator="equal">
      <formula>"Ok"</formula>
    </cfRule>
  </conditionalFormatting>
  <conditionalFormatting sqref="J33:N33 N37 J41:N45 J51:N54">
    <cfRule type="expression" dxfId="165" priority="46">
      <formula>J$34=J$4</formula>
    </cfRule>
  </conditionalFormatting>
  <conditionalFormatting sqref="J13:N13 J19:N27">
    <cfRule type="expression" dxfId="164" priority="45">
      <formula>J$10=J$4</formula>
    </cfRule>
  </conditionalFormatting>
  <conditionalFormatting sqref="J37:N37">
    <cfRule type="expression" dxfId="163" priority="42">
      <formula>J$10=J$4</formula>
    </cfRule>
  </conditionalFormatting>
  <conditionalFormatting sqref="X47">
    <cfRule type="cellIs" dxfId="162" priority="40" operator="equal">
      <formula>"Check"</formula>
    </cfRule>
    <cfRule type="cellIs" dxfId="161" priority="41" operator="equal">
      <formula>"Ok"</formula>
    </cfRule>
  </conditionalFormatting>
  <conditionalFormatting sqref="J47:N47">
    <cfRule type="cellIs" dxfId="160" priority="38" operator="equal">
      <formula>0</formula>
    </cfRule>
  </conditionalFormatting>
  <conditionalFormatting sqref="J62:N66 J68:N68 J70:N70">
    <cfRule type="expression" dxfId="159" priority="37">
      <formula>J$60=J$4</formula>
    </cfRule>
  </conditionalFormatting>
  <conditionalFormatting sqref="X29">
    <cfRule type="cellIs" dxfId="158" priority="33" operator="equal">
      <formula>"Check"</formula>
    </cfRule>
    <cfRule type="cellIs" dxfId="157" priority="34" operator="equal">
      <formula>"Ok"</formula>
    </cfRule>
  </conditionalFormatting>
  <conditionalFormatting sqref="J29:N29">
    <cfRule type="cellIs" dxfId="156" priority="32" operator="equal">
      <formula>0</formula>
    </cfRule>
  </conditionalFormatting>
  <conditionalFormatting sqref="T1">
    <cfRule type="cellIs" dxfId="155" priority="25" operator="equal">
      <formula>"Check"</formula>
    </cfRule>
    <cfRule type="cellIs" dxfId="154" priority="26" operator="equal">
      <formula>"Ok"</formula>
    </cfRule>
  </conditionalFormatting>
  <conditionalFormatting sqref="O56:T56">
    <cfRule type="cellIs" dxfId="153" priority="7" operator="equal">
      <formula>0</formula>
    </cfRule>
  </conditionalFormatting>
  <conditionalFormatting sqref="O37:T37">
    <cfRule type="expression" dxfId="152" priority="4">
      <formula>O$10=O$4</formula>
    </cfRule>
  </conditionalFormatting>
  <conditionalFormatting sqref="O47:T47">
    <cfRule type="cellIs" dxfId="151" priority="3" operator="equal">
      <formula>0</formula>
    </cfRule>
  </conditionalFormatting>
  <conditionalFormatting sqref="O62:T66 O68:T68 O70:T70">
    <cfRule type="expression" dxfId="150" priority="2">
      <formula>O$60=O$4</formula>
    </cfRule>
  </conditionalFormatting>
  <conditionalFormatting sqref="O29:T29">
    <cfRule type="cellIs" dxfId="149" priority="1" operator="equal">
      <formula>0</formula>
    </cfRule>
  </conditionalFormatting>
  <conditionalFormatting sqref="O15:T15">
    <cfRule type="cellIs" dxfId="148" priority="8" operator="equal">
      <formula>0</formula>
    </cfRule>
  </conditionalFormatting>
  <conditionalFormatting sqref="O41:T45 O33:T33 O37:T37 O51:T54">
    <cfRule type="expression" dxfId="147" priority="6">
      <formula>O$34=O$4</formula>
    </cfRule>
  </conditionalFormatting>
  <conditionalFormatting sqref="O13:T13 O19:T27">
    <cfRule type="expression" dxfId="146" priority="5">
      <formula>O$10=O$4</formula>
    </cfRule>
  </conditionalFormatting>
  <dataValidations count="1">
    <dataValidation type="list" allowBlank="1" showInputMessage="1" showErrorMessage="1" sqref="J33:T33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F62:F69 F13 F29</xm:sqref>
        </x14:dataValidation>
        <x14:dataValidation type="list" allowBlank="1" showInputMessage="1" showErrorMessage="1">
          <x14:formula1>
            <xm:f>'Lookup|Tables'!$G$10:$G$12</xm:f>
          </x14:formula1>
          <xm:sqref>E13 E29</xm:sqref>
        </x14:dataValidation>
        <x14:dataValidation type="list" allowBlank="1" showInputMessage="1" showErrorMessage="1">
          <x14:formula1>
            <xm:f>'Lookup|Tables'!$H$41:$H$61</xm:f>
          </x14:formula1>
          <xm:sqref>F37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6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82</v>
      </c>
      <c r="T1" s="76" t="str">
        <f>IF(COUNTIF(W5:W109,"Check")=0,"Ok","Check")</f>
        <v>Ok</v>
      </c>
      <c r="V1" s="187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2"/>
      <c r="E3" s="182"/>
      <c r="F3" s="182"/>
      <c r="G3" s="182"/>
      <c r="H3" s="182"/>
      <c r="I3" s="182"/>
      <c r="J3" s="157" t="s">
        <v>122</v>
      </c>
      <c r="K3" s="221"/>
      <c r="L3" s="221"/>
      <c r="M3" s="221"/>
      <c r="N3" s="182"/>
      <c r="O3" s="221"/>
      <c r="P3" s="221"/>
      <c r="Q3" s="221"/>
      <c r="R3" s="221"/>
      <c r="S3" s="221"/>
      <c r="T3" s="221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DATE(PPFirstYear-1,MONTH('Input|General'!$G$9),1)</f>
        <v>42522</v>
      </c>
      <c r="K4" s="155">
        <f>DATE(PPFirstYear,MONTH('Input|General'!$G$9),1)</f>
        <v>42887</v>
      </c>
      <c r="L4" s="155">
        <f>DATE(PPFirstYear+1,MONTH('Input|General'!$G$9),1)</f>
        <v>43252</v>
      </c>
      <c r="M4" s="155">
        <f>DATE(PPFirstYear+2,MONTH('Input|General'!$G$9),1)</f>
        <v>43617</v>
      </c>
      <c r="N4" s="155">
        <f>DATE(PPFirstYear+3,MONTH('Input|General'!$G$9),1)</f>
        <v>43983</v>
      </c>
      <c r="O4" s="155">
        <f>DATE(PPFirstYear+4,MONTH('Input|General'!$G$9),1)</f>
        <v>44348</v>
      </c>
      <c r="P4" s="155">
        <f>DATE(PPFirstYear+5,MONTH('Input|General'!$G$9),1)</f>
        <v>44713</v>
      </c>
      <c r="Q4" s="155">
        <f>DATE(PPFirstYear+6,MONTH('Input|General'!$G$9),1)</f>
        <v>45078</v>
      </c>
      <c r="R4" s="155">
        <f>DATE(PPFirstYear+7,MONTH('Input|General'!$G$9),1)</f>
        <v>45444</v>
      </c>
      <c r="S4" s="155">
        <f>DATE(PPFirstYear+8,MONTH('Input|General'!$G$9),1)</f>
        <v>45809</v>
      </c>
      <c r="T4" s="155">
        <f>DATE(PPFirstYear+9,MONTH('Input|General'!$G$9),1)</f>
        <v>46174</v>
      </c>
      <c r="U4" s="87"/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8">
        <f t="shared" ref="J10:T10" si="0">IF(YEAR(J$4)&lt;=PPLastYear,J$4,"")</f>
        <v>42522</v>
      </c>
      <c r="K10" s="158">
        <f t="shared" si="0"/>
        <v>42887</v>
      </c>
      <c r="L10" s="158">
        <f t="shared" si="0"/>
        <v>43252</v>
      </c>
      <c r="M10" s="158">
        <f t="shared" si="0"/>
        <v>43617</v>
      </c>
      <c r="N10" s="158">
        <f t="shared" si="0"/>
        <v>43983</v>
      </c>
      <c r="O10" s="158">
        <f t="shared" si="0"/>
        <v>44348</v>
      </c>
      <c r="P10" s="158" t="str">
        <f t="shared" si="0"/>
        <v/>
      </c>
      <c r="Q10" s="158" t="str">
        <f t="shared" si="0"/>
        <v/>
      </c>
      <c r="R10" s="158" t="str">
        <f t="shared" si="0"/>
        <v/>
      </c>
      <c r="S10" s="158" t="str">
        <f t="shared" si="0"/>
        <v/>
      </c>
      <c r="T10" s="158" t="str">
        <f t="shared" si="0"/>
        <v/>
      </c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20"/>
      <c r="V11" s="120"/>
      <c r="W11" s="120"/>
    </row>
    <row r="12" spans="1:50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IF(J10=J4,LOOKUP(EOMONTH(J4,0),'Input|Inflation'!$C$9:$C$66,'Input|Inflation'!$G$9:$G$66),"")</f>
        <v>1.0232558139534831E-2</v>
      </c>
      <c r="K12" s="143">
        <f>IF(K10=K4,LOOKUP(EOMONTH(K4,0),'Input|Inflation'!$C$9:$C$66,'Input|Inflation'!$G$9:$G$66),"")</f>
        <v>1.9337016574585641E-2</v>
      </c>
      <c r="L12" s="143">
        <f>IF(L10=L4,LOOKUP(EOMONTH(L4,0),'Input|Inflation'!$C$9:$C$66,'Input|Inflation'!$G$9:$G$66),"")</f>
        <v>2.0776874435411097E-2</v>
      </c>
      <c r="M12" s="143">
        <f>IF(M10=M4,LOOKUP(EOMONTH(M4,0),'Input|Inflation'!$C$9:$C$66,'Input|Inflation'!$G$9:$G$66),"")</f>
        <v>1.5929203539823078E-2</v>
      </c>
      <c r="N12" s="143">
        <f>IF(N10=N4,LOOKUP(EOMONTH(N4,0),'Input|Inflation'!$C$9:$C$66,'Input|Inflation'!$G$9:$G$66),"")</f>
        <v>-3.4843205574912606E-3</v>
      </c>
      <c r="O12" s="143">
        <f>IF(O10=O4,LOOKUP(EOMONTH(O4,0),'Input|Inflation'!$C$9:$C$66,'Input|Inflation'!$G$9:$G$66),"")</f>
        <v>3.0000000000000027E-2</v>
      </c>
      <c r="P12" s="143" t="str">
        <f>IF(P10=P4,LOOKUP(EOMONTH(P4,0),'Input|Inflation'!$C$9:$C$66,'Input|Inflation'!$G$9:$G$66),"")</f>
        <v/>
      </c>
      <c r="Q12" s="143" t="str">
        <f>IF(Q10=Q4,LOOKUP(EOMONTH(Q4,0),'Input|Inflation'!$C$9:$C$66,'Input|Inflation'!$G$9:$G$66),"")</f>
        <v/>
      </c>
      <c r="R12" s="143" t="str">
        <f>IF(R10=R4,LOOKUP(EOMONTH(R4,0),'Input|Inflation'!$C$9:$C$66,'Input|Inflation'!$G$9:$G$66),"")</f>
        <v/>
      </c>
      <c r="S12" s="143" t="str">
        <f>IF(S10=S4,LOOKUP(EOMONTH(S4,0),'Input|Inflation'!$C$9:$C$66,'Input|Inflation'!$G$9:$G$66),"")</f>
        <v/>
      </c>
      <c r="T12" s="143" t="str">
        <f>IF(T10=T4,LOOKUP(EOMONTH(T4,0),'Input|Inflation'!$C$9:$C$66,'Input|Inflation'!$G$9:$G$66),"")</f>
        <v/>
      </c>
      <c r="U12" s="145"/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99</v>
      </c>
      <c r="I14" s="29"/>
      <c r="J14" s="158">
        <f t="shared" ref="J14:T14" si="1">IF(YEAR(J$4)&lt;=PPLastYear,J$4,"")</f>
        <v>42522</v>
      </c>
      <c r="K14" s="158">
        <f t="shared" si="1"/>
        <v>42887</v>
      </c>
      <c r="L14" s="158">
        <f t="shared" si="1"/>
        <v>43252</v>
      </c>
      <c r="M14" s="158">
        <f t="shared" si="1"/>
        <v>43617</v>
      </c>
      <c r="N14" s="158">
        <f t="shared" si="1"/>
        <v>43983</v>
      </c>
      <c r="O14" s="158">
        <f t="shared" si="1"/>
        <v>44348</v>
      </c>
      <c r="P14" s="158" t="str">
        <f t="shared" si="1"/>
        <v/>
      </c>
      <c r="Q14" s="158" t="str">
        <f t="shared" si="1"/>
        <v/>
      </c>
      <c r="R14" s="158" t="str">
        <f t="shared" si="1"/>
        <v/>
      </c>
      <c r="S14" s="158" t="str">
        <f t="shared" si="1"/>
        <v/>
      </c>
      <c r="T14" s="158" t="str">
        <f t="shared" si="1"/>
        <v/>
      </c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</row>
    <row r="16" spans="1:50" ht="11.25" customHeight="1" outlineLevel="1">
      <c r="C16" s="165">
        <f t="array" ref="C16:C22">TRANSPOSE(J10:P10)</f>
        <v>42522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N16" si="3">IF(AND($C16&gt;J$14,ISNONTEXT($C16)),K16/(1+K$12),IF(AND($C16=J$14,J$14=J$4),1,IF(AND($C16&lt;J$14,J$14=J$4),I16*(1+J$12),0)))</f>
        <v>1</v>
      </c>
      <c r="K16" s="22">
        <f t="shared" si="3"/>
        <v>1.0193370165745856</v>
      </c>
      <c r="L16" s="22">
        <f t="shared" si="3"/>
        <v>1.0405156537753224</v>
      </c>
      <c r="M16" s="22">
        <f t="shared" si="3"/>
        <v>1.0570902394106816</v>
      </c>
      <c r="N16" s="22">
        <f t="shared" si="3"/>
        <v>1.0534069981583796</v>
      </c>
      <c r="O16" s="22">
        <f t="shared" ref="O16:P16" si="4">IF(AND($C16&gt;O$14,ISNONTEXT($C16)),P16/(1+O$12),IF(AND($C16=O$14,O$14=O$4),1,IF(AND($C16&lt;O$14,O$14=O$4),N16*(1+O$12),0)))</f>
        <v>1.0850092081031311</v>
      </c>
      <c r="P16" s="22">
        <f t="shared" si="4"/>
        <v>0</v>
      </c>
      <c r="Q16" s="208"/>
      <c r="R16" s="208"/>
      <c r="S16" s="208"/>
      <c r="T16" s="208"/>
    </row>
    <row r="17" spans="3:22" ht="11.25" customHeight="1" outlineLevel="1">
      <c r="C17" s="165">
        <v>42887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N17" si="6">IF(AND($C17&gt;J$14,ISNONTEXT($C17)),K17/(1+K$12),IF(AND($C17=J$14,J$14=J$4),1,IF(AND($C17&lt;J$14,J$14=J$4),I17*(1+J$12),0)))</f>
        <v>0.98102981029810299</v>
      </c>
      <c r="K17" s="22">
        <f t="shared" si="6"/>
        <v>1</v>
      </c>
      <c r="L17" s="22">
        <f t="shared" si="6"/>
        <v>1.0207768744354111</v>
      </c>
      <c r="M17" s="22">
        <f t="shared" si="6"/>
        <v>1.0370370370370372</v>
      </c>
      <c r="N17" s="22">
        <f t="shared" si="6"/>
        <v>1.0334236675700093</v>
      </c>
      <c r="O17" s="22">
        <f t="shared" ref="O17:P17" si="7">IF(AND($C17&gt;O$14,ISNONTEXT($C17)),P17/(1+O$12),IF(AND($C17=O$14,O$14=O$4),1,IF(AND($C17&lt;O$14,O$14=O$4),N17*(1+O$12),0)))</f>
        <v>1.0644263775971095</v>
      </c>
      <c r="P17" s="22">
        <f t="shared" si="7"/>
        <v>0</v>
      </c>
      <c r="Q17" s="208"/>
      <c r="R17" s="208"/>
      <c r="S17" s="208"/>
      <c r="T17" s="208"/>
    </row>
    <row r="18" spans="3:22" ht="11.25" customHeight="1" outlineLevel="1">
      <c r="C18" s="165">
        <v>43252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N18" si="8">IF(AND($C18&gt;J$14,ISNONTEXT($C18)),K18/(1+K$12),IF(AND($C18=J$14,J$14=J$4),1,IF(AND($C18&lt;J$14,J$14=J$4),I18*(1+J$12),0)))</f>
        <v>0.96106194690265478</v>
      </c>
      <c r="K18" s="22">
        <f t="shared" si="8"/>
        <v>0.97964601769911497</v>
      </c>
      <c r="L18" s="22">
        <f t="shared" si="8"/>
        <v>1</v>
      </c>
      <c r="M18" s="22">
        <f t="shared" si="8"/>
        <v>1.0159292035398231</v>
      </c>
      <c r="N18" s="22">
        <f t="shared" si="8"/>
        <v>1.0123893805309736</v>
      </c>
      <c r="O18" s="22">
        <f t="shared" ref="O18:P18" si="9">IF(AND($C18&gt;O$14,ISNONTEXT($C18)),P18/(1+O$12),IF(AND($C18=O$14,O$14=O$4),1,IF(AND($C18&lt;O$14,O$14=O$4),N18*(1+O$12),0)))</f>
        <v>1.0427610619469028</v>
      </c>
      <c r="P18" s="22">
        <f t="shared" si="9"/>
        <v>0</v>
      </c>
      <c r="Q18" s="208"/>
      <c r="R18" s="208"/>
      <c r="S18" s="208"/>
      <c r="T18" s="208"/>
    </row>
    <row r="19" spans="3:22" ht="11.25" customHeight="1" outlineLevel="1">
      <c r="C19" s="165">
        <v>43617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N19" si="10">IF(AND($C19&gt;J$14,ISNONTEXT($C19)),K19/(1+K$12),IF(AND($C19=J$14,J$14=J$4),1,IF(AND($C19&lt;J$14,J$14=J$4),I19*(1+J$12),0)))</f>
        <v>0.94599303135888479</v>
      </c>
      <c r="K19" s="22">
        <f t="shared" si="10"/>
        <v>0.96428571428571408</v>
      </c>
      <c r="L19" s="22">
        <f t="shared" si="10"/>
        <v>0.98432055749128911</v>
      </c>
      <c r="M19" s="22">
        <f t="shared" si="10"/>
        <v>1</v>
      </c>
      <c r="N19" s="22">
        <f t="shared" si="10"/>
        <v>0.99651567944250874</v>
      </c>
      <c r="O19" s="22">
        <f t="shared" ref="O19:P19" si="11">IF(AND($C19&gt;O$14,ISNONTEXT($C19)),P19/(1+O$12),IF(AND($C19=O$14,O$14=O$4),1,IF(AND($C19&lt;O$14,O$14=O$4),N19*(1+O$12),0)))</f>
        <v>1.026411149825784</v>
      </c>
      <c r="P19" s="22">
        <f t="shared" si="11"/>
        <v>0</v>
      </c>
      <c r="Q19" s="208"/>
      <c r="R19" s="208"/>
      <c r="S19" s="208"/>
      <c r="T19" s="208"/>
    </row>
    <row r="20" spans="3:22" ht="11.25" customHeight="1" outlineLevel="1">
      <c r="C20" s="165">
        <v>43983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0.94930069930069916</v>
      </c>
      <c r="K20" s="22">
        <f t="shared" ref="K20:N20" si="12">IF(AND($C20&gt;K$14,ISNONTEXT($C20)),L20/(1+L$12),IF(AND($C20=K$14,K$14=K$4),1,IF(AND($C20&lt;K$14,K$14=K$4),J20*(1+K$12),0)))</f>
        <v>0.96765734265734249</v>
      </c>
      <c r="L20" s="22">
        <f t="shared" si="12"/>
        <v>0.9877622377622377</v>
      </c>
      <c r="M20" s="22">
        <f t="shared" si="12"/>
        <v>1.0034965034965035</v>
      </c>
      <c r="N20" s="22">
        <f t="shared" si="12"/>
        <v>1</v>
      </c>
      <c r="O20" s="22">
        <f t="shared" ref="O20:P20" si="13">IF(AND($C20&gt;O$14,ISNONTEXT($C20)),P20/(1+O$12),IF(AND($C20=O$14,O$14=O$4),1,IF(AND($C20&lt;O$14,O$14=O$4),N20*(1+O$12),0)))</f>
        <v>1.03</v>
      </c>
      <c r="P20" s="22">
        <f t="shared" si="13"/>
        <v>0</v>
      </c>
      <c r="Q20" s="208"/>
      <c r="R20" s="208"/>
      <c r="S20" s="208"/>
      <c r="T20" s="208"/>
    </row>
    <row r="21" spans="3:22" ht="11.25" customHeight="1" outlineLevel="1">
      <c r="C21" s="165">
        <v>44348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0.92165116436961081</v>
      </c>
      <c r="K21" s="22">
        <f t="shared" ref="K21:K22" si="14">IF(AND($C21&gt;K$14,ISNONTEXT($C21)),L21/(1+L$12),IF(AND($C21=K$14,K$14=K$4),1,IF(AND($C21&lt;K$14,K$14=K$4),J21*(1+K$12),0)))</f>
        <v>0.93947314821101213</v>
      </c>
      <c r="L21" s="22">
        <f t="shared" ref="L21:L22" si="15">IF(AND($C21&gt;L$14,ISNONTEXT($C21)),M21/(1+M$12),IF(AND($C21=L$14,L$14=L$4),1,IF(AND($C21&lt;L$14,L$14=L$4),K21*(1+L$12),0)))</f>
        <v>0.95899246384683268</v>
      </c>
      <c r="M21" s="22">
        <f t="shared" ref="M21:M22" si="16">IF(AND($C21&gt;M$14,ISNONTEXT($C21)),N21/(1+N$12),IF(AND($C21=M$14,M$14=M$4),1,IF(AND($C21&lt;M$14,M$14=M$4),L21*(1+M$12),0)))</f>
        <v>0.97426844999660533</v>
      </c>
      <c r="N21" s="22">
        <f t="shared" ref="N21:N22" si="17">IF(AND($C21&gt;N$14,ISNONTEXT($C21)),O21/(1+O$12),IF(AND($C21=N$14,N$14=N$4),1,IF(AND($C21&lt;N$14,N$14=N$4),M21*(1+N$12),0)))</f>
        <v>0.970873786407767</v>
      </c>
      <c r="O21" s="22">
        <f t="shared" ref="O21:P21" si="18">IF(AND($C21&gt;O$14,ISNONTEXT($C21)),P21/(1+O$12),IF(AND($C21=O$14,O$14=O$4),1,IF(AND($C21&lt;O$14,O$14=O$4),N21*(1+O$12),0)))</f>
        <v>1</v>
      </c>
      <c r="P21" s="22">
        <f t="shared" si="18"/>
        <v>0</v>
      </c>
      <c r="Q21" s="208"/>
      <c r="R21" s="208"/>
      <c r="S21" s="208"/>
      <c r="T21" s="208"/>
    </row>
    <row r="22" spans="3:22" ht="11.25" customHeight="1" outlineLevel="1">
      <c r="C22" s="165" t="str">
        <v/>
      </c>
      <c r="D22" s="144" t="str">
        <f>IF(ISNONTEXT($C22),"calculated","")</f>
        <v/>
      </c>
      <c r="E22" s="30" t="str">
        <f t="shared" si="5"/>
        <v/>
      </c>
      <c r="I22" s="22"/>
      <c r="J22" s="22">
        <f>IF(AND($C22&gt;J$14,ISNONTEXT($C22)),K22/(1+K$12),IF(AND($C22=J$14,J$14=J$4),1,IF(AND($C22&lt;J$14,J$14=J$4),I22*(1+J$12),0)))</f>
        <v>0</v>
      </c>
      <c r="K22" s="22">
        <f t="shared" si="14"/>
        <v>0</v>
      </c>
      <c r="L22" s="22">
        <f t="shared" si="15"/>
        <v>0</v>
      </c>
      <c r="M22" s="22">
        <f t="shared" si="16"/>
        <v>0</v>
      </c>
      <c r="N22" s="22">
        <f t="shared" si="17"/>
        <v>0</v>
      </c>
      <c r="O22" s="22">
        <f t="shared" ref="O22:P22" si="19">IF(AND($C22&gt;O$14,ISNONTEXT($C22)),P22/(1+P$12),IF(AND($C22=O$14,O$14=O$4),1,IF(AND($C22&lt;O$14,O$14=O$4),N22*(1+O$12),0)))</f>
        <v>0</v>
      </c>
      <c r="P22" s="22">
        <f t="shared" si="19"/>
        <v>0</v>
      </c>
      <c r="Q22" s="208"/>
      <c r="R22" s="208"/>
      <c r="S22" s="208"/>
      <c r="T22" s="208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</row>
    <row r="24" spans="3:22" ht="11.25" customHeight="1" outlineLevel="1">
      <c r="C24" s="67" t="s">
        <v>47</v>
      </c>
      <c r="J24" s="158">
        <f t="shared" ref="J24:T24" si="20">IF(YEAR(J$4)&lt;=PPLastYear,J$4,"")</f>
        <v>42522</v>
      </c>
      <c r="K24" s="158">
        <f t="shared" si="20"/>
        <v>42887</v>
      </c>
      <c r="L24" s="158">
        <f t="shared" si="20"/>
        <v>43252</v>
      </c>
      <c r="M24" s="158">
        <f t="shared" si="20"/>
        <v>43617</v>
      </c>
      <c r="N24" s="158">
        <f t="shared" si="20"/>
        <v>43983</v>
      </c>
      <c r="O24" s="158">
        <f t="shared" si="20"/>
        <v>44348</v>
      </c>
      <c r="P24" s="158" t="str">
        <f t="shared" si="20"/>
        <v/>
      </c>
      <c r="Q24" s="158" t="str">
        <f t="shared" si="20"/>
        <v/>
      </c>
      <c r="R24" s="158" t="str">
        <f t="shared" si="20"/>
        <v/>
      </c>
      <c r="S24" s="158" t="str">
        <f t="shared" si="20"/>
        <v/>
      </c>
      <c r="T24" s="158" t="str">
        <f t="shared" si="20"/>
        <v/>
      </c>
    </row>
    <row r="25" spans="3:22" ht="11.25" customHeight="1" outlineLevel="1">
      <c r="C25" s="111"/>
      <c r="J25" s="29"/>
      <c r="P25" s="142"/>
      <c r="Q25" s="22"/>
      <c r="R25" s="22"/>
      <c r="S25" s="22"/>
      <c r="T25" s="22"/>
    </row>
    <row r="26" spans="3:22" ht="11.25" customHeight="1" outlineLevel="1">
      <c r="C26" s="165">
        <f t="array" ref="C26:C32">TRANSPOSE(J10:P10)</f>
        <v>42522</v>
      </c>
      <c r="D26" s="144" t="str">
        <f t="shared" ref="D26:D32" si="21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1.0051032574514596</v>
      </c>
      <c r="K26" s="22">
        <f t="shared" ref="K26:T26" si="22">IF(AND(K$24=K$4,ISNONTEXT($C26)),1/K16*(1+K$12)^0.5,0)</f>
        <v>0.99046948983706851</v>
      </c>
      <c r="L26" s="22">
        <f t="shared" si="22"/>
        <v>0.97099455171212823</v>
      </c>
      <c r="M26" s="22">
        <f t="shared" si="22"/>
        <v>0.95349772127368704</v>
      </c>
      <c r="N26" s="22">
        <f t="shared" si="22"/>
        <v>0.94764542219259285</v>
      </c>
      <c r="O26" s="22">
        <f t="shared" si="22"/>
        <v>0.93537377280281653</v>
      </c>
      <c r="P26" s="22">
        <f t="shared" si="22"/>
        <v>0</v>
      </c>
      <c r="Q26" s="22">
        <f t="shared" si="22"/>
        <v>0</v>
      </c>
      <c r="R26" s="22">
        <f t="shared" si="22"/>
        <v>0</v>
      </c>
      <c r="S26" s="22">
        <f t="shared" si="22"/>
        <v>0</v>
      </c>
      <c r="T26" s="22">
        <f t="shared" si="22"/>
        <v>0</v>
      </c>
      <c r="U26" s="146"/>
      <c r="V26" s="146"/>
    </row>
    <row r="27" spans="3:22" ht="11.25" customHeight="1" outlineLevel="1">
      <c r="C27" s="165">
        <v>42887</v>
      </c>
      <c r="D27" s="144" t="str">
        <f t="shared" si="21"/>
        <v>calculated</v>
      </c>
      <c r="E27" s="30" t="str">
        <f t="shared" ref="E27:E32" si="23">IF(ISNONTEXT($C27),"index","")</f>
        <v>index</v>
      </c>
      <c r="I27" s="22"/>
      <c r="J27" s="22">
        <f t="shared" ref="J27:T27" si="24">IF(AND(J$24=J$4,ISNONTEXT($C27)),1/J17*(1+J$12)^0.5,0)</f>
        <v>1.0245389557999685</v>
      </c>
      <c r="K27" s="22">
        <f t="shared" si="24"/>
        <v>1.0096222147786693</v>
      </c>
      <c r="L27" s="22">
        <f t="shared" si="24"/>
        <v>0.98977068945241797</v>
      </c>
      <c r="M27" s="22">
        <f t="shared" si="24"/>
        <v>0.97193552251378601</v>
      </c>
      <c r="N27" s="22">
        <f t="shared" si="24"/>
        <v>0.96597005742836117</v>
      </c>
      <c r="O27" s="22">
        <f t="shared" si="24"/>
        <v>0.95346111095093733</v>
      </c>
      <c r="P27" s="22">
        <f t="shared" si="24"/>
        <v>0</v>
      </c>
      <c r="Q27" s="22">
        <f t="shared" si="24"/>
        <v>0</v>
      </c>
      <c r="R27" s="22">
        <f t="shared" si="24"/>
        <v>0</v>
      </c>
      <c r="S27" s="22">
        <f t="shared" si="24"/>
        <v>0</v>
      </c>
      <c r="T27" s="22">
        <f t="shared" si="24"/>
        <v>0</v>
      </c>
      <c r="U27" s="146"/>
      <c r="V27" s="146"/>
    </row>
    <row r="28" spans="3:22" ht="11.25" customHeight="1" outlineLevel="1">
      <c r="C28" s="165">
        <v>43252</v>
      </c>
      <c r="D28" s="144" t="str">
        <f t="shared" si="21"/>
        <v>calculated</v>
      </c>
      <c r="E28" s="30" t="str">
        <f t="shared" si="23"/>
        <v>index</v>
      </c>
      <c r="I28" s="22"/>
      <c r="J28" s="22">
        <f t="shared" ref="J28:T28" si="25">IF(AND(J$24=J$4,ISNONTEXT($C28)),1/J18*(1+J$12)^0.5,0)</f>
        <v>1.0458256730388116</v>
      </c>
      <c r="K28" s="22">
        <f t="shared" si="25"/>
        <v>1.0305990087623274</v>
      </c>
      <c r="L28" s="22">
        <f t="shared" si="25"/>
        <v>1.0103350307870211</v>
      </c>
      <c r="M28" s="22">
        <f t="shared" si="25"/>
        <v>0.99212930482437067</v>
      </c>
      <c r="N28" s="22">
        <f t="shared" si="25"/>
        <v>0.98603989601991704</v>
      </c>
      <c r="O28" s="22">
        <f t="shared" si="25"/>
        <v>0.97327105273221259</v>
      </c>
      <c r="P28" s="22">
        <f t="shared" si="25"/>
        <v>0</v>
      </c>
      <c r="Q28" s="22">
        <f t="shared" si="25"/>
        <v>0</v>
      </c>
      <c r="R28" s="22">
        <f t="shared" si="25"/>
        <v>0</v>
      </c>
      <c r="S28" s="22">
        <f t="shared" si="25"/>
        <v>0</v>
      </c>
      <c r="T28" s="22">
        <f t="shared" si="25"/>
        <v>0</v>
      </c>
      <c r="U28" s="146"/>
      <c r="V28" s="146"/>
    </row>
    <row r="29" spans="3:22" ht="11.25" customHeight="1" outlineLevel="1">
      <c r="C29" s="165">
        <v>43617</v>
      </c>
      <c r="D29" s="144" t="str">
        <f t="shared" si="21"/>
        <v>calculated</v>
      </c>
      <c r="E29" s="30" t="str">
        <f t="shared" si="23"/>
        <v>index</v>
      </c>
      <c r="I29" s="22"/>
      <c r="J29" s="22">
        <f t="shared" ref="J29:T29" si="26">IF(AND(J$24=J$4,ISNONTEXT($C29)),1/J19*(1+J$12)^0.5,0)</f>
        <v>1.0624848430518192</v>
      </c>
      <c r="K29" s="22">
        <f t="shared" si="26"/>
        <v>1.0470156301408424</v>
      </c>
      <c r="L29" s="22">
        <f t="shared" si="26"/>
        <v>1.0264288631358409</v>
      </c>
      <c r="M29" s="22">
        <f t="shared" si="26"/>
        <v>1.0079331344587412</v>
      </c>
      <c r="N29" s="22">
        <f t="shared" si="26"/>
        <v>1.0017467262220046</v>
      </c>
      <c r="O29" s="22">
        <f t="shared" si="26"/>
        <v>0.98877448543060187</v>
      </c>
      <c r="P29" s="22">
        <f t="shared" si="26"/>
        <v>0</v>
      </c>
      <c r="Q29" s="22">
        <f t="shared" si="26"/>
        <v>0</v>
      </c>
      <c r="R29" s="22">
        <f t="shared" si="26"/>
        <v>0</v>
      </c>
      <c r="S29" s="22">
        <f t="shared" si="26"/>
        <v>0</v>
      </c>
      <c r="T29" s="22">
        <f t="shared" si="26"/>
        <v>0</v>
      </c>
      <c r="U29" s="146"/>
      <c r="V29" s="146"/>
    </row>
    <row r="30" spans="3:22" ht="11.25" customHeight="1" outlineLevel="1">
      <c r="C30" s="165">
        <v>43983</v>
      </c>
      <c r="D30" s="144" t="str">
        <f t="shared" si="21"/>
        <v>calculated</v>
      </c>
      <c r="E30" s="30" t="str">
        <f t="shared" si="23"/>
        <v>index</v>
      </c>
      <c r="I30" s="22"/>
      <c r="J30" s="22">
        <f t="shared" ref="J30:T30" si="27">IF(AND(J$24=J$4,ISNONTEXT($C30)),1/J20*(1+J$12)^0.5,0)</f>
        <v>1.058782805271151</v>
      </c>
      <c r="K30" s="22">
        <f t="shared" si="27"/>
        <v>1.043367492056728</v>
      </c>
      <c r="L30" s="22">
        <f t="shared" si="27"/>
        <v>1.0228524559472145</v>
      </c>
      <c r="M30" s="22">
        <f t="shared" si="27"/>
        <v>1.0044211723177698</v>
      </c>
      <c r="N30" s="22">
        <f t="shared" si="27"/>
        <v>0.99825631951042948</v>
      </c>
      <c r="O30" s="22">
        <f t="shared" si="27"/>
        <v>0.98532927816429317</v>
      </c>
      <c r="P30" s="22">
        <f t="shared" si="27"/>
        <v>0</v>
      </c>
      <c r="Q30" s="22">
        <f t="shared" si="27"/>
        <v>0</v>
      </c>
      <c r="R30" s="22">
        <f t="shared" si="27"/>
        <v>0</v>
      </c>
      <c r="S30" s="22">
        <f t="shared" si="27"/>
        <v>0</v>
      </c>
      <c r="T30" s="22">
        <f t="shared" si="27"/>
        <v>0</v>
      </c>
      <c r="U30" s="146"/>
      <c r="V30" s="146"/>
    </row>
    <row r="31" spans="3:22" ht="11.25" customHeight="1" outlineLevel="1">
      <c r="C31" s="165">
        <v>44348</v>
      </c>
      <c r="D31" s="144" t="str">
        <f t="shared" si="21"/>
        <v>calculated</v>
      </c>
      <c r="E31" s="30" t="str">
        <f t="shared" si="23"/>
        <v>index</v>
      </c>
      <c r="I31" s="22"/>
      <c r="J31" s="22">
        <f t="shared" ref="J31:T32" si="28">IF(AND(J$24=J$4,ISNONTEXT($C31)),1/J21*(1+J$12)^0.5,0)</f>
        <v>1.0905462894292854</v>
      </c>
      <c r="K31" s="22">
        <f t="shared" si="28"/>
        <v>1.0746685168184298</v>
      </c>
      <c r="L31" s="22">
        <f t="shared" si="28"/>
        <v>1.0535380296256309</v>
      </c>
      <c r="M31" s="22">
        <f t="shared" si="28"/>
        <v>1.0345538074873031</v>
      </c>
      <c r="N31" s="22">
        <f t="shared" si="28"/>
        <v>1.0282040090957425</v>
      </c>
      <c r="O31" s="22">
        <f t="shared" si="28"/>
        <v>1.014889156509222</v>
      </c>
      <c r="P31" s="22">
        <f t="shared" si="28"/>
        <v>0</v>
      </c>
      <c r="Q31" s="22">
        <f t="shared" si="28"/>
        <v>0</v>
      </c>
      <c r="R31" s="22">
        <f t="shared" si="28"/>
        <v>0</v>
      </c>
      <c r="S31" s="22">
        <f t="shared" si="28"/>
        <v>0</v>
      </c>
      <c r="T31" s="22">
        <f t="shared" si="28"/>
        <v>0</v>
      </c>
      <c r="U31" s="146"/>
      <c r="V31" s="146"/>
    </row>
    <row r="32" spans="3:22" ht="11.25" customHeight="1" outlineLevel="1">
      <c r="C32" s="165" t="str">
        <v/>
      </c>
      <c r="D32" s="144" t="str">
        <f t="shared" si="21"/>
        <v/>
      </c>
      <c r="E32" s="30" t="str">
        <f t="shared" si="23"/>
        <v/>
      </c>
      <c r="I32" s="22"/>
      <c r="J32" s="22">
        <f t="shared" si="28"/>
        <v>0</v>
      </c>
      <c r="K32" s="22">
        <f t="shared" si="28"/>
        <v>0</v>
      </c>
      <c r="L32" s="22">
        <f t="shared" si="28"/>
        <v>0</v>
      </c>
      <c r="M32" s="22">
        <f t="shared" si="28"/>
        <v>0</v>
      </c>
      <c r="N32" s="22">
        <f t="shared" si="28"/>
        <v>0</v>
      </c>
      <c r="O32" s="22">
        <f t="shared" si="28"/>
        <v>0</v>
      </c>
      <c r="P32" s="22">
        <f t="shared" si="28"/>
        <v>0</v>
      </c>
      <c r="Q32" s="22">
        <f t="shared" si="28"/>
        <v>0</v>
      </c>
      <c r="R32" s="22">
        <f t="shared" si="28"/>
        <v>0</v>
      </c>
      <c r="S32" s="22">
        <f t="shared" si="28"/>
        <v>0</v>
      </c>
      <c r="T32" s="22">
        <f t="shared" si="28"/>
        <v>0</v>
      </c>
      <c r="U32" s="146"/>
      <c r="V32" s="146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</row>
    <row r="34" spans="1:50" s="103" customFormat="1" ht="12.75">
      <c r="A34" s="94"/>
      <c r="B34" s="95" t="s">
        <v>77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80</v>
      </c>
      <c r="D36" s="32" t="s">
        <v>7</v>
      </c>
      <c r="E36" s="32" t="s">
        <v>8</v>
      </c>
      <c r="J36" s="162" t="str">
        <f t="shared" ref="J36:T36" si="29">IF(YEAR(J$4)&gt;=FPFirstYear,IF(YEAR(J$4)&lt;=FPLastYear,J$4,""),"")</f>
        <v/>
      </c>
      <c r="K36" s="162" t="str">
        <f t="shared" si="29"/>
        <v/>
      </c>
      <c r="L36" s="162" t="str">
        <f t="shared" si="29"/>
        <v/>
      </c>
      <c r="M36" s="162" t="str">
        <f t="shared" si="29"/>
        <v/>
      </c>
      <c r="N36" s="162" t="str">
        <f t="shared" si="29"/>
        <v/>
      </c>
      <c r="O36" s="162" t="str">
        <f t="shared" si="29"/>
        <v/>
      </c>
      <c r="P36" s="162">
        <f t="shared" si="29"/>
        <v>44713</v>
      </c>
      <c r="Q36" s="162">
        <f t="shared" si="29"/>
        <v>45078</v>
      </c>
      <c r="R36" s="162">
        <f t="shared" si="29"/>
        <v>45444</v>
      </c>
      <c r="S36" s="162">
        <f t="shared" si="29"/>
        <v>45809</v>
      </c>
      <c r="T36" s="162">
        <f t="shared" si="29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121</v>
      </c>
      <c r="D38" s="30" t="s">
        <v>101</v>
      </c>
      <c r="E38" s="30" t="str">
        <f t="shared" ref="E38:E45" si="30">percent</f>
        <v>Per cent</v>
      </c>
      <c r="J38" s="204"/>
      <c r="K38" s="152"/>
      <c r="L38" s="152"/>
      <c r="M38" s="152"/>
      <c r="N38" s="152"/>
      <c r="O38" s="152"/>
      <c r="P38" s="209">
        <v>2.5760808031112204E-3</v>
      </c>
      <c r="Q38" s="209">
        <v>-3.6916310022004949E-3</v>
      </c>
      <c r="R38" s="209">
        <v>5.9454400529341915E-5</v>
      </c>
      <c r="S38" s="209">
        <v>4.6439215595103179E-3</v>
      </c>
      <c r="T38" s="209">
        <v>9.4588000349918842E-3</v>
      </c>
      <c r="U38" s="65"/>
    </row>
    <row r="39" spans="1:50" ht="11.25" customHeight="1" outlineLevel="1">
      <c r="C39" s="61"/>
      <c r="D39" s="30" t="s">
        <v>101</v>
      </c>
      <c r="E39" s="30" t="str">
        <f t="shared" si="30"/>
        <v>Per cent</v>
      </c>
      <c r="J39" s="204"/>
      <c r="K39" s="152"/>
      <c r="L39" s="152"/>
      <c r="M39" s="152"/>
      <c r="N39" s="152"/>
      <c r="O39" s="152"/>
      <c r="P39" s="152"/>
      <c r="Q39" s="167"/>
      <c r="R39" s="167"/>
      <c r="S39" s="167"/>
      <c r="T39" s="167"/>
    </row>
    <row r="40" spans="1:50" ht="11.25" customHeight="1" outlineLevel="1">
      <c r="C40" s="61"/>
      <c r="D40" s="30" t="s">
        <v>101</v>
      </c>
      <c r="E40" s="30" t="str">
        <f t="shared" si="30"/>
        <v>Per cent</v>
      </c>
      <c r="J40" s="204"/>
      <c r="K40" s="152"/>
      <c r="L40" s="152"/>
      <c r="M40" s="152"/>
      <c r="N40" s="152"/>
      <c r="O40" s="152"/>
      <c r="P40" s="152"/>
      <c r="Q40" s="60"/>
      <c r="R40" s="60"/>
      <c r="S40" s="60"/>
      <c r="T40" s="60"/>
    </row>
    <row r="41" spans="1:50" ht="11.25" customHeight="1" outlineLevel="1">
      <c r="C41" s="61"/>
      <c r="D41" s="30" t="s">
        <v>101</v>
      </c>
      <c r="E41" s="30" t="str">
        <f t="shared" si="30"/>
        <v>Per cent</v>
      </c>
      <c r="J41" s="204"/>
      <c r="K41" s="152"/>
      <c r="L41" s="152"/>
      <c r="M41" s="152"/>
      <c r="N41" s="152"/>
      <c r="O41" s="152"/>
      <c r="P41" s="152"/>
      <c r="Q41" s="60"/>
      <c r="R41" s="60"/>
      <c r="S41" s="60"/>
      <c r="T41" s="209"/>
      <c r="U41" s="147"/>
    </row>
    <row r="42" spans="1:50" ht="11.25" customHeight="1" outlineLevel="1">
      <c r="C42" s="61"/>
      <c r="D42" s="30" t="s">
        <v>101</v>
      </c>
      <c r="E42" s="30" t="str">
        <f t="shared" si="30"/>
        <v>Per cent</v>
      </c>
      <c r="J42" s="204"/>
      <c r="K42" s="152"/>
      <c r="L42" s="152"/>
      <c r="M42" s="152"/>
      <c r="N42" s="152"/>
      <c r="O42" s="152"/>
      <c r="P42" s="152"/>
      <c r="Q42" s="60"/>
      <c r="R42" s="60"/>
      <c r="S42" s="60"/>
      <c r="T42" s="209"/>
    </row>
    <row r="43" spans="1:50" ht="11.25" customHeight="1" outlineLevel="1">
      <c r="C43" s="61"/>
      <c r="D43" s="30" t="s">
        <v>101</v>
      </c>
      <c r="E43" s="30" t="str">
        <f t="shared" si="30"/>
        <v>Per cent</v>
      </c>
      <c r="J43" s="204"/>
      <c r="K43" s="152"/>
      <c r="L43" s="152"/>
      <c r="M43" s="152"/>
      <c r="N43" s="152"/>
      <c r="O43" s="152"/>
      <c r="P43" s="152"/>
      <c r="Q43" s="60"/>
      <c r="R43" s="60"/>
      <c r="S43" s="60"/>
      <c r="T43" s="209"/>
    </row>
    <row r="44" spans="1:50" ht="11.25" customHeight="1" outlineLevel="1">
      <c r="C44" s="61"/>
      <c r="D44" s="30" t="s">
        <v>101</v>
      </c>
      <c r="E44" s="30" t="str">
        <f t="shared" si="30"/>
        <v>Per cent</v>
      </c>
      <c r="J44" s="204"/>
      <c r="K44" s="152"/>
      <c r="L44" s="152"/>
      <c r="M44" s="152"/>
      <c r="N44" s="152"/>
      <c r="O44" s="152"/>
      <c r="P44" s="60"/>
      <c r="Q44" s="60"/>
      <c r="R44" s="60"/>
      <c r="S44" s="60"/>
      <c r="T44" s="209"/>
    </row>
    <row r="45" spans="1:50" ht="11.25" customHeight="1" outlineLevel="1">
      <c r="C45" s="61" t="s">
        <v>81</v>
      </c>
      <c r="D45" s="30" t="s">
        <v>101</v>
      </c>
      <c r="E45" s="30" t="str">
        <f t="shared" si="30"/>
        <v>Per cent</v>
      </c>
      <c r="J45" s="204"/>
      <c r="K45" s="152"/>
      <c r="L45" s="152"/>
      <c r="M45" s="152"/>
      <c r="N45" s="152"/>
      <c r="O45" s="152"/>
      <c r="P45" s="60">
        <v>0</v>
      </c>
      <c r="Q45" s="60">
        <v>0</v>
      </c>
      <c r="R45" s="60">
        <v>0</v>
      </c>
      <c r="S45" s="60">
        <v>0</v>
      </c>
      <c r="T45" s="209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98</v>
      </c>
      <c r="E47" s="30" t="s">
        <v>28</v>
      </c>
      <c r="F47" s="30" t="s">
        <v>36</v>
      </c>
      <c r="J47" s="132" t="str">
        <f t="shared" ref="J47:S47" si="31">IF(J36=J4,IF(COUNTA($C38:$C45)=COUNT(J38:J45),"Ok","Check"),"")</f>
        <v/>
      </c>
      <c r="K47" s="132" t="str">
        <f t="shared" si="31"/>
        <v/>
      </c>
      <c r="L47" s="132" t="str">
        <f t="shared" si="31"/>
        <v/>
      </c>
      <c r="M47" s="132" t="str">
        <f t="shared" si="31"/>
        <v/>
      </c>
      <c r="N47" s="132" t="str">
        <f t="shared" si="31"/>
        <v/>
      </c>
      <c r="O47" s="132" t="str">
        <f t="shared" si="31"/>
        <v/>
      </c>
      <c r="P47" s="132" t="str">
        <f t="shared" si="31"/>
        <v>Ok</v>
      </c>
      <c r="Q47" s="132" t="str">
        <f t="shared" si="31"/>
        <v>Ok</v>
      </c>
      <c r="R47" s="132" t="str">
        <f t="shared" si="31"/>
        <v>Ok</v>
      </c>
      <c r="S47" s="132" t="str">
        <f t="shared" si="31"/>
        <v>Ok</v>
      </c>
      <c r="T47" s="132" t="str">
        <f>IF(T36=T4,IF(COUNTA($C38:$C45)=COUNT(T38:T45),"Ok","Check"),"")</f>
        <v>Ok</v>
      </c>
      <c r="U47" s="24"/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2" t="str">
        <f t="shared" ref="J49:T49" si="32">IF(YEAR(J$4)&gt;=FPFirstYear,IF(YEAR(J$4)&lt;=FPLastYear,J$4,""),"")</f>
        <v/>
      </c>
      <c r="K49" s="162" t="str">
        <f t="shared" si="32"/>
        <v/>
      </c>
      <c r="L49" s="162" t="str">
        <f t="shared" si="32"/>
        <v/>
      </c>
      <c r="M49" s="162" t="str">
        <f t="shared" si="32"/>
        <v/>
      </c>
      <c r="N49" s="162" t="str">
        <f t="shared" si="32"/>
        <v/>
      </c>
      <c r="O49" s="162" t="str">
        <f t="shared" si="32"/>
        <v/>
      </c>
      <c r="P49" s="162">
        <f t="shared" si="32"/>
        <v>44713</v>
      </c>
      <c r="Q49" s="162">
        <f t="shared" si="32"/>
        <v>45078</v>
      </c>
      <c r="R49" s="162">
        <f t="shared" si="32"/>
        <v>45444</v>
      </c>
      <c r="S49" s="162">
        <f t="shared" si="32"/>
        <v>45809</v>
      </c>
      <c r="T49" s="162">
        <f t="shared" si="32"/>
        <v>46174</v>
      </c>
    </row>
    <row r="50" spans="1:50" ht="11.25" customHeight="1" outlineLevel="1"/>
    <row r="51" spans="1:50" ht="11.25" customHeight="1" outlineLevel="1">
      <c r="C51" s="148" t="str">
        <f t="shared" ref="C51:C58" si="33">C38</f>
        <v>WPI - DAE</v>
      </c>
      <c r="D51" s="30" t="s">
        <v>101</v>
      </c>
      <c r="E51" s="30" t="str">
        <f t="shared" ref="E51:E58" si="34">percent</f>
        <v>Per cent</v>
      </c>
      <c r="J51" s="204"/>
      <c r="K51" s="152"/>
      <c r="L51" s="152"/>
      <c r="M51" s="152"/>
      <c r="N51" s="152"/>
      <c r="O51" s="152"/>
      <c r="P51" s="60">
        <v>0.66100000000000003</v>
      </c>
      <c r="Q51" s="60">
        <v>0.66100000000000003</v>
      </c>
      <c r="R51" s="60">
        <v>0.66100000000000003</v>
      </c>
      <c r="S51" s="60">
        <v>0.66100000000000003</v>
      </c>
      <c r="T51" s="60">
        <v>0.66100000000000003</v>
      </c>
    </row>
    <row r="52" spans="1:50" ht="11.25" customHeight="1" outlineLevel="1">
      <c r="C52" s="148">
        <f t="shared" si="33"/>
        <v>0</v>
      </c>
      <c r="D52" s="30" t="s">
        <v>101</v>
      </c>
      <c r="E52" s="30" t="str">
        <f t="shared" si="34"/>
        <v>Per cent</v>
      </c>
      <c r="J52" s="204"/>
      <c r="K52" s="152"/>
      <c r="L52" s="152"/>
      <c r="M52" s="152"/>
      <c r="N52" s="152"/>
      <c r="O52" s="152"/>
      <c r="P52" s="152"/>
      <c r="Q52" s="60"/>
      <c r="R52" s="60"/>
      <c r="S52" s="60"/>
      <c r="T52" s="60"/>
    </row>
    <row r="53" spans="1:50" ht="11.25" customHeight="1" outlineLevel="1">
      <c r="C53" s="148">
        <f t="shared" si="33"/>
        <v>0</v>
      </c>
      <c r="D53" s="30" t="s">
        <v>101</v>
      </c>
      <c r="E53" s="30" t="str">
        <f t="shared" si="34"/>
        <v>Per cent</v>
      </c>
      <c r="J53" s="204"/>
      <c r="K53" s="152"/>
      <c r="L53" s="152"/>
      <c r="M53" s="152"/>
      <c r="N53" s="152"/>
      <c r="O53" s="152"/>
      <c r="P53" s="60"/>
      <c r="Q53" s="60"/>
      <c r="R53" s="60"/>
      <c r="S53" s="60"/>
      <c r="T53" s="60"/>
    </row>
    <row r="54" spans="1:50" ht="11.25" customHeight="1" outlineLevel="1">
      <c r="C54" s="148">
        <f t="shared" si="33"/>
        <v>0</v>
      </c>
      <c r="D54" s="30" t="s">
        <v>101</v>
      </c>
      <c r="E54" s="30" t="str">
        <f t="shared" si="34"/>
        <v>Per cent</v>
      </c>
      <c r="J54" s="204"/>
      <c r="K54" s="152"/>
      <c r="L54" s="152"/>
      <c r="M54" s="152"/>
      <c r="N54" s="152"/>
      <c r="O54" s="152"/>
      <c r="P54" s="152"/>
      <c r="Q54" s="60"/>
      <c r="R54" s="60"/>
      <c r="S54" s="60"/>
      <c r="T54" s="60"/>
      <c r="U54" s="147"/>
    </row>
    <row r="55" spans="1:50" ht="11.25" customHeight="1" outlineLevel="1">
      <c r="C55" s="148">
        <f t="shared" si="33"/>
        <v>0</v>
      </c>
      <c r="D55" s="30" t="s">
        <v>101</v>
      </c>
      <c r="E55" s="30" t="str">
        <f t="shared" si="34"/>
        <v>Per cent</v>
      </c>
      <c r="J55" s="204"/>
      <c r="K55" s="152"/>
      <c r="L55" s="152"/>
      <c r="M55" s="152"/>
      <c r="N55" s="152"/>
      <c r="O55" s="152"/>
      <c r="P55" s="152"/>
      <c r="Q55" s="60"/>
      <c r="R55" s="60"/>
      <c r="S55" s="60"/>
      <c r="T55" s="60"/>
    </row>
    <row r="56" spans="1:50" ht="11.25" customHeight="1" outlineLevel="1">
      <c r="C56" s="148">
        <f t="shared" si="33"/>
        <v>0</v>
      </c>
      <c r="D56" s="30" t="s">
        <v>101</v>
      </c>
      <c r="E56" s="30" t="str">
        <f t="shared" si="34"/>
        <v>Per cent</v>
      </c>
      <c r="J56" s="204"/>
      <c r="K56" s="152"/>
      <c r="L56" s="152"/>
      <c r="M56" s="152"/>
      <c r="N56" s="152"/>
      <c r="O56" s="152"/>
      <c r="P56" s="152"/>
      <c r="Q56" s="60"/>
      <c r="R56" s="60"/>
      <c r="S56" s="60"/>
      <c r="T56" s="60"/>
    </row>
    <row r="57" spans="1:50" ht="11.25" customHeight="1" outlineLevel="1">
      <c r="C57" s="148">
        <f t="shared" si="33"/>
        <v>0</v>
      </c>
      <c r="D57" s="30" t="s">
        <v>101</v>
      </c>
      <c r="E57" s="30" t="str">
        <f t="shared" si="34"/>
        <v>Per cent</v>
      </c>
      <c r="J57" s="204"/>
      <c r="K57" s="152"/>
      <c r="L57" s="152"/>
      <c r="M57" s="152"/>
      <c r="N57" s="152"/>
      <c r="O57" s="152"/>
      <c r="P57" s="152"/>
      <c r="Q57" s="60"/>
      <c r="R57" s="60"/>
      <c r="S57" s="60"/>
      <c r="T57" s="60"/>
    </row>
    <row r="58" spans="1:50" ht="11.25" customHeight="1" outlineLevel="1">
      <c r="C58" s="148" t="str">
        <f t="shared" si="33"/>
        <v>CPI</v>
      </c>
      <c r="D58" s="30" t="s">
        <v>101</v>
      </c>
      <c r="E58" s="30" t="str">
        <f t="shared" si="34"/>
        <v>Per cent</v>
      </c>
      <c r="J58" s="204"/>
      <c r="K58" s="152"/>
      <c r="L58" s="152"/>
      <c r="M58" s="152"/>
      <c r="N58" s="152"/>
      <c r="O58" s="152"/>
      <c r="P58" s="60">
        <f>1-P51</f>
        <v>0.33899999999999997</v>
      </c>
      <c r="Q58" s="60">
        <f t="shared" ref="Q58:T58" si="35">1-Q51</f>
        <v>0.33899999999999997</v>
      </c>
      <c r="R58" s="60">
        <f t="shared" si="35"/>
        <v>0.33899999999999997</v>
      </c>
      <c r="S58" s="60">
        <f t="shared" si="35"/>
        <v>0.33899999999999997</v>
      </c>
      <c r="T58" s="60">
        <f t="shared" si="35"/>
        <v>0.33899999999999997</v>
      </c>
    </row>
    <row r="59" spans="1:50" ht="11.25" customHeight="1" outlineLevel="1"/>
    <row r="60" spans="1:50" outlineLevel="1">
      <c r="C60" s="29" t="s">
        <v>40</v>
      </c>
      <c r="D60" s="30" t="s">
        <v>98</v>
      </c>
      <c r="E60" s="30" t="s">
        <v>28</v>
      </c>
      <c r="F60" s="30" t="s">
        <v>36</v>
      </c>
      <c r="J60" s="132" t="str">
        <f t="shared" ref="J60:S60" si="36">IF(J49=J$4,IF(SUM(J51:J58)=1,"Ok","Check"),"")</f>
        <v/>
      </c>
      <c r="K60" s="132" t="str">
        <f t="shared" si="36"/>
        <v/>
      </c>
      <c r="L60" s="132" t="str">
        <f t="shared" si="36"/>
        <v/>
      </c>
      <c r="M60" s="132" t="str">
        <f t="shared" si="36"/>
        <v/>
      </c>
      <c r="N60" s="132" t="str">
        <f t="shared" si="36"/>
        <v/>
      </c>
      <c r="O60" s="132" t="str">
        <f t="shared" si="36"/>
        <v/>
      </c>
      <c r="P60" s="132" t="str">
        <f t="shared" si="36"/>
        <v>Ok</v>
      </c>
      <c r="Q60" s="132" t="str">
        <f t="shared" si="36"/>
        <v>Ok</v>
      </c>
      <c r="R60" s="132" t="str">
        <f t="shared" si="36"/>
        <v>Ok</v>
      </c>
      <c r="S60" s="132" t="str">
        <f t="shared" si="36"/>
        <v>Ok</v>
      </c>
      <c r="T60" s="132" t="str">
        <f>IF(T49=T$4,IF(SUM(T51:T58)=1,"Ok","Check"),"")</f>
        <v>Ok</v>
      </c>
      <c r="U60" s="24"/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84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85</v>
      </c>
      <c r="D64" s="32" t="s">
        <v>7</v>
      </c>
      <c r="E64" s="32" t="s">
        <v>8</v>
      </c>
      <c r="F64" s="32" t="s">
        <v>22</v>
      </c>
      <c r="G64" s="32"/>
      <c r="H64" s="32"/>
      <c r="J64" s="162" t="str">
        <f t="shared" ref="J64:T64" si="37">IF(YEAR(J$4)&gt;=PPLastYear,IF(YEAR(J$4)&lt;=FPLastYear,J$4,""),"")</f>
        <v/>
      </c>
      <c r="K64" s="162" t="str">
        <f t="shared" si="37"/>
        <v/>
      </c>
      <c r="L64" s="162" t="str">
        <f t="shared" si="37"/>
        <v/>
      </c>
      <c r="M64" s="162" t="str">
        <f t="shared" si="37"/>
        <v/>
      </c>
      <c r="N64" s="162" t="str">
        <f t="shared" si="37"/>
        <v/>
      </c>
      <c r="O64" s="162">
        <f t="shared" si="37"/>
        <v>44348</v>
      </c>
      <c r="P64" s="162">
        <f t="shared" si="37"/>
        <v>44713</v>
      </c>
      <c r="Q64" s="162">
        <f t="shared" si="37"/>
        <v>45078</v>
      </c>
      <c r="R64" s="162">
        <f t="shared" si="37"/>
        <v>45444</v>
      </c>
      <c r="S64" s="162">
        <f t="shared" si="37"/>
        <v>45809</v>
      </c>
      <c r="T64" s="162">
        <f t="shared" si="37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190</v>
      </c>
      <c r="D66" s="30" t="s">
        <v>101</v>
      </c>
      <c r="E66" s="30" t="s">
        <v>18</v>
      </c>
      <c r="F66" s="30" t="s">
        <v>36</v>
      </c>
      <c r="G66" s="32"/>
      <c r="H66" s="32"/>
      <c r="J66" s="204"/>
      <c r="K66" s="195"/>
      <c r="L66" s="195"/>
      <c r="M66" s="195"/>
      <c r="N66" s="195"/>
      <c r="O66" s="196">
        <v>1</v>
      </c>
      <c r="P66" s="196">
        <v>1</v>
      </c>
      <c r="Q66" s="196">
        <v>1</v>
      </c>
      <c r="R66" s="196">
        <v>1</v>
      </c>
      <c r="S66" s="196">
        <v>1</v>
      </c>
      <c r="T66" s="196">
        <v>1</v>
      </c>
    </row>
    <row r="67" spans="3:23" outlineLevel="1">
      <c r="C67" s="61"/>
      <c r="D67" s="30" t="s">
        <v>101</v>
      </c>
      <c r="E67" s="30" t="s">
        <v>18</v>
      </c>
      <c r="F67" s="30" t="s">
        <v>36</v>
      </c>
      <c r="G67" s="32"/>
      <c r="H67" s="32"/>
      <c r="J67" s="204"/>
      <c r="K67" s="195"/>
      <c r="L67" s="195"/>
      <c r="M67" s="195"/>
      <c r="N67" s="195"/>
      <c r="O67" s="196"/>
      <c r="P67" s="196"/>
      <c r="Q67" s="196"/>
      <c r="R67" s="196"/>
      <c r="S67" s="196"/>
      <c r="T67" s="196"/>
    </row>
    <row r="68" spans="3:23" outlineLevel="1">
      <c r="C68" s="61"/>
      <c r="D68" s="30" t="s">
        <v>101</v>
      </c>
      <c r="E68" s="30" t="s">
        <v>18</v>
      </c>
      <c r="F68" s="30" t="s">
        <v>36</v>
      </c>
      <c r="G68" s="32"/>
      <c r="H68" s="32"/>
      <c r="J68" s="204"/>
      <c r="K68" s="195"/>
      <c r="L68" s="195"/>
      <c r="M68" s="195"/>
      <c r="N68" s="195"/>
      <c r="O68" s="196"/>
      <c r="P68" s="196"/>
      <c r="Q68" s="196"/>
      <c r="R68" s="196"/>
      <c r="S68" s="196"/>
      <c r="T68" s="196"/>
    </row>
    <row r="69" spans="3:23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4"/>
      <c r="K69" s="195"/>
      <c r="L69" s="195"/>
      <c r="M69" s="195"/>
      <c r="N69" s="195"/>
      <c r="O69" s="196"/>
      <c r="P69" s="196"/>
      <c r="Q69" s="196"/>
      <c r="R69" s="196"/>
      <c r="S69" s="196"/>
      <c r="T69" s="196"/>
    </row>
    <row r="70" spans="3:23" outlineLevel="1">
      <c r="C70" s="61"/>
      <c r="D70" s="30" t="s">
        <v>101</v>
      </c>
      <c r="E70" s="30" t="s">
        <v>18</v>
      </c>
      <c r="F70" s="30" t="s">
        <v>36</v>
      </c>
      <c r="G70" s="32"/>
      <c r="H70" s="32"/>
      <c r="J70" s="204"/>
      <c r="K70" s="195"/>
      <c r="L70" s="195"/>
      <c r="M70" s="195"/>
      <c r="N70" s="195"/>
      <c r="O70" s="196"/>
      <c r="P70" s="196"/>
      <c r="Q70" s="196"/>
      <c r="R70" s="196"/>
      <c r="S70" s="196"/>
      <c r="T70" s="196"/>
    </row>
    <row r="71" spans="3:23" outlineLevel="1">
      <c r="C71" s="61"/>
      <c r="D71" s="30" t="s">
        <v>101</v>
      </c>
      <c r="E71" s="30" t="s">
        <v>18</v>
      </c>
      <c r="F71" s="30" t="s">
        <v>36</v>
      </c>
      <c r="G71" s="32"/>
      <c r="H71" s="32"/>
      <c r="J71" s="204"/>
      <c r="K71" s="195"/>
      <c r="L71" s="195"/>
      <c r="M71" s="195"/>
      <c r="N71" s="195"/>
      <c r="O71" s="196"/>
      <c r="P71" s="196"/>
      <c r="Q71" s="196"/>
      <c r="R71" s="196"/>
      <c r="S71" s="196"/>
      <c r="T71" s="196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98</v>
      </c>
      <c r="E73" s="30" t="s">
        <v>28</v>
      </c>
      <c r="F73" s="30" t="s">
        <v>36</v>
      </c>
      <c r="J73" s="132" t="str">
        <f t="shared" ref="J73:S73" si="38">IF(J64=J$4,IF(COUNTA($C66:$C71)=COUNT(J66:J71),"Ok","Check"),"")</f>
        <v/>
      </c>
      <c r="K73" s="132" t="str">
        <f t="shared" si="38"/>
        <v/>
      </c>
      <c r="L73" s="132" t="str">
        <f t="shared" si="38"/>
        <v/>
      </c>
      <c r="M73" s="132" t="str">
        <f t="shared" si="38"/>
        <v/>
      </c>
      <c r="N73" s="132" t="str">
        <f t="shared" si="38"/>
        <v/>
      </c>
      <c r="O73" s="132" t="str">
        <f t="shared" si="38"/>
        <v>Ok</v>
      </c>
      <c r="P73" s="132" t="str">
        <f t="shared" si="38"/>
        <v>Ok</v>
      </c>
      <c r="Q73" s="132" t="str">
        <f t="shared" si="38"/>
        <v>Ok</v>
      </c>
      <c r="R73" s="132" t="str">
        <f t="shared" si="38"/>
        <v>Ok</v>
      </c>
      <c r="S73" s="132" t="str">
        <f t="shared" si="38"/>
        <v>Ok</v>
      </c>
      <c r="T73" s="132" t="str">
        <f>IF(T64=T$4,IF(COUNTA($C66:$C71)=COUNT(T66:T71),"Ok","Check"),"")</f>
        <v>Ok</v>
      </c>
      <c r="U73" s="24"/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88</v>
      </c>
      <c r="D75" s="32" t="s">
        <v>7</v>
      </c>
      <c r="E75" s="32" t="s">
        <v>8</v>
      </c>
      <c r="F75" s="32" t="s">
        <v>22</v>
      </c>
      <c r="G75" s="32"/>
      <c r="H75" s="32"/>
      <c r="J75" s="162" t="str">
        <f t="shared" ref="J75:T75" si="39">IF(YEAR(J$4)&gt;=FPFirstYear,IF(YEAR(J$4)&lt;=FPLastYear,J$4,""),"")</f>
        <v/>
      </c>
      <c r="K75" s="162" t="str">
        <f t="shared" si="39"/>
        <v/>
      </c>
      <c r="L75" s="162" t="str">
        <f t="shared" si="39"/>
        <v/>
      </c>
      <c r="M75" s="162" t="str">
        <f t="shared" si="39"/>
        <v/>
      </c>
      <c r="N75" s="162" t="str">
        <f t="shared" si="39"/>
        <v/>
      </c>
      <c r="O75" s="162" t="str">
        <f t="shared" si="39"/>
        <v/>
      </c>
      <c r="P75" s="162">
        <f t="shared" si="39"/>
        <v>44713</v>
      </c>
      <c r="Q75" s="162">
        <f t="shared" si="39"/>
        <v>45078</v>
      </c>
      <c r="R75" s="162">
        <f t="shared" si="39"/>
        <v>45444</v>
      </c>
      <c r="S75" s="162">
        <f t="shared" si="39"/>
        <v>45809</v>
      </c>
      <c r="T75" s="162">
        <f t="shared" si="39"/>
        <v>46174</v>
      </c>
      <c r="U75" s="29" t="str">
        <f>IF(RIGHT(U$4,2)&gt;=RIGHT('Input|General'!$G$13,2),IF(RIGHT(U$4,2)&lt;='Input|General'!$G$14,'Input|Reported opex'!U$4,""),"")</f>
        <v/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8" t="str">
        <f>C66</f>
        <v>No output growth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M77" si="40">IF(ISBLANK(I66),"",IF(ISBLANK(J66),"",LN(J66)-LN(I66)))</f>
        <v/>
      </c>
      <c r="K77" s="117" t="str">
        <f t="shared" si="40"/>
        <v/>
      </c>
      <c r="L77" s="117" t="str">
        <f t="shared" si="40"/>
        <v/>
      </c>
      <c r="M77" s="117" t="str">
        <f t="shared" si="40"/>
        <v/>
      </c>
      <c r="N77" s="117" t="str">
        <f>IF(ISBLANK(M66),"",IF(ISBLANK(N66),"",LN(N66)-LN(M66)))</f>
        <v/>
      </c>
      <c r="O77" s="117" t="str">
        <f t="shared" ref="O77:T77" si="41">IF(ISBLANK(N66),"",IF(ISBLANK(O66),"",LN(O66)-LN(N66)))</f>
        <v/>
      </c>
      <c r="P77" s="117">
        <f t="shared" si="41"/>
        <v>0</v>
      </c>
      <c r="Q77" s="117">
        <f t="shared" si="41"/>
        <v>0</v>
      </c>
      <c r="R77" s="117">
        <f t="shared" si="41"/>
        <v>0</v>
      </c>
      <c r="S77" s="117">
        <f t="shared" si="41"/>
        <v>0</v>
      </c>
      <c r="T77" s="117">
        <f t="shared" si="41"/>
        <v>0</v>
      </c>
    </row>
    <row r="78" spans="3:23" outlineLevel="1">
      <c r="C78" s="148">
        <f t="shared" ref="C78:C82" si="42">C67</f>
        <v>0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T78" si="43">IF(ISBLANK(I67),"",IF(ISBLANK(J67),"",LN(J67)-LN(I67)))</f>
        <v/>
      </c>
      <c r="K78" s="117" t="str">
        <f t="shared" si="43"/>
        <v/>
      </c>
      <c r="L78" s="117" t="str">
        <f t="shared" si="43"/>
        <v/>
      </c>
      <c r="M78" s="117" t="str">
        <f t="shared" si="43"/>
        <v/>
      </c>
      <c r="N78" s="117" t="str">
        <f t="shared" si="43"/>
        <v/>
      </c>
      <c r="O78" s="117" t="str">
        <f t="shared" si="43"/>
        <v/>
      </c>
      <c r="P78" s="117" t="str">
        <f t="shared" si="43"/>
        <v/>
      </c>
      <c r="Q78" s="117" t="str">
        <f t="shared" si="43"/>
        <v/>
      </c>
      <c r="R78" s="117" t="str">
        <f t="shared" si="43"/>
        <v/>
      </c>
      <c r="S78" s="117" t="str">
        <f t="shared" si="43"/>
        <v/>
      </c>
      <c r="T78" s="117" t="str">
        <f t="shared" si="43"/>
        <v/>
      </c>
    </row>
    <row r="79" spans="3:23" outlineLevel="1">
      <c r="C79" s="148">
        <f t="shared" si="42"/>
        <v>0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T79" si="44">IF(ISBLANK(I68),"",IF(ISBLANK(J68),"",LN(J68)-LN(I68)))</f>
        <v/>
      </c>
      <c r="K79" s="117" t="str">
        <f t="shared" si="44"/>
        <v/>
      </c>
      <c r="L79" s="117" t="str">
        <f t="shared" si="44"/>
        <v/>
      </c>
      <c r="M79" s="117" t="str">
        <f t="shared" si="44"/>
        <v/>
      </c>
      <c r="N79" s="117" t="str">
        <f t="shared" si="44"/>
        <v/>
      </c>
      <c r="O79" s="117" t="str">
        <f t="shared" si="44"/>
        <v/>
      </c>
      <c r="P79" s="117" t="str">
        <f t="shared" si="44"/>
        <v/>
      </c>
      <c r="Q79" s="117" t="str">
        <f t="shared" si="44"/>
        <v/>
      </c>
      <c r="R79" s="117" t="str">
        <f t="shared" si="44"/>
        <v/>
      </c>
      <c r="S79" s="117" t="str">
        <f t="shared" si="44"/>
        <v/>
      </c>
      <c r="T79" s="117" t="str">
        <f t="shared" si="44"/>
        <v/>
      </c>
    </row>
    <row r="80" spans="3:23" outlineLevel="1">
      <c r="C80" s="148">
        <f t="shared" si="42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T80" si="45">IF(ISBLANK(I69),"",IF(ISBLANK(J69),"",LN(J69)-LN(I69)))</f>
        <v/>
      </c>
      <c r="K80" s="117" t="str">
        <f t="shared" si="45"/>
        <v/>
      </c>
      <c r="L80" s="117" t="str">
        <f t="shared" si="45"/>
        <v/>
      </c>
      <c r="M80" s="117" t="str">
        <f t="shared" si="45"/>
        <v/>
      </c>
      <c r="N80" s="117" t="str">
        <f t="shared" si="45"/>
        <v/>
      </c>
      <c r="O80" s="117" t="str">
        <f t="shared" si="45"/>
        <v/>
      </c>
      <c r="P80" s="117" t="str">
        <f t="shared" si="45"/>
        <v/>
      </c>
      <c r="Q80" s="117" t="str">
        <f t="shared" si="45"/>
        <v/>
      </c>
      <c r="R80" s="117" t="str">
        <f t="shared" si="45"/>
        <v/>
      </c>
      <c r="S80" s="117" t="str">
        <f t="shared" si="45"/>
        <v/>
      </c>
      <c r="T80" s="117" t="str">
        <f t="shared" si="45"/>
        <v/>
      </c>
    </row>
    <row r="81" spans="3:23" outlineLevel="1">
      <c r="C81" s="148">
        <f t="shared" si="42"/>
        <v>0</v>
      </c>
      <c r="D81" s="30" t="s">
        <v>98</v>
      </c>
      <c r="E81" s="30" t="s">
        <v>18</v>
      </c>
      <c r="F81" s="30" t="s">
        <v>36</v>
      </c>
      <c r="G81" s="32"/>
      <c r="H81" s="32"/>
      <c r="J81" s="117" t="str">
        <f t="shared" ref="J81:T81" si="46">IF(ISBLANK(I70),"",IF(ISBLANK(J70),"",LN(J70)-LN(I70)))</f>
        <v/>
      </c>
      <c r="K81" s="117" t="str">
        <f t="shared" si="46"/>
        <v/>
      </c>
      <c r="L81" s="117" t="str">
        <f t="shared" si="46"/>
        <v/>
      </c>
      <c r="M81" s="117" t="str">
        <f t="shared" si="46"/>
        <v/>
      </c>
      <c r="N81" s="117" t="str">
        <f t="shared" si="46"/>
        <v/>
      </c>
      <c r="O81" s="117" t="str">
        <f t="shared" si="46"/>
        <v/>
      </c>
      <c r="P81" s="117" t="str">
        <f t="shared" si="46"/>
        <v/>
      </c>
      <c r="Q81" s="117" t="str">
        <f t="shared" si="46"/>
        <v/>
      </c>
      <c r="R81" s="117" t="str">
        <f t="shared" si="46"/>
        <v/>
      </c>
      <c r="S81" s="117" t="str">
        <f t="shared" si="46"/>
        <v/>
      </c>
      <c r="T81" s="117" t="str">
        <f t="shared" si="46"/>
        <v/>
      </c>
    </row>
    <row r="82" spans="3:23" outlineLevel="1">
      <c r="C82" s="148">
        <f t="shared" si="42"/>
        <v>0</v>
      </c>
      <c r="D82" s="30" t="s">
        <v>98</v>
      </c>
      <c r="E82" s="30" t="s">
        <v>18</v>
      </c>
      <c r="F82" s="30" t="s">
        <v>36</v>
      </c>
      <c r="G82" s="32"/>
      <c r="H82" s="32"/>
      <c r="J82" s="117" t="str">
        <f t="shared" ref="J82:T82" si="47">IF(ISBLANK(I71),"",IF(ISBLANK(J71),"",LN(J71)-LN(I71)))</f>
        <v/>
      </c>
      <c r="K82" s="117" t="str">
        <f t="shared" si="47"/>
        <v/>
      </c>
      <c r="L82" s="117" t="str">
        <f t="shared" si="47"/>
        <v/>
      </c>
      <c r="M82" s="117" t="str">
        <f t="shared" si="47"/>
        <v/>
      </c>
      <c r="N82" s="117" t="str">
        <f t="shared" si="47"/>
        <v/>
      </c>
      <c r="O82" s="117" t="str">
        <f t="shared" si="47"/>
        <v/>
      </c>
      <c r="P82" s="117" t="str">
        <f t="shared" si="47"/>
        <v/>
      </c>
      <c r="Q82" s="117" t="str">
        <f t="shared" si="47"/>
        <v/>
      </c>
      <c r="R82" s="117" t="str">
        <f t="shared" si="47"/>
        <v/>
      </c>
      <c r="S82" s="117" t="str">
        <f t="shared" si="47"/>
        <v/>
      </c>
      <c r="T82" s="117" t="str">
        <f t="shared" si="47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172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11" t="s">
        <v>191</v>
      </c>
      <c r="K84" s="211"/>
      <c r="L84" s="211"/>
      <c r="M84" s="211"/>
      <c r="N84" s="162"/>
      <c r="O84" s="162"/>
      <c r="P84" s="162"/>
      <c r="Q84" s="162"/>
      <c r="R84" s="162"/>
      <c r="S84" s="162"/>
      <c r="T84" s="162"/>
    </row>
    <row r="85" spans="3:23" outlineLevel="1">
      <c r="C85" s="111"/>
      <c r="G85" s="32"/>
      <c r="H85" s="32"/>
      <c r="K85" s="23"/>
      <c r="L85" s="23"/>
      <c r="M85" s="23"/>
      <c r="N85" s="23"/>
      <c r="O85" s="107"/>
      <c r="P85" s="107"/>
      <c r="Q85" s="107"/>
      <c r="R85" s="107"/>
      <c r="S85" s="107"/>
      <c r="T85" s="107"/>
    </row>
    <row r="86" spans="3:23" outlineLevel="1">
      <c r="C86" s="148" t="str">
        <f>C66</f>
        <v>No output growth</v>
      </c>
      <c r="D86" s="30" t="s">
        <v>101</v>
      </c>
      <c r="E86" s="30" t="s">
        <v>18</v>
      </c>
      <c r="F86" s="30" t="s">
        <v>36</v>
      </c>
      <c r="G86" s="32"/>
      <c r="H86" s="32"/>
      <c r="J86" s="218">
        <v>1</v>
      </c>
      <c r="K86" s="218"/>
      <c r="L86" s="218"/>
      <c r="M86" s="218"/>
      <c r="N86" s="193"/>
      <c r="O86" s="193"/>
      <c r="P86" s="193"/>
      <c r="Q86" s="193"/>
      <c r="R86" s="193"/>
      <c r="S86" s="193"/>
      <c r="T86" s="193"/>
    </row>
    <row r="87" spans="3:23" outlineLevel="1">
      <c r="C87" s="148">
        <f t="shared" ref="C87:C91" si="48">C67</f>
        <v>0</v>
      </c>
      <c r="D87" s="30" t="s">
        <v>101</v>
      </c>
      <c r="E87" s="30" t="s">
        <v>18</v>
      </c>
      <c r="F87" s="30" t="s">
        <v>36</v>
      </c>
      <c r="G87" s="32"/>
      <c r="H87" s="32"/>
      <c r="J87" s="218"/>
      <c r="K87" s="218"/>
      <c r="L87" s="218"/>
      <c r="M87" s="218"/>
      <c r="N87" s="193"/>
      <c r="O87" s="193"/>
      <c r="P87" s="193"/>
      <c r="Q87" s="193"/>
      <c r="R87" s="193"/>
      <c r="S87" s="193"/>
      <c r="T87" s="193"/>
    </row>
    <row r="88" spans="3:23" outlineLevel="1">
      <c r="C88" s="148">
        <f t="shared" si="48"/>
        <v>0</v>
      </c>
      <c r="D88" s="30" t="s">
        <v>101</v>
      </c>
      <c r="E88" s="30" t="s">
        <v>18</v>
      </c>
      <c r="F88" s="30" t="s">
        <v>36</v>
      </c>
      <c r="G88" s="32"/>
      <c r="H88" s="32"/>
      <c r="J88" s="218"/>
      <c r="K88" s="218"/>
      <c r="L88" s="218"/>
      <c r="M88" s="218"/>
      <c r="N88" s="193"/>
      <c r="O88" s="193"/>
      <c r="P88" s="193"/>
      <c r="Q88" s="193"/>
      <c r="R88" s="193"/>
      <c r="S88" s="193"/>
      <c r="T88" s="193"/>
    </row>
    <row r="89" spans="3:23" outlineLevel="1">
      <c r="C89" s="148">
        <f t="shared" si="48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219"/>
      <c r="K89" s="219"/>
      <c r="L89" s="219"/>
      <c r="M89" s="218"/>
      <c r="N89" s="193"/>
      <c r="O89" s="193"/>
      <c r="P89" s="193"/>
      <c r="Q89" s="193"/>
      <c r="R89" s="193"/>
      <c r="S89" s="193"/>
      <c r="T89" s="193"/>
    </row>
    <row r="90" spans="3:23" outlineLevel="1">
      <c r="C90" s="148">
        <f t="shared" si="48"/>
        <v>0</v>
      </c>
      <c r="D90" s="30" t="s">
        <v>101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193"/>
      <c r="O90" s="193"/>
      <c r="P90" s="193"/>
      <c r="Q90" s="193"/>
      <c r="R90" s="193"/>
      <c r="S90" s="193"/>
      <c r="T90" s="193"/>
    </row>
    <row r="91" spans="3:23" outlineLevel="1">
      <c r="C91" s="148">
        <f t="shared" si="48"/>
        <v>0</v>
      </c>
      <c r="D91" s="30" t="s">
        <v>101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193"/>
      <c r="O91" s="193"/>
      <c r="P91" s="193"/>
      <c r="Q91" s="193"/>
      <c r="R91" s="193"/>
      <c r="S91" s="193"/>
      <c r="T91" s="193"/>
    </row>
    <row r="92" spans="3:23" outlineLevel="1">
      <c r="G92" s="32"/>
      <c r="H92" s="32"/>
    </row>
    <row r="93" spans="3:23" outlineLevel="1">
      <c r="C93" s="29" t="s">
        <v>40</v>
      </c>
      <c r="D93" s="30" t="s">
        <v>98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/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Ok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173</v>
      </c>
      <c r="D95" s="32" t="s">
        <v>7</v>
      </c>
      <c r="E95" s="32" t="s">
        <v>8</v>
      </c>
      <c r="F95" s="32" t="s">
        <v>22</v>
      </c>
      <c r="J95" s="162" t="str">
        <f t="shared" ref="J95:T95" si="49">IF(YEAR(J$4)&gt;=FPFirstYear,IF(YEAR(J$4)&lt;=FPLastYear,J$4,""),"")</f>
        <v/>
      </c>
      <c r="K95" s="162" t="str">
        <f t="shared" si="49"/>
        <v/>
      </c>
      <c r="L95" s="162" t="str">
        <f t="shared" si="49"/>
        <v/>
      </c>
      <c r="M95" s="162" t="str">
        <f t="shared" si="49"/>
        <v/>
      </c>
      <c r="N95" s="162" t="str">
        <f t="shared" si="49"/>
        <v/>
      </c>
      <c r="O95" s="162" t="str">
        <f t="shared" si="49"/>
        <v/>
      </c>
      <c r="P95" s="162">
        <f t="shared" si="49"/>
        <v>44713</v>
      </c>
      <c r="Q95" s="162">
        <f t="shared" si="49"/>
        <v>45078</v>
      </c>
      <c r="R95" s="162">
        <f t="shared" si="49"/>
        <v>45444</v>
      </c>
      <c r="S95" s="162">
        <f t="shared" si="49"/>
        <v>45809</v>
      </c>
      <c r="T95" s="162">
        <f t="shared" si="49"/>
        <v>46174</v>
      </c>
      <c r="U95" s="24"/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8" t="str">
        <f t="array" ref="C97:C100">TRANSPOSE(J84:M84)</f>
        <v>No growth</v>
      </c>
      <c r="D97" s="30" t="s">
        <v>98</v>
      </c>
      <c r="E97" s="30" t="s">
        <v>18</v>
      </c>
      <c r="F97" s="30" t="s">
        <v>36</v>
      </c>
      <c r="J97" s="117" t="str">
        <f t="shared" ref="J97:S97" si="50">IF(J$95=J$4,SUMPRODUCT(J$77:J$82,$J$86:$J$91),"")</f>
        <v/>
      </c>
      <c r="K97" s="117" t="str">
        <f t="shared" si="50"/>
        <v/>
      </c>
      <c r="L97" s="117" t="str">
        <f t="shared" si="50"/>
        <v/>
      </c>
      <c r="M97" s="117" t="str">
        <f t="shared" si="50"/>
        <v/>
      </c>
      <c r="N97" s="117" t="str">
        <f t="shared" si="50"/>
        <v/>
      </c>
      <c r="O97" s="117" t="str">
        <f t="shared" si="50"/>
        <v/>
      </c>
      <c r="P97" s="117">
        <f t="shared" si="50"/>
        <v>0</v>
      </c>
      <c r="Q97" s="117">
        <f t="shared" si="50"/>
        <v>0</v>
      </c>
      <c r="R97" s="117">
        <f t="shared" si="50"/>
        <v>0</v>
      </c>
      <c r="S97" s="117">
        <f t="shared" si="50"/>
        <v>0</v>
      </c>
      <c r="T97" s="117">
        <f>IF(T$95=T$4,SUMPRODUCT(T$77:T$82,$J$86:$J$91),"")</f>
        <v>0</v>
      </c>
      <c r="U97" s="24"/>
      <c r="W97" s="132"/>
    </row>
    <row r="98" spans="1:50" outlineLevel="1">
      <c r="C98" s="148">
        <v>0</v>
      </c>
      <c r="D98" s="30" t="s">
        <v>98</v>
      </c>
      <c r="E98" s="30" t="s">
        <v>18</v>
      </c>
      <c r="F98" s="30" t="s">
        <v>36</v>
      </c>
      <c r="J98" s="117" t="str">
        <f t="shared" ref="J98:S98" si="51">IF(J$95=J$4,SUMPRODUCT(J$77:J$82,$K$86:$K$91),"")</f>
        <v/>
      </c>
      <c r="K98" s="117" t="str">
        <f t="shared" si="51"/>
        <v/>
      </c>
      <c r="L98" s="117" t="str">
        <f t="shared" si="51"/>
        <v/>
      </c>
      <c r="M98" s="117" t="str">
        <f t="shared" si="51"/>
        <v/>
      </c>
      <c r="N98" s="117" t="str">
        <f t="shared" si="51"/>
        <v/>
      </c>
      <c r="O98" s="117" t="str">
        <f t="shared" si="51"/>
        <v/>
      </c>
      <c r="P98" s="117">
        <f t="shared" si="51"/>
        <v>0</v>
      </c>
      <c r="Q98" s="117">
        <f t="shared" si="51"/>
        <v>0</v>
      </c>
      <c r="R98" s="117">
        <f t="shared" si="51"/>
        <v>0</v>
      </c>
      <c r="S98" s="117">
        <f t="shared" si="51"/>
        <v>0</v>
      </c>
      <c r="T98" s="117">
        <f>IF(T$95=T$4,SUMPRODUCT(T$77:T$82,$K$86:$K$91),"")</f>
        <v>0</v>
      </c>
      <c r="U98" s="24"/>
      <c r="W98" s="132"/>
    </row>
    <row r="99" spans="1:50" outlineLevel="1">
      <c r="C99" s="148">
        <v>0</v>
      </c>
      <c r="D99" s="30" t="s">
        <v>98</v>
      </c>
      <c r="E99" s="30" t="s">
        <v>18</v>
      </c>
      <c r="F99" s="30" t="s">
        <v>36</v>
      </c>
      <c r="J99" s="117" t="str">
        <f t="shared" ref="J99:S99" si="52">IF(J$95=J$4,SUMPRODUCT(J$77:J$82,$L$86:$L$91),"")</f>
        <v/>
      </c>
      <c r="K99" s="117" t="str">
        <f t="shared" si="52"/>
        <v/>
      </c>
      <c r="L99" s="117" t="str">
        <f t="shared" si="52"/>
        <v/>
      </c>
      <c r="M99" s="117" t="str">
        <f t="shared" si="52"/>
        <v/>
      </c>
      <c r="N99" s="117" t="str">
        <f t="shared" si="52"/>
        <v/>
      </c>
      <c r="O99" s="117" t="str">
        <f t="shared" si="52"/>
        <v/>
      </c>
      <c r="P99" s="117">
        <f t="shared" si="52"/>
        <v>0</v>
      </c>
      <c r="Q99" s="117">
        <f t="shared" si="52"/>
        <v>0</v>
      </c>
      <c r="R99" s="117">
        <f t="shared" si="52"/>
        <v>0</v>
      </c>
      <c r="S99" s="117">
        <f t="shared" si="52"/>
        <v>0</v>
      </c>
      <c r="T99" s="117">
        <f>IF(T$95=T$4,SUMPRODUCT(T$77:T$82,$L$86:$L$91),"")</f>
        <v>0</v>
      </c>
      <c r="U99" s="24"/>
      <c r="W99" s="132"/>
    </row>
    <row r="100" spans="1:50" outlineLevel="1">
      <c r="C100" s="148">
        <v>0</v>
      </c>
      <c r="D100" s="30" t="s">
        <v>98</v>
      </c>
      <c r="E100" s="30" t="s">
        <v>18</v>
      </c>
      <c r="F100" s="30" t="s">
        <v>36</v>
      </c>
      <c r="J100" s="117" t="str">
        <f t="shared" ref="J100:S100" si="53">IF(J$95=J$4,SUMPRODUCT(J$77:J$82,$M$86:$M$91),"")</f>
        <v/>
      </c>
      <c r="K100" s="117" t="str">
        <f t="shared" si="53"/>
        <v/>
      </c>
      <c r="L100" s="117" t="str">
        <f t="shared" si="53"/>
        <v/>
      </c>
      <c r="M100" s="117" t="str">
        <f t="shared" si="53"/>
        <v/>
      </c>
      <c r="N100" s="117" t="str">
        <f t="shared" si="53"/>
        <v/>
      </c>
      <c r="O100" s="117" t="str">
        <f t="shared" si="53"/>
        <v/>
      </c>
      <c r="P100" s="117">
        <f t="shared" si="53"/>
        <v>0</v>
      </c>
      <c r="Q100" s="117">
        <f t="shared" si="53"/>
        <v>0</v>
      </c>
      <c r="R100" s="117">
        <f t="shared" si="53"/>
        <v>0</v>
      </c>
      <c r="S100" s="117">
        <f t="shared" si="53"/>
        <v>0</v>
      </c>
      <c r="T100" s="117">
        <f>IF(T$95=T$4,SUMPRODUCT(T$77:T$82,$M$86:$M$91),"")</f>
        <v>0</v>
      </c>
      <c r="U100" s="24"/>
      <c r="W100" s="132"/>
    </row>
    <row r="101" spans="1:50" outlineLevel="1">
      <c r="C101" s="111"/>
      <c r="G101" s="32"/>
      <c r="H101" s="32"/>
      <c r="K101" s="23"/>
      <c r="L101" s="23"/>
      <c r="M101" s="23"/>
      <c r="N101" s="23"/>
      <c r="O101" s="23"/>
    </row>
    <row r="102" spans="1:50" s="103" customFormat="1" ht="12.75">
      <c r="A102" s="94"/>
      <c r="B102" s="95" t="s">
        <v>78</v>
      </c>
      <c r="C102" s="94"/>
      <c r="D102" s="94"/>
      <c r="E102" s="94"/>
      <c r="F102" s="96"/>
      <c r="G102" s="96"/>
      <c r="H102" s="96"/>
      <c r="I102" s="96"/>
      <c r="J102" s="96"/>
      <c r="K102" s="97"/>
      <c r="L102" s="98"/>
      <c r="M102" s="97"/>
      <c r="N102" s="98"/>
      <c r="O102" s="97"/>
      <c r="P102" s="97"/>
      <c r="Q102" s="97"/>
      <c r="R102" s="97"/>
      <c r="S102" s="97"/>
      <c r="T102" s="97"/>
      <c r="U102" s="97"/>
      <c r="V102" s="97"/>
      <c r="W102" s="98"/>
      <c r="X102" s="99"/>
      <c r="Y102" s="99"/>
      <c r="Z102" s="99"/>
      <c r="AA102" s="99"/>
      <c r="AB102" s="99"/>
      <c r="AC102" s="99"/>
      <c r="AD102" s="99"/>
      <c r="AE102" s="100"/>
      <c r="AF102" s="101"/>
      <c r="AG102" s="101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</row>
    <row r="103" spans="1:50" outlineLevel="1">
      <c r="G103" s="32"/>
      <c r="H103" s="32"/>
    </row>
    <row r="104" spans="1:50" outlineLevel="1">
      <c r="C104" s="67" t="s">
        <v>48</v>
      </c>
      <c r="D104" s="32" t="s">
        <v>7</v>
      </c>
      <c r="E104" s="32" t="s">
        <v>8</v>
      </c>
      <c r="F104" s="32" t="s">
        <v>22</v>
      </c>
      <c r="G104" s="32"/>
      <c r="H104" s="32"/>
      <c r="J104" s="162" t="str">
        <f t="shared" ref="J104:T104" si="54">IF(YEAR(J$4)&gt;=FPFirstYear,IF(YEAR(J$4)&lt;=FPLastYear,J$4,""),"")</f>
        <v/>
      </c>
      <c r="K104" s="162" t="str">
        <f t="shared" si="54"/>
        <v/>
      </c>
      <c r="L104" s="162" t="str">
        <f t="shared" si="54"/>
        <v/>
      </c>
      <c r="M104" s="162" t="str">
        <f t="shared" si="54"/>
        <v/>
      </c>
      <c r="N104" s="162" t="str">
        <f t="shared" si="54"/>
        <v/>
      </c>
      <c r="O104" s="162" t="str">
        <f t="shared" si="54"/>
        <v/>
      </c>
      <c r="P104" s="162">
        <f t="shared" si="54"/>
        <v>44713</v>
      </c>
      <c r="Q104" s="162">
        <f t="shared" si="54"/>
        <v>45078</v>
      </c>
      <c r="R104" s="162">
        <f t="shared" si="54"/>
        <v>45444</v>
      </c>
      <c r="S104" s="162">
        <f t="shared" si="54"/>
        <v>45809</v>
      </c>
      <c r="T104" s="162">
        <f t="shared" si="54"/>
        <v>46174</v>
      </c>
    </row>
    <row r="105" spans="1:50" outlineLevel="1">
      <c r="C105" s="111"/>
      <c r="G105" s="32"/>
      <c r="H105" s="32"/>
      <c r="K105" s="23"/>
      <c r="L105" s="23"/>
      <c r="M105" s="23"/>
      <c r="N105" s="23"/>
      <c r="O105" s="23"/>
    </row>
    <row r="106" spans="1:50" outlineLevel="1">
      <c r="C106" s="111" t="s">
        <v>48</v>
      </c>
      <c r="D106" s="30" t="s">
        <v>101</v>
      </c>
      <c r="E106" s="30" t="str">
        <f>percent</f>
        <v>Per cent</v>
      </c>
      <c r="F106" s="30" t="s">
        <v>36</v>
      </c>
      <c r="G106" s="32"/>
      <c r="H106" s="32"/>
      <c r="J106" s="205"/>
      <c r="K106" s="194"/>
      <c r="L106" s="194"/>
      <c r="M106" s="194"/>
      <c r="N106" s="194"/>
      <c r="O106" s="169"/>
      <c r="P106" s="169">
        <v>5.0000000000000001E-3</v>
      </c>
      <c r="Q106" s="169">
        <v>5.0000000000000001E-3</v>
      </c>
      <c r="R106" s="169">
        <f>$Q106</f>
        <v>5.0000000000000001E-3</v>
      </c>
      <c r="S106" s="169">
        <f t="shared" ref="S106:T106" si="55">$Q106</f>
        <v>5.0000000000000001E-3</v>
      </c>
      <c r="T106" s="169">
        <f t="shared" si="55"/>
        <v>5.0000000000000001E-3</v>
      </c>
    </row>
    <row r="107" spans="1:50" outlineLevel="1">
      <c r="C107" s="111"/>
      <c r="G107" s="32"/>
      <c r="H107" s="32"/>
      <c r="J107" s="168"/>
      <c r="K107" s="23"/>
      <c r="L107" s="23"/>
      <c r="M107" s="23"/>
      <c r="N107" s="23"/>
      <c r="O107" s="23"/>
      <c r="P107" s="192"/>
      <c r="Q107" s="192"/>
      <c r="R107" s="192"/>
      <c r="S107" s="192"/>
      <c r="T107" s="192"/>
    </row>
    <row r="108" spans="1:50" outlineLevel="1">
      <c r="C108" s="29" t="s">
        <v>40</v>
      </c>
      <c r="D108" s="30" t="s">
        <v>98</v>
      </c>
      <c r="E108" s="30" t="s">
        <v>28</v>
      </c>
      <c r="F108" s="30" t="s">
        <v>36</v>
      </c>
      <c r="J108" s="132" t="str">
        <f t="shared" ref="J108:S108" si="56">IF(J104=J$4,IF(ISBLANK(J106),"Check","Ok"),"")</f>
        <v/>
      </c>
      <c r="K108" s="132" t="str">
        <f t="shared" si="56"/>
        <v/>
      </c>
      <c r="L108" s="132" t="str">
        <f t="shared" si="56"/>
        <v/>
      </c>
      <c r="M108" s="132" t="str">
        <f t="shared" si="56"/>
        <v/>
      </c>
      <c r="N108" s="132" t="str">
        <f t="shared" si="56"/>
        <v/>
      </c>
      <c r="O108" s="132" t="str">
        <f t="shared" si="56"/>
        <v/>
      </c>
      <c r="P108" s="132" t="str">
        <f t="shared" si="56"/>
        <v>Ok</v>
      </c>
      <c r="Q108" s="132" t="str">
        <f t="shared" si="56"/>
        <v>Ok</v>
      </c>
      <c r="R108" s="132" t="str">
        <f t="shared" si="56"/>
        <v>Ok</v>
      </c>
      <c r="S108" s="132" t="str">
        <f t="shared" si="56"/>
        <v>Ok</v>
      </c>
      <c r="T108" s="132" t="str">
        <f>IF(T104=T$4,IF(ISBLANK(T106),"Check","Ok"),"")</f>
        <v>Ok</v>
      </c>
      <c r="U108" s="24"/>
      <c r="W108" s="131" t="str">
        <f>IF(COUNTIF(J108:T108,"Check")=0,"Ok","Check")</f>
        <v>Ok</v>
      </c>
    </row>
    <row r="109" spans="1:50" outlineLevel="1">
      <c r="C109" s="111"/>
      <c r="G109" s="32"/>
      <c r="H109" s="32"/>
      <c r="K109" s="23"/>
      <c r="L109" s="23"/>
      <c r="M109" s="23"/>
      <c r="N109" s="23"/>
      <c r="O109" s="23"/>
    </row>
    <row r="110" spans="1:50" s="103" customFormat="1" ht="12.75">
      <c r="A110" s="94"/>
      <c r="B110" s="95" t="s">
        <v>21</v>
      </c>
      <c r="C110" s="94"/>
      <c r="D110" s="94"/>
      <c r="E110" s="94"/>
      <c r="F110" s="96"/>
      <c r="G110" s="96"/>
      <c r="H110" s="96"/>
      <c r="I110" s="96"/>
      <c r="J110" s="96"/>
      <c r="K110" s="97"/>
      <c r="L110" s="98"/>
      <c r="M110" s="97"/>
      <c r="N110" s="98"/>
      <c r="O110" s="97"/>
      <c r="P110" s="97"/>
      <c r="Q110" s="97"/>
      <c r="R110" s="97"/>
      <c r="S110" s="97"/>
      <c r="T110" s="97"/>
      <c r="U110" s="97"/>
      <c r="V110" s="97"/>
      <c r="W110" s="98"/>
      <c r="X110" s="99"/>
      <c r="Y110" s="99"/>
      <c r="Z110" s="99"/>
      <c r="AA110" s="99"/>
      <c r="AB110" s="99"/>
      <c r="AC110" s="99"/>
      <c r="AD110" s="99"/>
      <c r="AE110" s="100"/>
      <c r="AF110" s="101"/>
      <c r="AG110" s="101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</row>
    <row r="111" spans="1:50" hidden="1"/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</sheetData>
  <mergeCells count="2">
    <mergeCell ref="K3:M3"/>
    <mergeCell ref="O3:T3"/>
  </mergeCells>
  <conditionalFormatting sqref="W1">
    <cfRule type="cellIs" dxfId="145" priority="110" operator="equal">
      <formula>"Check"</formula>
    </cfRule>
    <cfRule type="cellIs" dxfId="144" priority="111" operator="equal">
      <formula>"Ok"</formula>
    </cfRule>
  </conditionalFormatting>
  <conditionalFormatting sqref="T1">
    <cfRule type="cellIs" dxfId="143" priority="74" operator="equal">
      <formula>"Check"</formula>
    </cfRule>
    <cfRule type="cellIs" dxfId="142" priority="75" operator="equal">
      <formula>"Ok"</formula>
    </cfRule>
  </conditionalFormatting>
  <conditionalFormatting sqref="W60">
    <cfRule type="cellIs" dxfId="141" priority="62" operator="equal">
      <formula>"Check"</formula>
    </cfRule>
    <cfRule type="cellIs" dxfId="140" priority="63" operator="equal">
      <formula>"Ok"</formula>
    </cfRule>
  </conditionalFormatting>
  <conditionalFormatting sqref="J60:T60">
    <cfRule type="cellIs" dxfId="139" priority="54" operator="equal">
      <formula>"Check"</formula>
    </cfRule>
    <cfRule type="cellIs" dxfId="138" priority="55" operator="equal">
      <formula>"Ok"</formula>
    </cfRule>
  </conditionalFormatting>
  <conditionalFormatting sqref="J36:T36 J49:T49 J75:T75 J104:T104">
    <cfRule type="expression" dxfId="137" priority="45">
      <formula>J$36=J$4</formula>
    </cfRule>
  </conditionalFormatting>
  <conditionalFormatting sqref="J38:T45">
    <cfRule type="expression" dxfId="136" priority="43">
      <formula>J$36=J$4</formula>
    </cfRule>
  </conditionalFormatting>
  <conditionalFormatting sqref="J51:T58">
    <cfRule type="expression" dxfId="135" priority="42">
      <formula>J$49=J$4</formula>
    </cfRule>
  </conditionalFormatting>
  <conditionalFormatting sqref="W108">
    <cfRule type="cellIs" dxfId="134" priority="36" operator="equal">
      <formula>"Check"</formula>
    </cfRule>
    <cfRule type="cellIs" dxfId="133" priority="37" operator="equal">
      <formula>"Ok"</formula>
    </cfRule>
  </conditionalFormatting>
  <conditionalFormatting sqref="J108:T108">
    <cfRule type="cellIs" dxfId="132" priority="34" operator="equal">
      <formula>"Check"</formula>
    </cfRule>
    <cfRule type="cellIs" dxfId="131" priority="35" operator="equal">
      <formula>"Ok"</formula>
    </cfRule>
  </conditionalFormatting>
  <conditionalFormatting sqref="W47">
    <cfRule type="cellIs" dxfId="130" priority="32" operator="equal">
      <formula>"Check"</formula>
    </cfRule>
    <cfRule type="cellIs" dxfId="129" priority="33" operator="equal">
      <formula>"Ok"</formula>
    </cfRule>
  </conditionalFormatting>
  <conditionalFormatting sqref="J47:T47">
    <cfRule type="cellIs" dxfId="128" priority="30" operator="equal">
      <formula>"Check"</formula>
    </cfRule>
    <cfRule type="cellIs" dxfId="127" priority="31" operator="equal">
      <formula>"Ok"</formula>
    </cfRule>
  </conditionalFormatting>
  <conditionalFormatting sqref="W73">
    <cfRule type="cellIs" dxfId="126" priority="28" operator="equal">
      <formula>"Check"</formula>
    </cfRule>
    <cfRule type="cellIs" dxfId="125" priority="29" operator="equal">
      <formula>"Ok"</formula>
    </cfRule>
  </conditionalFormatting>
  <conditionalFormatting sqref="J73:T73">
    <cfRule type="cellIs" dxfId="124" priority="26" operator="equal">
      <formula>"Check"</formula>
    </cfRule>
    <cfRule type="cellIs" dxfId="123" priority="27" operator="equal">
      <formula>"Ok"</formula>
    </cfRule>
  </conditionalFormatting>
  <conditionalFormatting sqref="J64:T64">
    <cfRule type="expression" dxfId="122" priority="20">
      <formula>J$64=J$4</formula>
    </cfRule>
  </conditionalFormatting>
  <conditionalFormatting sqref="J66:T71">
    <cfRule type="expression" dxfId="121" priority="18">
      <formula>J$64=J$4</formula>
    </cfRule>
  </conditionalFormatting>
  <conditionalFormatting sqref="J26:T32">
    <cfRule type="cellIs" dxfId="120" priority="11" operator="equal">
      <formula>0</formula>
    </cfRule>
  </conditionalFormatting>
  <conditionalFormatting sqref="J16:T22">
    <cfRule type="cellIs" dxfId="119" priority="10" operator="equal">
      <formula>0</formula>
    </cfRule>
  </conditionalFormatting>
  <conditionalFormatting sqref="W93:W100">
    <cfRule type="cellIs" dxfId="118" priority="6" operator="equal">
      <formula>"Check"</formula>
    </cfRule>
    <cfRule type="cellIs" dxfId="117" priority="7" operator="equal">
      <formula>"Ok"</formula>
    </cfRule>
  </conditionalFormatting>
  <conditionalFormatting sqref="K90:M91">
    <cfRule type="expression" dxfId="116" priority="5">
      <formula>K$84=K$4</formula>
    </cfRule>
  </conditionalFormatting>
  <conditionalFormatting sqref="J96:T96 J93:T94">
    <cfRule type="cellIs" dxfId="115" priority="3" operator="equal">
      <formula>"Check"</formula>
    </cfRule>
    <cfRule type="cellIs" dxfId="114" priority="4" operator="equal">
      <formula>"Ok"</formula>
    </cfRule>
  </conditionalFormatting>
  <conditionalFormatting sqref="J95:T95">
    <cfRule type="expression" dxfId="113" priority="2">
      <formula>J$95=J$4</formula>
    </cfRule>
  </conditionalFormatting>
  <conditionalFormatting sqref="J106:T106">
    <cfRule type="expression" dxfId="112" priority="115">
      <formula>J$104=J$4</formula>
    </cfRule>
  </conditionalFormatting>
  <conditionalFormatting sqref="K86:M89">
    <cfRule type="expression" dxfId="111" priority="1">
      <formula>K$84=K$4</formula>
    </cfRule>
  </conditionalFormatting>
  <dataValidations disablePrompts="1" count="2">
    <dataValidation type="list" allowBlank="1" showInputMessage="1" showErrorMessage="1" sqref="F109 F74 F101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U52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3" width="10.83203125" style="29" customWidth="1"/>
    <col min="24" max="47" width="10.5" style="29" hidden="1" customWidth="1"/>
    <col min="48" max="16384" width="0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tr">
        <f>IF(COUNTA($W$8:$W$235)=COUNTIF($W$8:$W$235,"OK"),"OK","Check")</f>
        <v>OK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57" t="s">
        <v>122</v>
      </c>
      <c r="K3" s="172"/>
      <c r="L3" s="172"/>
      <c r="M3" s="182"/>
      <c r="N3" s="221"/>
      <c r="O3" s="221"/>
      <c r="P3" s="221"/>
      <c r="Q3" s="221"/>
      <c r="R3" s="221"/>
      <c r="S3" s="221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42887</v>
      </c>
      <c r="K4" s="155">
        <f>DATE(PPFirstYear+1,MONTH('Input|General'!$G$9),1)</f>
        <v>43252</v>
      </c>
      <c r="L4" s="155">
        <f>DATE(PPFirstYear+2,MONTH('Input|General'!$G$9),1)</f>
        <v>43617</v>
      </c>
      <c r="M4" s="155">
        <f>DATE(PPFirstYear+3,MONTH('Input|General'!$G$9),1)</f>
        <v>43983</v>
      </c>
      <c r="N4" s="155">
        <f>DATE(PPFirstYear+4,MONTH('Input|General'!$G$9),1)</f>
        <v>44348</v>
      </c>
      <c r="O4" s="155">
        <f>DATE(PPFirstYear+5,MONTH('Input|General'!$G$9),1)</f>
        <v>44713</v>
      </c>
      <c r="P4" s="155">
        <f>DATE(PPFirstYear+6,MONTH('Input|General'!$G$9),1)</f>
        <v>45078</v>
      </c>
      <c r="Q4" s="155">
        <f>DATE(PPFirstYear+7,MONTH('Input|General'!$G$9),1)</f>
        <v>45444</v>
      </c>
      <c r="R4" s="155">
        <f>DATE(PPFirstYear+8,MONTH('Input|General'!$G$9),1)</f>
        <v>45809</v>
      </c>
      <c r="S4" s="155">
        <f>DATE(PPFirstYear+9,MONTH('Input|General'!$G$9),1)</f>
        <v>46174</v>
      </c>
      <c r="T4" s="155">
        <f>DATE(PPFirstYear+10,MONTH('Input|General'!$G$9),1)</f>
        <v>46539</v>
      </c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50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>
      <c r="G9" s="32"/>
      <c r="H9" s="32"/>
    </row>
    <row r="10" spans="1:47" outlineLevel="1">
      <c r="C10" s="67" t="s">
        <v>79</v>
      </c>
      <c r="D10" s="32" t="s">
        <v>7</v>
      </c>
      <c r="E10" s="32" t="s">
        <v>8</v>
      </c>
      <c r="F10" s="32" t="s">
        <v>22</v>
      </c>
      <c r="G10" s="32"/>
      <c r="H10" s="32"/>
      <c r="I10" s="162"/>
      <c r="J10" s="162" t="str">
        <f t="shared" ref="J10:T10" si="0">IF(YEAR(J$4)&gt;=FPFirstYear,IF(YEAR(J$4)&lt;=FPLastYear,J$4,""),"")</f>
        <v/>
      </c>
      <c r="K10" s="162" t="str">
        <f t="shared" si="0"/>
        <v/>
      </c>
      <c r="L10" s="162" t="str">
        <f t="shared" si="0"/>
        <v/>
      </c>
      <c r="M10" s="162" t="str">
        <f t="shared" si="0"/>
        <v/>
      </c>
      <c r="N10" s="162" t="str">
        <f t="shared" si="0"/>
        <v/>
      </c>
      <c r="O10" s="162">
        <f t="shared" si="0"/>
        <v>44713</v>
      </c>
      <c r="P10" s="162">
        <f t="shared" si="0"/>
        <v>45078</v>
      </c>
      <c r="Q10" s="162">
        <f t="shared" si="0"/>
        <v>45444</v>
      </c>
      <c r="R10" s="162">
        <f t="shared" si="0"/>
        <v>45809</v>
      </c>
      <c r="S10" s="162">
        <f t="shared" si="0"/>
        <v>46174</v>
      </c>
      <c r="T10" s="162" t="str">
        <f t="shared" si="0"/>
        <v/>
      </c>
    </row>
    <row r="11" spans="1:47" outlineLevel="1">
      <c r="G11" s="32"/>
      <c r="H11" s="32"/>
    </row>
    <row r="12" spans="1:47" outlineLevel="1">
      <c r="C12" s="61"/>
      <c r="D12" s="30" t="s">
        <v>69</v>
      </c>
      <c r="E12" s="150" t="s">
        <v>15</v>
      </c>
      <c r="F12" s="171">
        <v>44348</v>
      </c>
      <c r="G12" s="32"/>
      <c r="H12" s="32"/>
      <c r="J12" s="152"/>
      <c r="K12" s="152"/>
      <c r="L12" s="152"/>
      <c r="M12" s="152"/>
      <c r="N12" s="152"/>
      <c r="O12" s="170"/>
      <c r="P12" s="170"/>
      <c r="Q12" s="170"/>
      <c r="R12" s="170"/>
      <c r="S12" s="170"/>
      <c r="T12" s="170"/>
    </row>
    <row r="13" spans="1:47" outlineLevel="1">
      <c r="C13" s="61"/>
      <c r="D13" s="30" t="s">
        <v>69</v>
      </c>
      <c r="E13" s="150" t="s">
        <v>15</v>
      </c>
      <c r="F13" s="171">
        <v>44348</v>
      </c>
      <c r="G13" s="32"/>
      <c r="H13" s="32"/>
      <c r="J13" s="152"/>
      <c r="K13" s="152"/>
      <c r="L13" s="152"/>
      <c r="M13" s="152"/>
      <c r="N13" s="152"/>
      <c r="O13" s="170"/>
      <c r="P13" s="170"/>
      <c r="Q13" s="170"/>
      <c r="R13" s="170"/>
      <c r="S13" s="170"/>
      <c r="T13" s="170"/>
    </row>
    <row r="14" spans="1:47" outlineLevel="1">
      <c r="C14" s="61"/>
      <c r="D14" s="30" t="s">
        <v>69</v>
      </c>
      <c r="E14" s="150" t="s">
        <v>15</v>
      </c>
      <c r="F14" s="171">
        <v>44348</v>
      </c>
      <c r="G14" s="32"/>
      <c r="H14" s="32"/>
      <c r="J14" s="152"/>
      <c r="K14" s="152"/>
      <c r="L14" s="152"/>
      <c r="M14" s="152"/>
      <c r="N14" s="152"/>
      <c r="O14" s="170"/>
      <c r="P14" s="170"/>
      <c r="Q14" s="170"/>
      <c r="R14" s="170"/>
      <c r="S14" s="170"/>
      <c r="T14" s="170"/>
    </row>
    <row r="15" spans="1:47" outlineLevel="1">
      <c r="C15" s="61"/>
      <c r="D15" s="30" t="s">
        <v>69</v>
      </c>
      <c r="E15" s="150" t="s">
        <v>15</v>
      </c>
      <c r="F15" s="171">
        <v>44348</v>
      </c>
      <c r="G15" s="32"/>
      <c r="H15" s="32"/>
      <c r="J15" s="152"/>
      <c r="K15" s="152"/>
      <c r="L15" s="152"/>
      <c r="M15" s="152"/>
      <c r="N15" s="152"/>
      <c r="O15" s="170"/>
      <c r="P15" s="170"/>
      <c r="Q15" s="170"/>
      <c r="R15" s="170"/>
      <c r="S15" s="170"/>
      <c r="T15" s="170"/>
    </row>
    <row r="16" spans="1:47" outlineLevel="1">
      <c r="C16" s="61"/>
      <c r="D16" s="30" t="s">
        <v>69</v>
      </c>
      <c r="E16" s="150" t="s">
        <v>15</v>
      </c>
      <c r="F16" s="171">
        <v>44348</v>
      </c>
      <c r="G16" s="32"/>
      <c r="H16" s="32"/>
      <c r="J16" s="152"/>
      <c r="K16" s="152"/>
      <c r="L16" s="152"/>
      <c r="M16" s="152"/>
      <c r="N16" s="152"/>
      <c r="O16" s="170"/>
      <c r="P16" s="170"/>
      <c r="Q16" s="170"/>
      <c r="R16" s="170"/>
      <c r="S16" s="170"/>
      <c r="T16" s="170"/>
    </row>
    <row r="17" spans="1:47" outlineLevel="1">
      <c r="C17" s="61"/>
      <c r="D17" s="30" t="s">
        <v>69</v>
      </c>
      <c r="E17" s="150" t="s">
        <v>15</v>
      </c>
      <c r="F17" s="171">
        <v>44348</v>
      </c>
      <c r="G17" s="32"/>
      <c r="H17" s="32"/>
      <c r="J17" s="152"/>
      <c r="K17" s="152"/>
      <c r="L17" s="152"/>
      <c r="M17" s="152"/>
      <c r="N17" s="152"/>
      <c r="O17" s="170"/>
      <c r="P17" s="170"/>
      <c r="Q17" s="170"/>
      <c r="R17" s="170"/>
      <c r="S17" s="170"/>
      <c r="T17" s="170"/>
    </row>
    <row r="18" spans="1:47" outlineLevel="1">
      <c r="C18" s="61"/>
      <c r="D18" s="30" t="s">
        <v>69</v>
      </c>
      <c r="E18" s="150" t="s">
        <v>15</v>
      </c>
      <c r="F18" s="171">
        <v>44348</v>
      </c>
      <c r="G18" s="32"/>
      <c r="H18" s="32"/>
      <c r="J18" s="152"/>
      <c r="K18" s="152"/>
      <c r="L18" s="152"/>
      <c r="M18" s="152"/>
      <c r="N18" s="152"/>
      <c r="O18" s="170"/>
      <c r="P18" s="170"/>
      <c r="Q18" s="170"/>
      <c r="R18" s="170"/>
      <c r="S18" s="170"/>
      <c r="T18" s="170"/>
    </row>
    <row r="19" spans="1:47" outlineLevel="1">
      <c r="C19" s="61"/>
      <c r="D19" s="30" t="s">
        <v>69</v>
      </c>
      <c r="E19" s="150" t="s">
        <v>15</v>
      </c>
      <c r="F19" s="171">
        <v>44348</v>
      </c>
      <c r="G19" s="32"/>
      <c r="H19" s="32"/>
      <c r="J19" s="152"/>
      <c r="K19" s="152"/>
      <c r="L19" s="152"/>
      <c r="M19" s="152"/>
      <c r="N19" s="152"/>
      <c r="O19" s="170"/>
      <c r="P19" s="170"/>
      <c r="Q19" s="170"/>
      <c r="R19" s="170"/>
      <c r="S19" s="170"/>
      <c r="T19" s="170"/>
    </row>
    <row r="20" spans="1:47" outlineLevel="1">
      <c r="C20" s="61"/>
      <c r="D20" s="30" t="s">
        <v>69</v>
      </c>
      <c r="E20" s="150" t="s">
        <v>15</v>
      </c>
      <c r="F20" s="171">
        <v>44348</v>
      </c>
      <c r="G20" s="32"/>
      <c r="H20" s="32"/>
      <c r="J20" s="152"/>
      <c r="K20" s="152"/>
      <c r="L20" s="152"/>
      <c r="M20" s="152"/>
      <c r="N20" s="152"/>
      <c r="O20" s="170"/>
      <c r="P20" s="170"/>
      <c r="Q20" s="170"/>
      <c r="R20" s="170"/>
      <c r="S20" s="170"/>
      <c r="T20" s="170"/>
    </row>
    <row r="21" spans="1:47" outlineLevel="1">
      <c r="G21" s="32"/>
      <c r="H21" s="32"/>
    </row>
    <row r="22" spans="1:47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S22" si="1">IF(J10=J4,IF(COUNTA($C12:$C20)=COUNT(J12:J20),"Ok","Check"),"")</f>
        <v/>
      </c>
      <c r="K22" s="132" t="str">
        <f t="shared" si="1"/>
        <v/>
      </c>
      <c r="L22" s="132" t="str">
        <f t="shared" si="1"/>
        <v/>
      </c>
      <c r="M22" s="132" t="str">
        <f t="shared" si="1"/>
        <v/>
      </c>
      <c r="N22" s="132" t="str">
        <f t="shared" si="1"/>
        <v/>
      </c>
      <c r="O22" s="132" t="str">
        <f t="shared" si="1"/>
        <v>Ok</v>
      </c>
      <c r="P22" s="132" t="str">
        <f t="shared" si="1"/>
        <v>Ok</v>
      </c>
      <c r="Q22" s="132" t="str">
        <f t="shared" si="1"/>
        <v>Ok</v>
      </c>
      <c r="R22" s="132" t="str">
        <f t="shared" si="1"/>
        <v>Ok</v>
      </c>
      <c r="S22" s="132" t="str">
        <f t="shared" si="1"/>
        <v>Ok</v>
      </c>
      <c r="T22" s="132" t="str">
        <f t="shared" ref="T22" si="2">IF(T10=T4,IF(COUNTA($C12:$C20)=COUNT(T12:T20),"Ok","Check"),"")</f>
        <v/>
      </c>
      <c r="U22" s="24"/>
      <c r="W22" s="131" t="str">
        <f>IF(COUNTIF(J22:T22,"Check")=0,"Ok","Check")</f>
        <v>Ok</v>
      </c>
    </row>
    <row r="23" spans="1:47">
      <c r="G23" s="32"/>
      <c r="H23" s="32"/>
    </row>
    <row r="24" spans="1:47" s="103" customFormat="1" ht="12.75">
      <c r="A24" s="94"/>
      <c r="B24" s="95" t="s">
        <v>118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8"/>
      <c r="W24" s="98"/>
      <c r="X24" s="99"/>
      <c r="Y24" s="99"/>
      <c r="Z24" s="99"/>
      <c r="AA24" s="99"/>
      <c r="AB24" s="100"/>
      <c r="AC24" s="101"/>
      <c r="AD24" s="101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</row>
    <row r="25" spans="1:47" outlineLevel="1">
      <c r="G25" s="32"/>
      <c r="H25" s="32"/>
    </row>
    <row r="26" spans="1:47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2" t="str">
        <f t="shared" ref="J26:T26" si="3">IF(YEAR(J$4)&gt;=FPFirstYear,IF(YEAR(J$4)&lt;=FPLastYear,J$4,""),"")</f>
        <v/>
      </c>
      <c r="K26" s="162" t="str">
        <f t="shared" si="3"/>
        <v/>
      </c>
      <c r="L26" s="162" t="str">
        <f t="shared" si="3"/>
        <v/>
      </c>
      <c r="M26" s="162" t="str">
        <f t="shared" si="3"/>
        <v/>
      </c>
      <c r="N26" s="162" t="str">
        <f t="shared" si="3"/>
        <v/>
      </c>
      <c r="O26" s="162">
        <f t="shared" si="3"/>
        <v>44713</v>
      </c>
      <c r="P26" s="162">
        <f t="shared" si="3"/>
        <v>45078</v>
      </c>
      <c r="Q26" s="162">
        <f t="shared" si="3"/>
        <v>45444</v>
      </c>
      <c r="R26" s="162">
        <f t="shared" si="3"/>
        <v>45809</v>
      </c>
      <c r="S26" s="162">
        <f t="shared" si="3"/>
        <v>46174</v>
      </c>
      <c r="T26" s="162" t="str">
        <f t="shared" si="3"/>
        <v/>
      </c>
    </row>
    <row r="27" spans="1:47" outlineLevel="1">
      <c r="G27" s="32"/>
      <c r="H27" s="32"/>
    </row>
    <row r="28" spans="1:47" outlineLevel="1">
      <c r="C28" s="61" t="s">
        <v>192</v>
      </c>
      <c r="D28" s="30" t="s">
        <v>69</v>
      </c>
      <c r="E28" s="150" t="s">
        <v>15</v>
      </c>
      <c r="F28" s="171">
        <v>44348</v>
      </c>
      <c r="G28" s="32"/>
      <c r="H28" s="32"/>
      <c r="J28" s="152"/>
      <c r="K28" s="152"/>
      <c r="L28" s="152"/>
      <c r="M28" s="152"/>
      <c r="N28" s="170"/>
      <c r="O28" s="170">
        <v>0.20456653614457837</v>
      </c>
      <c r="P28" s="170">
        <v>0.35799143825301216</v>
      </c>
      <c r="Q28" s="170">
        <v>0.35799143825301216</v>
      </c>
      <c r="R28" s="170">
        <v>0.10228326807228919</v>
      </c>
      <c r="S28" s="170">
        <v>0.1125115948795181</v>
      </c>
      <c r="T28" s="170"/>
    </row>
    <row r="29" spans="1:47" outlineLevel="1">
      <c r="C29" s="61"/>
      <c r="D29" s="30" t="s">
        <v>69</v>
      </c>
      <c r="E29" s="150" t="s">
        <v>15</v>
      </c>
      <c r="F29" s="171">
        <v>44348</v>
      </c>
      <c r="G29" s="32"/>
      <c r="H29" s="32"/>
      <c r="J29" s="152"/>
      <c r="K29" s="152"/>
      <c r="L29" s="152"/>
      <c r="M29" s="152"/>
      <c r="N29" s="170"/>
      <c r="O29" s="170"/>
      <c r="P29" s="170"/>
      <c r="Q29" s="170"/>
      <c r="R29" s="170"/>
      <c r="S29" s="170"/>
      <c r="T29" s="170"/>
    </row>
    <row r="30" spans="1:47" outlineLevel="1">
      <c r="C30" s="61"/>
      <c r="D30" s="30" t="s">
        <v>69</v>
      </c>
      <c r="E30" s="150" t="s">
        <v>15</v>
      </c>
      <c r="F30" s="171">
        <v>44348</v>
      </c>
      <c r="G30" s="32"/>
      <c r="H30" s="32"/>
      <c r="J30" s="152"/>
      <c r="K30" s="152"/>
      <c r="L30" s="152"/>
      <c r="M30" s="152"/>
      <c r="N30" s="170"/>
      <c r="O30" s="170"/>
      <c r="P30" s="170"/>
      <c r="Q30" s="170"/>
      <c r="R30" s="170"/>
      <c r="S30" s="170"/>
      <c r="T30" s="170"/>
    </row>
    <row r="31" spans="1:47" outlineLevel="1">
      <c r="G31" s="32"/>
      <c r="H31" s="32"/>
    </row>
    <row r="32" spans="1:47" outlineLevel="1">
      <c r="C32" s="29" t="s">
        <v>40</v>
      </c>
      <c r="D32" s="30" t="s">
        <v>98</v>
      </c>
      <c r="E32" s="30" t="s">
        <v>28</v>
      </c>
      <c r="F32" s="30" t="s">
        <v>36</v>
      </c>
      <c r="J32" s="132" t="str">
        <f t="shared" ref="J32:R32" si="4">IF(J26=J4,IF(COUNTA($C28:$C30)=COUNT(J28:J30),"Ok","Check"),"")</f>
        <v/>
      </c>
      <c r="K32" s="132" t="str">
        <f t="shared" si="4"/>
        <v/>
      </c>
      <c r="L32" s="132" t="str">
        <f t="shared" si="4"/>
        <v/>
      </c>
      <c r="M32" s="132" t="str">
        <f t="shared" si="4"/>
        <v/>
      </c>
      <c r="N32" s="132" t="str">
        <f t="shared" si="4"/>
        <v/>
      </c>
      <c r="O32" s="132" t="str">
        <f t="shared" si="4"/>
        <v>Ok</v>
      </c>
      <c r="P32" s="132" t="str">
        <f t="shared" si="4"/>
        <v>Ok</v>
      </c>
      <c r="Q32" s="132" t="str">
        <f t="shared" si="4"/>
        <v>Ok</v>
      </c>
      <c r="R32" s="132" t="str">
        <f t="shared" si="4"/>
        <v>Ok</v>
      </c>
      <c r="S32" s="132" t="str">
        <f>IF(S26=S4,IF(COUNTA($C28:$C30)=COUNT(S28:S30),"Ok","Check"),"")</f>
        <v>Ok</v>
      </c>
      <c r="T32" s="132" t="str">
        <f>IF(T26=T4,IF(COUNTA($C28:$C30)=COUNT(T28:T30),"Ok","Check"),"")</f>
        <v/>
      </c>
      <c r="U32" s="24"/>
      <c r="W32" s="131" t="str">
        <f>IF(COUNTIF(J32:T32,"Check")=0,"Ok","Check")</f>
        <v>Ok</v>
      </c>
    </row>
    <row r="33" spans="1:47">
      <c r="G33" s="32"/>
      <c r="H33" s="32"/>
    </row>
    <row r="34" spans="1:47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8"/>
      <c r="W34" s="98"/>
      <c r="X34" s="99"/>
      <c r="Y34" s="99"/>
      <c r="Z34" s="99"/>
      <c r="AA34" s="99"/>
      <c r="AB34" s="100"/>
      <c r="AC34" s="101"/>
      <c r="AD34" s="101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</row>
    <row r="35" spans="1:47" outlineLevel="1">
      <c r="G35" s="32"/>
      <c r="H35" s="32"/>
    </row>
    <row r="36" spans="1:47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2" t="str">
        <f t="shared" ref="J36:T36" si="5">IF(YEAR(J$4)&gt;=FPFirstYear,IF(YEAR(J$4)&lt;=FPLastYear,J$4,""),"")</f>
        <v/>
      </c>
      <c r="K36" s="162" t="str">
        <f t="shared" si="5"/>
        <v/>
      </c>
      <c r="L36" s="162" t="str">
        <f t="shared" si="5"/>
        <v/>
      </c>
      <c r="M36" s="162" t="str">
        <f t="shared" si="5"/>
        <v/>
      </c>
      <c r="N36" s="162" t="str">
        <f t="shared" si="5"/>
        <v/>
      </c>
      <c r="O36" s="162">
        <f t="shared" si="5"/>
        <v>44713</v>
      </c>
      <c r="P36" s="162">
        <f t="shared" si="5"/>
        <v>45078</v>
      </c>
      <c r="Q36" s="162">
        <f t="shared" si="5"/>
        <v>45444</v>
      </c>
      <c r="R36" s="162">
        <f t="shared" si="5"/>
        <v>45809</v>
      </c>
      <c r="S36" s="162">
        <f t="shared" si="5"/>
        <v>46174</v>
      </c>
      <c r="T36" s="162" t="str">
        <f t="shared" si="5"/>
        <v/>
      </c>
    </row>
    <row r="37" spans="1:47" outlineLevel="1">
      <c r="G37" s="32"/>
      <c r="H37" s="32"/>
    </row>
    <row r="38" spans="1:47" outlineLevel="1">
      <c r="C38" s="111" t="s">
        <v>39</v>
      </c>
      <c r="D38" s="30" t="s">
        <v>72</v>
      </c>
      <c r="E38" s="30" t="s">
        <v>15</v>
      </c>
      <c r="F38" s="210">
        <f>DATE(PPLastYear,MONTH('Input|General'!$G$9),1)</f>
        <v>44348</v>
      </c>
      <c r="G38" s="32"/>
      <c r="H38" s="32"/>
      <c r="J38" s="170"/>
      <c r="K38" s="170"/>
      <c r="L38" s="170"/>
      <c r="M38" s="170"/>
      <c r="N38" s="170"/>
      <c r="O38" s="170">
        <v>6.0904122299079398E-2</v>
      </c>
      <c r="P38" s="170">
        <v>5.9939413968629299E-2</v>
      </c>
      <c r="Q38" s="170">
        <v>5.8735718822766299E-2</v>
      </c>
      <c r="R38" s="170">
        <v>5.7681516891647001E-2</v>
      </c>
      <c r="S38" s="170">
        <v>5.6614512427901303E-2</v>
      </c>
      <c r="T38" s="170"/>
    </row>
    <row r="39" spans="1:47" outlineLevel="1">
      <c r="G39" s="32"/>
      <c r="H39" s="32"/>
    </row>
    <row r="40" spans="1:47" outlineLevel="1">
      <c r="C40" s="29" t="s">
        <v>40</v>
      </c>
      <c r="D40" s="30" t="s">
        <v>98</v>
      </c>
      <c r="E40" s="30" t="s">
        <v>28</v>
      </c>
      <c r="F40" s="30" t="s">
        <v>36</v>
      </c>
      <c r="J40" s="132" t="str">
        <f t="shared" ref="J40:R40" si="6">IF(J36=J4,IF(ISBLANK(J38),"Check","Ok"),"")</f>
        <v/>
      </c>
      <c r="K40" s="132" t="str">
        <f t="shared" si="6"/>
        <v/>
      </c>
      <c r="L40" s="132" t="str">
        <f t="shared" si="6"/>
        <v/>
      </c>
      <c r="M40" s="132" t="str">
        <f t="shared" si="6"/>
        <v/>
      </c>
      <c r="N40" s="132" t="str">
        <f t="shared" si="6"/>
        <v/>
      </c>
      <c r="O40" s="132" t="str">
        <f t="shared" si="6"/>
        <v>Ok</v>
      </c>
      <c r="P40" s="132" t="str">
        <f t="shared" si="6"/>
        <v>Ok</v>
      </c>
      <c r="Q40" s="132" t="str">
        <f t="shared" si="6"/>
        <v>Ok</v>
      </c>
      <c r="R40" s="132" t="str">
        <f t="shared" si="6"/>
        <v>Ok</v>
      </c>
      <c r="S40" s="132" t="str">
        <f>IF(S36=S4,IF(ISBLANK(S38),"Check","Ok"),"")</f>
        <v>Ok</v>
      </c>
      <c r="T40" s="132" t="str">
        <f>IF(T36=T4,IF(ISBLANK(T38),"Check","Ok"),"")</f>
        <v/>
      </c>
      <c r="U40" s="24"/>
      <c r="W40" s="131" t="str">
        <f>IF(COUNTIF(J40:T40,"Check")=0,"Ok","Check")</f>
        <v>Ok</v>
      </c>
    </row>
    <row r="41" spans="1:47">
      <c r="G41" s="32"/>
      <c r="H41" s="32"/>
    </row>
    <row r="42" spans="1:47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8"/>
      <c r="W42" s="98"/>
      <c r="X42" s="99"/>
      <c r="Y42" s="99"/>
      <c r="Z42" s="99"/>
      <c r="AA42" s="99"/>
      <c r="AB42" s="100"/>
      <c r="AC42" s="101"/>
      <c r="AD42" s="101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</row>
    <row r="43" spans="1:47" hidden="1">
      <c r="G43" s="32"/>
      <c r="H43" s="32"/>
    </row>
    <row r="44" spans="1:47" hidden="1">
      <c r="G44" s="32"/>
      <c r="H44" s="32"/>
    </row>
    <row r="45" spans="1:47" hidden="1">
      <c r="G45" s="32"/>
      <c r="H45" s="32"/>
    </row>
    <row r="46" spans="1:47" hidden="1">
      <c r="G46" s="32"/>
      <c r="H46" s="32"/>
    </row>
    <row r="47" spans="1:47" hidden="1">
      <c r="G47" s="32"/>
      <c r="H47" s="32"/>
    </row>
    <row r="48" spans="1:47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">
    <cfRule type="cellIs" dxfId="110" priority="26" operator="equal">
      <formula>"Check"</formula>
    </cfRule>
    <cfRule type="cellIs" dxfId="109" priority="27" operator="equal">
      <formula>"Ok"</formula>
    </cfRule>
  </conditionalFormatting>
  <conditionalFormatting sqref="V1">
    <cfRule type="cellIs" dxfId="108" priority="28" operator="equal">
      <formula>"Check"</formula>
    </cfRule>
    <cfRule type="cellIs" dxfId="107" priority="29" operator="equal">
      <formula>"Ok"</formula>
    </cfRule>
  </conditionalFormatting>
  <conditionalFormatting sqref="J10:T10">
    <cfRule type="expression" dxfId="106" priority="24">
      <formula>J$10=J$4</formula>
    </cfRule>
  </conditionalFormatting>
  <conditionalFormatting sqref="J12:T20">
    <cfRule type="expression" dxfId="105" priority="23">
      <formula>J$10=J$4</formula>
    </cfRule>
  </conditionalFormatting>
  <conditionalFormatting sqref="W22">
    <cfRule type="cellIs" dxfId="104" priority="19" operator="equal">
      <formula>"Check"</formula>
    </cfRule>
    <cfRule type="cellIs" dxfId="103" priority="20" operator="equal">
      <formula>"Ok"</formula>
    </cfRule>
  </conditionalFormatting>
  <conditionalFormatting sqref="J22:T22">
    <cfRule type="cellIs" dxfId="102" priority="17" operator="equal">
      <formula>"Check"</formula>
    </cfRule>
    <cfRule type="cellIs" dxfId="101" priority="18" operator="equal">
      <formula>"Ok"</formula>
    </cfRule>
  </conditionalFormatting>
  <conditionalFormatting sqref="W32">
    <cfRule type="cellIs" dxfId="100" priority="15" operator="equal">
      <formula>"Check"</formula>
    </cfRule>
    <cfRule type="cellIs" dxfId="99" priority="16" operator="equal">
      <formula>"Ok"</formula>
    </cfRule>
  </conditionalFormatting>
  <conditionalFormatting sqref="J32:T32">
    <cfRule type="cellIs" dxfId="98" priority="13" operator="equal">
      <formula>"Check"</formula>
    </cfRule>
    <cfRule type="cellIs" dxfId="97" priority="14" operator="equal">
      <formula>"Ok"</formula>
    </cfRule>
  </conditionalFormatting>
  <conditionalFormatting sqref="J28:M30 O29:T30">
    <cfRule type="expression" dxfId="96" priority="12">
      <formula>J$26=J$4</formula>
    </cfRule>
  </conditionalFormatting>
  <conditionalFormatting sqref="W40">
    <cfRule type="cellIs" dxfId="95" priority="10" operator="equal">
      <formula>"Check"</formula>
    </cfRule>
    <cfRule type="cellIs" dxfId="94" priority="11" operator="equal">
      <formula>"Ok"</formula>
    </cfRule>
  </conditionalFormatting>
  <conditionalFormatting sqref="J40:T40">
    <cfRule type="cellIs" dxfId="93" priority="8" operator="equal">
      <formula>"Check"</formula>
    </cfRule>
    <cfRule type="cellIs" dxfId="92" priority="9" operator="equal">
      <formula>"Ok"</formula>
    </cfRule>
  </conditionalFormatting>
  <conditionalFormatting sqref="O28:T28">
    <cfRule type="expression" dxfId="91" priority="7">
      <formula>O$10=O$4</formula>
    </cfRule>
  </conditionalFormatting>
  <conditionalFormatting sqref="N28:N30">
    <cfRule type="expression" dxfId="90" priority="6">
      <formula>N$10=N$4</formula>
    </cfRule>
  </conditionalFormatting>
  <conditionalFormatting sqref="J38:T38">
    <cfRule type="expression" dxfId="89" priority="3">
      <formula>J$36=J$4</formula>
    </cfRule>
  </conditionalFormatting>
  <conditionalFormatting sqref="J26:T26">
    <cfRule type="expression" dxfId="88" priority="2">
      <formula>J$10=J$4</formula>
    </cfRule>
  </conditionalFormatting>
  <conditionalFormatting sqref="J36:T36">
    <cfRule type="expression" dxfId="87" priority="1">
      <formula>J$10=J$4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U28:U31 I38 U23 I23 U12:U21 I28:I31 U33 I33 U41 I41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'Lookup|Tables'!$C$67:$C$76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F12:F20 F28:F30 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U191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193</v>
      </c>
      <c r="U1" s="187" t="s">
        <v>24</v>
      </c>
      <c r="V1" s="76" t="str">
        <f>'Check|List'!$S$1</f>
        <v>Ok</v>
      </c>
    </row>
    <row r="2" spans="1:47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7" s="80" customFormat="1">
      <c r="C3" s="81"/>
      <c r="D3" s="182"/>
      <c r="E3" s="182"/>
      <c r="F3" s="182"/>
      <c r="G3" s="182"/>
      <c r="H3" s="182"/>
      <c r="I3" s="182"/>
      <c r="J3" s="172" t="s">
        <v>122</v>
      </c>
      <c r="K3" s="172"/>
      <c r="L3" s="172"/>
      <c r="M3" s="182"/>
      <c r="N3" s="221"/>
      <c r="O3" s="221"/>
      <c r="P3" s="221"/>
      <c r="Q3" s="221"/>
      <c r="R3" s="221"/>
      <c r="S3" s="221"/>
      <c r="T3" s="82"/>
      <c r="U3" s="82"/>
      <c r="V3" s="82"/>
      <c r="W3" s="82"/>
      <c r="X3" s="82"/>
      <c r="Y3" s="82"/>
      <c r="Z3" s="82"/>
    </row>
    <row r="4" spans="1:4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42887</v>
      </c>
      <c r="K4" s="155">
        <f>DATE(PPFirstYear+1,MONTH('Input|General'!$G$9),1)</f>
        <v>43252</v>
      </c>
      <c r="L4" s="155">
        <f>DATE(PPFirstYear+2,MONTH('Input|General'!$G$9),1)</f>
        <v>43617</v>
      </c>
      <c r="M4" s="155">
        <f>DATE(PPFirstYear+3,MONTH('Input|General'!$G$9),1)</f>
        <v>43983</v>
      </c>
      <c r="N4" s="155">
        <f>DATE(PPFirstYear+4,MONTH('Input|General'!$G$9),1)</f>
        <v>44348</v>
      </c>
      <c r="O4" s="155">
        <f>DATE(PPFirstYear+5,MONTH('Input|General'!$G$9),1)</f>
        <v>44713</v>
      </c>
      <c r="P4" s="155">
        <f>DATE(PPFirstYear+6,MONTH('Input|General'!$G$9),1)</f>
        <v>45078</v>
      </c>
      <c r="Q4" s="155">
        <f>DATE(PPFirstYear+7,MONTH('Input|General'!$G$9),1)</f>
        <v>45444</v>
      </c>
      <c r="R4" s="155">
        <f>DATE(PPFirstYear+8,MONTH('Input|General'!$G$9),1)</f>
        <v>45809</v>
      </c>
      <c r="S4" s="155">
        <f>DATE(PPFirstYear+9,MONTH('Input|General'!$G$9),1)</f>
        <v>46174</v>
      </c>
      <c r="T4" s="87"/>
      <c r="U4" s="87"/>
      <c r="V4" s="88"/>
      <c r="W4" s="88"/>
    </row>
    <row r="5" spans="1:47" s="27" customFormat="1" ht="3" customHeight="1">
      <c r="D5" s="28"/>
      <c r="E5" s="28"/>
      <c r="F5" s="28"/>
      <c r="G5" s="28"/>
      <c r="H5" s="28"/>
      <c r="I5" s="28"/>
    </row>
    <row r="6" spans="1:47" s="27" customFormat="1" ht="9" customHeight="1">
      <c r="D6" s="28"/>
      <c r="E6" s="28"/>
      <c r="F6" s="28"/>
      <c r="G6" s="28"/>
      <c r="H6" s="28"/>
      <c r="I6" s="28"/>
    </row>
    <row r="7" spans="1:47" s="27" customFormat="1" ht="3" customHeight="1">
      <c r="D7" s="28"/>
      <c r="E7" s="28"/>
      <c r="F7" s="28"/>
      <c r="G7" s="28"/>
      <c r="H7" s="28"/>
      <c r="I7" s="28"/>
    </row>
    <row r="8" spans="1:47" s="103" customFormat="1" ht="12.75">
      <c r="A8" s="94"/>
      <c r="B8" s="95" t="s">
        <v>86</v>
      </c>
      <c r="C8" s="94"/>
      <c r="D8" s="94"/>
      <c r="E8" s="68" t="s">
        <v>15</v>
      </c>
      <c r="F8" s="206">
        <f>DATE(PPLastYear,MONTH('Input|General'!$G$9),1)</f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8"/>
      <c r="W8" s="98"/>
      <c r="X8" s="99"/>
      <c r="Y8" s="99"/>
      <c r="Z8" s="99"/>
      <c r="AA8" s="99"/>
      <c r="AB8" s="100"/>
      <c r="AC8" s="101"/>
      <c r="AD8" s="101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</row>
    <row r="9" spans="1:47" outlineLevel="1"/>
    <row r="10" spans="1:47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2">
        <f t="shared" ref="J10:S10" si="0">IF(YEAR(J$4)&lt;=PPLastYear,J$4,"")</f>
        <v>42887</v>
      </c>
      <c r="K10" s="162">
        <f t="shared" si="0"/>
        <v>43252</v>
      </c>
      <c r="L10" s="162">
        <f t="shared" si="0"/>
        <v>43617</v>
      </c>
      <c r="M10" s="162">
        <f t="shared" si="0"/>
        <v>43983</v>
      </c>
      <c r="N10" s="162">
        <f t="shared" si="0"/>
        <v>44348</v>
      </c>
      <c r="O10" s="162" t="str">
        <f t="shared" si="0"/>
        <v/>
      </c>
      <c r="P10" s="162" t="str">
        <f t="shared" si="0"/>
        <v/>
      </c>
      <c r="Q10" s="162" t="str">
        <f t="shared" si="0"/>
        <v/>
      </c>
      <c r="R10" s="162" t="str">
        <f t="shared" si="0"/>
        <v/>
      </c>
      <c r="S10" s="162" t="str">
        <f t="shared" si="0"/>
        <v/>
      </c>
    </row>
    <row r="11" spans="1:47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</row>
    <row r="12" spans="1:47" outlineLevel="1">
      <c r="C12" s="106" t="s">
        <v>164</v>
      </c>
      <c r="D12" s="108" t="s">
        <v>92</v>
      </c>
      <c r="E12" s="30" t="str">
        <f>'Input|Reported opex'!E56</f>
        <v>$millions</v>
      </c>
      <c r="F12" s="160" t="str">
        <f>'Input|Reported opex'!F56</f>
        <v>nominal</v>
      </c>
      <c r="J12" s="109">
        <f>IF(YEAR(J$4)=BaseYear,'Input|Reported opex'!J47,0)</f>
        <v>0</v>
      </c>
      <c r="K12" s="109">
        <f>IF(YEAR(K$4)=BaseYear,'Input|Reported opex'!K47,0)</f>
        <v>11.748571738152711</v>
      </c>
      <c r="L12" s="109">
        <f>IF(YEAR(L$4)=BaseYear,'Input|Reported opex'!L47,0)</f>
        <v>0</v>
      </c>
      <c r="M12" s="109">
        <f>IF(YEAR(M$4)=BaseYear,'Input|Reported opex'!M47,0)</f>
        <v>0</v>
      </c>
      <c r="N12" s="109">
        <f>IF(YEAR(N$4)=BaseYear,'Input|Reported opex'!N47,0)</f>
        <v>0</v>
      </c>
      <c r="O12" s="109">
        <f>IF(YEAR(O$4)=BaseYear,'Input|Reported opex'!O47,0)</f>
        <v>0</v>
      </c>
      <c r="P12" s="109">
        <f>IF(YEAR(P$4)=BaseYear,'Input|Reported opex'!P47,0)</f>
        <v>0</v>
      </c>
      <c r="Q12" s="109">
        <f>IF(YEAR(Q$4)=BaseYear,'Input|Reported opex'!Q47,0)</f>
        <v>0</v>
      </c>
      <c r="R12" s="109">
        <f>IF(YEAR(R$4)=BaseYear,'Input|Reported opex'!R47,0)</f>
        <v>0</v>
      </c>
      <c r="S12" s="109">
        <f>IF(YEAR(S$4)=BaseYear,'Input|Reported opex'!S47,0)</f>
        <v>0</v>
      </c>
    </row>
    <row r="13" spans="1:47" outlineLevel="1">
      <c r="C13" s="106" t="s">
        <v>164</v>
      </c>
      <c r="D13" s="110" t="s">
        <v>30</v>
      </c>
      <c r="E13" s="30" t="str">
        <f>$E$8</f>
        <v>$millions</v>
      </c>
      <c r="F13" s="160">
        <f>$F$8</f>
        <v>44348</v>
      </c>
      <c r="J13" s="109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109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12.377567119928781</v>
      </c>
      <c r="L13" s="109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M13" s="109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109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109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109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109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109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109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47" outlineLevel="1">
      <c r="C14" s="111" t="s">
        <v>165</v>
      </c>
      <c r="D14" s="108" t="s">
        <v>92</v>
      </c>
      <c r="E14" s="30" t="str">
        <f>'Input|Reported opex'!E15</f>
        <v>$millions</v>
      </c>
      <c r="F14" s="160">
        <f>'Input|Reported opex'!F15</f>
        <v>42522</v>
      </c>
      <c r="J14" s="109">
        <f>IF(YEAR(J$4)=BaseYear,'Input|Reported opex'!J15,0)</f>
        <v>0</v>
      </c>
      <c r="K14" s="109">
        <f>IF(YEAR(K$4)=BaseYear,'Input|Reported opex'!K15,0)</f>
        <v>12.963992941602271</v>
      </c>
      <c r="L14" s="109">
        <f>IF(YEAR(L$4)=BaseYear,'Input|Reported opex'!L15,0)</f>
        <v>0</v>
      </c>
      <c r="M14" s="109">
        <f>IF(YEAR(M$4)=BaseYear,'Input|Reported opex'!M15,0)</f>
        <v>0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</row>
    <row r="15" spans="1:47" outlineLevel="1">
      <c r="C15" s="111" t="s">
        <v>165</v>
      </c>
      <c r="D15" s="110" t="s">
        <v>30</v>
      </c>
      <c r="E15" s="30" t="str">
        <f>$E$8</f>
        <v>$millions</v>
      </c>
      <c r="F15" s="160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14.066051715422461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47" outlineLevel="1">
      <c r="C16" s="111" t="s">
        <v>166</v>
      </c>
      <c r="D16" s="108" t="s">
        <v>92</v>
      </c>
      <c r="E16" s="30" t="str">
        <f>'Input|Reported opex'!E15</f>
        <v>$millions</v>
      </c>
      <c r="F16" s="160">
        <f>'Input|Reported opex'!F15</f>
        <v>42522</v>
      </c>
      <c r="J16" s="109">
        <f>IF(YEAR(J$4)=PPLastYear,'Input|Reported opex'!J15,0)</f>
        <v>0</v>
      </c>
      <c r="K16" s="109">
        <f>IF(YEAR(K$4)=PPLastYear,'Input|Reported opex'!K15,0)</f>
        <v>0</v>
      </c>
      <c r="L16" s="109">
        <f>IF(YEAR(L$4)=PPLastYear,'Input|Reported opex'!L15,0)</f>
        <v>0</v>
      </c>
      <c r="M16" s="109">
        <f>IF(YEAR(M$4)=PPLastYear,'Input|Reported opex'!M15,0)</f>
        <v>0</v>
      </c>
      <c r="N16" s="109">
        <f>IF(YEAR(N$4)=PPLastYear,'Input|Reported opex'!N15,0)</f>
        <v>12.355533399474199</v>
      </c>
      <c r="O16" s="109">
        <f>IF(YEAR(O$4)=PPLastYear,'Input|Reported opex'!O15,0)</f>
        <v>0</v>
      </c>
      <c r="P16" s="109">
        <f>IF(YEAR(P$4)=PPLastYear,'Input|Reported opex'!P15,0)</f>
        <v>0</v>
      </c>
      <c r="Q16" s="109">
        <f>IF(YEAR(Q$4)=PPLastYear,'Input|Reported opex'!Q15,0)</f>
        <v>0</v>
      </c>
      <c r="R16" s="109">
        <f>IF(YEAR(R$4)=PPLastYear,'Input|Reported opex'!R15,0)</f>
        <v>0</v>
      </c>
      <c r="S16" s="109">
        <f>IF(YEAR(S$4)=PPLastYear,'Input|Reported opex'!S15,0)</f>
        <v>0</v>
      </c>
    </row>
    <row r="17" spans="3:19" outlineLevel="1">
      <c r="C17" s="111" t="s">
        <v>166</v>
      </c>
      <c r="D17" s="110" t="s">
        <v>30</v>
      </c>
      <c r="E17" s="30" t="str">
        <f>$E$8</f>
        <v>$millions</v>
      </c>
      <c r="F17" s="160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13.405867509455287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19" outlineLevel="1">
      <c r="C18" s="111"/>
      <c r="D18" s="110"/>
      <c r="F18" s="160"/>
      <c r="J18" s="109"/>
      <c r="K18" s="109"/>
      <c r="L18" s="109"/>
      <c r="M18" s="109"/>
      <c r="N18" s="109"/>
      <c r="O18" s="109"/>
      <c r="P18" s="109"/>
      <c r="Q18" s="109"/>
      <c r="R18" s="109"/>
      <c r="S18" s="109"/>
    </row>
    <row r="19" spans="3:19" outlineLevel="1">
      <c r="C19" s="106" t="s">
        <v>167</v>
      </c>
      <c r="D19" s="108" t="s">
        <v>92</v>
      </c>
      <c r="E19" s="30" t="str">
        <f>'Input|Reported opex'!E63</f>
        <v>$millions</v>
      </c>
      <c r="F19" s="160" t="str">
        <f>'Input|Reported opex'!F56</f>
        <v>nominal</v>
      </c>
      <c r="J19" s="109">
        <f>IF(YEAR(J$4)=BaseYear,'Input|Reported opex'!J56,0)</f>
        <v>0</v>
      </c>
      <c r="K19" s="109">
        <f>IF(YEAR(K$4)=BaseYear,'Input|Reported opex'!K56,0)</f>
        <v>1.6640421467017705</v>
      </c>
      <c r="L19" s="109">
        <f>IF(YEAR(L$4)=BaseYear,'Input|Reported opex'!L56,0)</f>
        <v>0</v>
      </c>
      <c r="M19" s="109">
        <f>IF(YEAR(M$4)=BaseYear,'Input|Reported opex'!M56,0)</f>
        <v>0</v>
      </c>
      <c r="N19" s="109">
        <f>IF(YEAR(N$4)=BaseYear,'Input|Reported opex'!N56,0)</f>
        <v>0</v>
      </c>
      <c r="O19" s="109">
        <f>IF(YEAR(O$4)=BaseYear,'Input|Reported opex'!O56,0)</f>
        <v>0</v>
      </c>
      <c r="P19" s="109">
        <f>IF(YEAR(P$4)=BaseYear,'Input|Reported opex'!P56,0)</f>
        <v>0</v>
      </c>
      <c r="Q19" s="109">
        <f>IF(YEAR(Q$4)=BaseYear,'Input|Reported opex'!Q56,0)</f>
        <v>0</v>
      </c>
      <c r="R19" s="109">
        <f>IF(YEAR(R$4)=BaseYear,'Input|Reported opex'!R56,0)</f>
        <v>0</v>
      </c>
      <c r="S19" s="109">
        <f>IF(YEAR(S$4)=BaseYear,'Input|Reported opex'!S56,0)</f>
        <v>0</v>
      </c>
    </row>
    <row r="20" spans="3:19" outlineLevel="1">
      <c r="C20" s="106" t="s">
        <v>167</v>
      </c>
      <c r="D20" s="110" t="s">
        <v>30</v>
      </c>
      <c r="E20" s="30" t="str">
        <f>$E$8</f>
        <v>$millions</v>
      </c>
      <c r="F20" s="160">
        <f>$F$8</f>
        <v>44348</v>
      </c>
      <c r="J20" s="109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109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1.7531316844501881</v>
      </c>
      <c r="L20" s="109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M20" s="109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109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109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109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109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109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109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19" outlineLevel="1">
      <c r="C21" s="111" t="s">
        <v>168</v>
      </c>
      <c r="D21" s="108" t="s">
        <v>92</v>
      </c>
      <c r="E21" s="30" t="str">
        <f>'Input|Reported opex'!E22</f>
        <v>$millions</v>
      </c>
      <c r="F21" s="160">
        <f>'Input|Reported opex'!F29</f>
        <v>42522</v>
      </c>
      <c r="J21" s="109">
        <f>IF(YEAR(J$4)=BaseYear,'Input|Reported opex'!J29,0)</f>
        <v>0</v>
      </c>
      <c r="K21" s="109">
        <f>IF(YEAR(K$4)=BaseYear,'Input|Reported opex'!K29,0)</f>
        <v>1.3321103519900104</v>
      </c>
      <c r="L21" s="109">
        <f>IF(YEAR(L$4)=BaseYear,'Input|Reported opex'!L29,0)</f>
        <v>0</v>
      </c>
      <c r="M21" s="109">
        <f>IF(YEAR(M$4)=BaseYear,'Input|Reported opex'!M29,0)</f>
        <v>0</v>
      </c>
      <c r="N21" s="109">
        <f>IF(YEAR(N$4)=BaseYear,'Input|Reported opex'!N29,0)</f>
        <v>0</v>
      </c>
      <c r="O21" s="109">
        <f>IF(YEAR(O$4)=BaseYear,'Input|Reported opex'!O29,0)</f>
        <v>0</v>
      </c>
      <c r="P21" s="109">
        <f>IF(YEAR(P$4)=BaseYear,'Input|Reported opex'!P29,0)</f>
        <v>0</v>
      </c>
      <c r="Q21" s="109">
        <f>IF(YEAR(Q$4)=BaseYear,'Input|Reported opex'!Q29,0)</f>
        <v>0</v>
      </c>
      <c r="R21" s="109">
        <f>IF(YEAR(R$4)=BaseYear,'Input|Reported opex'!R29,0)</f>
        <v>0</v>
      </c>
      <c r="S21" s="109">
        <f>IF(YEAR(S$4)=BaseYear,'Input|Reported opex'!S29,0)</f>
        <v>0</v>
      </c>
    </row>
    <row r="22" spans="3:19" outlineLevel="1">
      <c r="C22" s="111" t="s">
        <v>168</v>
      </c>
      <c r="D22" s="110" t="s">
        <v>30</v>
      </c>
      <c r="E22" s="30" t="str">
        <f>$E$8</f>
        <v>$millions</v>
      </c>
      <c r="F22" s="160">
        <f>$F$8</f>
        <v>44348</v>
      </c>
      <c r="J22" s="109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109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1.4453519981186644</v>
      </c>
      <c r="L22" s="109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M22" s="109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109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109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109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109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109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109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19" outlineLevel="1">
      <c r="C23" s="111" t="s">
        <v>169</v>
      </c>
      <c r="D23" s="108" t="s">
        <v>92</v>
      </c>
      <c r="E23" s="30" t="str">
        <f>'Input|Reported opex'!E22</f>
        <v>$millions</v>
      </c>
      <c r="F23" s="160">
        <f>'Input|Reported opex'!F29</f>
        <v>42522</v>
      </c>
      <c r="J23" s="109">
        <f>IF(YEAR(J$4)=PPLastYear,'Input|Reported opex'!J29,0)</f>
        <v>0</v>
      </c>
      <c r="K23" s="109">
        <f>IF(YEAR(K$4)=PPLastYear,'Input|Reported opex'!K29,0)</f>
        <v>0</v>
      </c>
      <c r="L23" s="109">
        <f>IF(YEAR(L$4)=PPLastYear,'Input|Reported opex'!L29,0)</f>
        <v>0</v>
      </c>
      <c r="M23" s="109">
        <f>IF(YEAR(M$4)=PPLastYear,'Input|Reported opex'!M29,0)</f>
        <v>0</v>
      </c>
      <c r="N23" s="109">
        <f>IF(YEAR(N$4)=PPLastYear,'Input|Reported opex'!N29,0)</f>
        <v>0.47495932689083403</v>
      </c>
      <c r="O23" s="109">
        <f>IF(YEAR(O$4)=PPLastYear,'Input|Reported opex'!O29,0)</f>
        <v>0</v>
      </c>
      <c r="P23" s="109">
        <f>IF(YEAR(P$4)=PPLastYear,'Input|Reported opex'!P29,0)</f>
        <v>0</v>
      </c>
      <c r="Q23" s="109">
        <f>IF(YEAR(Q$4)=PPLastYear,'Input|Reported opex'!Q29,0)</f>
        <v>0</v>
      </c>
      <c r="R23" s="109">
        <f>IF(YEAR(R$4)=PPLastYear,'Input|Reported opex'!R29,0)</f>
        <v>0</v>
      </c>
      <c r="S23" s="109">
        <f>IF(YEAR(S$4)=PPLastYear,'Input|Reported opex'!S29,0)</f>
        <v>0</v>
      </c>
    </row>
    <row r="24" spans="3:19" outlineLevel="1">
      <c r="C24" s="111" t="s">
        <v>169</v>
      </c>
      <c r="D24" s="110" t="s">
        <v>30</v>
      </c>
      <c r="E24" s="30" t="str">
        <f>$E$8</f>
        <v>$millions</v>
      </c>
      <c r="F24" s="160">
        <f>$F$8</f>
        <v>44348</v>
      </c>
      <c r="J24" s="109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109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109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109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109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0.51533524315101997</v>
      </c>
      <c r="O24" s="109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109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109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109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109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19" outlineLevel="1">
      <c r="C25" s="111"/>
      <c r="F25" s="112"/>
      <c r="J25" s="173"/>
      <c r="K25" s="173"/>
      <c r="L25" s="173"/>
      <c r="M25" s="173"/>
      <c r="N25" s="173"/>
      <c r="O25" s="173"/>
      <c r="P25" s="173"/>
      <c r="Q25" s="173"/>
      <c r="R25" s="173"/>
      <c r="S25" s="173"/>
    </row>
    <row r="26" spans="3:19" outlineLevel="1">
      <c r="C26" s="113" t="s">
        <v>140</v>
      </c>
      <c r="D26" s="114" t="s">
        <v>30</v>
      </c>
      <c r="E26" s="114" t="str">
        <f>$E$8</f>
        <v>$millions</v>
      </c>
      <c r="F26" s="160">
        <f>$F$8</f>
        <v>44348</v>
      </c>
      <c r="J26" s="115">
        <f ca="1">J13</f>
        <v>0</v>
      </c>
      <c r="K26" s="115">
        <f t="shared" ref="K26:S26" ca="1" si="1">K13</f>
        <v>12.377567119928781</v>
      </c>
      <c r="L26" s="115">
        <f t="shared" ca="1" si="1"/>
        <v>0</v>
      </c>
      <c r="M26" s="115">
        <f t="shared" ca="1" si="1"/>
        <v>0</v>
      </c>
      <c r="N26" s="115">
        <f t="shared" ca="1" si="1"/>
        <v>0</v>
      </c>
      <c r="O26" s="115">
        <f t="shared" ca="1" si="1"/>
        <v>0</v>
      </c>
      <c r="P26" s="115">
        <f t="shared" ca="1" si="1"/>
        <v>0</v>
      </c>
      <c r="Q26" s="115">
        <f t="shared" ca="1" si="1"/>
        <v>0</v>
      </c>
      <c r="R26" s="115">
        <f t="shared" ca="1" si="1"/>
        <v>0</v>
      </c>
      <c r="S26" s="115">
        <f t="shared" ca="1" si="1"/>
        <v>0</v>
      </c>
    </row>
    <row r="27" spans="3:19" outlineLevel="1">
      <c r="C27" s="123"/>
      <c r="D27" s="110"/>
      <c r="E27" s="110"/>
      <c r="F27" s="160"/>
      <c r="J27" s="115"/>
      <c r="K27" s="115"/>
      <c r="L27" s="115"/>
      <c r="M27" s="115"/>
      <c r="N27" s="115"/>
      <c r="O27" s="115"/>
      <c r="P27" s="115"/>
      <c r="Q27" s="115"/>
      <c r="R27" s="115"/>
      <c r="S27" s="115"/>
    </row>
    <row r="28" spans="3:19" outlineLevel="1">
      <c r="C28" s="123" t="s">
        <v>162</v>
      </c>
      <c r="D28" s="108" t="s">
        <v>92</v>
      </c>
      <c r="E28" s="110" t="str">
        <f>'Input|Reported opex'!E68</f>
        <v>$millions</v>
      </c>
      <c r="F28" s="160">
        <f>'Input|Reported opex'!F68</f>
        <v>44348</v>
      </c>
      <c r="J28" s="115">
        <f>IF('Input|Reported opex'!J$60='Input|Reported opex'!J$10,'Input|Reported opex'!J68,0)</f>
        <v>0</v>
      </c>
      <c r="K28" s="115">
        <f>IF('Input|Reported opex'!K$60='Input|Reported opex'!K$10,'Input|Reported opex'!K68,0)</f>
        <v>0</v>
      </c>
      <c r="L28" s="115">
        <f>IF('Input|Reported opex'!L$60='Input|Reported opex'!L$10,'Input|Reported opex'!L68,0)</f>
        <v>0</v>
      </c>
      <c r="M28" s="115">
        <f>IF('Input|Reported opex'!M$60='Input|Reported opex'!M$10,'Input|Reported opex'!M68,0)</f>
        <v>0</v>
      </c>
      <c r="N28" s="115">
        <f>IF('Input|Reported opex'!N$60='Input|Reported opex'!N$10,'Input|Reported opex'!N68,0)</f>
        <v>0</v>
      </c>
      <c r="O28" s="115">
        <f>IF('Input|Reported opex'!O$60='Input|Reported opex'!O$10,'Input|Reported opex'!O68,0)</f>
        <v>0</v>
      </c>
      <c r="P28" s="115">
        <f>IF('Input|Reported opex'!P$60='Input|Reported opex'!P$10,'Input|Reported opex'!P68,0)</f>
        <v>0</v>
      </c>
      <c r="Q28" s="115">
        <f>IF('Input|Reported opex'!Q$60='Input|Reported opex'!Q$10,'Input|Reported opex'!Q68,0)</f>
        <v>0</v>
      </c>
      <c r="R28" s="115">
        <f>IF('Input|Reported opex'!R$60='Input|Reported opex'!R$10,'Input|Reported opex'!R68,0)</f>
        <v>0</v>
      </c>
      <c r="S28" s="115">
        <f>IF('Input|Reported opex'!S$60='Input|Reported opex'!S$10,'Input|Reported opex'!S68,0)</f>
        <v>0</v>
      </c>
    </row>
    <row r="29" spans="3:19" outlineLevel="1">
      <c r="C29" s="123" t="str">
        <f>C28</f>
        <v>Add back non-recurrent efficiency gains in the base year</v>
      </c>
      <c r="D29" s="110" t="s">
        <v>30</v>
      </c>
      <c r="E29" s="110" t="str">
        <f>$E$8</f>
        <v>$millions</v>
      </c>
      <c r="F29" s="160">
        <f>$F$8</f>
        <v>44348</v>
      </c>
      <c r="J29" s="115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115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115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115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115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115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115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115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115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115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19" outlineLevel="1">
      <c r="C30" s="123"/>
      <c r="D30" s="110"/>
      <c r="E30" s="110"/>
      <c r="F30" s="160"/>
      <c r="J30" s="115"/>
      <c r="K30" s="115"/>
      <c r="L30" s="115"/>
      <c r="M30" s="115"/>
      <c r="N30" s="115"/>
      <c r="O30" s="115"/>
      <c r="P30" s="115"/>
      <c r="Q30" s="115"/>
      <c r="R30" s="115"/>
      <c r="S30" s="115"/>
    </row>
    <row r="31" spans="3:19" outlineLevel="1">
      <c r="C31" s="123" t="s">
        <v>160</v>
      </c>
      <c r="D31" s="110" t="s">
        <v>30</v>
      </c>
      <c r="E31" s="110" t="str">
        <f>$E$8</f>
        <v>$millions</v>
      </c>
      <c r="F31" s="160">
        <f>$F$8</f>
        <v>44348</v>
      </c>
      <c r="G31" s="110"/>
      <c r="H31" s="110"/>
      <c r="I31" s="110"/>
      <c r="J31" s="177">
        <f t="shared" ref="J31:S31" si="2">IF(YEAR(J$4)=PPLastYear,-SUM($J15:$S15)+SUM($J17:$S17),0)</f>
        <v>0</v>
      </c>
      <c r="K31" s="177">
        <f t="shared" si="2"/>
        <v>0</v>
      </c>
      <c r="L31" s="177">
        <f t="shared" si="2"/>
        <v>0</v>
      </c>
      <c r="M31" s="177">
        <f t="shared" si="2"/>
        <v>0</v>
      </c>
      <c r="N31" s="177">
        <f t="shared" si="2"/>
        <v>-0.6601842059671732</v>
      </c>
      <c r="O31" s="177">
        <f t="shared" si="2"/>
        <v>0</v>
      </c>
      <c r="P31" s="177">
        <f t="shared" si="2"/>
        <v>0</v>
      </c>
      <c r="Q31" s="177">
        <f t="shared" si="2"/>
        <v>0</v>
      </c>
      <c r="R31" s="177">
        <f t="shared" si="2"/>
        <v>0</v>
      </c>
      <c r="S31" s="177">
        <f t="shared" si="2"/>
        <v>0</v>
      </c>
    </row>
    <row r="32" spans="3:19" outlineLevel="1">
      <c r="C32" s="123"/>
      <c r="D32" s="110"/>
      <c r="E32" s="110"/>
      <c r="F32" s="160"/>
      <c r="G32" s="110"/>
      <c r="H32" s="110"/>
      <c r="I32" s="110"/>
      <c r="J32" s="177"/>
      <c r="K32" s="177"/>
      <c r="L32" s="177"/>
      <c r="M32" s="177"/>
      <c r="N32" s="177"/>
      <c r="O32" s="177"/>
      <c r="P32" s="177"/>
      <c r="Q32" s="177"/>
      <c r="R32" s="177"/>
      <c r="S32" s="177"/>
    </row>
    <row r="33" spans="3:19" outlineLevel="1">
      <c r="C33" s="123" t="s">
        <v>105</v>
      </c>
      <c r="D33" s="110" t="s">
        <v>30</v>
      </c>
      <c r="E33" s="110" t="str">
        <f>$E$8</f>
        <v>$millions</v>
      </c>
      <c r="F33" s="160">
        <f>$F$8</f>
        <v>44348</v>
      </c>
      <c r="J33" s="177">
        <f t="shared" ref="J33:S33" si="3">IF(YEAR(J$4)=PPLastYear,SUM($J26:$S26,$J29:$S29,$J31:$S31),0)</f>
        <v>0</v>
      </c>
      <c r="K33" s="177">
        <f t="shared" si="3"/>
        <v>0</v>
      </c>
      <c r="L33" s="177">
        <f t="shared" si="3"/>
        <v>0</v>
      </c>
      <c r="M33" s="177">
        <f t="shared" si="3"/>
        <v>0</v>
      </c>
      <c r="N33" s="177">
        <f t="shared" ca="1" si="3"/>
        <v>11.717382913961607</v>
      </c>
      <c r="O33" s="177">
        <f t="shared" si="3"/>
        <v>0</v>
      </c>
      <c r="P33" s="177">
        <f t="shared" si="3"/>
        <v>0</v>
      </c>
      <c r="Q33" s="177">
        <f t="shared" si="3"/>
        <v>0</v>
      </c>
      <c r="R33" s="177">
        <f t="shared" si="3"/>
        <v>0</v>
      </c>
      <c r="S33" s="177">
        <f t="shared" si="3"/>
        <v>0</v>
      </c>
    </row>
    <row r="34" spans="3:19" outlineLevel="1">
      <c r="C34" s="123"/>
      <c r="D34" s="110"/>
      <c r="E34" s="110"/>
      <c r="F34" s="160"/>
      <c r="J34" s="177"/>
      <c r="K34" s="177"/>
      <c r="L34" s="177"/>
      <c r="M34" s="177"/>
      <c r="N34" s="177"/>
      <c r="O34" s="177"/>
      <c r="P34" s="177"/>
      <c r="Q34" s="177"/>
      <c r="R34" s="177"/>
      <c r="S34" s="177"/>
    </row>
    <row r="35" spans="3:19" outlineLevel="1">
      <c r="C35" s="123" t="s">
        <v>170</v>
      </c>
      <c r="D35" s="110" t="s">
        <v>30</v>
      </c>
      <c r="E35" s="110" t="str">
        <f>$E$8</f>
        <v>$millions</v>
      </c>
      <c r="F35" s="160">
        <f>$F$8</f>
        <v>44348</v>
      </c>
      <c r="J35" s="115">
        <f t="shared" ref="J35:S35" si="4">IF(YEAR(J$4)=PPLastYear,-(SUM($J20:$S20)-SUM($J22:$S22)+SUM($J24:$S24)),0)</f>
        <v>0</v>
      </c>
      <c r="K35" s="115">
        <f t="shared" si="4"/>
        <v>0</v>
      </c>
      <c r="L35" s="115">
        <f t="shared" si="4"/>
        <v>0</v>
      </c>
      <c r="M35" s="115">
        <f t="shared" si="4"/>
        <v>0</v>
      </c>
      <c r="N35" s="115">
        <f t="shared" si="4"/>
        <v>-0.82311492948254361</v>
      </c>
      <c r="O35" s="115">
        <f t="shared" si="4"/>
        <v>0</v>
      </c>
      <c r="P35" s="115">
        <f t="shared" si="4"/>
        <v>0</v>
      </c>
      <c r="Q35" s="115">
        <f t="shared" si="4"/>
        <v>0</v>
      </c>
      <c r="R35" s="115">
        <f t="shared" si="4"/>
        <v>0</v>
      </c>
      <c r="S35" s="115">
        <f t="shared" si="4"/>
        <v>0</v>
      </c>
    </row>
    <row r="36" spans="3:19" outlineLevel="1">
      <c r="C36" s="123"/>
      <c r="D36" s="110"/>
      <c r="E36" s="110"/>
      <c r="F36" s="160"/>
      <c r="J36" s="115"/>
      <c r="K36" s="115"/>
      <c r="L36" s="115"/>
      <c r="M36" s="115"/>
      <c r="N36" s="115"/>
      <c r="O36" s="115"/>
      <c r="P36" s="115"/>
      <c r="Q36" s="115"/>
      <c r="R36" s="115"/>
      <c r="S36" s="115"/>
    </row>
    <row r="37" spans="3:19" outlineLevel="1">
      <c r="C37" s="123" t="str">
        <f>'Input|Reported opex'!$C$62</f>
        <v>Remove lease costs to be capitalised</v>
      </c>
      <c r="D37" s="108" t="s">
        <v>92</v>
      </c>
      <c r="E37" s="110" t="str">
        <f>'Input|Reported opex'!E62</f>
        <v>$millions</v>
      </c>
      <c r="F37" s="160">
        <f>'Input|Reported opex'!F62</f>
        <v>44348</v>
      </c>
      <c r="J37" s="109">
        <f>IF(YEAR(J$4)=PPLastYear,'Input|Reported opex'!J62,0)</f>
        <v>0</v>
      </c>
      <c r="K37" s="109">
        <f>IF(YEAR(K$4)=PPLastYear,'Input|Reported opex'!K62,0)</f>
        <v>0</v>
      </c>
      <c r="L37" s="109">
        <f>IF(YEAR(L$4)=PPLastYear,'Input|Reported opex'!L62,0)</f>
        <v>0</v>
      </c>
      <c r="M37" s="109">
        <f>IF(YEAR(M$4)=PPLastYear,'Input|Reported opex'!M62,0)</f>
        <v>0</v>
      </c>
      <c r="N37" s="109">
        <f>IF(YEAR(N$4)=PPLastYear,'Input|Reported opex'!N62,0)</f>
        <v>-0.43688981020776013</v>
      </c>
      <c r="O37" s="109">
        <f>IF(YEAR(O$4)=PPLastYear,'Input|Reported opex'!O62,0)</f>
        <v>0</v>
      </c>
      <c r="P37" s="109">
        <f>IF(YEAR(P$4)=PPLastYear,'Input|Reported opex'!P62,0)</f>
        <v>0</v>
      </c>
      <c r="Q37" s="109">
        <f>IF(YEAR(Q$4)=PPLastYear,'Input|Reported opex'!Q62,0)</f>
        <v>0</v>
      </c>
      <c r="R37" s="109">
        <f>IF(YEAR(R$4)=PPLastYear,'Input|Reported opex'!R62,0)</f>
        <v>0</v>
      </c>
      <c r="S37" s="109">
        <f>IF(YEAR(S$4)=PPLastYear,'Input|Reported opex'!S62,0)</f>
        <v>0</v>
      </c>
    </row>
    <row r="38" spans="3:19" outlineLevel="1">
      <c r="C38" s="123" t="str">
        <f>C37</f>
        <v>Remove lease costs to be capitalised</v>
      </c>
      <c r="D38" s="110" t="s">
        <v>30</v>
      </c>
      <c r="E38" s="30" t="str">
        <f>$E$8</f>
        <v>$millions</v>
      </c>
      <c r="F38" s="160">
        <f>$F$8</f>
        <v>44348</v>
      </c>
      <c r="J38" s="115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115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115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115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115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-0.43688981020776013</v>
      </c>
      <c r="O38" s="115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115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115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115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115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19" outlineLevel="1">
      <c r="C39" s="123"/>
      <c r="D39" s="110"/>
      <c r="F39" s="160"/>
      <c r="J39" s="115"/>
      <c r="K39" s="115"/>
      <c r="L39" s="115"/>
      <c r="M39" s="115"/>
      <c r="N39" s="115"/>
      <c r="O39" s="115"/>
      <c r="P39" s="115"/>
      <c r="Q39" s="115"/>
      <c r="R39" s="109"/>
      <c r="S39" s="109"/>
    </row>
    <row r="40" spans="3:19" outlineLevel="1">
      <c r="C40" s="123" t="str">
        <f>'Input|Reported opex'!$C$63</f>
        <v>Adjustment 2</v>
      </c>
      <c r="D40" s="108" t="s">
        <v>92</v>
      </c>
      <c r="E40" s="30" t="str">
        <f>'Input|Reported opex'!$E$63</f>
        <v>$millions</v>
      </c>
      <c r="F40" s="160">
        <f>'Input|Reported opex'!$F$63</f>
        <v>44348</v>
      </c>
      <c r="J40" s="109">
        <f>IF(YEAR(J$4)=PPLastYear,'Input|Reported opex'!J63,0)</f>
        <v>0</v>
      </c>
      <c r="K40" s="109">
        <f>IF(YEAR(K$4)=PPLastYear,'Input|Reported opex'!K63,0)</f>
        <v>0</v>
      </c>
      <c r="L40" s="109">
        <f>IF(YEAR(L$4)=PPLastYear,'Input|Reported opex'!L63,0)</f>
        <v>0</v>
      </c>
      <c r="M40" s="109">
        <f>IF(YEAR(M$4)=PPLastYear,'Input|Reported opex'!M63,0)</f>
        <v>0</v>
      </c>
      <c r="N40" s="109">
        <f>IF(YEAR(N$4)=PPLastYear,'Input|Reported opex'!N63,0)</f>
        <v>0</v>
      </c>
      <c r="O40" s="109">
        <f>IF(YEAR(O$4)=PPLastYear,'Input|Reported opex'!O63,0)</f>
        <v>0</v>
      </c>
      <c r="P40" s="109">
        <f>IF(YEAR(P$4)=PPLastYear,'Input|Reported opex'!P63,0)</f>
        <v>0</v>
      </c>
      <c r="Q40" s="109">
        <f>IF(YEAR(Q$4)=PPLastYear,'Input|Reported opex'!Q63,0)</f>
        <v>0</v>
      </c>
      <c r="R40" s="109">
        <f>IF(YEAR(R$4)=PPLastYear,'Input|Reported opex'!R63,0)</f>
        <v>0</v>
      </c>
      <c r="S40" s="109">
        <f>IF(YEAR(S$4)=PPLastYear,'Input|Reported opex'!S63,0)</f>
        <v>0</v>
      </c>
    </row>
    <row r="41" spans="3:19" outlineLevel="1">
      <c r="C41" s="123" t="str">
        <f>C40</f>
        <v>Adjustment 2</v>
      </c>
      <c r="D41" s="110" t="s">
        <v>30</v>
      </c>
      <c r="E41" s="30" t="str">
        <f>$E$8</f>
        <v>$millions</v>
      </c>
      <c r="F41" s="160">
        <f>$F$8</f>
        <v>44348</v>
      </c>
      <c r="J41" s="115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115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115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115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115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115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115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115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115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115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19" outlineLevel="1">
      <c r="C42" s="123"/>
      <c r="D42" s="110"/>
      <c r="F42" s="160"/>
      <c r="J42" s="115"/>
      <c r="K42" s="115"/>
      <c r="L42" s="115"/>
      <c r="M42" s="115"/>
      <c r="N42" s="115"/>
      <c r="O42" s="115"/>
      <c r="P42" s="115"/>
      <c r="Q42" s="115"/>
      <c r="R42" s="109"/>
      <c r="S42" s="109"/>
    </row>
    <row r="43" spans="3:19" outlineLevel="1">
      <c r="C43" s="123" t="str">
        <f>'Input|Reported opex'!$C$64</f>
        <v>Adjustment 3</v>
      </c>
      <c r="D43" s="108" t="s">
        <v>92</v>
      </c>
      <c r="E43" s="30" t="str">
        <f>'Input|Reported opex'!$E$64</f>
        <v>$millions</v>
      </c>
      <c r="F43" s="160">
        <f>'Input|Reported opex'!$F$64</f>
        <v>44348</v>
      </c>
      <c r="J43" s="109">
        <f>IF(YEAR(J$4)=PPLastYear,'Input|Reported opex'!J64,0)</f>
        <v>0</v>
      </c>
      <c r="K43" s="109">
        <f>IF(YEAR(K$4)=PPLastYear,'Input|Reported opex'!K64,0)</f>
        <v>0</v>
      </c>
      <c r="L43" s="109">
        <f>IF(YEAR(L$4)=PPLastYear,'Input|Reported opex'!L64,0)</f>
        <v>0</v>
      </c>
      <c r="M43" s="109">
        <f>IF(YEAR(M$4)=PPLastYear,'Input|Reported opex'!M64,0)</f>
        <v>0</v>
      </c>
      <c r="N43" s="109">
        <f>IF(YEAR(N$4)=PPLastYear,'Input|Reported opex'!N64,0)</f>
        <v>0</v>
      </c>
      <c r="O43" s="109">
        <f>IF(YEAR(O$4)=PPLastYear,'Input|Reported opex'!O64,0)</f>
        <v>0</v>
      </c>
      <c r="P43" s="109">
        <f>IF(YEAR(P$4)=PPLastYear,'Input|Reported opex'!P64,0)</f>
        <v>0</v>
      </c>
      <c r="Q43" s="109">
        <f>IF(YEAR(Q$4)=PPLastYear,'Input|Reported opex'!Q64,0)</f>
        <v>0</v>
      </c>
      <c r="R43" s="109">
        <f>IF(YEAR(R$4)=PPLastYear,'Input|Reported opex'!R64,0)</f>
        <v>0</v>
      </c>
      <c r="S43" s="109">
        <f>IF(YEAR(S$4)=PPLastYear,'Input|Reported opex'!S64,0)</f>
        <v>0</v>
      </c>
    </row>
    <row r="44" spans="3:19" outlineLevel="1">
      <c r="C44" s="123" t="str">
        <f>C43</f>
        <v>Adjustment 3</v>
      </c>
      <c r="D44" s="110" t="s">
        <v>30</v>
      </c>
      <c r="E44" s="30" t="str">
        <f>$E$8</f>
        <v>$millions</v>
      </c>
      <c r="F44" s="160">
        <f>$F$8</f>
        <v>44348</v>
      </c>
      <c r="J44" s="115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115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115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115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115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115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115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115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115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115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19" outlineLevel="1">
      <c r="C45" s="123"/>
      <c r="D45" s="110"/>
      <c r="F45" s="160"/>
      <c r="J45" s="115"/>
      <c r="K45" s="115"/>
      <c r="L45" s="115"/>
      <c r="M45" s="115"/>
      <c r="N45" s="115"/>
      <c r="O45" s="115"/>
      <c r="P45" s="115"/>
      <c r="Q45" s="115"/>
      <c r="R45" s="109"/>
      <c r="S45" s="109"/>
    </row>
    <row r="46" spans="3:19" outlineLevel="1">
      <c r="C46" s="123" t="str">
        <f>'Input|Reported opex'!$C$65</f>
        <v>Adjustment 4</v>
      </c>
      <c r="D46" s="108" t="s">
        <v>92</v>
      </c>
      <c r="E46" s="30" t="str">
        <f>'Input|Reported opex'!$E$65</f>
        <v>$millions</v>
      </c>
      <c r="F46" s="160">
        <f>'Input|Reported opex'!$F$65</f>
        <v>44348</v>
      </c>
      <c r="J46" s="109">
        <f>IF(YEAR(J$4)=PPLastYear,'Input|Reported opex'!J65,0)</f>
        <v>0</v>
      </c>
      <c r="K46" s="109">
        <f>IF(YEAR(K$4)=PPLastYear,'Input|Reported opex'!K65,0)</f>
        <v>0</v>
      </c>
      <c r="L46" s="109">
        <f>IF(YEAR(L$4)=PPLastYear,'Input|Reported opex'!L65,0)</f>
        <v>0</v>
      </c>
      <c r="M46" s="109">
        <f>IF(YEAR(M$4)=PPLastYear,'Input|Reported opex'!M65,0)</f>
        <v>0</v>
      </c>
      <c r="N46" s="109">
        <f>IF(YEAR(N$4)=PPLastYear,'Input|Reported opex'!N65,0)</f>
        <v>0</v>
      </c>
      <c r="O46" s="109">
        <f>IF(YEAR(O$4)=PPLastYear,'Input|Reported opex'!O65,0)</f>
        <v>0</v>
      </c>
      <c r="P46" s="109">
        <f>IF(YEAR(P$4)=PPLastYear,'Input|Reported opex'!P65,0)</f>
        <v>0</v>
      </c>
      <c r="Q46" s="109">
        <f>IF(YEAR(Q$4)=PPLastYear,'Input|Reported opex'!Q65,0)</f>
        <v>0</v>
      </c>
      <c r="R46" s="109">
        <f>IF(YEAR(R$4)=PPLastYear,'Input|Reported opex'!R65,0)</f>
        <v>0</v>
      </c>
      <c r="S46" s="109">
        <f>IF(YEAR(S$4)=PPLastYear,'Input|Reported opex'!S65,0)</f>
        <v>0</v>
      </c>
    </row>
    <row r="47" spans="3:19" outlineLevel="1">
      <c r="C47" s="123" t="str">
        <f>C46</f>
        <v>Adjustment 4</v>
      </c>
      <c r="D47" s="110" t="s">
        <v>30</v>
      </c>
      <c r="E47" s="30" t="str">
        <f>$E$8</f>
        <v>$millions</v>
      </c>
      <c r="F47" s="160">
        <f>$F$8</f>
        <v>44348</v>
      </c>
      <c r="J47" s="115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115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115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115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115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115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115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115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115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115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19" outlineLevel="1">
      <c r="C48" s="123"/>
      <c r="D48" s="110"/>
      <c r="F48" s="160"/>
      <c r="J48" s="115"/>
      <c r="K48" s="115"/>
      <c r="L48" s="115"/>
      <c r="M48" s="115"/>
      <c r="N48" s="115"/>
      <c r="O48" s="115"/>
      <c r="P48" s="115"/>
      <c r="Q48" s="115"/>
      <c r="R48" s="109"/>
      <c r="S48" s="109"/>
    </row>
    <row r="49" spans="1:47" outlineLevel="1">
      <c r="C49" s="123" t="str">
        <f>'Input|Reported opex'!$C$66</f>
        <v>Adjustment 5</v>
      </c>
      <c r="D49" s="108" t="s">
        <v>92</v>
      </c>
      <c r="E49" s="30" t="str">
        <f>'Input|Reported opex'!$E$66</f>
        <v>$millions</v>
      </c>
      <c r="F49" s="160">
        <f>'Input|Reported opex'!$F$66</f>
        <v>44348</v>
      </c>
      <c r="J49" s="109">
        <f>IF(YEAR(J$4)=PPLastYear,'Input|Reported opex'!J66,0)</f>
        <v>0</v>
      </c>
      <c r="K49" s="109">
        <f>IF(YEAR(K$4)=PPLastYear,'Input|Reported opex'!K66,0)</f>
        <v>0</v>
      </c>
      <c r="L49" s="109">
        <f>IF(YEAR(L$4)=PPLastYear,'Input|Reported opex'!L66,0)</f>
        <v>0</v>
      </c>
      <c r="M49" s="109">
        <f>IF(YEAR(M$4)=PPLastYear,'Input|Reported opex'!M66,0)</f>
        <v>0</v>
      </c>
      <c r="N49" s="109">
        <f>IF(YEAR(N$4)=PPLastYear,'Input|Reported opex'!N66,0)</f>
        <v>0</v>
      </c>
      <c r="O49" s="109">
        <f>IF(YEAR(O$4)=PPLastYear,'Input|Reported opex'!O66,0)</f>
        <v>0</v>
      </c>
      <c r="P49" s="109">
        <f>IF(YEAR(P$4)=PPLastYear,'Input|Reported opex'!P66,0)</f>
        <v>0</v>
      </c>
      <c r="Q49" s="109">
        <f>IF(YEAR(Q$4)=PPLastYear,'Input|Reported opex'!Q66,0)</f>
        <v>0</v>
      </c>
      <c r="R49" s="109">
        <f>IF(YEAR(R$4)=PPLastYear,'Input|Reported opex'!R66,0)</f>
        <v>0</v>
      </c>
      <c r="S49" s="109">
        <f>IF(YEAR(S$4)=PPLastYear,'Input|Reported opex'!S66,0)</f>
        <v>0</v>
      </c>
    </row>
    <row r="50" spans="1:47" outlineLevel="1">
      <c r="C50" s="123" t="str">
        <f>C49</f>
        <v>Adjustment 5</v>
      </c>
      <c r="D50" s="110" t="s">
        <v>30</v>
      </c>
      <c r="E50" s="30" t="str">
        <f>$E$8</f>
        <v>$millions</v>
      </c>
      <c r="F50" s="160">
        <f>$F$8</f>
        <v>44348</v>
      </c>
      <c r="J50" s="115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115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115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115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115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115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115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115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115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115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47" outlineLevel="1">
      <c r="C51" s="123"/>
      <c r="D51" s="110"/>
      <c r="E51" s="110"/>
      <c r="F51" s="160"/>
      <c r="J51" s="115"/>
      <c r="K51" s="115"/>
      <c r="L51" s="115"/>
      <c r="M51" s="115"/>
      <c r="N51" s="115"/>
      <c r="O51" s="115"/>
      <c r="P51" s="115"/>
      <c r="Q51" s="115"/>
      <c r="R51" s="115"/>
      <c r="S51" s="115"/>
    </row>
    <row r="52" spans="1:47" outlineLevel="1">
      <c r="C52" s="123" t="s">
        <v>89</v>
      </c>
      <c r="D52" s="110" t="s">
        <v>98</v>
      </c>
      <c r="E52" s="110" t="str">
        <f>$E$8</f>
        <v>$millions</v>
      </c>
      <c r="F52" s="160">
        <f>$F$8</f>
        <v>44348</v>
      </c>
      <c r="J52" s="115">
        <f>SUM(J33,J38,J41,J44,J47,J50)*'Input|Reported opex'!J70</f>
        <v>0</v>
      </c>
      <c r="K52" s="115">
        <f>SUM(K33,K38,K41,K44,K47,K50)*'Input|Reported opex'!K70</f>
        <v>0</v>
      </c>
      <c r="L52" s="115">
        <f>SUM(L33,L38,L41,L44,L47,L50)*'Input|Reported opex'!L70</f>
        <v>0</v>
      </c>
      <c r="M52" s="115">
        <f>SUM(M33,M38,M41,M44,M47,M50)*'Input|Reported opex'!M70</f>
        <v>0</v>
      </c>
      <c r="N52" s="115">
        <f ca="1">SUM(N33,N38,N41,N44,N47,N50)*'Input|Reported opex'!N70</f>
        <v>0</v>
      </c>
      <c r="O52" s="115">
        <f>SUM(O33,O38,O41,O44,O47,O50)*'Input|Reported opex'!O70</f>
        <v>0</v>
      </c>
      <c r="P52" s="115">
        <f>SUM(P33,P38,P41,P44,P47,P50)*'Input|Reported opex'!P70</f>
        <v>0</v>
      </c>
      <c r="Q52" s="115">
        <f>SUM(Q33,Q38,Q41,Q44,Q47,Q50)*'Input|Reported opex'!Q70</f>
        <v>0</v>
      </c>
      <c r="R52" s="115">
        <f>SUM(R33,R38,R41,R44,R47,R50)*'Input|Reported opex'!R70</f>
        <v>0</v>
      </c>
      <c r="S52" s="115">
        <f>SUM(S33,S38,S41,S44,S47,S50)*'Input|Reported opex'!S70</f>
        <v>0</v>
      </c>
    </row>
    <row r="53" spans="1:47" outlineLevel="1">
      <c r="C53" s="123"/>
      <c r="D53" s="110"/>
      <c r="E53" s="110"/>
      <c r="F53" s="160"/>
      <c r="J53" s="115"/>
      <c r="K53" s="115"/>
      <c r="L53" s="115"/>
      <c r="M53" s="115"/>
      <c r="N53" s="115"/>
      <c r="O53" s="115"/>
      <c r="P53" s="115"/>
      <c r="Q53" s="115"/>
      <c r="R53" s="115"/>
      <c r="S53" s="115"/>
    </row>
    <row r="54" spans="1:47" outlineLevel="1">
      <c r="C54" s="178" t="s">
        <v>171</v>
      </c>
      <c r="D54" s="112" t="s">
        <v>98</v>
      </c>
      <c r="E54" s="112" t="str">
        <f>$E$8</f>
        <v>$millions</v>
      </c>
      <c r="F54" s="179">
        <f>$F$8</f>
        <v>44348</v>
      </c>
      <c r="J54" s="177">
        <f>SUM(J33,J35,J38,J41,J44,J47,J50,J52)</f>
        <v>0</v>
      </c>
      <c r="K54" s="177">
        <f t="shared" ref="K54:S54" si="5">SUM(K33,K35,K38,K41,K44,K47,K50,K52)</f>
        <v>0</v>
      </c>
      <c r="L54" s="177">
        <f t="shared" si="5"/>
        <v>0</v>
      </c>
      <c r="M54" s="177">
        <f t="shared" si="5"/>
        <v>0</v>
      </c>
      <c r="N54" s="177">
        <f t="shared" ca="1" si="5"/>
        <v>10.457378174271305</v>
      </c>
      <c r="O54" s="177">
        <f t="shared" si="5"/>
        <v>0</v>
      </c>
      <c r="P54" s="177">
        <f t="shared" si="5"/>
        <v>0</v>
      </c>
      <c r="Q54" s="177">
        <f t="shared" si="5"/>
        <v>0</v>
      </c>
      <c r="R54" s="177">
        <f t="shared" si="5"/>
        <v>0</v>
      </c>
      <c r="S54" s="177">
        <f t="shared" si="5"/>
        <v>0</v>
      </c>
    </row>
    <row r="55" spans="1:47">
      <c r="J55" s="107"/>
      <c r="K55" s="107"/>
      <c r="L55" s="107"/>
    </row>
    <row r="56" spans="1:47" s="103" customFormat="1" ht="12.75">
      <c r="A56" s="94"/>
      <c r="B56" s="95" t="s">
        <v>87</v>
      </c>
      <c r="C56" s="94"/>
      <c r="D56" s="94"/>
      <c r="E56" s="94"/>
      <c r="F56" s="96"/>
      <c r="G56" s="96"/>
      <c r="H56" s="96"/>
      <c r="I56" s="96"/>
      <c r="J56" s="97"/>
      <c r="K56" s="98"/>
      <c r="L56" s="97"/>
      <c r="M56" s="98"/>
      <c r="N56" s="97"/>
      <c r="O56" s="97"/>
      <c r="P56" s="97"/>
      <c r="Q56" s="97"/>
      <c r="R56" s="97"/>
      <c r="S56" s="97"/>
      <c r="T56" s="97"/>
      <c r="U56" s="97"/>
      <c r="V56" s="98"/>
      <c r="W56" s="98"/>
      <c r="X56" s="99"/>
      <c r="Y56" s="99"/>
      <c r="Z56" s="99"/>
      <c r="AA56" s="99"/>
      <c r="AB56" s="100"/>
      <c r="AC56" s="101"/>
      <c r="AD56" s="101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</row>
    <row r="57" spans="1:47" outlineLevel="1">
      <c r="J57" s="107"/>
      <c r="K57" s="107"/>
      <c r="L57" s="107"/>
      <c r="M57" s="107"/>
      <c r="N57" s="107"/>
      <c r="O57" s="107"/>
      <c r="P57" s="107"/>
      <c r="Q57" s="107"/>
      <c r="R57" s="107"/>
      <c r="S57" s="107"/>
    </row>
    <row r="58" spans="1:47" outlineLevel="1">
      <c r="C58" s="67" t="s">
        <v>42</v>
      </c>
      <c r="D58" s="32" t="s">
        <v>7</v>
      </c>
      <c r="E58" s="32" t="s">
        <v>8</v>
      </c>
      <c r="F58" s="32" t="s">
        <v>22</v>
      </c>
      <c r="J58" s="162" t="str">
        <f>IF(YEAR(J$4)&gt;='Input|General'!$G$13,IF(YEAR(J$4)&lt;='Input|General'!$G$14,J$4,""),"")</f>
        <v/>
      </c>
      <c r="K58" s="162" t="str">
        <f>IF(YEAR(K$4)&gt;='Input|General'!$G$13,IF(YEAR(K$4)&lt;='Input|General'!$G$14,K$4,""),"")</f>
        <v/>
      </c>
      <c r="L58" s="162" t="str">
        <f>IF(YEAR(L$4)&gt;='Input|General'!$G$13,IF(YEAR(L$4)&lt;='Input|General'!$G$14,L$4,""),"")</f>
        <v/>
      </c>
      <c r="M58" s="162" t="str">
        <f>IF(YEAR(M$4)&gt;='Input|General'!$G$13,IF(YEAR(M$4)&lt;='Input|General'!$G$14,M$4,""),"")</f>
        <v/>
      </c>
      <c r="N58" s="162" t="str">
        <f>IF(YEAR(N$4)&gt;='Input|General'!$G$13,IF(YEAR(N$4)&lt;='Input|General'!$G$14,N$4,""),"")</f>
        <v/>
      </c>
      <c r="O58" s="162">
        <f>IF(YEAR(O$4)&gt;='Input|General'!$G$13,IF(YEAR(O$4)&lt;='Input|General'!$G$14,O$4,""),"")</f>
        <v>44713</v>
      </c>
      <c r="P58" s="162">
        <f>IF(YEAR(P$4)&gt;='Input|General'!$G$13,IF(YEAR(P$4)&lt;='Input|General'!$G$14,P$4,""),"")</f>
        <v>45078</v>
      </c>
      <c r="Q58" s="162">
        <f>IF(YEAR(Q$4)&gt;='Input|General'!$G$13,IF(YEAR(Q$4)&lt;='Input|General'!$G$14,Q$4,""),"")</f>
        <v>45444</v>
      </c>
      <c r="R58" s="162">
        <f>IF(YEAR(R$4)&gt;='Input|General'!$G$13,IF(YEAR(R$4)&lt;='Input|General'!$G$14,R$4,""),"")</f>
        <v>45809</v>
      </c>
      <c r="S58" s="162">
        <f>IF(YEAR(S$4)&gt;='Input|General'!$G$13,IF(YEAR(S$4)&lt;='Input|General'!$G$14,S$4,""),"")</f>
        <v>46174</v>
      </c>
    </row>
    <row r="59" spans="1:47" outlineLevel="1">
      <c r="C59" s="67"/>
      <c r="J59" s="107"/>
      <c r="K59" s="107"/>
      <c r="L59" s="107"/>
      <c r="M59" s="107"/>
      <c r="N59" s="107"/>
      <c r="O59" s="107"/>
      <c r="P59" s="107"/>
      <c r="Q59" s="107"/>
      <c r="R59" s="107"/>
      <c r="S59" s="107"/>
    </row>
    <row r="60" spans="1:47" outlineLevel="1">
      <c r="B60" s="67"/>
      <c r="C60" s="116"/>
      <c r="J60" s="107"/>
      <c r="K60" s="107"/>
      <c r="L60" s="107"/>
      <c r="M60" s="107"/>
      <c r="N60" s="107"/>
      <c r="O60" s="107"/>
      <c r="P60" s="107"/>
      <c r="Q60" s="107"/>
      <c r="R60" s="107"/>
      <c r="S60" s="107"/>
    </row>
    <row r="61" spans="1:47" outlineLevel="1">
      <c r="C61" s="111" t="s">
        <v>106</v>
      </c>
      <c r="D61" s="110" t="s">
        <v>30</v>
      </c>
      <c r="E61" s="30" t="s">
        <v>31</v>
      </c>
      <c r="F61" s="30" t="s">
        <v>36</v>
      </c>
      <c r="J61" s="117">
        <f ca="1">IF(J58=J4,AVERAGE(OFFSET('Input|Rate of change'!K97,0,0,COUNTA('Input|Rate of change'!$J$84:$M$84),1)),0)</f>
        <v>0</v>
      </c>
      <c r="K61" s="117">
        <f ca="1">IF(K58=K4,AVERAGE(OFFSET('Input|Rate of change'!L97,0,0,COUNTA('Input|Rate of change'!$J$84:$M$84),1)),0)</f>
        <v>0</v>
      </c>
      <c r="L61" s="117">
        <f ca="1">IF(L58=L4,AVERAGE(OFFSET('Input|Rate of change'!M97,0,0,COUNTA('Input|Rate of change'!$J$84:$M$84),1)),0)</f>
        <v>0</v>
      </c>
      <c r="M61" s="117">
        <f ca="1">IF(M58=M4,AVERAGE(OFFSET('Input|Rate of change'!N97,0,0,COUNTA('Input|Rate of change'!$J$84:$M$84),1)),0)</f>
        <v>0</v>
      </c>
      <c r="N61" s="117">
        <f ca="1">IF(N58=N4,AVERAGE(OFFSET('Input|Rate of change'!O97,0,0,COUNTA('Input|Rate of change'!$J$84:$M$84),1)),0)</f>
        <v>0</v>
      </c>
      <c r="O61" s="117">
        <f ca="1">IF(O58=O4,AVERAGE(OFFSET('Input|Rate of change'!P97,0,0,COUNTA('Input|Rate of change'!$J$84:$M$84),1)),0)</f>
        <v>0</v>
      </c>
      <c r="P61" s="117">
        <f ca="1">IF(P58=P4,AVERAGE(OFFSET('Input|Rate of change'!Q97,0,0,COUNTA('Input|Rate of change'!$J$84:$M$84),1)),0)</f>
        <v>0</v>
      </c>
      <c r="Q61" s="117">
        <f ca="1">IF(Q58=Q4,AVERAGE(OFFSET('Input|Rate of change'!R97,0,0,COUNTA('Input|Rate of change'!$J$84:$M$84),1)),0)</f>
        <v>0</v>
      </c>
      <c r="R61" s="117">
        <f ca="1">IF(R58=R4,AVERAGE(OFFSET('Input|Rate of change'!S97,0,0,COUNTA('Input|Rate of change'!$J$84:$M$84),1)),0)</f>
        <v>0</v>
      </c>
      <c r="S61" s="117">
        <f ca="1">IF(S58=S4,AVERAGE(OFFSET('Input|Rate of change'!T97,0,0,COUNTA('Input|Rate of change'!$J$84:$M$84),1)),0)</f>
        <v>0</v>
      </c>
    </row>
    <row r="62" spans="1:47" outlineLevel="1">
      <c r="J62" s="117"/>
      <c r="K62" s="117"/>
      <c r="L62" s="117"/>
      <c r="M62" s="117"/>
      <c r="N62" s="117"/>
      <c r="O62" s="117"/>
      <c r="P62" s="117"/>
      <c r="Q62" s="117"/>
      <c r="R62" s="117"/>
      <c r="S62" s="117"/>
    </row>
    <row r="63" spans="1:47" outlineLevel="1">
      <c r="C63" s="111" t="s">
        <v>80</v>
      </c>
      <c r="D63" s="110" t="s">
        <v>30</v>
      </c>
      <c r="E63" s="30" t="s">
        <v>31</v>
      </c>
      <c r="F63" s="30" t="s">
        <v>36</v>
      </c>
      <c r="J63" s="117">
        <f>SUMPRODUCT('Input|Rate of change'!K38:K45,'Input|Rate of change'!K51:K58)</f>
        <v>0</v>
      </c>
      <c r="K63" s="117">
        <f>SUMPRODUCT('Input|Rate of change'!L38:L45,'Input|Rate of change'!L51:L58)</f>
        <v>0</v>
      </c>
      <c r="L63" s="117">
        <f>SUMPRODUCT('Input|Rate of change'!M38:M45,'Input|Rate of change'!M51:M58)</f>
        <v>0</v>
      </c>
      <c r="M63" s="117">
        <f>SUMPRODUCT('Input|Rate of change'!N38:N45,'Input|Rate of change'!N51:N58)</f>
        <v>0</v>
      </c>
      <c r="N63" s="117">
        <f>SUMPRODUCT('Input|Rate of change'!O38:O45,'Input|Rate of change'!O51:O58)</f>
        <v>0</v>
      </c>
      <c r="O63" s="117">
        <f>SUMPRODUCT('Input|Rate of change'!P38:P45,'Input|Rate of change'!P51:P58)</f>
        <v>1.7027894108565169E-3</v>
      </c>
      <c r="P63" s="117">
        <f>SUMPRODUCT('Input|Rate of change'!Q38:Q45,'Input|Rate of change'!Q51:Q58)</f>
        <v>-2.440168092454527E-3</v>
      </c>
      <c r="Q63" s="117">
        <f>SUMPRODUCT('Input|Rate of change'!R38:R45,'Input|Rate of change'!R51:R58)</f>
        <v>3.9299358749895009E-5</v>
      </c>
      <c r="R63" s="117">
        <f>SUMPRODUCT('Input|Rate of change'!S38:S45,'Input|Rate of change'!S51:S58)</f>
        <v>3.0696321508363201E-3</v>
      </c>
      <c r="S63" s="117">
        <f>SUMPRODUCT('Input|Rate of change'!T38:T45,'Input|Rate of change'!T51:T58)</f>
        <v>6.2522668231296359E-3</v>
      </c>
    </row>
    <row r="64" spans="1:47" outlineLevel="1">
      <c r="C64" s="111"/>
      <c r="J64" s="117"/>
      <c r="K64" s="117"/>
      <c r="L64" s="117"/>
      <c r="M64" s="117"/>
      <c r="N64" s="117"/>
      <c r="O64" s="117"/>
      <c r="P64" s="117"/>
      <c r="Q64" s="117"/>
      <c r="R64" s="117"/>
      <c r="S64" s="117"/>
    </row>
    <row r="65" spans="1:47" outlineLevel="1">
      <c r="C65" s="111" t="s">
        <v>102</v>
      </c>
      <c r="D65" s="110" t="s">
        <v>30</v>
      </c>
      <c r="E65" s="30" t="s">
        <v>31</v>
      </c>
      <c r="F65" s="30" t="s">
        <v>36</v>
      </c>
      <c r="J65" s="117">
        <f>'Input|Rate of change'!K106</f>
        <v>0</v>
      </c>
      <c r="K65" s="117">
        <f>'Input|Rate of change'!L106</f>
        <v>0</v>
      </c>
      <c r="L65" s="117">
        <f>'Input|Rate of change'!M106</f>
        <v>0</v>
      </c>
      <c r="M65" s="117">
        <f>'Input|Rate of change'!N106</f>
        <v>0</v>
      </c>
      <c r="N65" s="117">
        <f>'Input|Rate of change'!O106</f>
        <v>0</v>
      </c>
      <c r="O65" s="117">
        <f>'Input|Rate of change'!P106</f>
        <v>5.0000000000000001E-3</v>
      </c>
      <c r="P65" s="117">
        <f>'Input|Rate of change'!Q106</f>
        <v>5.0000000000000001E-3</v>
      </c>
      <c r="Q65" s="117">
        <f>'Input|Rate of change'!R106</f>
        <v>5.0000000000000001E-3</v>
      </c>
      <c r="R65" s="117">
        <f>'Input|Rate of change'!S106</f>
        <v>5.0000000000000001E-3</v>
      </c>
      <c r="S65" s="117">
        <f>'Input|Rate of change'!T106</f>
        <v>5.0000000000000001E-3</v>
      </c>
    </row>
    <row r="66" spans="1:47" outlineLevel="1">
      <c r="C66" s="111"/>
      <c r="J66" s="173"/>
      <c r="K66" s="173"/>
      <c r="L66" s="173"/>
      <c r="M66" s="173"/>
      <c r="N66" s="173"/>
      <c r="O66" s="173"/>
      <c r="P66" s="173"/>
      <c r="Q66" s="173"/>
      <c r="R66" s="173"/>
      <c r="S66" s="173"/>
    </row>
    <row r="67" spans="1:47" outlineLevel="1">
      <c r="C67" s="118" t="s">
        <v>141</v>
      </c>
      <c r="D67" s="114" t="s">
        <v>30</v>
      </c>
      <c r="E67" s="114" t="s">
        <v>31</v>
      </c>
      <c r="F67" s="114" t="s">
        <v>36</v>
      </c>
      <c r="J67" s="143">
        <f ca="1">(1+J61)*(1+J63)*(1-J65)-1</f>
        <v>0</v>
      </c>
      <c r="K67" s="143">
        <f t="shared" ref="K67:S67" ca="1" si="6">(1+K61)*(1+K63)*(1-K65)-1</f>
        <v>0</v>
      </c>
      <c r="L67" s="143">
        <f t="shared" ca="1" si="6"/>
        <v>0</v>
      </c>
      <c r="M67" s="143">
        <f t="shared" ca="1" si="6"/>
        <v>0</v>
      </c>
      <c r="N67" s="143">
        <f t="shared" ca="1" si="6"/>
        <v>0</v>
      </c>
      <c r="O67" s="143">
        <f t="shared" ca="1" si="6"/>
        <v>-3.3057245361977072E-3</v>
      </c>
      <c r="P67" s="143">
        <f t="shared" ca="1" si="6"/>
        <v>-7.4279672519922402E-3</v>
      </c>
      <c r="Q67" s="143">
        <f t="shared" ca="1" si="6"/>
        <v>-4.9608971380438183E-3</v>
      </c>
      <c r="R67" s="143">
        <f t="shared" ca="1" si="6"/>
        <v>-1.9457160099178861E-3</v>
      </c>
      <c r="S67" s="143">
        <f t="shared" ca="1" si="6"/>
        <v>1.2210054890140487E-3</v>
      </c>
    </row>
    <row r="68" spans="1:47" outlineLevel="1">
      <c r="C68" s="124" t="s">
        <v>142</v>
      </c>
      <c r="D68" s="110" t="s">
        <v>30</v>
      </c>
      <c r="E68" s="30" t="s">
        <v>31</v>
      </c>
      <c r="F68" s="30" t="s">
        <v>36</v>
      </c>
      <c r="J68" s="117" t="str">
        <f t="array" ref="J68">IF(J$58=J$4,PRODUCT(1+$J67:J67)-1,"")</f>
        <v/>
      </c>
      <c r="K68" s="117" t="str">
        <f t="array" ref="K68">IF(K$58=K$4,PRODUCT(1+$J67:K67)-1,"")</f>
        <v/>
      </c>
      <c r="L68" s="117" t="str">
        <f t="array" ref="L68">IF(L$58=L$4,PRODUCT(1+$J67:L67)-1,"")</f>
        <v/>
      </c>
      <c r="M68" s="117" t="str">
        <f t="array" ref="M68">IF(M$58=M$4,PRODUCT(1+$J67:M67)-1,"")</f>
        <v/>
      </c>
      <c r="N68" s="117" t="str">
        <f t="array" ref="N68">IF(N$58=N$4,PRODUCT(1+$J67:N67)-1,"")</f>
        <v/>
      </c>
      <c r="O68" s="117">
        <f t="array" aca="1" ref="O68" ca="1">IF(O$58=O$4,PRODUCT(1+$J67:O67)-1,"")</f>
        <v>-3.3057245361977072E-3</v>
      </c>
      <c r="P68" s="117">
        <f t="array" aca="1" ref="P68" ca="1">IF(P$58=P$4,PRODUCT(1+$J67:P67)-1,"")</f>
        <v>-1.0709136974590971E-2</v>
      </c>
      <c r="Q68" s="117">
        <f t="array" aca="1" ref="Q68" ca="1">IF(Q$58=Q$4,PRODUCT(1+$J67:Q67)-1,"")</f>
        <v>-1.5616907185666662E-2</v>
      </c>
      <c r="R68" s="117">
        <f t="array" aca="1" ref="R68" ca="1">IF(R$58=R$4,PRODUCT(1+$J67:R67)-1,"")</f>
        <v>-1.7532237129248007E-2</v>
      </c>
      <c r="S68" s="117">
        <f t="array" aca="1" ref="S68" ca="1">IF(S$58=S$4,PRODUCT(1+$J67:S67)-1,"")</f>
        <v>-1.633263859800349E-2</v>
      </c>
    </row>
    <row r="69" spans="1:47">
      <c r="J69" s="107"/>
      <c r="K69" s="107"/>
      <c r="L69" s="107"/>
      <c r="M69" s="107"/>
      <c r="N69" s="107"/>
      <c r="O69" s="119"/>
      <c r="P69" s="119"/>
      <c r="Q69" s="119"/>
      <c r="R69" s="119"/>
      <c r="S69" s="119"/>
    </row>
    <row r="70" spans="1:47" s="103" customFormat="1" ht="12.75">
      <c r="A70" s="94"/>
      <c r="B70" s="95" t="s">
        <v>90</v>
      </c>
      <c r="C70" s="94"/>
      <c r="D70" s="94"/>
      <c r="E70" s="94"/>
      <c r="F70" s="96"/>
      <c r="G70" s="96"/>
      <c r="H70" s="96"/>
      <c r="I70" s="96"/>
      <c r="J70" s="97"/>
      <c r="K70" s="98"/>
      <c r="L70" s="97"/>
      <c r="M70" s="98"/>
      <c r="N70" s="97"/>
      <c r="O70" s="97"/>
      <c r="P70" s="97"/>
      <c r="Q70" s="97"/>
      <c r="R70" s="97"/>
      <c r="S70" s="97"/>
      <c r="T70" s="97"/>
      <c r="U70" s="97"/>
      <c r="V70" s="98"/>
      <c r="W70" s="98"/>
      <c r="X70" s="99"/>
      <c r="Y70" s="99"/>
      <c r="Z70" s="99"/>
      <c r="AA70" s="99"/>
      <c r="AB70" s="100"/>
      <c r="AC70" s="101"/>
      <c r="AD70" s="101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</row>
    <row r="71" spans="1:47" outlineLevel="1">
      <c r="C71" s="106"/>
      <c r="J71" s="107"/>
      <c r="K71" s="107"/>
      <c r="L71" s="107"/>
    </row>
    <row r="72" spans="1:47" outlineLevel="1">
      <c r="C72" s="67" t="s">
        <v>103</v>
      </c>
      <c r="D72" s="32" t="s">
        <v>7</v>
      </c>
      <c r="E72" s="32" t="s">
        <v>8</v>
      </c>
      <c r="F72" s="32" t="s">
        <v>22</v>
      </c>
      <c r="J72" s="162" t="str">
        <f>IF(YEAR(J$4)&gt;='Input|General'!$G$13,IF(YEAR(J$4)&lt;='Input|General'!$G$14,J$4,""),"")</f>
        <v/>
      </c>
      <c r="K72" s="162" t="str">
        <f>IF(YEAR(K$4)&gt;='Input|General'!$G$13,IF(YEAR(K$4)&lt;='Input|General'!$G$14,K$4,""),"")</f>
        <v/>
      </c>
      <c r="L72" s="162" t="str">
        <f>IF(YEAR(L$4)&gt;='Input|General'!$G$13,IF(YEAR(L$4)&lt;='Input|General'!$G$14,L$4,""),"")</f>
        <v/>
      </c>
      <c r="M72" s="162" t="str">
        <f>IF(YEAR(M$4)&gt;='Input|General'!$G$13,IF(YEAR(M$4)&lt;='Input|General'!$G$14,M$4,""),"")</f>
        <v/>
      </c>
      <c r="N72" s="162" t="str">
        <f>IF(YEAR(N$4)&gt;='Input|General'!$G$13,IF(YEAR(N$4)&lt;='Input|General'!$G$14,N$4,""),"")</f>
        <v/>
      </c>
      <c r="O72" s="162">
        <f>IF(YEAR(O$4)&gt;='Input|General'!$G$13,IF(YEAR(O$4)&lt;='Input|General'!$G$14,O$4,""),"")</f>
        <v>44713</v>
      </c>
      <c r="P72" s="162">
        <f>IF(YEAR(P$4)&gt;='Input|General'!$G$13,IF(YEAR(P$4)&lt;='Input|General'!$G$14,P$4,""),"")</f>
        <v>45078</v>
      </c>
      <c r="Q72" s="162">
        <f>IF(YEAR(Q$4)&gt;='Input|General'!$G$13,IF(YEAR(Q$4)&lt;='Input|General'!$G$14,Q$4,""),"")</f>
        <v>45444</v>
      </c>
      <c r="R72" s="162">
        <f>IF(YEAR(R$4)&gt;='Input|General'!$G$13,IF(YEAR(R$4)&lt;='Input|General'!$G$14,R$4,""),"")</f>
        <v>45809</v>
      </c>
      <c r="S72" s="162">
        <f>IF(YEAR(S$4)&gt;='Input|General'!$G$13,IF(YEAR(S$4)&lt;='Input|General'!$G$14,S$4,""),"")</f>
        <v>46174</v>
      </c>
    </row>
    <row r="73" spans="1:47" outlineLevel="1">
      <c r="C73" s="67"/>
      <c r="J73" s="120"/>
      <c r="K73" s="120"/>
      <c r="L73" s="120"/>
      <c r="M73" s="120"/>
      <c r="N73" s="120"/>
      <c r="O73" s="120"/>
      <c r="P73" s="120"/>
      <c r="Q73" s="120"/>
      <c r="R73" s="120"/>
      <c r="S73" s="120"/>
    </row>
    <row r="74" spans="1:47" outlineLevel="1">
      <c r="C74" s="121">
        <f>'Input|Step changes'!C12</f>
        <v>0</v>
      </c>
      <c r="D74" s="110" t="s">
        <v>30</v>
      </c>
      <c r="E74" s="30" t="str">
        <f t="shared" ref="E74:E92" si="7">$E$8</f>
        <v>$millions</v>
      </c>
      <c r="F74" s="160">
        <f t="shared" ref="F74:F84" si="8">$F$8</f>
        <v>44348</v>
      </c>
      <c r="J74" s="127">
        <f>'Input|Step changes'!J12*INDEX('Input|Rate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K74" s="127">
        <f>'Input|Step changes'!K12*INDEX('Input|Rate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L74" s="127">
        <f>'Input|Step changes'!L12*INDEX('Input|Rate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M74" s="127">
        <f>'Input|Step changes'!M12*INDEX('Input|Rate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N74" s="127">
        <f>'Input|Step changes'!N12*INDEX('Input|Rate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O74" s="127">
        <f>'Input|Step changes'!O12*INDEX('Input|Rate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P74" s="127">
        <f>'Input|Step changes'!P12*INDEX('Input|Rate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Q74" s="127">
        <f>'Input|Step changes'!Q12*INDEX('Input|Rate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R74" s="127">
        <f>'Input|Step changes'!R12*INDEX('Input|Rate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  <c r="S74" s="127">
        <f>'Input|Step changes'!S12*INDEX('Input|Rate of change'!$C$14:$P$22,MATCH('Input|Step changes'!$F12,'Input|Rate of change'!$C$14:$C$22,0),MATCH('Calc|Opex forecast'!$F74,'Input|Rate of change'!$C$14:$P$14,0))*IF('Input|Step changes'!$E12="$millions",1000000,IF('Input|Step changes'!$E12="$000",1000,1))/IF($E74="$millions",1000000,IF($E74="$000",1000,1))</f>
        <v>0</v>
      </c>
    </row>
    <row r="75" spans="1:47" outlineLevel="1">
      <c r="C75" s="121">
        <f>'Input|Step changes'!C13</f>
        <v>0</v>
      </c>
      <c r="D75" s="110" t="s">
        <v>30</v>
      </c>
      <c r="E75" s="30" t="str">
        <f t="shared" si="7"/>
        <v>$millions</v>
      </c>
      <c r="F75" s="160">
        <f t="shared" si="8"/>
        <v>44348</v>
      </c>
      <c r="J75" s="127">
        <f>'Input|Step changes'!J13*INDEX('Input|Rate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K75" s="127">
        <f>'Input|Step changes'!K13*INDEX('Input|Rate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L75" s="127">
        <f>'Input|Step changes'!L13*INDEX('Input|Rate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M75" s="127">
        <f>'Input|Step changes'!M13*INDEX('Input|Rate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N75" s="127">
        <f>'Input|Step changes'!N13*INDEX('Input|Rate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O75" s="127">
        <f>'Input|Step changes'!O13*INDEX('Input|Rate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P75" s="127">
        <f>'Input|Step changes'!P13*INDEX('Input|Rate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Q75" s="127">
        <f>'Input|Step changes'!Q13*INDEX('Input|Rate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R75" s="127">
        <f>'Input|Step changes'!R13*INDEX('Input|Rate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  <c r="S75" s="127">
        <f>'Input|Step changes'!S13*INDEX('Input|Rate of change'!$C$14:$P$22,MATCH('Input|Step changes'!$F13,'Input|Rate of change'!$C$14:$C$22,0),MATCH('Calc|Opex forecast'!$F75,'Input|Rate of change'!$C$14:$P$14,0))*IF('Input|Step changes'!$E13="$millions",1000000,IF('Input|Step changes'!$E13="$000",1000,1))/IF($E75="$millions",1000000,IF($E75="$000",1000,1))</f>
        <v>0</v>
      </c>
    </row>
    <row r="76" spans="1:47" outlineLevel="1">
      <c r="C76" s="121">
        <f>'Input|Step changes'!C14</f>
        <v>0</v>
      </c>
      <c r="D76" s="110" t="s">
        <v>30</v>
      </c>
      <c r="E76" s="30" t="str">
        <f t="shared" si="7"/>
        <v>$millions</v>
      </c>
      <c r="F76" s="160">
        <f t="shared" si="8"/>
        <v>44348</v>
      </c>
      <c r="J76" s="127">
        <f>'Input|Step changes'!J14*INDEX('Input|Rate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K76" s="127">
        <f>'Input|Step changes'!K14*INDEX('Input|Rate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L76" s="127">
        <f>'Input|Step changes'!L14*INDEX('Input|Rate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M76" s="127">
        <f>'Input|Step changes'!M14*INDEX('Input|Rate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N76" s="127">
        <f>'Input|Step changes'!N14*INDEX('Input|Rate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O76" s="127">
        <f>'Input|Step changes'!O14*INDEX('Input|Rate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P76" s="127">
        <f>'Input|Step changes'!P14*INDEX('Input|Rate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Q76" s="127">
        <f>'Input|Step changes'!Q14*INDEX('Input|Rate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R76" s="127">
        <f>'Input|Step changes'!R14*INDEX('Input|Rate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  <c r="S76" s="127">
        <f>'Input|Step changes'!S14*INDEX('Input|Rate of change'!$C$14:$P$22,MATCH('Input|Step changes'!$F14,'Input|Rate of change'!$C$14:$C$22,0),MATCH('Calc|Opex forecast'!$F76,'Input|Rate of change'!$C$14:$P$14,0))*IF('Input|Step changes'!$E14="$millions",1000000,IF('Input|Step changes'!$E14="$000",1000,1))/IF($E76="$millions",1000000,IF($E76="$000",1000,1))</f>
        <v>0</v>
      </c>
    </row>
    <row r="77" spans="1:47" outlineLevel="1">
      <c r="C77" s="121">
        <f>'Input|Step changes'!C15</f>
        <v>0</v>
      </c>
      <c r="D77" s="110" t="s">
        <v>30</v>
      </c>
      <c r="E77" s="30" t="str">
        <f t="shared" si="7"/>
        <v>$millions</v>
      </c>
      <c r="F77" s="160">
        <f t="shared" si="8"/>
        <v>44348</v>
      </c>
      <c r="J77" s="127">
        <f>'Input|Step changes'!J15*INDEX('Input|Rate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K77" s="127">
        <f>'Input|Step changes'!K15*INDEX('Input|Rate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L77" s="127">
        <f>'Input|Step changes'!L15*INDEX('Input|Rate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M77" s="127">
        <f>'Input|Step changes'!M15*INDEX('Input|Rate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N77" s="127">
        <f>'Input|Step changes'!N15*INDEX('Input|Rate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O77" s="127">
        <f>'Input|Step changes'!O15*INDEX('Input|Rate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P77" s="127">
        <f>'Input|Step changes'!P15*INDEX('Input|Rate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Q77" s="127">
        <f>'Input|Step changes'!Q15*INDEX('Input|Rate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R77" s="127">
        <f>'Input|Step changes'!R15*INDEX('Input|Rate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  <c r="S77" s="127">
        <f>'Input|Step changes'!S15*INDEX('Input|Rate of change'!$C$14:$P$22,MATCH('Input|Step changes'!$F15,'Input|Rate of change'!$C$14:$C$22,0),MATCH('Calc|Opex forecast'!$F77,'Input|Rate of change'!$C$14:$P$14,0))*IF('Input|Step changes'!$E15="$millions",1000000,IF('Input|Step changes'!$E15="$000",1000,1))/IF($E77="$millions",1000000,IF($E77="$000",1000,1))</f>
        <v>0</v>
      </c>
    </row>
    <row r="78" spans="1:47" outlineLevel="1">
      <c r="C78" s="121">
        <f>'Input|Step changes'!C16</f>
        <v>0</v>
      </c>
      <c r="D78" s="110" t="s">
        <v>30</v>
      </c>
      <c r="E78" s="30" t="str">
        <f t="shared" si="7"/>
        <v>$millions</v>
      </c>
      <c r="F78" s="160">
        <f t="shared" si="8"/>
        <v>44348</v>
      </c>
      <c r="J78" s="127">
        <f>'Input|Step changes'!J16*INDEX('Input|Rate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K78" s="127">
        <f>'Input|Step changes'!K16*INDEX('Input|Rate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L78" s="127">
        <f>'Input|Step changes'!L16*INDEX('Input|Rate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M78" s="127">
        <f>'Input|Step changes'!M16*INDEX('Input|Rate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N78" s="127">
        <f>'Input|Step changes'!N16*INDEX('Input|Rate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O78" s="127">
        <f>'Input|Step changes'!O16*INDEX('Input|Rate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P78" s="127">
        <f>'Input|Step changes'!P16*INDEX('Input|Rate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Q78" s="127">
        <f>'Input|Step changes'!Q16*INDEX('Input|Rate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R78" s="127">
        <f>'Input|Step changes'!R16*INDEX('Input|Rate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  <c r="S78" s="127">
        <f>'Input|Step changes'!S16*INDEX('Input|Rate of change'!$C$14:$P$22,MATCH('Input|Step changes'!$F16,'Input|Rate of change'!$C$14:$C$22,0),MATCH('Calc|Opex forecast'!$F78,'Input|Rate of change'!$C$14:$P$14,0))*IF('Input|Step changes'!$E16="$millions",1000000,IF('Input|Step changes'!$E16="$000",1000,1))/IF($E78="$millions",1000000,IF($E78="$000",1000,1))</f>
        <v>0</v>
      </c>
    </row>
    <row r="79" spans="1:47" outlineLevel="1">
      <c r="C79" s="121">
        <f>'Input|Step changes'!C17</f>
        <v>0</v>
      </c>
      <c r="D79" s="110" t="s">
        <v>30</v>
      </c>
      <c r="E79" s="30" t="str">
        <f t="shared" si="7"/>
        <v>$millions</v>
      </c>
      <c r="F79" s="160">
        <f t="shared" si="8"/>
        <v>44348</v>
      </c>
      <c r="J79" s="127">
        <f>'Input|Step changes'!J17*INDEX('Input|Rate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K79" s="127">
        <f>'Input|Step changes'!K17*INDEX('Input|Rate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L79" s="127">
        <f>'Input|Step changes'!L17*INDEX('Input|Rate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M79" s="127">
        <f>'Input|Step changes'!M17*INDEX('Input|Rate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N79" s="127">
        <f>'Input|Step changes'!N17*INDEX('Input|Rate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O79" s="127">
        <f>'Input|Step changes'!O17*INDEX('Input|Rate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P79" s="127">
        <f>'Input|Step changes'!P17*INDEX('Input|Rate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Q79" s="127">
        <f>'Input|Step changes'!Q17*INDEX('Input|Rate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R79" s="127">
        <f>'Input|Step changes'!R17*INDEX('Input|Rate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  <c r="S79" s="127">
        <f>'Input|Step changes'!S17*INDEX('Input|Rate of change'!$C$14:$P$22,MATCH('Input|Step changes'!$F17,'Input|Rate of change'!$C$14:$C$22,0),MATCH('Calc|Opex forecast'!$F79,'Input|Rate of change'!$C$14:$P$14,0))*IF('Input|Step changes'!$E17="$millions",1000000,IF('Input|Step changes'!$E17="$000",1000,1))/IF($E79="$millions",1000000,IF($E79="$000",1000,1))</f>
        <v>0</v>
      </c>
    </row>
    <row r="80" spans="1:47" outlineLevel="1">
      <c r="C80" s="121">
        <f>'Input|Step changes'!C18</f>
        <v>0</v>
      </c>
      <c r="D80" s="110" t="s">
        <v>30</v>
      </c>
      <c r="E80" s="30" t="str">
        <f t="shared" si="7"/>
        <v>$millions</v>
      </c>
      <c r="F80" s="160">
        <f t="shared" si="8"/>
        <v>44348</v>
      </c>
      <c r="J80" s="127">
        <f>'Input|Step changes'!J18*INDEX('Input|Rate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K80" s="127">
        <f>'Input|Step changes'!K18*INDEX('Input|Rate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L80" s="127">
        <f>'Input|Step changes'!L18*INDEX('Input|Rate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M80" s="127">
        <f>'Input|Step changes'!M18*INDEX('Input|Rate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N80" s="127">
        <f>'Input|Step changes'!N18*INDEX('Input|Rate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O80" s="127">
        <f>'Input|Step changes'!O18*INDEX('Input|Rate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P80" s="127">
        <f>'Input|Step changes'!P18*INDEX('Input|Rate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Q80" s="127">
        <f>'Input|Step changes'!Q18*INDEX('Input|Rate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R80" s="127">
        <f>'Input|Step changes'!R18*INDEX('Input|Rate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  <c r="S80" s="127">
        <f>'Input|Step changes'!S18*INDEX('Input|Rate of change'!$C$14:$P$22,MATCH('Input|Step changes'!$F18,'Input|Rate of change'!$C$14:$C$22,0),MATCH('Calc|Opex forecast'!$F80,'Input|Rate of change'!$C$14:$P$14,0))*IF('Input|Step changes'!$E18="$millions",1000000,IF('Input|Step changes'!$E18="$000",1000,1))/IF($E80="$millions",1000000,IF($E80="$000",1000,1))</f>
        <v>0</v>
      </c>
    </row>
    <row r="81" spans="1:47" outlineLevel="1">
      <c r="C81" s="121">
        <f>'Input|Step changes'!C19</f>
        <v>0</v>
      </c>
      <c r="D81" s="110" t="s">
        <v>30</v>
      </c>
      <c r="E81" s="30" t="str">
        <f t="shared" si="7"/>
        <v>$millions</v>
      </c>
      <c r="F81" s="160">
        <f t="shared" si="8"/>
        <v>44348</v>
      </c>
      <c r="J81" s="127">
        <f>'Input|Step changes'!J19*INDEX('Input|Rate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K81" s="127">
        <f>'Input|Step changes'!K19*INDEX('Input|Rate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L81" s="127">
        <f>'Input|Step changes'!L19*INDEX('Input|Rate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M81" s="127">
        <f>'Input|Step changes'!M19*INDEX('Input|Rate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N81" s="127">
        <f>'Input|Step changes'!N19*INDEX('Input|Rate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O81" s="127">
        <f>'Input|Step changes'!O19*INDEX('Input|Rate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P81" s="127">
        <f>'Input|Step changes'!P19*INDEX('Input|Rate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Q81" s="127">
        <f>'Input|Step changes'!Q19*INDEX('Input|Rate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R81" s="127">
        <f>'Input|Step changes'!R19*INDEX('Input|Rate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  <c r="S81" s="127">
        <f>'Input|Step changes'!S19*INDEX('Input|Rate of change'!$C$14:$P$22,MATCH('Input|Step changes'!$F19,'Input|Rate of change'!$C$14:$C$22,0),MATCH('Calc|Opex forecast'!$F81,'Input|Rate of change'!$C$14:$P$14,0))*IF('Input|Step changes'!$E19="$millions",1000000,IF('Input|Step changes'!$E19="$000",1000,1))/IF($E81="$millions",1000000,IF($E81="$000",1000,1))</f>
        <v>0</v>
      </c>
    </row>
    <row r="82" spans="1:47" outlineLevel="1">
      <c r="C82" s="121">
        <f>'Input|Step changes'!C20</f>
        <v>0</v>
      </c>
      <c r="D82" s="110" t="s">
        <v>30</v>
      </c>
      <c r="E82" s="30" t="str">
        <f t="shared" si="7"/>
        <v>$millions</v>
      </c>
      <c r="F82" s="160">
        <f t="shared" si="8"/>
        <v>44348</v>
      </c>
      <c r="J82" s="127">
        <f>'Input|Step changes'!J20*INDEX('Input|Rate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K82" s="127">
        <f>'Input|Step changes'!K20*INDEX('Input|Rate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L82" s="127">
        <f>'Input|Step changes'!L20*INDEX('Input|Rate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M82" s="127">
        <f>'Input|Step changes'!M20*INDEX('Input|Rate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N82" s="127">
        <f>'Input|Step changes'!N20*INDEX('Input|Rate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O82" s="127">
        <f>'Input|Step changes'!O20*INDEX('Input|Rate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P82" s="127">
        <f>'Input|Step changes'!P20*INDEX('Input|Rate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Q82" s="127">
        <f>'Input|Step changes'!Q20*INDEX('Input|Rate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R82" s="127">
        <f>'Input|Step changes'!R20*INDEX('Input|Rate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  <c r="S82" s="127">
        <f>'Input|Step changes'!S20*INDEX('Input|Rate of change'!$C$14:$P$22,MATCH('Input|Step changes'!$F20,'Input|Rate of change'!$C$14:$C$22,0),MATCH('Calc|Opex forecast'!$F82,'Input|Rate of change'!$C$14:$P$14,0))*IF('Input|Step changes'!$E20="$millions",1000000,IF('Input|Step changes'!$E20="$000",1000,1))/IF($E82="$millions",1000000,IF($E82="$000",1000,1))</f>
        <v>0</v>
      </c>
    </row>
    <row r="83" spans="1:47" outlineLevel="1">
      <c r="C83" s="121"/>
      <c r="D83" s="110"/>
      <c r="F83" s="112"/>
      <c r="J83" s="175"/>
      <c r="K83" s="175"/>
      <c r="L83" s="175"/>
      <c r="M83" s="175"/>
      <c r="N83" s="175"/>
      <c r="O83" s="175"/>
      <c r="P83" s="175"/>
      <c r="Q83" s="175"/>
      <c r="R83" s="175"/>
      <c r="S83" s="175"/>
    </row>
    <row r="84" spans="1:47" outlineLevel="1">
      <c r="C84" s="113" t="s">
        <v>49</v>
      </c>
      <c r="D84" s="122" t="s">
        <v>30</v>
      </c>
      <c r="E84" s="122" t="str">
        <f>$E$8</f>
        <v>$millions</v>
      </c>
      <c r="F84" s="174">
        <f t="shared" si="8"/>
        <v>44348</v>
      </c>
      <c r="G84" s="32"/>
      <c r="H84" s="32"/>
      <c r="I84" s="32"/>
      <c r="J84" s="176">
        <f>SUM(J73:J83)</f>
        <v>0</v>
      </c>
      <c r="K84" s="176">
        <f t="shared" ref="K84:S84" si="9">SUM(K73:K83)</f>
        <v>0</v>
      </c>
      <c r="L84" s="176">
        <f t="shared" si="9"/>
        <v>0</v>
      </c>
      <c r="M84" s="176">
        <f t="shared" si="9"/>
        <v>0</v>
      </c>
      <c r="N84" s="176">
        <f t="shared" si="9"/>
        <v>0</v>
      </c>
      <c r="O84" s="176">
        <f t="shared" si="9"/>
        <v>0</v>
      </c>
      <c r="P84" s="176">
        <f t="shared" si="9"/>
        <v>0</v>
      </c>
      <c r="Q84" s="176">
        <f t="shared" si="9"/>
        <v>0</v>
      </c>
      <c r="R84" s="176">
        <f t="shared" si="9"/>
        <v>0</v>
      </c>
      <c r="S84" s="176">
        <f t="shared" si="9"/>
        <v>0</v>
      </c>
    </row>
    <row r="85" spans="1:47">
      <c r="C85" s="123"/>
      <c r="D85" s="110"/>
      <c r="E85" s="110"/>
      <c r="F85" s="110"/>
      <c r="J85" s="107"/>
      <c r="K85" s="107"/>
      <c r="L85" s="107"/>
      <c r="M85" s="107"/>
      <c r="N85" s="23"/>
      <c r="O85" s="23"/>
      <c r="P85" s="23"/>
      <c r="Q85" s="23"/>
      <c r="R85" s="23"/>
      <c r="S85" s="23"/>
    </row>
    <row r="86" spans="1:47" s="103" customFormat="1" ht="12.75">
      <c r="A86" s="94"/>
      <c r="B86" s="95" t="s">
        <v>119</v>
      </c>
      <c r="C86" s="94"/>
      <c r="D86" s="94"/>
      <c r="E86" s="94"/>
      <c r="F86" s="96"/>
      <c r="G86" s="96"/>
      <c r="H86" s="96"/>
      <c r="I86" s="96"/>
      <c r="J86" s="97"/>
      <c r="K86" s="98"/>
      <c r="L86" s="97"/>
      <c r="M86" s="98"/>
      <c r="N86" s="97"/>
      <c r="O86" s="97"/>
      <c r="P86" s="97"/>
      <c r="Q86" s="97"/>
      <c r="R86" s="97"/>
      <c r="S86" s="97"/>
      <c r="T86" s="97"/>
      <c r="U86" s="97"/>
      <c r="V86" s="98"/>
      <c r="W86" s="98"/>
      <c r="X86" s="99"/>
      <c r="Y86" s="99"/>
      <c r="Z86" s="99"/>
      <c r="AA86" s="99"/>
      <c r="AB86" s="100"/>
      <c r="AC86" s="101"/>
      <c r="AD86" s="101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</row>
    <row r="87" spans="1:47" outlineLevel="1">
      <c r="C87" s="106"/>
      <c r="J87" s="107"/>
      <c r="K87" s="107"/>
      <c r="L87" s="107"/>
    </row>
    <row r="88" spans="1:47" outlineLevel="1">
      <c r="C88" s="67" t="s">
        <v>110</v>
      </c>
      <c r="D88" s="32" t="s">
        <v>7</v>
      </c>
      <c r="E88" s="32" t="s">
        <v>8</v>
      </c>
      <c r="F88" s="32" t="s">
        <v>22</v>
      </c>
      <c r="J88" s="162" t="str">
        <f>IF(YEAR(J$4)&gt;='Input|General'!$G$13,IF(YEAR(J$4)&lt;='Input|General'!$G$14,J$4,""),"")</f>
        <v/>
      </c>
      <c r="K88" s="162" t="str">
        <f>IF(YEAR(K$4)&gt;='Input|General'!$G$13,IF(YEAR(K$4)&lt;='Input|General'!$G$14,K$4,""),"")</f>
        <v/>
      </c>
      <c r="L88" s="162" t="str">
        <f>IF(YEAR(L$4)&gt;='Input|General'!$G$13,IF(YEAR(L$4)&lt;='Input|General'!$G$14,L$4,""),"")</f>
        <v/>
      </c>
      <c r="M88" s="162" t="str">
        <f>IF(YEAR(M$4)&gt;='Input|General'!$G$13,IF(YEAR(M$4)&lt;='Input|General'!$G$14,M$4,""),"")</f>
        <v/>
      </c>
      <c r="N88" s="162" t="str">
        <f>IF(YEAR(N$4)&gt;='Input|General'!$G$13,IF(YEAR(N$4)&lt;='Input|General'!$G$14,N$4,""),"")</f>
        <v/>
      </c>
      <c r="O88" s="162">
        <f>IF(YEAR(O$4)&gt;='Input|General'!$G$13,IF(YEAR(O$4)&lt;='Input|General'!$G$14,O$4,""),"")</f>
        <v>44713</v>
      </c>
      <c r="P88" s="162">
        <f>IF(YEAR(P$4)&gt;='Input|General'!$G$13,IF(YEAR(P$4)&lt;='Input|General'!$G$14,P$4,""),"")</f>
        <v>45078</v>
      </c>
      <c r="Q88" s="162">
        <f>IF(YEAR(Q$4)&gt;='Input|General'!$G$13,IF(YEAR(Q$4)&lt;='Input|General'!$G$14,Q$4,""),"")</f>
        <v>45444</v>
      </c>
      <c r="R88" s="162">
        <f>IF(YEAR(R$4)&gt;='Input|General'!$G$13,IF(YEAR(R$4)&lt;='Input|General'!$G$14,R$4,""),"")</f>
        <v>45809</v>
      </c>
      <c r="S88" s="162">
        <f>IF(YEAR(S$4)&gt;='Input|General'!$G$13,IF(YEAR(S$4)&lt;='Input|General'!$G$14,S$4,""),"")</f>
        <v>46174</v>
      </c>
    </row>
    <row r="89" spans="1:47" outlineLevel="1">
      <c r="C89" s="67"/>
      <c r="J89" s="120"/>
      <c r="K89" s="120"/>
      <c r="L89" s="120"/>
      <c r="M89" s="120"/>
      <c r="N89" s="120"/>
      <c r="O89" s="120"/>
      <c r="P89" s="120"/>
      <c r="Q89" s="120"/>
      <c r="R89" s="120"/>
      <c r="S89" s="120"/>
    </row>
    <row r="90" spans="1:47" outlineLevel="1">
      <c r="C90" s="121" t="str">
        <f>'Input|Step changes'!C28</f>
        <v>Pigging costs (in-line inspection and excavation costs)</v>
      </c>
      <c r="D90" s="110" t="s">
        <v>30</v>
      </c>
      <c r="E90" s="30" t="str">
        <f t="shared" si="7"/>
        <v>$millions</v>
      </c>
      <c r="F90" s="160">
        <f t="shared" ref="F90:F92" si="10">$F$8</f>
        <v>44348</v>
      </c>
      <c r="J90" s="127">
        <f>'Input|Step changes'!J28*INDEX('Input|Rate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K90" s="127">
        <f>'Input|Step changes'!K28*INDEX('Input|Rate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L90" s="127">
        <f>'Input|Step changes'!L28*INDEX('Input|Rate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M90" s="127">
        <f>'Input|Step changes'!M28*INDEX('Input|Rate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N90" s="127">
        <f>'Input|Step changes'!N28*INDEX('Input|Rate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</v>
      </c>
      <c r="O90" s="127">
        <f>'Input|Step changes'!O28*INDEX('Input|Rate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0.20456653614457837</v>
      </c>
      <c r="P90" s="127">
        <f>'Input|Step changes'!P28*INDEX('Input|Rate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0.35799143825301216</v>
      </c>
      <c r="Q90" s="127">
        <f>'Input|Step changes'!Q28*INDEX('Input|Rate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0.35799143825301216</v>
      </c>
      <c r="R90" s="127">
        <f>'Input|Step changes'!R28*INDEX('Input|Rate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0.10228326807228919</v>
      </c>
      <c r="S90" s="127">
        <f>'Input|Step changes'!S28*INDEX('Input|Rate of change'!$C$14:$P$22,MATCH('Input|Step changes'!$F28,'Input|Rate of change'!$C$14:$C$22,0),MATCH('Calc|Opex forecast'!$F90,'Input|Rate of change'!$C$14:$P$14,0))*IF('Input|Step changes'!$E28="$millions",1000000,IF('Input|Step changes'!$E28="$000",1000,1))/IF($E90="$millions",1000000,IF($E90="$000",1000,1))</f>
        <v>0.1125115948795181</v>
      </c>
    </row>
    <row r="91" spans="1:47" outlineLevel="1">
      <c r="C91" s="121">
        <f>'Input|Step changes'!C29</f>
        <v>0</v>
      </c>
      <c r="D91" s="110" t="s">
        <v>30</v>
      </c>
      <c r="E91" s="30" t="str">
        <f t="shared" si="7"/>
        <v>$millions</v>
      </c>
      <c r="F91" s="160">
        <f t="shared" si="10"/>
        <v>44348</v>
      </c>
      <c r="J91" s="127">
        <f>'Input|Step changes'!J29*INDEX('Input|Rate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K91" s="127">
        <f>'Input|Step changes'!K29*INDEX('Input|Rate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L91" s="127">
        <f>'Input|Step changes'!L29*INDEX('Input|Rate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M91" s="127">
        <f>'Input|Step changes'!M29*INDEX('Input|Rate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N91" s="127">
        <f>'Input|Step changes'!N29*INDEX('Input|Rate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O91" s="127">
        <f>'Input|Step changes'!O29*INDEX('Input|Rate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P91" s="127">
        <f>'Input|Step changes'!P29*INDEX('Input|Rate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Q91" s="127">
        <f>'Input|Step changes'!Q29*INDEX('Input|Rate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R91" s="127">
        <f>'Input|Step changes'!R29*INDEX('Input|Rate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  <c r="S91" s="127">
        <f>'Input|Step changes'!S29*INDEX('Input|Rate of change'!$C$14:$P$22,MATCH('Input|Step changes'!$F29,'Input|Rate of change'!$C$14:$C$22,0),MATCH('Calc|Opex forecast'!$F91,'Input|Rate of change'!$C$14:$P$14,0))*IF('Input|Step changes'!$E29="$millions",1000000,IF('Input|Step changes'!$E29="$000",1000,1))/IF($E91="$millions",1000000,IF($E91="$000",1000,1))</f>
        <v>0</v>
      </c>
    </row>
    <row r="92" spans="1:47" outlineLevel="1">
      <c r="C92" s="121">
        <f>'Input|Step changes'!C30</f>
        <v>0</v>
      </c>
      <c r="D92" s="110" t="s">
        <v>30</v>
      </c>
      <c r="E92" s="30" t="str">
        <f t="shared" si="7"/>
        <v>$millions</v>
      </c>
      <c r="F92" s="160">
        <f t="shared" si="10"/>
        <v>44348</v>
      </c>
      <c r="J92" s="127">
        <f>'Input|Step changes'!J30*INDEX('Input|Rate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K92" s="127">
        <f>'Input|Step changes'!K30*INDEX('Input|Rate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L92" s="127">
        <f>'Input|Step changes'!L30*INDEX('Input|Rate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M92" s="127">
        <f>'Input|Step changes'!M30*INDEX('Input|Rate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N92" s="127">
        <f>'Input|Step changes'!N30*INDEX('Input|Rate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O92" s="127">
        <f>'Input|Step changes'!O30*INDEX('Input|Rate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P92" s="127">
        <f>'Input|Step changes'!P30*INDEX('Input|Rate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Q92" s="127">
        <f>'Input|Step changes'!Q30*INDEX('Input|Rate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R92" s="127">
        <f>'Input|Step changes'!R30*INDEX('Input|Rate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  <c r="S92" s="127">
        <f>'Input|Step changes'!S30*INDEX('Input|Rate of change'!$C$14:$P$22,MATCH('Input|Step changes'!$F30,'Input|Rate of change'!$C$14:$C$22,0),MATCH('Calc|Opex forecast'!$F92,'Input|Rate of change'!$C$14:$P$14,0))*IF('Input|Step changes'!$E30="$millions",1000000,IF('Input|Step changes'!$E30="$000",1000,1))/IF($E92="$millions",1000000,IF($E92="$000",1000,1))</f>
        <v>0</v>
      </c>
    </row>
    <row r="93" spans="1:47" outlineLevel="1">
      <c r="C93" s="121"/>
      <c r="D93" s="108"/>
      <c r="F93" s="112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  <c r="AK93" s="107"/>
      <c r="AL93" s="107"/>
    </row>
    <row r="94" spans="1:47" outlineLevel="1">
      <c r="C94" s="113" t="s">
        <v>120</v>
      </c>
      <c r="D94" s="122" t="s">
        <v>30</v>
      </c>
      <c r="E94" s="122" t="str">
        <f>$E$8</f>
        <v>$millions</v>
      </c>
      <c r="F94" s="174">
        <f t="shared" ref="F94" si="11">$F$8</f>
        <v>44348</v>
      </c>
      <c r="G94" s="32"/>
      <c r="H94" s="32"/>
      <c r="I94" s="32"/>
      <c r="J94" s="128">
        <f>SUM(J89:J93)</f>
        <v>0</v>
      </c>
      <c r="K94" s="128">
        <f t="shared" ref="K94:S94" si="12">SUM(K89:K93)</f>
        <v>0</v>
      </c>
      <c r="L94" s="128">
        <f t="shared" si="12"/>
        <v>0</v>
      </c>
      <c r="M94" s="128">
        <f t="shared" si="12"/>
        <v>0</v>
      </c>
      <c r="N94" s="128">
        <f t="shared" si="12"/>
        <v>0</v>
      </c>
      <c r="O94" s="128">
        <f t="shared" si="12"/>
        <v>0.20456653614457837</v>
      </c>
      <c r="P94" s="128">
        <f t="shared" si="12"/>
        <v>0.35799143825301216</v>
      </c>
      <c r="Q94" s="128">
        <f t="shared" si="12"/>
        <v>0.35799143825301216</v>
      </c>
      <c r="R94" s="128">
        <f t="shared" si="12"/>
        <v>0.10228326807228919</v>
      </c>
      <c r="S94" s="128">
        <f t="shared" si="12"/>
        <v>0.1125115948795181</v>
      </c>
    </row>
    <row r="95" spans="1:47">
      <c r="C95" s="123"/>
      <c r="D95" s="110"/>
      <c r="E95" s="110"/>
      <c r="F95" s="110"/>
      <c r="J95" s="107"/>
      <c r="K95" s="107"/>
      <c r="L95" s="107"/>
      <c r="M95" s="107"/>
      <c r="N95" s="23"/>
      <c r="O95" s="23"/>
      <c r="P95" s="23"/>
      <c r="Q95" s="23"/>
      <c r="R95" s="23"/>
      <c r="S95" s="23"/>
    </row>
    <row r="96" spans="1:47" s="103" customFormat="1" ht="12.75">
      <c r="A96" s="94"/>
      <c r="B96" s="95" t="s">
        <v>91</v>
      </c>
      <c r="C96" s="94"/>
      <c r="D96" s="94"/>
      <c r="E96" s="94"/>
      <c r="F96" s="96"/>
      <c r="G96" s="96"/>
      <c r="H96" s="96"/>
      <c r="I96" s="96"/>
      <c r="J96" s="97"/>
      <c r="K96" s="98"/>
      <c r="L96" s="97"/>
      <c r="M96" s="98"/>
      <c r="N96" s="97"/>
      <c r="O96" s="97"/>
      <c r="P96" s="97"/>
      <c r="Q96" s="97"/>
      <c r="R96" s="97"/>
      <c r="S96" s="97"/>
      <c r="T96" s="97"/>
      <c r="U96" s="97"/>
      <c r="V96" s="98"/>
      <c r="W96" s="98"/>
      <c r="X96" s="99"/>
      <c r="Y96" s="99"/>
      <c r="Z96" s="99"/>
      <c r="AA96" s="99"/>
      <c r="AB96" s="100"/>
      <c r="AC96" s="101"/>
      <c r="AD96" s="101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</row>
    <row r="97" spans="1:47" outlineLevel="1">
      <c r="C97" s="106"/>
      <c r="J97" s="107"/>
      <c r="K97" s="107"/>
      <c r="L97" s="107"/>
    </row>
    <row r="98" spans="1:47" outlineLevel="1">
      <c r="C98" s="67"/>
      <c r="J98" s="162" t="str">
        <f>IF(YEAR(J$4)&gt;='Input|General'!$G$13,IF(YEAR(J$4)&lt;='Input|General'!$G$14,J$4,""),"")</f>
        <v/>
      </c>
      <c r="K98" s="162" t="str">
        <f>IF(YEAR(K$4)&gt;='Input|General'!$G$13,IF(YEAR(K$4)&lt;='Input|General'!$G$14,K$4,""),"")</f>
        <v/>
      </c>
      <c r="L98" s="162" t="str">
        <f>IF(YEAR(L$4)&gt;='Input|General'!$G$13,IF(YEAR(L$4)&lt;='Input|General'!$G$14,L$4,""),"")</f>
        <v/>
      </c>
      <c r="M98" s="162" t="str">
        <f>IF(YEAR(M$4)&gt;='Input|General'!$G$13,IF(YEAR(M$4)&lt;='Input|General'!$G$14,M$4,""),"")</f>
        <v/>
      </c>
      <c r="N98" s="162" t="str">
        <f>IF(YEAR(N$4)&gt;='Input|General'!$G$13,IF(YEAR(N$4)&lt;='Input|General'!$G$14,N$4,""),"")</f>
        <v/>
      </c>
      <c r="O98" s="162">
        <f>IF(YEAR(O$4)&gt;='Input|General'!$G$13,IF(YEAR(O$4)&lt;='Input|General'!$G$14,O$4,""),"")</f>
        <v>44713</v>
      </c>
      <c r="P98" s="162">
        <f>IF(YEAR(P$4)&gt;='Input|General'!$G$13,IF(YEAR(P$4)&lt;='Input|General'!$G$14,P$4,""),"")</f>
        <v>45078</v>
      </c>
      <c r="Q98" s="162">
        <f>IF(YEAR(Q$4)&gt;='Input|General'!$G$13,IF(YEAR(Q$4)&lt;='Input|General'!$G$14,Q$4,""),"")</f>
        <v>45444</v>
      </c>
      <c r="R98" s="162">
        <f>IF(YEAR(R$4)&gt;='Input|General'!$G$13,IF(YEAR(R$4)&lt;='Input|General'!$G$14,R$4,""),"")</f>
        <v>45809</v>
      </c>
      <c r="S98" s="162">
        <f>IF(YEAR(S$4)&gt;='Input|General'!$G$13,IF(YEAR(S$4)&lt;='Input|General'!$G$14,S$4,""),"")</f>
        <v>46174</v>
      </c>
    </row>
    <row r="99" spans="1:47" outlineLevel="1">
      <c r="C99" s="124"/>
      <c r="D99" s="110"/>
      <c r="E99" s="110"/>
      <c r="F99" s="110"/>
      <c r="J99" s="125"/>
      <c r="K99" s="125"/>
      <c r="L99" s="125"/>
      <c r="M99" s="125"/>
      <c r="N99" s="125"/>
      <c r="O99" s="125"/>
      <c r="P99" s="125"/>
      <c r="Q99" s="125"/>
      <c r="R99" s="125"/>
      <c r="S99" s="125"/>
    </row>
    <row r="100" spans="1:47" outlineLevel="1">
      <c r="C100" s="123" t="s">
        <v>137</v>
      </c>
      <c r="D100" s="126" t="s">
        <v>30</v>
      </c>
      <c r="E100" s="126" t="str">
        <f>$E$8</f>
        <v>$millions</v>
      </c>
      <c r="F100" s="174">
        <f t="shared" ref="F100:F102" si="13">$F$8</f>
        <v>44348</v>
      </c>
      <c r="J100" s="151" t="str">
        <f t="shared" ref="J100:S100" si="14">IF(YEAR(J$4)&gt;=FPFirstYear,IF(YEAR(J$4)&lt;=FPLastYear,IF(ISBLANK(J98),"",(1+J68)*SUM($J54:$S54)+J84),""),"")</f>
        <v/>
      </c>
      <c r="K100" s="151" t="str">
        <f t="shared" si="14"/>
        <v/>
      </c>
      <c r="L100" s="151" t="str">
        <f t="shared" si="14"/>
        <v/>
      </c>
      <c r="M100" s="151" t="str">
        <f t="shared" si="14"/>
        <v/>
      </c>
      <c r="N100" s="151" t="str">
        <f t="shared" si="14"/>
        <v/>
      </c>
      <c r="O100" s="151">
        <f t="shared" ca="1" si="14"/>
        <v>10.422808962656319</v>
      </c>
      <c r="P100" s="151">
        <f t="shared" ca="1" si="14"/>
        <v>10.345388679007936</v>
      </c>
      <c r="Q100" s="151">
        <f t="shared" ca="1" si="14"/>
        <v>10.294066269918295</v>
      </c>
      <c r="R100" s="151">
        <f t="shared" ca="1" si="14"/>
        <v>10.274036940369758</v>
      </c>
      <c r="S100" s="151">
        <f t="shared" ca="1" si="14"/>
        <v>10.286581595868283</v>
      </c>
    </row>
    <row r="101" spans="1:47" outlineLevel="1">
      <c r="C101" s="123" t="s">
        <v>108</v>
      </c>
      <c r="D101" s="126" t="s">
        <v>30</v>
      </c>
      <c r="E101" s="126" t="str">
        <f>$E$8</f>
        <v>$millions</v>
      </c>
      <c r="F101" s="174">
        <f t="shared" si="13"/>
        <v>44348</v>
      </c>
      <c r="J101" s="151" t="str">
        <f t="shared" ref="J101:S101" si="15">IF(YEAR(J$4)&gt;=FPFirstYear,IF(YEAR(J$4)&lt;=FPLastYear,IF(ISBLANK(J98),"",(1+J68)*SUM($J54:$S54)+J84+J94),""),"")</f>
        <v/>
      </c>
      <c r="K101" s="151" t="str">
        <f t="shared" si="15"/>
        <v/>
      </c>
      <c r="L101" s="151" t="str">
        <f t="shared" si="15"/>
        <v/>
      </c>
      <c r="M101" s="151" t="str">
        <f t="shared" si="15"/>
        <v/>
      </c>
      <c r="N101" s="151" t="str">
        <f t="shared" si="15"/>
        <v/>
      </c>
      <c r="O101" s="151">
        <f t="shared" ca="1" si="15"/>
        <v>10.627375498800898</v>
      </c>
      <c r="P101" s="151">
        <f t="shared" ca="1" si="15"/>
        <v>10.703380117260949</v>
      </c>
      <c r="Q101" s="151">
        <f t="shared" ca="1" si="15"/>
        <v>10.652057708171307</v>
      </c>
      <c r="R101" s="151">
        <f t="shared" ca="1" si="15"/>
        <v>10.376320208442047</v>
      </c>
      <c r="S101" s="151">
        <f t="shared" ca="1" si="15"/>
        <v>10.3990931907478</v>
      </c>
    </row>
    <row r="102" spans="1:47" outlineLevel="1">
      <c r="C102" s="123" t="s">
        <v>109</v>
      </c>
      <c r="D102" s="126" t="s">
        <v>30</v>
      </c>
      <c r="E102" s="126" t="str">
        <f>$E$8</f>
        <v>$millions</v>
      </c>
      <c r="F102" s="174">
        <f t="shared" si="13"/>
        <v>44348</v>
      </c>
      <c r="J102" s="151" t="str">
        <f>IF(YEAR(J$4)&gt;=FPFirstYear,IF(YEAR(J$4)&lt;=FPLastYear,J101+'Input|Step changes'!J38,""),"")</f>
        <v/>
      </c>
      <c r="K102" s="151" t="str">
        <f>IF(YEAR(K$4)&gt;=FPFirstYear,IF(YEAR(K$4)&lt;=FPLastYear,K101+'Input|Step changes'!K38,""),"")</f>
        <v/>
      </c>
      <c r="L102" s="151" t="str">
        <f>IF(YEAR(L$4)&gt;=FPFirstYear,IF(YEAR(L$4)&lt;=FPLastYear,L101+'Input|Step changes'!L38,""),"")</f>
        <v/>
      </c>
      <c r="M102" s="151" t="str">
        <f>IF(YEAR(M$4)&gt;=FPFirstYear,IF(YEAR(M$4)&lt;=FPLastYear,M101+'Input|Step changes'!M38,""),"")</f>
        <v/>
      </c>
      <c r="N102" s="151" t="str">
        <f>IF(YEAR(N$4)&gt;=FPFirstYear,IF(YEAR(N$4)&lt;=FPLastYear,N101+'Input|Step changes'!N38,""),"")</f>
        <v/>
      </c>
      <c r="O102" s="151">
        <f ca="1">IF(YEAR(O$4)&gt;=FPFirstYear,IF(YEAR(O$4)&lt;=FPLastYear,O101+'Input|Step changes'!O38,""),"")</f>
        <v>10.688279621099978</v>
      </c>
      <c r="P102" s="151">
        <f ca="1">IF(YEAR(P$4)&gt;=FPFirstYear,IF(YEAR(P$4)&lt;=FPLastYear,P101+'Input|Step changes'!P38,""),"")</f>
        <v>10.763319531229579</v>
      </c>
      <c r="Q102" s="151">
        <f ca="1">IF(YEAR(Q$4)&gt;=FPFirstYear,IF(YEAR(Q$4)&lt;=FPLastYear,Q101+'Input|Step changes'!Q38,""),"")</f>
        <v>10.710793426994075</v>
      </c>
      <c r="R102" s="151">
        <f ca="1">IF(YEAR(R$4)&gt;=FPFirstYear,IF(YEAR(R$4)&lt;=FPLastYear,R101+'Input|Step changes'!R38,""),"")</f>
        <v>10.434001725333694</v>
      </c>
      <c r="S102" s="151">
        <f ca="1">IF(YEAR(S$4)&gt;=FPFirstYear,IF(YEAR(S$4)&lt;=FPLastYear,S101+'Input|Step changes'!S38,""),"")</f>
        <v>10.455707703175701</v>
      </c>
    </row>
    <row r="103" spans="1:47">
      <c r="C103" s="123"/>
      <c r="D103" s="110"/>
      <c r="E103" s="110"/>
      <c r="F103" s="110"/>
      <c r="J103" s="107"/>
      <c r="K103" s="107"/>
      <c r="L103" s="107"/>
      <c r="M103" s="107"/>
      <c r="N103" s="23"/>
      <c r="O103" s="23"/>
      <c r="P103" s="23"/>
      <c r="Q103" s="23"/>
      <c r="R103" s="23"/>
      <c r="S103" s="23"/>
    </row>
    <row r="104" spans="1:47" s="103" customFormat="1" ht="12.75">
      <c r="A104" s="94"/>
      <c r="B104" s="95" t="s">
        <v>21</v>
      </c>
      <c r="C104" s="94"/>
      <c r="D104" s="94"/>
      <c r="E104" s="94"/>
      <c r="F104" s="96"/>
      <c r="G104" s="96"/>
      <c r="H104" s="96"/>
      <c r="I104" s="96"/>
      <c r="J104" s="97"/>
      <c r="K104" s="98"/>
      <c r="L104" s="97"/>
      <c r="M104" s="98"/>
      <c r="N104" s="97"/>
      <c r="O104" s="97"/>
      <c r="P104" s="97"/>
      <c r="Q104" s="97"/>
      <c r="R104" s="97"/>
      <c r="S104" s="97"/>
      <c r="T104" s="97"/>
      <c r="U104" s="97"/>
      <c r="V104" s="98"/>
      <c r="W104" s="98"/>
      <c r="X104" s="99"/>
      <c r="Y104" s="99"/>
      <c r="Z104" s="99"/>
      <c r="AA104" s="99"/>
      <c r="AB104" s="100"/>
      <c r="AC104" s="101"/>
      <c r="AD104" s="101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</row>
    <row r="105" spans="1:47" hidden="1"/>
    <row r="106" spans="1:47" hidden="1"/>
    <row r="107" spans="1:47" hidden="1"/>
    <row r="108" spans="1:47" hidden="1"/>
    <row r="109" spans="1:47" hidden="1"/>
    <row r="110" spans="1:47" hidden="1"/>
    <row r="111" spans="1:47" hidden="1"/>
    <row r="112" spans="1:47" hidden="1"/>
    <row r="113" spans="4:9" hidden="1">
      <c r="D113" s="29"/>
      <c r="E113" s="29"/>
      <c r="F113" s="29"/>
      <c r="G113" s="29"/>
      <c r="H113" s="29"/>
      <c r="I113" s="29"/>
    </row>
    <row r="114" spans="4:9" hidden="1">
      <c r="D114" s="29"/>
      <c r="E114" s="29"/>
      <c r="F114" s="29"/>
      <c r="G114" s="29"/>
      <c r="H114" s="29"/>
      <c r="I114" s="29"/>
    </row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/>
    <row r="191" spans="4:9" hidden="1"/>
  </sheetData>
  <mergeCells count="1">
    <mergeCell ref="N3:S3"/>
  </mergeCells>
  <conditionalFormatting sqref="S1">
    <cfRule type="cellIs" dxfId="86" priority="107" operator="equal">
      <formula>"Check"</formula>
    </cfRule>
    <cfRule type="cellIs" dxfId="85" priority="108" operator="equal">
      <formula>"Ok"</formula>
    </cfRule>
  </conditionalFormatting>
  <conditionalFormatting sqref="V1">
    <cfRule type="cellIs" dxfId="84" priority="109" operator="equal">
      <formula>"Check"</formula>
    </cfRule>
    <cfRule type="cellIs" dxfId="83" priority="110" operator="equal">
      <formula>"Ok"</formula>
    </cfRule>
  </conditionalFormatting>
  <conditionalFormatting sqref="R39:S39 R42:S42 R45:S45 R48:S48 J12:S18">
    <cfRule type="cellIs" dxfId="82" priority="106" operator="equal">
      <formula>0</formula>
    </cfRule>
  </conditionalFormatting>
  <conditionalFormatting sqref="J13:S13">
    <cfRule type="cellIs" dxfId="81" priority="105" operator="equal">
      <formula>0</formula>
    </cfRule>
  </conditionalFormatting>
  <conditionalFormatting sqref="J14:S14">
    <cfRule type="cellIs" dxfId="80" priority="104" operator="equal">
      <formula>0</formula>
    </cfRule>
  </conditionalFormatting>
  <conditionalFormatting sqref="J15:S15">
    <cfRule type="cellIs" dxfId="79" priority="103" operator="equal">
      <formula>0</formula>
    </cfRule>
  </conditionalFormatting>
  <conditionalFormatting sqref="J16:S16">
    <cfRule type="cellIs" dxfId="78" priority="102" operator="equal">
      <formula>0</formula>
    </cfRule>
  </conditionalFormatting>
  <conditionalFormatting sqref="J17:S18">
    <cfRule type="cellIs" dxfId="77" priority="101" operator="equal">
      <formula>0</formula>
    </cfRule>
  </conditionalFormatting>
  <conditionalFormatting sqref="J61:S65">
    <cfRule type="cellIs" dxfId="76" priority="100" operator="equal">
      <formula>0</formula>
    </cfRule>
  </conditionalFormatting>
  <conditionalFormatting sqref="J74:S82 J90:S92">
    <cfRule type="cellIs" dxfId="75" priority="98" operator="equal">
      <formula>0</formula>
    </cfRule>
  </conditionalFormatting>
  <conditionalFormatting sqref="J36:S36 J33:S34 J51:S54">
    <cfRule type="cellIs" dxfId="74" priority="95" operator="equal">
      <formula>0</formula>
    </cfRule>
  </conditionalFormatting>
  <conditionalFormatting sqref="J101:S102">
    <cfRule type="cellIs" dxfId="73" priority="94" operator="equal">
      <formula>0</formula>
    </cfRule>
  </conditionalFormatting>
  <conditionalFormatting sqref="J101:S102">
    <cfRule type="cellIs" dxfId="72" priority="93" operator="equal">
      <formula>0</formula>
    </cfRule>
  </conditionalFormatting>
  <conditionalFormatting sqref="J46:S46">
    <cfRule type="cellIs" dxfId="71" priority="56" operator="equal">
      <formula>0</formula>
    </cfRule>
  </conditionalFormatting>
  <conditionalFormatting sqref="J39:Q39 J42:Q42 J45:Q45">
    <cfRule type="cellIs" dxfId="70" priority="74" operator="equal">
      <formula>0</formula>
    </cfRule>
  </conditionalFormatting>
  <conditionalFormatting sqref="J39:Q39 J42:Q42 J45:Q45">
    <cfRule type="cellIs" dxfId="69" priority="73" operator="equal">
      <formula>0</formula>
    </cfRule>
  </conditionalFormatting>
  <conditionalFormatting sqref="J37:S37">
    <cfRule type="cellIs" dxfId="68" priority="69" operator="equal">
      <formula>0</formula>
    </cfRule>
  </conditionalFormatting>
  <conditionalFormatting sqref="J37:S37">
    <cfRule type="cellIs" dxfId="67" priority="68" operator="equal">
      <formula>0</formula>
    </cfRule>
  </conditionalFormatting>
  <conditionalFormatting sqref="J48:Q48">
    <cfRule type="cellIs" dxfId="66" priority="59" operator="equal">
      <formula>0</formula>
    </cfRule>
  </conditionalFormatting>
  <conditionalFormatting sqref="J48:Q48">
    <cfRule type="cellIs" dxfId="65" priority="58" operator="equal">
      <formula>0</formula>
    </cfRule>
  </conditionalFormatting>
  <conditionalFormatting sqref="J40:S40">
    <cfRule type="cellIs" dxfId="64" priority="65" operator="equal">
      <formula>0</formula>
    </cfRule>
  </conditionalFormatting>
  <conditionalFormatting sqref="J40:S40">
    <cfRule type="cellIs" dxfId="63" priority="64" operator="equal">
      <formula>0</formula>
    </cfRule>
  </conditionalFormatting>
  <conditionalFormatting sqref="J46:S46">
    <cfRule type="cellIs" dxfId="62" priority="57" operator="equal">
      <formula>0</formula>
    </cfRule>
  </conditionalFormatting>
  <conditionalFormatting sqref="J43:S43">
    <cfRule type="cellIs" dxfId="61" priority="61" operator="equal">
      <formula>0</formula>
    </cfRule>
  </conditionalFormatting>
  <conditionalFormatting sqref="J43:S43">
    <cfRule type="cellIs" dxfId="60" priority="60" operator="equal">
      <formula>0</formula>
    </cfRule>
  </conditionalFormatting>
  <conditionalFormatting sqref="J49:S49">
    <cfRule type="cellIs" dxfId="59" priority="51" operator="equal">
      <formula>0</formula>
    </cfRule>
  </conditionalFormatting>
  <conditionalFormatting sqref="J49:S49">
    <cfRule type="cellIs" dxfId="58" priority="52" operator="equal">
      <formula>0</formula>
    </cfRule>
  </conditionalFormatting>
  <conditionalFormatting sqref="J38:S38">
    <cfRule type="cellIs" dxfId="57" priority="50" operator="equal">
      <formula>0</formula>
    </cfRule>
  </conditionalFormatting>
  <conditionalFormatting sqref="J38:S38">
    <cfRule type="cellIs" dxfId="56" priority="49" operator="equal">
      <formula>0</formula>
    </cfRule>
  </conditionalFormatting>
  <conditionalFormatting sqref="J100:S100">
    <cfRule type="cellIs" dxfId="55" priority="30" operator="equal">
      <formula>0</formula>
    </cfRule>
  </conditionalFormatting>
  <conditionalFormatting sqref="J100:S100">
    <cfRule type="cellIs" dxfId="54" priority="29" operator="equal">
      <formula>0</formula>
    </cfRule>
  </conditionalFormatting>
  <conditionalFormatting sqref="J10:S10 J25:S25 J54:S54">
    <cfRule type="expression" dxfId="53" priority="28">
      <formula>J$10=J$4</formula>
    </cfRule>
  </conditionalFormatting>
  <conditionalFormatting sqref="J26:S28 J30:S30">
    <cfRule type="cellIs" dxfId="52" priority="23" operator="equal">
      <formula>0</formula>
    </cfRule>
  </conditionalFormatting>
  <conditionalFormatting sqref="J31:S32">
    <cfRule type="cellIs" dxfId="51" priority="22" operator="equal">
      <formula>0</formula>
    </cfRule>
  </conditionalFormatting>
  <conditionalFormatting sqref="J68:S68">
    <cfRule type="cellIs" dxfId="50" priority="19" operator="equal">
      <formula>0</formula>
    </cfRule>
  </conditionalFormatting>
  <conditionalFormatting sqref="J35:S35">
    <cfRule type="cellIs" dxfId="49" priority="18" operator="equal">
      <formula>0</formula>
    </cfRule>
  </conditionalFormatting>
  <conditionalFormatting sqref="J35:S35">
    <cfRule type="cellIs" dxfId="48" priority="17" operator="equal">
      <formula>0</formula>
    </cfRule>
  </conditionalFormatting>
  <conditionalFormatting sqref="J29:S29">
    <cfRule type="cellIs" dxfId="47" priority="16" operator="equal">
      <formula>0</formula>
    </cfRule>
  </conditionalFormatting>
  <conditionalFormatting sqref="J29:S29">
    <cfRule type="cellIs" dxfId="46" priority="15" operator="equal">
      <formula>0</formula>
    </cfRule>
  </conditionalFormatting>
  <conditionalFormatting sqref="J19:S24">
    <cfRule type="cellIs" dxfId="45" priority="14" operator="equal">
      <formula>0</formula>
    </cfRule>
  </conditionalFormatting>
  <conditionalFormatting sqref="J20:S20">
    <cfRule type="cellIs" dxfId="44" priority="13" operator="equal">
      <formula>0</formula>
    </cfRule>
  </conditionalFormatting>
  <conditionalFormatting sqref="J21:S21">
    <cfRule type="cellIs" dxfId="43" priority="12" operator="equal">
      <formula>0</formula>
    </cfRule>
  </conditionalFormatting>
  <conditionalFormatting sqref="J22:S22">
    <cfRule type="cellIs" dxfId="42" priority="11" operator="equal">
      <formula>0</formula>
    </cfRule>
  </conditionalFormatting>
  <conditionalFormatting sqref="J23:S23">
    <cfRule type="cellIs" dxfId="41" priority="10" operator="equal">
      <formula>0</formula>
    </cfRule>
  </conditionalFormatting>
  <conditionalFormatting sqref="J24:S24">
    <cfRule type="cellIs" dxfId="40" priority="9" operator="equal">
      <formula>0</formula>
    </cfRule>
  </conditionalFormatting>
  <conditionalFormatting sqref="J67:S67">
    <cfRule type="expression" dxfId="39" priority="112">
      <formula>J$58=J$4</formula>
    </cfRule>
    <cfRule type="cellIs" dxfId="38" priority="113" operator="equal">
      <formula>0</formula>
    </cfRule>
  </conditionalFormatting>
  <conditionalFormatting sqref="J94:S94">
    <cfRule type="expression" dxfId="37" priority="114">
      <formula>J$88=J$4</formula>
    </cfRule>
    <cfRule type="cellIs" dxfId="36" priority="115" operator="equal">
      <formula>0</formula>
    </cfRule>
  </conditionalFormatting>
  <conditionalFormatting sqref="J84:S84">
    <cfRule type="expression" dxfId="35" priority="116">
      <formula>J$72=J$4</formula>
    </cfRule>
    <cfRule type="cellIs" dxfId="34" priority="117" operator="equal">
      <formula>0</formula>
    </cfRule>
  </conditionalFormatting>
  <conditionalFormatting sqref="J58:S58 J72:S72 J88:S88">
    <cfRule type="expression" dxfId="33" priority="118">
      <formula>J$58=J$4</formula>
    </cfRule>
  </conditionalFormatting>
  <conditionalFormatting sqref="J98:S98">
    <cfRule type="expression" dxfId="32" priority="121">
      <formula>J$98=J$4</formula>
    </cfRule>
  </conditionalFormatting>
  <conditionalFormatting sqref="J41:S41">
    <cfRule type="cellIs" dxfId="31" priority="8" operator="equal">
      <formula>0</formula>
    </cfRule>
  </conditionalFormatting>
  <conditionalFormatting sqref="J41:S41">
    <cfRule type="cellIs" dxfId="30" priority="7" operator="equal">
      <formula>0</formula>
    </cfRule>
  </conditionalFormatting>
  <conditionalFormatting sqref="J44:S44">
    <cfRule type="cellIs" dxfId="29" priority="6" operator="equal">
      <formula>0</formula>
    </cfRule>
  </conditionalFormatting>
  <conditionalFormatting sqref="J44:S44">
    <cfRule type="cellIs" dxfId="28" priority="5" operator="equal">
      <formula>0</formula>
    </cfRule>
  </conditionalFormatting>
  <conditionalFormatting sqref="J47:S47">
    <cfRule type="cellIs" dxfId="27" priority="4" operator="equal">
      <formula>0</formula>
    </cfRule>
  </conditionalFormatting>
  <conditionalFormatting sqref="J47:S47">
    <cfRule type="cellIs" dxfId="26" priority="3" operator="equal">
      <formula>0</formula>
    </cfRule>
  </conditionalFormatting>
  <conditionalFormatting sqref="J50:S50">
    <cfRule type="cellIs" dxfId="25" priority="2" operator="equal">
      <formula>0</formula>
    </cfRule>
  </conditionalFormatting>
  <conditionalFormatting sqref="J50:S50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5 F93 F103 F85">
      <formula1>"Real 2010,Real 2011,Real 2012,Real 2013,Real 2014,Real 2015,Nominal"</formula1>
    </dataValidation>
    <dataValidation type="list" allowBlank="1" showInputMessage="1" showErrorMessage="1" sqref="F83">
      <formula1>$G$60:$G$66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'Lookup|Tables'!$H$66:$H$70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v1.8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82</v>
      </c>
      <c r="S1" s="76" t="s">
        <v>193</v>
      </c>
      <c r="T1" s="76"/>
      <c r="V1" s="187" t="s">
        <v>24</v>
      </c>
      <c r="W1" s="76" t="str">
        <f>'Check|List'!$S$1</f>
        <v>Ok</v>
      </c>
    </row>
    <row r="2" spans="1:27" s="77" customFormat="1" ht="13.5" thickBot="1">
      <c r="B2" s="78" t="str">
        <f>Index!$C$13</f>
        <v>Output | Models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2"/>
      <c r="E3" s="182"/>
      <c r="F3" s="182"/>
      <c r="G3" s="182"/>
      <c r="H3" s="182"/>
      <c r="I3" s="182"/>
      <c r="J3" s="172" t="s">
        <v>122</v>
      </c>
      <c r="K3" s="172"/>
      <c r="L3" s="172"/>
      <c r="M3" s="182"/>
      <c r="N3" s="221"/>
      <c r="O3" s="221"/>
      <c r="P3" s="221"/>
      <c r="Q3" s="221"/>
      <c r="R3" s="221"/>
      <c r="S3" s="221"/>
      <c r="T3" s="220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5">
        <f>DATE(PPFirstYear,MONTH('Input|General'!$G$9),1)</f>
        <v>42887</v>
      </c>
      <c r="K4" s="155">
        <f>DATE(PPFirstYear+1,MONTH('Input|General'!$G$9),1)</f>
        <v>43252</v>
      </c>
      <c r="L4" s="155">
        <f>DATE(PPFirstYear+2,MONTH('Input|General'!$G$9),1)</f>
        <v>43617</v>
      </c>
      <c r="M4" s="155">
        <f>DATE(PPFirstYear+3,MONTH('Input|General'!$G$9),1)</f>
        <v>43983</v>
      </c>
      <c r="N4" s="155">
        <f>DATE(PPFirstYear+4,MONTH('Input|General'!$G$9),1)</f>
        <v>44348</v>
      </c>
      <c r="O4" s="155">
        <f>DATE(PPFirstYear+5,MONTH('Input|General'!$G$9),1)</f>
        <v>44713</v>
      </c>
      <c r="P4" s="155">
        <f>DATE(PPFirstYear+6,MONTH('Input|General'!$G$9),1)</f>
        <v>45078</v>
      </c>
      <c r="Q4" s="155">
        <f>DATE(PPFirstYear+7,MONTH('Input|General'!$G$9),1)</f>
        <v>45444</v>
      </c>
      <c r="R4" s="155">
        <f>DATE(PPFirstYear+8,MONTH('Input|General'!$G$9),1)</f>
        <v>45809</v>
      </c>
      <c r="S4" s="155">
        <f>DATE(PPFirstYear+9,MONTH('Input|General'!$G$9),1)</f>
        <v>46174</v>
      </c>
      <c r="T4" s="155">
        <f>DATE(PPFirstYear+10,MONTH('Input|General'!$G$9),1)</f>
        <v>46539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55</v>
      </c>
      <c r="C8" s="94"/>
      <c r="D8" s="94"/>
      <c r="E8" s="68" t="s">
        <v>15</v>
      </c>
      <c r="F8" s="206">
        <f>DATE(PPLastYear,MONTH('Input|General'!$G$9),1)</f>
        <v>44348</v>
      </c>
      <c r="G8" s="96"/>
      <c r="H8" s="96"/>
      <c r="I8" s="96"/>
      <c r="J8" s="149" t="s">
        <v>56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46</v>
      </c>
      <c r="D11" s="32" t="s">
        <v>7</v>
      </c>
      <c r="E11" s="32" t="s">
        <v>8</v>
      </c>
      <c r="F11" s="32" t="s">
        <v>22</v>
      </c>
      <c r="H11" s="32"/>
      <c r="I11" s="32"/>
      <c r="J11" s="162" t="str">
        <f>IF(YEAR(J$4)&gt;='Input|General'!$G$13,IF(YEAR(J$4)&lt;='Input|General'!$G$14,J$4,""),"")</f>
        <v/>
      </c>
      <c r="K11" s="162" t="str">
        <f>IF(YEAR(K$4)&gt;='Input|General'!$G$13,IF(YEAR(K$4)&lt;='Input|General'!$G$14,K$4,""),"")</f>
        <v/>
      </c>
      <c r="L11" s="162" t="str">
        <f>IF(YEAR(L$4)&gt;='Input|General'!$G$13,IF(YEAR(L$4)&lt;='Input|General'!$G$14,L$4,""),"")</f>
        <v/>
      </c>
      <c r="M11" s="162" t="str">
        <f>IF(YEAR(M$4)&gt;='Input|General'!$G$13,IF(YEAR(M$4)&lt;='Input|General'!$G$14,M$4,""),"")</f>
        <v/>
      </c>
      <c r="N11" s="162" t="str">
        <f>IF(YEAR(N$4)&gt;='Input|General'!$G$13,IF(YEAR(N$4)&lt;='Input|General'!$G$14,N$4,""),"")</f>
        <v/>
      </c>
      <c r="O11" s="162">
        <f>IF(YEAR(O$4)&gt;='Input|General'!$G$13,IF(YEAR(O$4)&lt;='Input|General'!$G$14,O$4,""),"")</f>
        <v>44713</v>
      </c>
      <c r="P11" s="162">
        <f>IF(YEAR(P$4)&gt;='Input|General'!$G$13,IF(YEAR(P$4)&lt;='Input|General'!$G$14,P$4,""),"")</f>
        <v>45078</v>
      </c>
      <c r="Q11" s="162">
        <f>IF(YEAR(Q$4)&gt;='Input|General'!$G$13,IF(YEAR(Q$4)&lt;='Input|General'!$G$14,Q$4,""),"")</f>
        <v>45444</v>
      </c>
      <c r="R11" s="162">
        <f>IF(YEAR(R$4)&gt;='Input|General'!$G$13,IF(YEAR(R$4)&lt;='Input|General'!$G$14,R$4,""),"")</f>
        <v>45809</v>
      </c>
      <c r="S11" s="162">
        <f>IF(YEAR(S$4)&gt;='Input|General'!$G$13,IF(YEAR(S$4)&lt;='Input|General'!$G$14,S$4,""),"")</f>
        <v>46174</v>
      </c>
      <c r="T11" s="162" t="str">
        <f>IF(YEAR(T$4)&gt;='Input|General'!$G$13,IF(YEAR(T$4)&lt;='Input|General'!$G$14,T$4,""),"")</f>
        <v/>
      </c>
      <c r="V11" s="137" t="s">
        <v>54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V12" s="124"/>
      <c r="W12" s="142"/>
      <c r="X12" s="142"/>
    </row>
    <row r="13" spans="1:27">
      <c r="C13" s="111" t="str">
        <f>'Calc|Opex forecast'!C100</f>
        <v>Total forecast opex, excluding category specific forecasts</v>
      </c>
      <c r="D13" s="34" t="s">
        <v>104</v>
      </c>
      <c r="E13" s="30" t="str">
        <f>$E$8</f>
        <v>$millions</v>
      </c>
      <c r="F13" s="160">
        <f>$F$8</f>
        <v>44348</v>
      </c>
      <c r="H13" s="32"/>
      <c r="I13" s="32"/>
      <c r="J13" s="180">
        <f>IF(J11="",0,'Calc|Opex forecast'!J100*INDEX('Input|Rate of change'!$C$14:$P$22,MATCH('Calc|Opex forecast'!$F$100,'Input|Rate of change'!$C$14:$C$22,0),MATCH('Output|Models'!$F13,'Input|Rate of change'!$C$14:$P$14,0))*IF('Calc|Opex forecast'!$E$100="$millions",1000000,IF('Calc|Opex forecast'!$E$100="$000",1000,1))/IF($E13="$millions",1000000,IF($E13="$000",1000,1)))</f>
        <v>0</v>
      </c>
      <c r="K13" s="180">
        <f>IF(K11="",0,'Calc|Opex forecast'!K100*INDEX('Input|Rate of change'!$C$14:$P$22,MATCH('Calc|Opex forecast'!$F$100,'Input|Rate of change'!$C$14:$C$22,0),MATCH('Output|Models'!$F13,'Input|Rate of change'!$C$14:$P$14,0))*IF('Calc|Opex forecast'!$E$100="$millions",1000000,IF('Calc|Opex forecast'!$E$100="$000",1000,1))/IF($E13="$millions",1000000,IF($E13="$000",1000,1)))</f>
        <v>0</v>
      </c>
      <c r="L13" s="180">
        <f>IF(L11="",0,'Calc|Opex forecast'!L100*INDEX('Input|Rate of change'!$C$14:$P$22,MATCH('Calc|Opex forecast'!$F$100,'Input|Rate of change'!$C$14:$C$22,0),MATCH('Output|Models'!$F13,'Input|Rate of change'!$C$14:$P$14,0))*IF('Calc|Opex forecast'!$E$100="$millions",1000000,IF('Calc|Opex forecast'!$E$100="$000",1000,1))/IF($E13="$millions",1000000,IF($E13="$000",1000,1)))</f>
        <v>0</v>
      </c>
      <c r="M13" s="180">
        <f>IF(M11="",0,'Calc|Opex forecast'!M100*INDEX('Input|Rate of change'!$C$14:$P$22,MATCH('Calc|Opex forecast'!$F$100,'Input|Rate of change'!$C$14:$C$22,0),MATCH('Output|Models'!$F13,'Input|Rate of change'!$C$14:$P$14,0))*IF('Calc|Opex forecast'!$E$100="$millions",1000000,IF('Calc|Opex forecast'!$E$100="$000",1000,1))/IF($E13="$millions",1000000,IF($E13="$000",1000,1)))</f>
        <v>0</v>
      </c>
      <c r="N13" s="180">
        <f>IF(N11="",0,'Calc|Opex forecast'!N100*INDEX('Input|Rate of change'!$C$14:$P$22,MATCH('Calc|Opex forecast'!$F$100,'Input|Rate of change'!$C$14:$C$22,0),MATCH('Output|Models'!$F13,'Input|Rate of change'!$C$14:$P$14,0))*IF('Calc|Opex forecast'!$E$100="$millions",1000000,IF('Calc|Opex forecast'!$E$100="$000",1000,1))/IF($E13="$millions",1000000,IF($E13="$000",1000,1)))</f>
        <v>0</v>
      </c>
      <c r="O13" s="180">
        <f ca="1">IF(O11="",0,'Calc|Opex forecast'!O100*INDEX('Input|Rate of change'!$C$14:$P$22,MATCH('Calc|Opex forecast'!$F$100,'Input|Rate of change'!$C$14:$C$22,0),MATCH('Output|Models'!$F13,'Input|Rate of change'!$C$14:$P$14,0))*IF('Calc|Opex forecast'!$E$100="$millions",1000000,IF('Calc|Opex forecast'!$E$100="$000",1000,1))/IF($E13="$millions",1000000,IF($E13="$000",1000,1)))</f>
        <v>10.422808962656319</v>
      </c>
      <c r="P13" s="180">
        <f ca="1">IF(P11="",0,'Calc|Opex forecast'!P100*INDEX('Input|Rate of change'!$C$14:$P$22,MATCH('Calc|Opex forecast'!$F$100,'Input|Rate of change'!$C$14:$C$22,0),MATCH('Output|Models'!$F13,'Input|Rate of change'!$C$14:$P$14,0))*IF('Calc|Opex forecast'!$E$100="$millions",1000000,IF('Calc|Opex forecast'!$E$100="$000",1000,1))/IF($E13="$millions",1000000,IF($E13="$000",1000,1)))</f>
        <v>10.345388679007936</v>
      </c>
      <c r="Q13" s="180">
        <f ca="1">IF(Q11="",0,'Calc|Opex forecast'!Q100*INDEX('Input|Rate of change'!$C$14:$P$22,MATCH('Calc|Opex forecast'!$F$100,'Input|Rate of change'!$C$14:$C$22,0),MATCH('Output|Models'!$F13,'Input|Rate of change'!$C$14:$P$14,0))*IF('Calc|Opex forecast'!$E$100="$millions",1000000,IF('Calc|Opex forecast'!$E$100="$000",1000,1))/IF($E13="$millions",1000000,IF($E13="$000",1000,1)))</f>
        <v>10.294066269918295</v>
      </c>
      <c r="R13" s="180">
        <f ca="1">IF(R11="",0,'Calc|Opex forecast'!R100*INDEX('Input|Rate of change'!$C$14:$P$22,MATCH('Calc|Opex forecast'!$F$100,'Input|Rate of change'!$C$14:$C$22,0),MATCH('Output|Models'!$F13,'Input|Rate of change'!$C$14:$P$14,0))*IF('Calc|Opex forecast'!$E$100="$millions",1000000,IF('Calc|Opex forecast'!$E$100="$000",1000,1))/IF($E13="$millions",1000000,IF($E13="$000",1000,1)))</f>
        <v>10.274036940369756</v>
      </c>
      <c r="S13" s="180">
        <f ca="1">IF(S11="",0,'Calc|Opex forecast'!S100*INDEX('Input|Rate of change'!$C$14:$P$22,MATCH('Calc|Opex forecast'!$F$100,'Input|Rate of change'!$C$14:$C$22,0),MATCH('Output|Models'!$F13,'Input|Rate of change'!$C$14:$P$14,0))*IF('Calc|Opex forecast'!$E$100="$millions",1000000,IF('Calc|Opex forecast'!$E$100="$000",1000,1))/IF($E13="$millions",1000000,IF($E13="$000",1000,1)))</f>
        <v>10.286581595868283</v>
      </c>
      <c r="T13" s="180">
        <f>IF(T11="",0,'Calc|Opex forecast'!#REF!*INDEX('Input|Rate of change'!$C$14:$P$22,MATCH('Calc|Opex forecast'!$F$100,'Input|Rate of change'!$C$14:$C$22,0),MATCH('Output|Models'!$F13,'Input|Rate of change'!$C$14:$P$14,0))*IF('Calc|Opex forecast'!$E$100="$millions",1000000,IF('Calc|Opex forecast'!$E$100="$000",1000,1))/IF($E13="$millions",1000000,IF($E13="$000",1000,1)))</f>
        <v>0</v>
      </c>
      <c r="U13" s="111"/>
      <c r="V13" s="152"/>
    </row>
    <row r="14" spans="1:27">
      <c r="C14" s="111" t="str">
        <f>'Input|Step changes'!C28</f>
        <v>Pigging costs (in-line inspection and excavation costs)</v>
      </c>
      <c r="D14" s="34" t="s">
        <v>104</v>
      </c>
      <c r="E14" s="30" t="str">
        <f t="shared" ref="E14:E16" si="0">$E$8</f>
        <v>$millions</v>
      </c>
      <c r="F14" s="160">
        <f t="shared" ref="F14:F16" si="1">$F$8</f>
        <v>44348</v>
      </c>
      <c r="H14" s="32"/>
      <c r="I14" s="32"/>
      <c r="J14" s="180">
        <f>IF(J$11="",0,'Calc|Opex forecast'!J90*INDEX('Input|Rate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K14" s="180">
        <f>IF(K$11="",0,'Calc|Opex forecast'!K90*INDEX('Input|Rate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L14" s="180">
        <f>IF(L$11="",0,'Calc|Opex forecast'!L90*INDEX('Input|Rate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M14" s="180">
        <f>IF(M$11="",0,'Calc|Opex forecast'!M90*INDEX('Input|Rate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N14" s="180">
        <f>IF(N$11="",0,'Calc|Opex forecast'!N90*INDEX('Input|Rate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O14" s="180">
        <f>IF(O$11="",0,'Calc|Opex forecast'!O90*INDEX('Input|Rate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0.20456653614457837</v>
      </c>
      <c r="P14" s="180">
        <f>IF(P$11="",0,'Calc|Opex forecast'!P90*INDEX('Input|Rate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0.35799143825301216</v>
      </c>
      <c r="Q14" s="180">
        <f>IF(Q$11="",0,'Calc|Opex forecast'!Q90*INDEX('Input|Rate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0.35799143825301216</v>
      </c>
      <c r="R14" s="180">
        <f>IF(R$11="",0,'Calc|Opex forecast'!R90*INDEX('Input|Rate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0.10228326807228919</v>
      </c>
      <c r="S14" s="180">
        <f>IF(S$11="",0,'Calc|Opex forecast'!S90*INDEX('Input|Rate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0.1125115948795181</v>
      </c>
      <c r="T14" s="180">
        <f>IF(T$11="",0,'Calc|Opex forecast'!#REF!*INDEX('Input|Rate of change'!$C$14:$P$22,MATCH('Calc|Opex forecast'!$F90,'Input|Rate of change'!$C$14:$C$22,0),MATCH('Output|Models'!$F14,'Input|Rate of change'!$C$14:$P$14,0))*IF('Calc|Opex forecast'!$E90="$millions",1000000,IF('Calc|Opex forecast'!$E90="$000",1000,1))/IF($E14="$millions",1000000,IF($E14="$000",1000,1)))</f>
        <v>0</v>
      </c>
      <c r="U14" s="111"/>
      <c r="V14" s="152"/>
    </row>
    <row r="15" spans="1:27">
      <c r="C15" s="111">
        <f>'Input|Step changes'!C29</f>
        <v>0</v>
      </c>
      <c r="D15" s="34" t="s">
        <v>104</v>
      </c>
      <c r="E15" s="30" t="str">
        <f t="shared" si="0"/>
        <v>$millions</v>
      </c>
      <c r="F15" s="160">
        <f t="shared" si="1"/>
        <v>44348</v>
      </c>
      <c r="H15" s="32"/>
      <c r="I15" s="32"/>
      <c r="J15" s="180">
        <f>IF(J$11="",0,'Calc|Opex forecast'!J91*INDEX('Input|Rate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K15" s="180">
        <f>IF(K$11="",0,'Calc|Opex forecast'!K91*INDEX('Input|Rate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L15" s="180">
        <f>IF(L$11="",0,'Calc|Opex forecast'!L91*INDEX('Input|Rate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M15" s="180">
        <f>IF(M$11="",0,'Calc|Opex forecast'!M91*INDEX('Input|Rate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N15" s="180">
        <f>IF(N$11="",0,'Calc|Opex forecast'!N91*INDEX('Input|Rate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O15" s="180">
        <f>IF(O$11="",0,'Calc|Opex forecast'!O91*INDEX('Input|Rate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P15" s="180">
        <f>IF(P$11="",0,'Calc|Opex forecast'!P91*INDEX('Input|Rate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Q15" s="180">
        <f>IF(Q$11="",0,'Calc|Opex forecast'!Q91*INDEX('Input|Rate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R15" s="180">
        <f>IF(R$11="",0,'Calc|Opex forecast'!R91*INDEX('Input|Rate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S15" s="180">
        <f>IF(S$11="",0,'Calc|Opex forecast'!S91*INDEX('Input|Rate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T15" s="180">
        <f>IF(T$11="",0,'Calc|Opex forecast'!#REF!*INDEX('Input|Rate of change'!$C$14:$P$22,MATCH('Calc|Opex forecast'!$F91,'Input|Rate of change'!$C$14:$C$22,0),MATCH('Output|Models'!$F15,'Input|Rate of change'!$C$14:$P$14,0))*IF('Calc|Opex forecast'!$E91="$millions",1000000,IF('Calc|Opex forecast'!$E91="$000",1000,1))/IF($E15="$millions",1000000,IF($E15="$000",1000,1)))</f>
        <v>0</v>
      </c>
      <c r="U15" s="111"/>
      <c r="V15" s="152"/>
    </row>
    <row r="16" spans="1:27">
      <c r="C16" s="111">
        <f>'Input|Step changes'!C30</f>
        <v>0</v>
      </c>
      <c r="D16" s="34" t="s">
        <v>104</v>
      </c>
      <c r="E16" s="30" t="str">
        <f t="shared" si="0"/>
        <v>$millions</v>
      </c>
      <c r="F16" s="160">
        <f t="shared" si="1"/>
        <v>44348</v>
      </c>
      <c r="H16" s="32"/>
      <c r="I16" s="32"/>
      <c r="J16" s="180">
        <f>IF(J$11="",0,'Calc|Opex forecast'!J92*INDEX('Input|Rate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K16" s="180">
        <f>IF(K$11="",0,'Calc|Opex forecast'!K92*INDEX('Input|Rate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L16" s="180">
        <f>IF(L$11="",0,'Calc|Opex forecast'!L92*INDEX('Input|Rate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M16" s="180">
        <f>IF(M$11="",0,'Calc|Opex forecast'!M92*INDEX('Input|Rate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N16" s="180">
        <f>IF(N$11="",0,'Calc|Opex forecast'!N92*INDEX('Input|Rate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O16" s="180">
        <f>IF(O$11="",0,'Calc|Opex forecast'!O92*INDEX('Input|Rate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P16" s="180">
        <f>IF(P$11="",0,'Calc|Opex forecast'!P92*INDEX('Input|Rate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Q16" s="180">
        <f>IF(Q$11="",0,'Calc|Opex forecast'!Q92*INDEX('Input|Rate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R16" s="180">
        <f>IF(R$11="",0,'Calc|Opex forecast'!R92*INDEX('Input|Rate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S16" s="180">
        <f>IF(S$11="",0,'Calc|Opex forecast'!S92*INDEX('Input|Rate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T16" s="180">
        <f>IF(T$11="",0,'Calc|Opex forecast'!#REF!*INDEX('Input|Rate of change'!$C$14:$P$22,MATCH('Calc|Opex forecast'!$F92,'Input|Rate of change'!$C$14:$C$22,0),MATCH('Output|Models'!$F16,'Input|Rate of change'!$C$14:$P$14,0))*IF('Calc|Opex forecast'!$E92="$millions",1000000,IF('Calc|Opex forecast'!$E92="$000",1000,1))/IF($E16="$millions",1000000,IF($E16="$000",1000,1)))</f>
        <v>0</v>
      </c>
      <c r="U16" s="111"/>
      <c r="V16" s="207"/>
    </row>
    <row r="17" spans="1:24">
      <c r="D17" s="34"/>
      <c r="H17" s="32"/>
      <c r="I17" s="32"/>
      <c r="N17" s="142"/>
      <c r="S17" s="23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6"/>
      <c r="N24" s="146"/>
      <c r="O24" s="146"/>
      <c r="P24" s="146"/>
      <c r="Q24" s="146"/>
      <c r="R24" s="146"/>
      <c r="S24" s="146"/>
      <c r="T24" s="146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S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S1: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81" t="s">
        <v>24</v>
      </c>
      <c r="V1" s="40" t="str">
        <f>'Check|List'!$S$1</f>
        <v>Ok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69</v>
      </c>
      <c r="E10" s="16"/>
      <c r="F10" s="16"/>
      <c r="G10" s="52" t="s">
        <v>12</v>
      </c>
    </row>
    <row r="11" spans="1:47">
      <c r="C11" s="15" t="s">
        <v>13</v>
      </c>
      <c r="D11" s="16" t="s">
        <v>69</v>
      </c>
      <c r="E11" s="16"/>
      <c r="F11" s="16"/>
      <c r="G11" s="52" t="s">
        <v>20</v>
      </c>
    </row>
    <row r="12" spans="1:47">
      <c r="C12" s="15" t="s">
        <v>14</v>
      </c>
      <c r="D12" s="16" t="s">
        <v>69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69</v>
      </c>
      <c r="E14" s="16"/>
      <c r="F14" s="16"/>
      <c r="G14" s="52" t="s">
        <v>31</v>
      </c>
    </row>
    <row r="15" spans="1:47">
      <c r="C15" s="15" t="s">
        <v>8</v>
      </c>
      <c r="D15" s="16" t="s">
        <v>69</v>
      </c>
      <c r="E15" s="16"/>
      <c r="F15" s="16"/>
      <c r="G15" s="52" t="s">
        <v>11</v>
      </c>
    </row>
    <row r="16" spans="1:47">
      <c r="C16" s="15" t="s">
        <v>17</v>
      </c>
      <c r="D16" s="16" t="s">
        <v>69</v>
      </c>
      <c r="E16" s="16"/>
      <c r="F16" s="16"/>
      <c r="G16" s="52" t="s">
        <v>18</v>
      </c>
    </row>
    <row r="17" spans="1:47">
      <c r="C17" s="15" t="s">
        <v>37</v>
      </c>
      <c r="D17" s="16" t="s">
        <v>69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69</v>
      </c>
      <c r="E19" s="16"/>
      <c r="F19" s="16"/>
      <c r="G19" s="52" t="s">
        <v>23</v>
      </c>
    </row>
    <row r="20" spans="1:47">
      <c r="C20" s="15" t="s">
        <v>74</v>
      </c>
      <c r="D20" s="16" t="s">
        <v>69</v>
      </c>
      <c r="E20" s="16"/>
      <c r="F20" s="16"/>
      <c r="G20" s="52" t="s">
        <v>74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123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124</v>
      </c>
      <c r="D25" s="16" t="s">
        <v>69</v>
      </c>
      <c r="E25" s="16"/>
      <c r="F25" s="16"/>
      <c r="G25" s="153">
        <v>36526</v>
      </c>
      <c r="H25" s="14"/>
    </row>
    <row r="26" spans="1:47">
      <c r="C26" s="15" t="s">
        <v>125</v>
      </c>
      <c r="D26" s="16" t="s">
        <v>69</v>
      </c>
      <c r="E26" s="16"/>
      <c r="F26" s="16"/>
      <c r="G26" s="153">
        <v>36557</v>
      </c>
      <c r="H26" s="14"/>
    </row>
    <row r="27" spans="1:47">
      <c r="C27" s="15" t="s">
        <v>126</v>
      </c>
      <c r="D27" s="16" t="s">
        <v>69</v>
      </c>
      <c r="E27" s="16"/>
      <c r="F27" s="16"/>
      <c r="G27" s="153">
        <v>36586</v>
      </c>
      <c r="H27" s="14"/>
    </row>
    <row r="28" spans="1:47">
      <c r="C28" s="15" t="s">
        <v>127</v>
      </c>
      <c r="D28" s="16" t="s">
        <v>69</v>
      </c>
      <c r="E28" s="16"/>
      <c r="F28" s="16"/>
      <c r="G28" s="153">
        <v>36617</v>
      </c>
    </row>
    <row r="29" spans="1:47">
      <c r="C29" s="15" t="s">
        <v>128</v>
      </c>
      <c r="D29" s="16" t="s">
        <v>69</v>
      </c>
      <c r="E29" s="16"/>
      <c r="F29" s="16"/>
      <c r="G29" s="153">
        <v>36647</v>
      </c>
    </row>
    <row r="30" spans="1:47">
      <c r="C30" s="15" t="s">
        <v>129</v>
      </c>
      <c r="D30" s="16" t="s">
        <v>69</v>
      </c>
      <c r="E30" s="16"/>
      <c r="F30" s="16"/>
      <c r="G30" s="153">
        <v>36678</v>
      </c>
      <c r="T30" s="17"/>
    </row>
    <row r="31" spans="1:47">
      <c r="C31" s="15" t="s">
        <v>130</v>
      </c>
      <c r="D31" s="16" t="s">
        <v>69</v>
      </c>
      <c r="E31" s="16"/>
      <c r="F31" s="16"/>
      <c r="G31" s="153">
        <v>36708</v>
      </c>
      <c r="T31" s="17"/>
    </row>
    <row r="32" spans="1:47">
      <c r="C32" s="15" t="s">
        <v>131</v>
      </c>
      <c r="D32" s="16" t="s">
        <v>69</v>
      </c>
      <c r="E32" s="16"/>
      <c r="F32" s="16"/>
      <c r="G32" s="153">
        <v>36739</v>
      </c>
      <c r="T32" s="17"/>
    </row>
    <row r="33" spans="1:47">
      <c r="C33" s="15" t="s">
        <v>132</v>
      </c>
      <c r="D33" s="16" t="s">
        <v>69</v>
      </c>
      <c r="E33" s="16"/>
      <c r="F33" s="16"/>
      <c r="G33" s="153">
        <v>36770</v>
      </c>
      <c r="T33" s="17"/>
    </row>
    <row r="34" spans="1:47">
      <c r="C34" s="15" t="s">
        <v>133</v>
      </c>
      <c r="D34" s="16" t="s">
        <v>69</v>
      </c>
      <c r="E34" s="16"/>
      <c r="F34" s="16"/>
      <c r="G34" s="153">
        <v>36800</v>
      </c>
      <c r="T34" s="17"/>
    </row>
    <row r="35" spans="1:47">
      <c r="C35" s="15" t="s">
        <v>134</v>
      </c>
      <c r="D35" s="16" t="s">
        <v>69</v>
      </c>
      <c r="E35" s="16"/>
      <c r="F35" s="16"/>
      <c r="G35" s="153">
        <v>36831</v>
      </c>
      <c r="T35" s="17"/>
    </row>
    <row r="36" spans="1:47">
      <c r="C36" s="15" t="s">
        <v>135</v>
      </c>
      <c r="D36" s="16" t="s">
        <v>69</v>
      </c>
      <c r="E36" s="16"/>
      <c r="F36" s="16"/>
      <c r="G36" s="153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70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159</v>
      </c>
      <c r="H40" s="14" t="s">
        <v>157</v>
      </c>
      <c r="I40" s="14" t="s">
        <v>158</v>
      </c>
    </row>
    <row r="41" spans="1:47">
      <c r="C41" s="159">
        <v>40695</v>
      </c>
      <c r="D41" s="16" t="s">
        <v>69</v>
      </c>
      <c r="E41" s="16"/>
      <c r="F41" s="16"/>
      <c r="G41" s="154">
        <v>2011</v>
      </c>
      <c r="H41" s="185">
        <f>DATE(G41,MONTH('Input|General'!$G$9),1)</f>
        <v>40695</v>
      </c>
      <c r="I41" s="183" t="str">
        <f>G41-1&amp;"–"&amp;RIGHT(G41,2)</f>
        <v>2010–11</v>
      </c>
    </row>
    <row r="42" spans="1:47">
      <c r="C42" s="159">
        <v>41061</v>
      </c>
      <c r="D42" s="16" t="s">
        <v>69</v>
      </c>
      <c r="E42" s="16"/>
      <c r="F42" s="16"/>
      <c r="G42" s="154">
        <v>2012</v>
      </c>
      <c r="H42" s="185">
        <f>DATE(G42,MONTH('Input|General'!$G$9),1)</f>
        <v>41061</v>
      </c>
      <c r="I42" s="183" t="str">
        <f t="shared" ref="I42:I60" si="0">G42-1&amp;"–"&amp;RIGHT(G42,2)</f>
        <v>2011–12</v>
      </c>
    </row>
    <row r="43" spans="1:47">
      <c r="C43" s="159">
        <v>41426</v>
      </c>
      <c r="D43" s="16" t="s">
        <v>69</v>
      </c>
      <c r="E43" s="16"/>
      <c r="F43" s="16"/>
      <c r="G43" s="154">
        <v>2013</v>
      </c>
      <c r="H43" s="185">
        <f>DATE(G43,MONTH('Input|General'!$G$9),1)</f>
        <v>41426</v>
      </c>
      <c r="I43" s="183" t="str">
        <f t="shared" si="0"/>
        <v>2012–13</v>
      </c>
    </row>
    <row r="44" spans="1:47">
      <c r="C44" s="159">
        <v>41791</v>
      </c>
      <c r="D44" s="16" t="s">
        <v>69</v>
      </c>
      <c r="E44" s="16"/>
      <c r="F44" s="16"/>
      <c r="G44" s="154">
        <v>2014</v>
      </c>
      <c r="H44" s="185">
        <f>DATE(G44,MONTH('Input|General'!$G$9),1)</f>
        <v>41791</v>
      </c>
      <c r="I44" s="183" t="str">
        <f t="shared" si="0"/>
        <v>2013–14</v>
      </c>
    </row>
    <row r="45" spans="1:47">
      <c r="C45" s="159">
        <v>42156</v>
      </c>
      <c r="D45" s="16" t="s">
        <v>69</v>
      </c>
      <c r="E45" s="16"/>
      <c r="F45" s="16"/>
      <c r="G45" s="154">
        <v>2015</v>
      </c>
      <c r="H45" s="185">
        <f>DATE(G45,MONTH('Input|General'!$G$9),1)</f>
        <v>42156</v>
      </c>
      <c r="I45" s="183" t="str">
        <f t="shared" si="0"/>
        <v>2014–15</v>
      </c>
      <c r="T45" s="17"/>
    </row>
    <row r="46" spans="1:47">
      <c r="C46" s="159">
        <v>42522</v>
      </c>
      <c r="D46" s="16" t="s">
        <v>69</v>
      </c>
      <c r="E46" s="16"/>
      <c r="F46" s="16"/>
      <c r="G46" s="154">
        <v>2016</v>
      </c>
      <c r="H46" s="185">
        <f>DATE(G46,MONTH('Input|General'!$G$9),1)</f>
        <v>42522</v>
      </c>
      <c r="I46" s="183" t="str">
        <f t="shared" si="0"/>
        <v>2015–16</v>
      </c>
      <c r="T46" s="17"/>
    </row>
    <row r="47" spans="1:47">
      <c r="C47" s="159">
        <v>42887</v>
      </c>
      <c r="D47" s="16" t="s">
        <v>69</v>
      </c>
      <c r="E47" s="16"/>
      <c r="F47" s="16"/>
      <c r="G47" s="154">
        <v>2017</v>
      </c>
      <c r="H47" s="185">
        <f>DATE(G47,MONTH('Input|General'!$G$9),1)</f>
        <v>42887</v>
      </c>
      <c r="I47" s="183" t="str">
        <f t="shared" si="0"/>
        <v>2016–17</v>
      </c>
      <c r="T47" s="17"/>
    </row>
    <row r="48" spans="1:47">
      <c r="C48" s="159">
        <v>43252</v>
      </c>
      <c r="D48" s="16" t="s">
        <v>69</v>
      </c>
      <c r="E48" s="16"/>
      <c r="F48" s="16"/>
      <c r="G48" s="154">
        <v>2018</v>
      </c>
      <c r="H48" s="185">
        <f>DATE(G48,MONTH('Input|General'!$G$9),1)</f>
        <v>43252</v>
      </c>
      <c r="I48" s="183" t="str">
        <f t="shared" si="0"/>
        <v>2017–18</v>
      </c>
      <c r="T48" s="17"/>
    </row>
    <row r="49" spans="1:47">
      <c r="C49" s="159">
        <v>43617</v>
      </c>
      <c r="D49" s="16" t="s">
        <v>69</v>
      </c>
      <c r="E49" s="16"/>
      <c r="F49" s="16"/>
      <c r="G49" s="154">
        <v>2019</v>
      </c>
      <c r="H49" s="185">
        <f>DATE(G49,MONTH('Input|General'!$G$9),1)</f>
        <v>43617</v>
      </c>
      <c r="I49" s="183" t="str">
        <f t="shared" si="0"/>
        <v>2018–19</v>
      </c>
      <c r="T49" s="17"/>
    </row>
    <row r="50" spans="1:47">
      <c r="C50" s="159">
        <v>43983</v>
      </c>
      <c r="D50" s="16" t="s">
        <v>69</v>
      </c>
      <c r="E50" s="16"/>
      <c r="F50" s="16"/>
      <c r="G50" s="154">
        <v>2020</v>
      </c>
      <c r="H50" s="185">
        <f>DATE(G50,MONTH('Input|General'!$G$9),1)</f>
        <v>43983</v>
      </c>
      <c r="I50" s="183" t="str">
        <f t="shared" si="0"/>
        <v>2019–20</v>
      </c>
      <c r="T50" s="17"/>
    </row>
    <row r="51" spans="1:47">
      <c r="C51" s="159">
        <v>44348</v>
      </c>
      <c r="D51" s="16" t="s">
        <v>69</v>
      </c>
      <c r="E51" s="16"/>
      <c r="F51" s="16"/>
      <c r="G51" s="154">
        <v>2021</v>
      </c>
      <c r="H51" s="185">
        <f>DATE(G51,MONTH('Input|General'!$G$9),1)</f>
        <v>44348</v>
      </c>
      <c r="I51" s="183" t="str">
        <f t="shared" si="0"/>
        <v>2020–21</v>
      </c>
      <c r="T51" s="17"/>
    </row>
    <row r="52" spans="1:47">
      <c r="C52" s="159">
        <v>44713</v>
      </c>
      <c r="D52" s="16" t="s">
        <v>69</v>
      </c>
      <c r="E52" s="16"/>
      <c r="F52" s="16"/>
      <c r="G52" s="154">
        <v>2022</v>
      </c>
      <c r="H52" s="185">
        <f>DATE(G52,MONTH('Input|General'!$G$9),1)</f>
        <v>44713</v>
      </c>
      <c r="I52" s="183" t="str">
        <f t="shared" si="0"/>
        <v>2021–22</v>
      </c>
      <c r="T52" s="17"/>
    </row>
    <row r="53" spans="1:47">
      <c r="C53" s="159">
        <v>45078</v>
      </c>
      <c r="D53" s="16" t="s">
        <v>69</v>
      </c>
      <c r="E53" s="16"/>
      <c r="F53" s="16"/>
      <c r="G53" s="154">
        <v>2023</v>
      </c>
      <c r="H53" s="185">
        <f>DATE(G53,MONTH('Input|General'!$G$9),1)</f>
        <v>45078</v>
      </c>
      <c r="I53" s="183" t="str">
        <f t="shared" si="0"/>
        <v>2022–23</v>
      </c>
      <c r="T53" s="17"/>
    </row>
    <row r="54" spans="1:47">
      <c r="C54" s="159">
        <v>45444</v>
      </c>
      <c r="D54" s="16" t="s">
        <v>69</v>
      </c>
      <c r="E54" s="16"/>
      <c r="F54" s="16"/>
      <c r="G54" s="154">
        <v>2024</v>
      </c>
      <c r="H54" s="185">
        <f>DATE(G54,MONTH('Input|General'!$G$9),1)</f>
        <v>45444</v>
      </c>
      <c r="I54" s="183" t="str">
        <f t="shared" si="0"/>
        <v>2023–24</v>
      </c>
      <c r="T54" s="17"/>
    </row>
    <row r="55" spans="1:47">
      <c r="C55" s="159">
        <v>45809</v>
      </c>
      <c r="D55" s="16" t="s">
        <v>69</v>
      </c>
      <c r="E55" s="16"/>
      <c r="F55" s="16"/>
      <c r="G55" s="154">
        <v>2025</v>
      </c>
      <c r="H55" s="185">
        <f>DATE(G55,MONTH('Input|General'!$G$9),1)</f>
        <v>45809</v>
      </c>
      <c r="I55" s="183" t="str">
        <f t="shared" si="0"/>
        <v>2024–25</v>
      </c>
      <c r="T55" s="17"/>
    </row>
    <row r="56" spans="1:47">
      <c r="C56" s="159">
        <v>46174</v>
      </c>
      <c r="D56" s="16" t="s">
        <v>69</v>
      </c>
      <c r="E56" s="16"/>
      <c r="F56" s="16"/>
      <c r="G56" s="154">
        <v>2026</v>
      </c>
      <c r="H56" s="185">
        <f>DATE(G56,MONTH('Input|General'!$G$9),1)</f>
        <v>46174</v>
      </c>
      <c r="I56" s="183" t="str">
        <f t="shared" si="0"/>
        <v>2025–26</v>
      </c>
      <c r="T56" s="17"/>
    </row>
    <row r="57" spans="1:47">
      <c r="C57" s="159">
        <v>46539</v>
      </c>
      <c r="D57" s="16" t="s">
        <v>69</v>
      </c>
      <c r="E57" s="16"/>
      <c r="F57" s="16"/>
      <c r="G57" s="154">
        <v>2027</v>
      </c>
      <c r="H57" s="185">
        <f>DATE(G57,MONTH('Input|General'!$G$9),1)</f>
        <v>46539</v>
      </c>
      <c r="I57" s="183" t="str">
        <f t="shared" si="0"/>
        <v>2026–27</v>
      </c>
      <c r="T57" s="17"/>
    </row>
    <row r="58" spans="1:47">
      <c r="C58" s="159">
        <v>46905</v>
      </c>
      <c r="D58" s="16" t="s">
        <v>69</v>
      </c>
      <c r="E58" s="16"/>
      <c r="F58" s="16"/>
      <c r="G58" s="154">
        <v>2028</v>
      </c>
      <c r="H58" s="185">
        <f>DATE(G58,MONTH('Input|General'!$G$9),1)</f>
        <v>46905</v>
      </c>
      <c r="I58" s="183" t="str">
        <f t="shared" si="0"/>
        <v>2027–28</v>
      </c>
      <c r="T58" s="17"/>
    </row>
    <row r="59" spans="1:47">
      <c r="C59" s="159">
        <v>47270</v>
      </c>
      <c r="D59" s="16" t="s">
        <v>69</v>
      </c>
      <c r="E59" s="16"/>
      <c r="F59" s="16"/>
      <c r="G59" s="154">
        <v>2029</v>
      </c>
      <c r="H59" s="185">
        <f>DATE(G59,MONTH('Input|General'!$G$9),1)</f>
        <v>47270</v>
      </c>
      <c r="I59" s="183" t="str">
        <f t="shared" si="0"/>
        <v>2028–29</v>
      </c>
      <c r="T59" s="17"/>
    </row>
    <row r="60" spans="1:47">
      <c r="C60" s="159">
        <v>47635</v>
      </c>
      <c r="D60" s="16" t="s">
        <v>69</v>
      </c>
      <c r="E60" s="16"/>
      <c r="F60" s="16"/>
      <c r="G60" s="154">
        <v>2030</v>
      </c>
      <c r="H60" s="185">
        <f>DATE(G60,MONTH('Input|General'!$G$9),1)</f>
        <v>47635</v>
      </c>
      <c r="I60" s="183" t="str">
        <f t="shared" si="0"/>
        <v>2029–30</v>
      </c>
      <c r="T60" s="17"/>
    </row>
    <row r="61" spans="1:47"/>
    <row r="62" spans="1:47" customFormat="1" ht="12.75">
      <c r="A62" s="43"/>
      <c r="B62" s="51" t="s">
        <v>155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156</v>
      </c>
      <c r="H64" s="14" t="s">
        <v>122</v>
      </c>
    </row>
    <row r="65" spans="1:47">
      <c r="C65" s="15" t="s">
        <v>186</v>
      </c>
      <c r="D65" s="16" t="s">
        <v>98</v>
      </c>
      <c r="E65" s="21"/>
      <c r="F65" s="14"/>
      <c r="G65" s="183" t="str">
        <f>IF(H65="","",IF(MONTH(H65)=12,YEAR(H65),YEAR(H65)-1&amp;"–"&amp;RIGHT(YEAR(H65),2)))</f>
        <v>2015–16</v>
      </c>
      <c r="H65" s="185">
        <f>DATE(PPFirstYear-1,MONTH('Input|General'!$G$9),1)</f>
        <v>42522</v>
      </c>
    </row>
    <row r="66" spans="1:47">
      <c r="C66" s="15" t="s">
        <v>143</v>
      </c>
      <c r="D66" s="16" t="s">
        <v>98</v>
      </c>
      <c r="E66" s="16"/>
      <c r="F66" s="16"/>
      <c r="G66" s="183" t="str">
        <f t="shared" ref="G66:G75" si="1">IF(H66="","",IF(MONTH(H66)=12,YEAR(H66),YEAR(H66)-1&amp;"–"&amp;RIGHT(YEAR(H66),2)))</f>
        <v>2016–17</v>
      </c>
      <c r="H66" s="185">
        <f>DATE(PPFirstYear,MONTH('Input|General'!$G$9),1)</f>
        <v>42887</v>
      </c>
    </row>
    <row r="67" spans="1:47">
      <c r="C67" s="15" t="s">
        <v>144</v>
      </c>
      <c r="D67" s="16" t="s">
        <v>98</v>
      </c>
      <c r="E67" s="16"/>
      <c r="F67" s="16"/>
      <c r="G67" s="183" t="str">
        <f t="shared" si="1"/>
        <v>2017–18</v>
      </c>
      <c r="H67" s="185">
        <f>IF(PPLastYear-PPFirstYear&lt;1,"",DATE(PPFirstYear+1,MONTH('Input|General'!$G$9),1))</f>
        <v>43252</v>
      </c>
    </row>
    <row r="68" spans="1:47">
      <c r="C68" s="15" t="s">
        <v>145</v>
      </c>
      <c r="D68" s="16" t="s">
        <v>98</v>
      </c>
      <c r="E68" s="16"/>
      <c r="F68" s="16"/>
      <c r="G68" s="183" t="str">
        <f t="shared" si="1"/>
        <v>2018–19</v>
      </c>
      <c r="H68" s="185">
        <f>IF(PPLastYear-PPFirstYear&lt;2,"",DATE(PPFirstYear+2,MONTH('Input|General'!$G$9),1))</f>
        <v>43617</v>
      </c>
    </row>
    <row r="69" spans="1:47">
      <c r="C69" s="15" t="s">
        <v>146</v>
      </c>
      <c r="D69" s="16" t="s">
        <v>98</v>
      </c>
      <c r="E69" s="16"/>
      <c r="F69" s="16"/>
      <c r="G69" s="183" t="str">
        <f t="shared" si="1"/>
        <v>2019–20</v>
      </c>
      <c r="H69" s="185">
        <f>IF(PPLastYear-PPFirstYear&lt;3,"",DATE(PPFirstYear+3,MONTH('Input|General'!$G$9),1))</f>
        <v>43983</v>
      </c>
    </row>
    <row r="70" spans="1:47">
      <c r="C70" s="15" t="s">
        <v>147</v>
      </c>
      <c r="D70" s="16" t="s">
        <v>98</v>
      </c>
      <c r="E70" s="16"/>
      <c r="F70" s="16"/>
      <c r="G70" s="183" t="str">
        <f t="shared" si="1"/>
        <v>2020–21</v>
      </c>
      <c r="H70" s="185">
        <f>IF(PPLastYear-PPFirstYear&lt;4,"",DATE(PPFirstYear+4,MONTH('Input|General'!$G$9),1))</f>
        <v>44348</v>
      </c>
    </row>
    <row r="71" spans="1:47">
      <c r="C71" s="15" t="s">
        <v>187</v>
      </c>
      <c r="D71" s="16" t="s">
        <v>98</v>
      </c>
      <c r="E71" s="16"/>
      <c r="F71" s="16"/>
      <c r="G71" s="183" t="str">
        <f t="shared" si="1"/>
        <v/>
      </c>
      <c r="H71" s="185" t="str">
        <f>IF(PPLastYear-PPFirstYear&lt;5,"",DATE(PPFirstYear+5,MONTH('Input|General'!$G$9),1))</f>
        <v/>
      </c>
    </row>
    <row r="72" spans="1:47">
      <c r="C72" s="15" t="s">
        <v>148</v>
      </c>
      <c r="D72" s="16" t="s">
        <v>98</v>
      </c>
      <c r="E72" s="16"/>
      <c r="F72" s="16"/>
      <c r="G72" s="183" t="str">
        <f t="shared" si="1"/>
        <v>2021–22</v>
      </c>
      <c r="H72" s="185">
        <f>DATE(FPFirstYear,MONTH('Input|General'!$G$9),1)</f>
        <v>44713</v>
      </c>
      <c r="T72" s="17"/>
    </row>
    <row r="73" spans="1:47">
      <c r="C73" s="15" t="s">
        <v>149</v>
      </c>
      <c r="D73" s="16" t="s">
        <v>98</v>
      </c>
      <c r="E73" s="16"/>
      <c r="F73" s="16"/>
      <c r="G73" s="183" t="str">
        <f t="shared" si="1"/>
        <v>2022–23</v>
      </c>
      <c r="H73" s="185">
        <f>IF(FPLastYear-FPFirstYear&lt;1,"",DATE(FPFirstYear+1,MONTH('Input|General'!$G$9),1))</f>
        <v>45078</v>
      </c>
      <c r="T73" s="17"/>
    </row>
    <row r="74" spans="1:47">
      <c r="C74" s="15" t="s">
        <v>150</v>
      </c>
      <c r="D74" s="16" t="s">
        <v>98</v>
      </c>
      <c r="E74" s="16"/>
      <c r="F74" s="16"/>
      <c r="G74" s="183" t="str">
        <f t="shared" si="1"/>
        <v>2023–24</v>
      </c>
      <c r="H74" s="185">
        <f>IF(FPLastYear-FPFirstYear&lt;2,"",DATE(FPFirstYear+2,MONTH('Input|General'!$G$9),1))</f>
        <v>45444</v>
      </c>
      <c r="T74" s="17"/>
    </row>
    <row r="75" spans="1:47">
      <c r="C75" s="15" t="s">
        <v>151</v>
      </c>
      <c r="D75" s="16" t="s">
        <v>98</v>
      </c>
      <c r="E75" s="16"/>
      <c r="F75" s="16"/>
      <c r="G75" s="183" t="str">
        <f t="shared" si="1"/>
        <v>2024–25</v>
      </c>
      <c r="H75" s="185">
        <f>IF(FPLastYear-FPFirstYear&lt;3,"",DATE(FPFirstYear+3,MONTH('Input|General'!$G$9),1))</f>
        <v>45809</v>
      </c>
      <c r="T75" s="17"/>
    </row>
    <row r="76" spans="1:47">
      <c r="C76" s="15" t="s">
        <v>152</v>
      </c>
      <c r="D76" s="16" t="s">
        <v>98</v>
      </c>
      <c r="E76" s="16"/>
      <c r="F76" s="16"/>
      <c r="G76" s="183" t="str">
        <f>IF(H76="","",IF(MONTH(H76)=12,YEAR(H76),YEAR(H76)-1&amp;"–"&amp;RIGHT(YEAR(H76),2)))</f>
        <v>2025–26</v>
      </c>
      <c r="H76" s="185">
        <f>IF(FPLastYear-FPFirstYear&lt;4,"",DATE(FPFirstYear+4,MONTH('Input|General'!$G$9),1))</f>
        <v>46174</v>
      </c>
      <c r="T76" s="17"/>
    </row>
    <row r="77" spans="1:47">
      <c r="C77" s="15"/>
      <c r="D77" s="16"/>
      <c r="E77" s="16"/>
      <c r="F77" s="16"/>
      <c r="G77" s="212"/>
      <c r="H77" s="213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156</v>
      </c>
      <c r="H80" s="214"/>
    </row>
    <row r="81" spans="1:47">
      <c r="C81" s="15" t="s">
        <v>179</v>
      </c>
      <c r="D81" s="16" t="s">
        <v>69</v>
      </c>
      <c r="E81" s="16"/>
      <c r="F81" s="16"/>
      <c r="G81" s="183" t="s">
        <v>107</v>
      </c>
      <c r="H81" s="213"/>
    </row>
    <row r="82" spans="1:47">
      <c r="C82" s="15" t="s">
        <v>180</v>
      </c>
      <c r="D82" s="16" t="s">
        <v>69</v>
      </c>
      <c r="E82" s="16"/>
      <c r="F82" s="16"/>
      <c r="G82" s="184" t="s">
        <v>181</v>
      </c>
      <c r="H82" s="213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v1.8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81" t="s">
        <v>24</v>
      </c>
      <c r="S1" s="40" t="str">
        <f>IF(COUNTIF(G10:G16,"Check")=0,"Ok","Check")</f>
        <v>Ok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6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Ok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'Output|Models'!S1</f>
        <v>Ok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_final'!A1" display="'Input|Rate of change_final'!A1"/>
    <hyperlink ref="D14" location="'Input|Step changes'!A1" display="'Input|Step changes'!A1"/>
    <hyperlink ref="D15" location="'Calc|Opex forecast_final'!A1" display="'Calc|Opex forecast_final'!A1"/>
    <hyperlink ref="D16" location="'Output|Models_final'!A1" display="'Output|Models_final'!A1"/>
    <hyperlink ref="D11" location="'Input|Inflation'!A1" display="'Input|Inflation'!A1"/>
    <hyperlink ref="R1" location="'Check|List'!A1" display="Overall Check: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17</vt:i4>
      </vt:variant>
    </vt:vector>
  </HeadingPairs>
  <TitlesOfParts>
    <vt:vector size="27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'Input|General'!_FilterDatabase</vt:lpstr>
      <vt:lpstr>'Input|Reported opex'!_FilterDatabase</vt:lpstr>
      <vt:lpstr>BaseYear</vt:lpstr>
      <vt:lpstr>dollars</vt:lpstr>
      <vt:lpstr>factor</vt:lpstr>
      <vt:lpstr>FPFirstYear</vt:lpstr>
      <vt:lpstr>FPLastYear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Kelly, Jane</dc:creator>
  <cp:lastModifiedBy>Jane Kelly</cp:lastModifiedBy>
  <dcterms:created xsi:type="dcterms:W3CDTF">2020-11-08T22:22:35Z</dcterms:created>
  <dcterms:modified xsi:type="dcterms:W3CDTF">2020-11-25T14:18:32Z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