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autoCompressPictures="0" defaultThemeVersion="124226"/>
  <bookViews>
    <workbookView xWindow="0" yWindow="0" windowWidth="26490" windowHeight="8610" tabRatio="910" activeTab="2"/>
  </bookViews>
  <sheets>
    <sheet name="Inputs to Connections Model" sheetId="62" r:id="rId1"/>
    <sheet name="Input from Connections Model" sheetId="61" r:id="rId2"/>
    <sheet name="Contents" sheetId="1" r:id="rId3"/>
    <sheet name="Assumptions" sheetId="2" r:id="rId4"/>
    <sheet name="Lookups -&gt;" sheetId="27" r:id="rId5"/>
    <sheet name="Lab_Mat" sheetId="29" r:id="rId6"/>
    <sheet name="Escalators" sheetId="28" r:id="rId7"/>
    <sheet name="Lookups" sheetId="30" r:id="rId8"/>
    <sheet name="START" sheetId="48" r:id="rId9"/>
    <sheet name="Inputs -&gt;" sheetId="3" r:id="rId10"/>
    <sheet name="Augmentation" sheetId="4" r:id="rId11"/>
    <sheet name="Connections" sheetId="12" r:id="rId12"/>
    <sheet name="Major_Rebuilds" sheetId="5" r:id="rId13"/>
    <sheet name="Stations" sheetId="6" r:id="rId14"/>
    <sheet name="Lines" sheetId="7" r:id="rId15"/>
    <sheet name="PC&amp;A" sheetId="8" r:id="rId16"/>
    <sheet name="SCADA&amp;Comms" sheetId="9" r:id="rId17"/>
    <sheet name="ESL_1" sheetId="11" r:id="rId18"/>
    <sheet name="ESL_2" sheetId="40" r:id="rId19"/>
    <sheet name="REFCL" sheetId="47" r:id="rId20"/>
    <sheet name="ICT" sheetId="13" r:id="rId21"/>
    <sheet name="Metering_SCS" sheetId="55" r:id="rId22"/>
    <sheet name="Other_NN" sheetId="15" r:id="rId23"/>
    <sheet name="Downer_Contract" sheetId="44" r:id="rId24"/>
    <sheet name="Aggregations &amp; Alloc -&gt;" sheetId="16" r:id="rId25"/>
    <sheet name="Base_Forecast" sheetId="17" r:id="rId26"/>
    <sheet name="Reg_Forecast" sheetId="52" r:id="rId27"/>
    <sheet name="Capex_by_Driver" sheetId="54" r:id="rId28"/>
    <sheet name="Safety" sheetId="53" r:id="rId29"/>
    <sheet name="AusNet_Overheads" sheetId="19" r:id="rId30"/>
    <sheet name="Outputs -&gt;" sheetId="21" r:id="rId31"/>
    <sheet name="RFM_PTRM" sheetId="23" r:id="rId32"/>
    <sheet name="Capex_2016-2026" sheetId="60" r:id="rId33"/>
    <sheet name="DER" sheetId="56" r:id="rId34"/>
    <sheet name="REFCL_view" sheetId="59" r:id="rId35"/>
    <sheet name="RIN Template -&gt;" sheetId="32" r:id="rId36"/>
    <sheet name="2.1 Exp Summary" sheetId="20" r:id="rId37"/>
    <sheet name="2.1.8 Cap Overheads" sheetId="58" r:id="rId38"/>
    <sheet name="2.6 Non-Network" sheetId="26" r:id="rId39"/>
    <sheet name="2.11 Labour" sheetId="57" r:id="rId40"/>
    <sheet name="2.17 Step Changes" sheetId="41" r:id="rId41"/>
    <sheet name="Other -&gt;" sheetId="46" r:id="rId42"/>
    <sheet name="Repex_Analysis" sheetId="42" r:id="rId43"/>
  </sheets>
  <externalReferences>
    <externalReference r:id="rId44"/>
  </externalReferences>
  <definedNames>
    <definedName name="_xlnm._FilterDatabase" localSheetId="36" hidden="1">'2.1 Exp Summary'!$C$18:$L$19</definedName>
    <definedName name="_xlnm._FilterDatabase" localSheetId="10" hidden="1">Augmentation!$B$5:$I$36</definedName>
    <definedName name="_xlnm._FilterDatabase" localSheetId="29" hidden="1">AusNet_Overheads!$B$21:$O$25</definedName>
    <definedName name="_xlnm._FilterDatabase" localSheetId="17" hidden="1">ESL_1!$C$6:$I$37</definedName>
    <definedName name="_xlnm._FilterDatabase" localSheetId="22" hidden="1">Other_NN!$B$5:$H$14</definedName>
    <definedName name="_xlnm._FilterDatabase" localSheetId="19" hidden="1">REFCL!$B$5:$I$36</definedName>
    <definedName name="Act_Type_Augex">Lab_Mat!$C$33:$C$49</definedName>
    <definedName name="Act_Type_Augex_Splits">Lab_Mat!$D$33:$H$49</definedName>
    <definedName name="Act_Type_Connections">Lab_Mat!$C$50:$C$61</definedName>
    <definedName name="Act_Type_Connections_Splits">Lab_Mat!$D$50:$H$61</definedName>
    <definedName name="Act_Type_Repex">Lab_Mat!$C$62:$C$98</definedName>
    <definedName name="Act_Type_Repex_Splits">Lab_Mat!$D$62:$H$98</definedName>
    <definedName name="CP_Yr_4">START!$D$13</definedName>
    <definedName name="CP_Yr_5">START!$E$13</definedName>
    <definedName name="CRCP_y5">'[1]1.0 Business &amp; other details'!$G$38</definedName>
    <definedName name="CReg_Period">START!$D$3</definedName>
    <definedName name="Direct_Cost_Splits_Network">Lab_Mat!$D$6:$G$24</definedName>
    <definedName name="Direct_Cost_Splits_Non_Ntwk">Lab_Mat!$D$25:$G$28</definedName>
    <definedName name="Direct_Cost_Type">Lab_Mat!$D$5:$G$5</definedName>
    <definedName name="dms_DollarReal">'[1]1.0 Business &amp; other details'!$C$55</definedName>
    <definedName name="FRCP">'[1]1.0 Business &amp; other details'!$C$35:$G$35</definedName>
    <definedName name="Mat_Type">Lab_Mat!$D$32:$H$32</definedName>
    <definedName name="Millions">Lookups!$D$30</definedName>
    <definedName name="NReg_Period">START!$D$5</definedName>
    <definedName name="_xlnm.Print_Area" localSheetId="40">'2.17 Step Changes'!$A$1:$M$30</definedName>
    <definedName name="_xlnm.Print_Area" localSheetId="2">Contents!$A$1:$H$42</definedName>
    <definedName name="RIN_Asset_Cat_Network">Lab_Mat!$C$6:$C$24</definedName>
    <definedName name="RIN_Asset_Cat_Non_Ntwk">Lab_Mat!$C$25:$C$28</definedName>
    <definedName name="Stub">START!$F$13</definedName>
    <definedName name="Thousands" localSheetId="23">Lookups!$D$31</definedName>
    <definedName name="Thousands">Lookups!$D$31</definedName>
    <definedName name="Yr_1">START!$G$13</definedName>
    <definedName name="Yr_2">START!$H$13</definedName>
    <definedName name="Yr_3">START!$I$13</definedName>
    <definedName name="Yr_4">START!$J$13</definedName>
    <definedName name="Yr_5">START!$K$13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47" i="19" l="1"/>
  <c r="J47" i="19"/>
  <c r="K47" i="19"/>
  <c r="L47" i="19"/>
  <c r="M47" i="19"/>
  <c r="N47" i="19"/>
  <c r="O47" i="19"/>
  <c r="H47" i="19"/>
  <c r="H48" i="19" s="1"/>
  <c r="I46" i="19"/>
  <c r="J46" i="19"/>
  <c r="K46" i="19"/>
  <c r="L46" i="19"/>
  <c r="M46" i="19"/>
  <c r="N46" i="19"/>
  <c r="O46" i="19"/>
  <c r="H46" i="19"/>
  <c r="O48" i="19"/>
  <c r="N48" i="19"/>
  <c r="M48" i="19"/>
  <c r="L48" i="19"/>
  <c r="K48" i="19"/>
  <c r="J48" i="19"/>
  <c r="I48" i="19"/>
  <c r="K36" i="53"/>
  <c r="J36" i="53"/>
  <c r="I36" i="53"/>
  <c r="H36" i="53"/>
  <c r="G36" i="53"/>
  <c r="L36" i="53" s="1"/>
  <c r="F36" i="53"/>
  <c r="K35" i="53"/>
  <c r="J35" i="53"/>
  <c r="I35" i="53"/>
  <c r="H35" i="53"/>
  <c r="L35" i="53" s="1"/>
  <c r="G35" i="53"/>
  <c r="F35" i="53"/>
  <c r="K34" i="53"/>
  <c r="J34" i="53"/>
  <c r="I34" i="53"/>
  <c r="H34" i="53"/>
  <c r="G34" i="53"/>
  <c r="L34" i="53" s="1"/>
  <c r="F34" i="53"/>
  <c r="K33" i="53"/>
  <c r="J33" i="53"/>
  <c r="I33" i="53"/>
  <c r="H33" i="53"/>
  <c r="G33" i="53"/>
  <c r="L33" i="53" s="1"/>
  <c r="F33" i="53"/>
  <c r="X8" i="52" l="1"/>
  <c r="X13" i="52"/>
  <c r="X18" i="52"/>
  <c r="X33" i="52"/>
  <c r="H19" i="20" l="1"/>
  <c r="I19" i="20"/>
  <c r="J19" i="20"/>
  <c r="K19" i="20"/>
  <c r="G19" i="20"/>
  <c r="L19" i="20" l="1"/>
  <c r="G6" i="61"/>
  <c r="P14" i="28" l="1"/>
  <c r="N41" i="13" l="1"/>
  <c r="N40" i="13"/>
  <c r="N39" i="13"/>
  <c r="M41" i="13"/>
  <c r="M40" i="13"/>
  <c r="M39" i="13"/>
  <c r="X8" i="19" l="1"/>
  <c r="W8" i="19"/>
  <c r="V8" i="19"/>
  <c r="U8" i="19"/>
  <c r="S8" i="19"/>
  <c r="T8" i="19"/>
  <c r="P11" i="28"/>
  <c r="P15" i="28" s="1"/>
  <c r="L4" i="44"/>
  <c r="P12" i="28" l="1"/>
  <c r="S7" i="20"/>
  <c r="R7" i="20"/>
  <c r="Q7" i="20"/>
  <c r="P7" i="20"/>
  <c r="O7" i="20"/>
  <c r="N30" i="28" l="1"/>
  <c r="AL26" i="6"/>
  <c r="CR26" i="6"/>
  <c r="AL27" i="6"/>
  <c r="CR27" i="6"/>
  <c r="AL28" i="6"/>
  <c r="CR28" i="6"/>
  <c r="AL29" i="6"/>
  <c r="CR29" i="6"/>
  <c r="AL30" i="6"/>
  <c r="CR30" i="6"/>
  <c r="AL31" i="6"/>
  <c r="CR31" i="6"/>
  <c r="AL32" i="6"/>
  <c r="CR32" i="6"/>
  <c r="AL33" i="6"/>
  <c r="CR33" i="6"/>
  <c r="AL34" i="6"/>
  <c r="CR34" i="6"/>
  <c r="AL35" i="6"/>
  <c r="CR35" i="6"/>
  <c r="AL36" i="6"/>
  <c r="CR36" i="6"/>
  <c r="AL37" i="6"/>
  <c r="CR37" i="6"/>
  <c r="AL38" i="6"/>
  <c r="CR38" i="6"/>
  <c r="AL29" i="11"/>
  <c r="CR29" i="11"/>
  <c r="AL30" i="11"/>
  <c r="CR30" i="11"/>
  <c r="AL31" i="11"/>
  <c r="CR31" i="11"/>
  <c r="AL32" i="11"/>
  <c r="CR32" i="11"/>
  <c r="AL33" i="11"/>
  <c r="CR33" i="11"/>
  <c r="AL34" i="11"/>
  <c r="CR34" i="11"/>
  <c r="AL35" i="11"/>
  <c r="CR35" i="11"/>
  <c r="AL36" i="11"/>
  <c r="CR36" i="11"/>
  <c r="AL37" i="11"/>
  <c r="CR37" i="11"/>
  <c r="L101" i="19"/>
  <c r="L88" i="19"/>
  <c r="L111" i="19" s="1"/>
  <c r="AM26" i="6"/>
  <c r="CS26" i="6"/>
  <c r="AM27" i="6"/>
  <c r="CS27" i="6"/>
  <c r="AM28" i="6"/>
  <c r="CS28" i="6"/>
  <c r="AM29" i="6"/>
  <c r="CS29" i="6"/>
  <c r="AM30" i="6"/>
  <c r="CS30" i="6"/>
  <c r="AM31" i="6"/>
  <c r="CS31" i="6"/>
  <c r="AM32" i="6"/>
  <c r="CS32" i="6"/>
  <c r="AM33" i="6"/>
  <c r="CS33" i="6"/>
  <c r="AM34" i="6"/>
  <c r="CS34" i="6"/>
  <c r="AM35" i="6"/>
  <c r="CS35" i="6"/>
  <c r="AM36" i="6"/>
  <c r="CS36" i="6"/>
  <c r="AM37" i="6"/>
  <c r="CS37" i="6"/>
  <c r="AM38" i="6"/>
  <c r="CS38" i="6"/>
  <c r="AM29" i="11"/>
  <c r="CS29" i="11"/>
  <c r="AM30" i="11"/>
  <c r="CS30" i="11"/>
  <c r="AM31" i="11"/>
  <c r="CS31" i="11"/>
  <c r="AM32" i="11"/>
  <c r="CS32" i="11"/>
  <c r="AM33" i="11"/>
  <c r="CS33" i="11"/>
  <c r="AM34" i="11"/>
  <c r="CS34" i="11"/>
  <c r="AM35" i="11"/>
  <c r="CS35" i="11"/>
  <c r="AM36" i="11"/>
  <c r="CS36" i="11"/>
  <c r="AM37" i="11"/>
  <c r="CS37" i="11"/>
  <c r="M101" i="19"/>
  <c r="M88" i="19"/>
  <c r="M111" i="19" s="1"/>
  <c r="AN26" i="6"/>
  <c r="CT26" i="6"/>
  <c r="AN27" i="6"/>
  <c r="CT27" i="6"/>
  <c r="AN28" i="6"/>
  <c r="CT28" i="6"/>
  <c r="AN29" i="6"/>
  <c r="CT29" i="6"/>
  <c r="AN30" i="6"/>
  <c r="CT30" i="6"/>
  <c r="AN31" i="6"/>
  <c r="CT31" i="6"/>
  <c r="AN32" i="6"/>
  <c r="CT32" i="6"/>
  <c r="AN33" i="6"/>
  <c r="CT33" i="6"/>
  <c r="AN34" i="6"/>
  <c r="CT34" i="6"/>
  <c r="AN35" i="6"/>
  <c r="CT35" i="6"/>
  <c r="AN36" i="6"/>
  <c r="CT36" i="6"/>
  <c r="AN37" i="6"/>
  <c r="CT37" i="6"/>
  <c r="AN38" i="6"/>
  <c r="CT38" i="6"/>
  <c r="AN29" i="11"/>
  <c r="CT29" i="11"/>
  <c r="AN30" i="11"/>
  <c r="CT30" i="11"/>
  <c r="AN31" i="11"/>
  <c r="CT31" i="11"/>
  <c r="AN32" i="11"/>
  <c r="CT32" i="11"/>
  <c r="AN33" i="11"/>
  <c r="CT33" i="11"/>
  <c r="AN34" i="11"/>
  <c r="CT34" i="11"/>
  <c r="AN35" i="11"/>
  <c r="CT35" i="11"/>
  <c r="AN36" i="11"/>
  <c r="CT36" i="11"/>
  <c r="AN37" i="11"/>
  <c r="CT37" i="11"/>
  <c r="N101" i="19"/>
  <c r="N88" i="19"/>
  <c r="N111" i="19" s="1"/>
  <c r="AO26" i="6"/>
  <c r="CU26" i="6"/>
  <c r="AO27" i="6"/>
  <c r="CU27" i="6"/>
  <c r="AO28" i="6"/>
  <c r="CU28" i="6"/>
  <c r="AO29" i="6"/>
  <c r="CU29" i="6"/>
  <c r="AO30" i="6"/>
  <c r="CU30" i="6"/>
  <c r="AO31" i="6"/>
  <c r="CU31" i="6"/>
  <c r="AO32" i="6"/>
  <c r="CU32" i="6"/>
  <c r="AO33" i="6"/>
  <c r="CU33" i="6"/>
  <c r="AO34" i="6"/>
  <c r="CU34" i="6"/>
  <c r="AO35" i="6"/>
  <c r="CU35" i="6"/>
  <c r="AO36" i="6"/>
  <c r="CU36" i="6"/>
  <c r="AO37" i="6"/>
  <c r="CU37" i="6"/>
  <c r="AO38" i="6"/>
  <c r="CU38" i="6"/>
  <c r="AO29" i="11"/>
  <c r="CU29" i="11"/>
  <c r="AO30" i="11"/>
  <c r="CU30" i="11"/>
  <c r="AO31" i="11"/>
  <c r="CU31" i="11"/>
  <c r="AO32" i="11"/>
  <c r="CU32" i="11"/>
  <c r="AO33" i="11"/>
  <c r="CU33" i="11"/>
  <c r="AO34" i="11"/>
  <c r="CU34" i="11"/>
  <c r="AO35" i="11"/>
  <c r="CU35" i="11"/>
  <c r="AO36" i="11"/>
  <c r="CU36" i="11"/>
  <c r="AO37" i="11"/>
  <c r="CU37" i="11"/>
  <c r="AK26" i="6"/>
  <c r="CQ26" i="6"/>
  <c r="AK27" i="6"/>
  <c r="CQ27" i="6"/>
  <c r="AK28" i="6"/>
  <c r="CQ28" i="6"/>
  <c r="AK29" i="6"/>
  <c r="CQ29" i="6"/>
  <c r="AK30" i="6"/>
  <c r="CQ30" i="6"/>
  <c r="AK31" i="6"/>
  <c r="CQ31" i="6"/>
  <c r="AK32" i="6"/>
  <c r="CQ32" i="6"/>
  <c r="AK33" i="6"/>
  <c r="CQ33" i="6"/>
  <c r="AK34" i="6"/>
  <c r="CQ34" i="6"/>
  <c r="AK35" i="6"/>
  <c r="CQ35" i="6"/>
  <c r="AK36" i="6"/>
  <c r="CQ36" i="6"/>
  <c r="AK37" i="6"/>
  <c r="CQ37" i="6"/>
  <c r="AK38" i="6"/>
  <c r="CQ38" i="6"/>
  <c r="AK29" i="11"/>
  <c r="CQ29" i="11"/>
  <c r="AK30" i="11"/>
  <c r="CQ30" i="11"/>
  <c r="AK31" i="11"/>
  <c r="CQ31" i="11"/>
  <c r="AK32" i="11"/>
  <c r="CQ32" i="11"/>
  <c r="AK33" i="11"/>
  <c r="CQ33" i="11"/>
  <c r="AK34" i="11"/>
  <c r="CQ34" i="11"/>
  <c r="AK35" i="11"/>
  <c r="CQ35" i="11"/>
  <c r="AK36" i="11"/>
  <c r="CQ36" i="11"/>
  <c r="AK37" i="11"/>
  <c r="CQ37" i="11"/>
  <c r="K101" i="19"/>
  <c r="K88" i="19"/>
  <c r="K111" i="19" s="1"/>
  <c r="P23" i="23"/>
  <c r="P24" i="23"/>
  <c r="AA26" i="23" s="1"/>
  <c r="P25" i="23"/>
  <c r="P26" i="23"/>
  <c r="AA28" i="23" s="1"/>
  <c r="AA29" i="23" s="1"/>
  <c r="AA30" i="23" s="1"/>
  <c r="AA31" i="23" s="1"/>
  <c r="AA32" i="23" s="1"/>
  <c r="P27" i="23"/>
  <c r="P28" i="23"/>
  <c r="Q23" i="23"/>
  <c r="AB25" i="23" s="1"/>
  <c r="Q24" i="23"/>
  <c r="AB26" i="23" s="1"/>
  <c r="Q25" i="23"/>
  <c r="AB27" i="23" s="1"/>
  <c r="Q26" i="23"/>
  <c r="Q27" i="23"/>
  <c r="Q28" i="23"/>
  <c r="R23" i="23"/>
  <c r="AC25" i="23" s="1"/>
  <c r="R24" i="23"/>
  <c r="AC26" i="23" s="1"/>
  <c r="R25" i="23"/>
  <c r="AC27" i="23" s="1"/>
  <c r="R26" i="23"/>
  <c r="AC28" i="23" s="1"/>
  <c r="AC29" i="23" s="1"/>
  <c r="AC30" i="23" s="1"/>
  <c r="AC31" i="23" s="1"/>
  <c r="AC32" i="23" s="1"/>
  <c r="R27" i="23"/>
  <c r="R28" i="23"/>
  <c r="S23" i="23"/>
  <c r="AD25" i="23" s="1"/>
  <c r="S24" i="23"/>
  <c r="AD26" i="23" s="1"/>
  <c r="S25" i="23"/>
  <c r="S26" i="23"/>
  <c r="S27" i="23"/>
  <c r="S28" i="23"/>
  <c r="O23" i="23"/>
  <c r="Z25" i="23" s="1"/>
  <c r="O24" i="23"/>
  <c r="O25" i="23"/>
  <c r="Z27" i="23" s="1"/>
  <c r="O26" i="23"/>
  <c r="O27" i="23"/>
  <c r="O28" i="23"/>
  <c r="AE58" i="23"/>
  <c r="AE57" i="23"/>
  <c r="AE56" i="23"/>
  <c r="AE55" i="23"/>
  <c r="AE54" i="23"/>
  <c r="AE59" i="23" s="1"/>
  <c r="AE53" i="23"/>
  <c r="AE52" i="23"/>
  <c r="AE51" i="23"/>
  <c r="AE50" i="23"/>
  <c r="AE49" i="23"/>
  <c r="AD59" i="23"/>
  <c r="AC59" i="23"/>
  <c r="AB59" i="23"/>
  <c r="AA59" i="23"/>
  <c r="Z59" i="23"/>
  <c r="AE35" i="23"/>
  <c r="T44" i="52"/>
  <c r="S44" i="52"/>
  <c r="B108" i="19"/>
  <c r="B77" i="19"/>
  <c r="B97" i="19"/>
  <c r="B96" i="19"/>
  <c r="B95" i="19"/>
  <c r="B94" i="19"/>
  <c r="B92" i="19"/>
  <c r="B114" i="19" s="1"/>
  <c r="I80" i="19"/>
  <c r="B84" i="19"/>
  <c r="B107" i="19" s="1"/>
  <c r="X33" i="23"/>
  <c r="AH6" i="15"/>
  <c r="AZ6" i="15"/>
  <c r="AG6" i="15"/>
  <c r="AY6" i="15"/>
  <c r="AF6" i="15"/>
  <c r="AX6" i="15"/>
  <c r="AE6" i="15"/>
  <c r="AW6" i="15"/>
  <c r="AD6" i="15"/>
  <c r="AV6" i="15"/>
  <c r="X32" i="23"/>
  <c r="X45" i="23"/>
  <c r="X31" i="23"/>
  <c r="X44" i="23"/>
  <c r="X30" i="23"/>
  <c r="X43" i="23"/>
  <c r="X29" i="23"/>
  <c r="X42" i="23" s="1"/>
  <c r="X28" i="23"/>
  <c r="X41" i="23"/>
  <c r="X27" i="23"/>
  <c r="X40" i="23"/>
  <c r="X26" i="23"/>
  <c r="X39" i="23"/>
  <c r="X25" i="23"/>
  <c r="X38" i="23" s="1"/>
  <c r="X24" i="23"/>
  <c r="X37" i="23"/>
  <c r="X23" i="23"/>
  <c r="X36" i="23"/>
  <c r="X9" i="60"/>
  <c r="W9" i="60"/>
  <c r="V9" i="60"/>
  <c r="U9" i="60"/>
  <c r="T9" i="60"/>
  <c r="AD28" i="23"/>
  <c r="AD29" i="23" s="1"/>
  <c r="AD30" i="23" s="1"/>
  <c r="AD31" i="23" s="1"/>
  <c r="AD32" i="23" s="1"/>
  <c r="Z28" i="23"/>
  <c r="AD27" i="23"/>
  <c r="B46" i="61"/>
  <c r="B55" i="61"/>
  <c r="B54" i="61"/>
  <c r="B53" i="61"/>
  <c r="B52" i="61"/>
  <c r="B51" i="61"/>
  <c r="B50" i="61"/>
  <c r="B49" i="61"/>
  <c r="B48" i="61"/>
  <c r="B47" i="61"/>
  <c r="B18" i="62"/>
  <c r="B19" i="62"/>
  <c r="B17" i="62"/>
  <c r="B8" i="62"/>
  <c r="J14" i="62"/>
  <c r="I14" i="62"/>
  <c r="H14" i="62"/>
  <c r="G14" i="62"/>
  <c r="F14" i="62"/>
  <c r="E14" i="62"/>
  <c r="D14" i="62"/>
  <c r="C14" i="62"/>
  <c r="B14" i="62"/>
  <c r="J13" i="62"/>
  <c r="I13" i="62"/>
  <c r="H13" i="62"/>
  <c r="G13" i="62"/>
  <c r="F13" i="62"/>
  <c r="E13" i="62"/>
  <c r="D13" i="62"/>
  <c r="C13" i="62"/>
  <c r="B13" i="62"/>
  <c r="J9" i="62"/>
  <c r="J8" i="62"/>
  <c r="B12" i="62"/>
  <c r="B9" i="62"/>
  <c r="I9" i="62"/>
  <c r="H9" i="62"/>
  <c r="G9" i="62"/>
  <c r="F9" i="62"/>
  <c r="I8" i="62"/>
  <c r="H8" i="62"/>
  <c r="G8" i="62"/>
  <c r="F8" i="62"/>
  <c r="E8" i="62"/>
  <c r="M13" i="61"/>
  <c r="M12" i="61"/>
  <c r="B15" i="61"/>
  <c r="G13" i="61"/>
  <c r="G12" i="61"/>
  <c r="B14" i="61"/>
  <c r="Z48" i="19"/>
  <c r="Y48" i="19"/>
  <c r="X48" i="19"/>
  <c r="W48" i="19"/>
  <c r="V48" i="19"/>
  <c r="U48" i="19"/>
  <c r="T48" i="19"/>
  <c r="S48" i="19"/>
  <c r="B20" i="61"/>
  <c r="D26" i="61"/>
  <c r="B30" i="61"/>
  <c r="B29" i="61"/>
  <c r="B28" i="61"/>
  <c r="B27" i="61"/>
  <c r="B36" i="61"/>
  <c r="B35" i="61"/>
  <c r="B34" i="61"/>
  <c r="B33" i="61"/>
  <c r="B39" i="61"/>
  <c r="B6" i="61"/>
  <c r="W2" i="44"/>
  <c r="W3" i="44"/>
  <c r="M19" i="61"/>
  <c r="M18" i="61"/>
  <c r="B22" i="61"/>
  <c r="B8" i="61" s="1"/>
  <c r="B40" i="61" s="1"/>
  <c r="B21" i="61"/>
  <c r="B7" i="61" s="1"/>
  <c r="G19" i="61"/>
  <c r="G18" i="61"/>
  <c r="L39" i="15"/>
  <c r="AB3" i="44"/>
  <c r="AA3" i="44"/>
  <c r="Z3" i="44"/>
  <c r="Y3" i="44"/>
  <c r="X3" i="44"/>
  <c r="V3" i="44"/>
  <c r="N3" i="42"/>
  <c r="M3" i="42"/>
  <c r="L3" i="42"/>
  <c r="N15" i="42"/>
  <c r="M15" i="42"/>
  <c r="L15" i="42"/>
  <c r="K48" i="59"/>
  <c r="K49" i="59"/>
  <c r="E51" i="59"/>
  <c r="D51" i="59"/>
  <c r="K46" i="59"/>
  <c r="CO21" i="47"/>
  <c r="CO29" i="47"/>
  <c r="CN21" i="47"/>
  <c r="CN29" i="47"/>
  <c r="CM21" i="47"/>
  <c r="CM29" i="47"/>
  <c r="CL21" i="47"/>
  <c r="CL29" i="47"/>
  <c r="CK21" i="47"/>
  <c r="CK29" i="47"/>
  <c r="CK13" i="47"/>
  <c r="CK20" i="47"/>
  <c r="CK28" i="47"/>
  <c r="CL13" i="47"/>
  <c r="CL20" i="47"/>
  <c r="CL28" i="47"/>
  <c r="CK8" i="47"/>
  <c r="CK15" i="47"/>
  <c r="CK23" i="47"/>
  <c r="CK26" i="47"/>
  <c r="CL26" i="47"/>
  <c r="CM26" i="47"/>
  <c r="CN26" i="47"/>
  <c r="CO26" i="47"/>
  <c r="CK27" i="47"/>
  <c r="CL27" i="47"/>
  <c r="CM27" i="47"/>
  <c r="CN27" i="47"/>
  <c r="CO27" i="47"/>
  <c r="CK10" i="47"/>
  <c r="CK17" i="47"/>
  <c r="CK25" i="47"/>
  <c r="CK12" i="47"/>
  <c r="CK19" i="47"/>
  <c r="CO8" i="47"/>
  <c r="CO15" i="47"/>
  <c r="CO23" i="47"/>
  <c r="CO11" i="47"/>
  <c r="CO12" i="47"/>
  <c r="CO18" i="47"/>
  <c r="CO19" i="47"/>
  <c r="CN8" i="47"/>
  <c r="CN15" i="47"/>
  <c r="CN23" i="47"/>
  <c r="CN11" i="47"/>
  <c r="CN12" i="47"/>
  <c r="CN18" i="47"/>
  <c r="CN19" i="47"/>
  <c r="CM8" i="47"/>
  <c r="CM15" i="47"/>
  <c r="CM23" i="47"/>
  <c r="CM11" i="47"/>
  <c r="CM12" i="47"/>
  <c r="CM18" i="47"/>
  <c r="CM19" i="47"/>
  <c r="CK11" i="47"/>
  <c r="CL12" i="47"/>
  <c r="CK18" i="47"/>
  <c r="K36" i="59"/>
  <c r="K16" i="59"/>
  <c r="K13" i="56"/>
  <c r="K5" i="56"/>
  <c r="J39" i="59"/>
  <c r="I39" i="59"/>
  <c r="H39" i="59"/>
  <c r="D38" i="59"/>
  <c r="E38" i="59"/>
  <c r="D37" i="59"/>
  <c r="E37" i="59"/>
  <c r="D17" i="59"/>
  <c r="E17" i="59"/>
  <c r="J20" i="60"/>
  <c r="F20" i="60"/>
  <c r="E20" i="60"/>
  <c r="D20" i="60"/>
  <c r="P33" i="60"/>
  <c r="P32" i="60"/>
  <c r="P30" i="60"/>
  <c r="J18" i="60"/>
  <c r="J22" i="60" s="1"/>
  <c r="I18" i="60"/>
  <c r="H18" i="60"/>
  <c r="H22" i="60" s="1"/>
  <c r="G18" i="60"/>
  <c r="F18" i="60"/>
  <c r="E18" i="60"/>
  <c r="E22" i="60"/>
  <c r="D18" i="60"/>
  <c r="J39" i="60"/>
  <c r="I39" i="60"/>
  <c r="H39" i="60"/>
  <c r="G39" i="60"/>
  <c r="F39" i="60"/>
  <c r="E39" i="60"/>
  <c r="J38" i="60"/>
  <c r="I38" i="60"/>
  <c r="H38" i="60"/>
  <c r="G38" i="60"/>
  <c r="F38" i="60"/>
  <c r="E38" i="60"/>
  <c r="J37" i="60"/>
  <c r="I37" i="60"/>
  <c r="H37" i="60"/>
  <c r="G37" i="60"/>
  <c r="F37" i="60"/>
  <c r="E37" i="60"/>
  <c r="D38" i="60"/>
  <c r="D39" i="60"/>
  <c r="D37" i="60"/>
  <c r="J34" i="60"/>
  <c r="I34" i="60"/>
  <c r="I20" i="60" s="1"/>
  <c r="I22" i="60" s="1"/>
  <c r="H34" i="60"/>
  <c r="H20" i="60" s="1"/>
  <c r="G34" i="60"/>
  <c r="G20" i="60" s="1"/>
  <c r="F34" i="60"/>
  <c r="E34" i="60"/>
  <c r="D34" i="60"/>
  <c r="CJ29" i="47"/>
  <c r="CI29" i="47"/>
  <c r="CH29" i="47"/>
  <c r="CO28" i="47"/>
  <c r="CN28" i="47"/>
  <c r="CM28" i="47"/>
  <c r="CJ28" i="47"/>
  <c r="CI28" i="47"/>
  <c r="CH28" i="47"/>
  <c r="CJ27" i="47"/>
  <c r="CI27" i="47"/>
  <c r="CH27" i="47"/>
  <c r="CJ26" i="47"/>
  <c r="CI26" i="47"/>
  <c r="CH26" i="47"/>
  <c r="CO25" i="47"/>
  <c r="CN25" i="47"/>
  <c r="CM25" i="47"/>
  <c r="CL25" i="47"/>
  <c r="CJ25" i="47"/>
  <c r="CI25" i="47"/>
  <c r="CH25" i="47"/>
  <c r="CO24" i="47"/>
  <c r="CN24" i="47"/>
  <c r="CM24" i="47"/>
  <c r="CL24" i="47"/>
  <c r="CK24" i="47"/>
  <c r="CJ24" i="47"/>
  <c r="CI24" i="47"/>
  <c r="CH24" i="47"/>
  <c r="CL23" i="47"/>
  <c r="G9" i="41"/>
  <c r="J60" i="19"/>
  <c r="F39" i="61"/>
  <c r="I60" i="19"/>
  <c r="E39" i="61" s="1"/>
  <c r="H60" i="19"/>
  <c r="D39" i="61" s="1"/>
  <c r="C10" i="42"/>
  <c r="D10" i="42"/>
  <c r="E10" i="42"/>
  <c r="L47" i="53"/>
  <c r="F47" i="53"/>
  <c r="E47" i="53"/>
  <c r="D47" i="53"/>
  <c r="I55" i="29"/>
  <c r="AX8" i="13"/>
  <c r="AX6" i="13"/>
  <c r="AF9" i="13"/>
  <c r="AZ8" i="13"/>
  <c r="AH9" i="13"/>
  <c r="AI8" i="13"/>
  <c r="BA8" i="13"/>
  <c r="BA9" i="13"/>
  <c r="AE9" i="13"/>
  <c r="AE7" i="13"/>
  <c r="AE8" i="13"/>
  <c r="AE6" i="13"/>
  <c r="AW6" i="13"/>
  <c r="AW8" i="13"/>
  <c r="AW9" i="13"/>
  <c r="AY8" i="13"/>
  <c r="AG9" i="13"/>
  <c r="N37" i="23"/>
  <c r="N38" i="23"/>
  <c r="N16" i="28"/>
  <c r="N14" i="28"/>
  <c r="O14" i="28" s="1"/>
  <c r="M4" i="44" s="1"/>
  <c r="AD6" i="13"/>
  <c r="M17" i="28"/>
  <c r="F22" i="20"/>
  <c r="K40" i="23"/>
  <c r="I39" i="23"/>
  <c r="L36" i="23"/>
  <c r="K36" i="23"/>
  <c r="H36" i="23"/>
  <c r="J35" i="23"/>
  <c r="J34" i="23"/>
  <c r="I29" i="23"/>
  <c r="J40" i="23"/>
  <c r="I40" i="23"/>
  <c r="H40" i="23"/>
  <c r="J39" i="23"/>
  <c r="I38" i="23"/>
  <c r="H38" i="23"/>
  <c r="I35" i="23"/>
  <c r="I34" i="23"/>
  <c r="H34" i="23"/>
  <c r="K17" i="23"/>
  <c r="H17" i="23"/>
  <c r="O17" i="28"/>
  <c r="F9" i="20" s="1"/>
  <c r="L6" i="28"/>
  <c r="M6" i="28"/>
  <c r="N6" i="28" s="1"/>
  <c r="O6" i="28" s="1"/>
  <c r="P6" i="28" s="1"/>
  <c r="Q11" i="28"/>
  <c r="Q15" i="28" s="1"/>
  <c r="K13" i="28"/>
  <c r="L13" i="28" s="1"/>
  <c r="M13" i="28" s="1"/>
  <c r="N13" i="28" s="1"/>
  <c r="O13" i="28" s="1"/>
  <c r="P13" i="28" s="1"/>
  <c r="AS11" i="15"/>
  <c r="AT11" i="15"/>
  <c r="AU11" i="15"/>
  <c r="AV11" i="15"/>
  <c r="AW11" i="15"/>
  <c r="AX11" i="15"/>
  <c r="AY11" i="15"/>
  <c r="AZ11" i="15"/>
  <c r="AC11" i="15"/>
  <c r="AA11" i="15"/>
  <c r="AB11" i="15"/>
  <c r="AD11" i="15"/>
  <c r="AE11" i="15"/>
  <c r="AF11" i="15"/>
  <c r="AH11" i="15"/>
  <c r="L10" i="19"/>
  <c r="F11" i="20"/>
  <c r="G13" i="48"/>
  <c r="D18" i="20"/>
  <c r="M36" i="26"/>
  <c r="J21" i="28"/>
  <c r="AY14" i="15"/>
  <c r="BH14" i="15"/>
  <c r="BY5" i="47"/>
  <c r="BY28" i="47" s="1"/>
  <c r="N25" i="28"/>
  <c r="C12" i="62" s="1"/>
  <c r="M25" i="28"/>
  <c r="L25" i="28" s="1"/>
  <c r="K25" i="28" s="1"/>
  <c r="BY26" i="47" s="1"/>
  <c r="D17" i="54"/>
  <c r="X18" i="53"/>
  <c r="N2" i="44"/>
  <c r="E17" i="62" s="1"/>
  <c r="Y12" i="53"/>
  <c r="Y13" i="53"/>
  <c r="D11" i="54"/>
  <c r="D12" i="54"/>
  <c r="D13" i="54"/>
  <c r="D25" i="54"/>
  <c r="D26" i="54"/>
  <c r="Y18" i="53"/>
  <c r="AF42" i="54"/>
  <c r="AA42" i="54"/>
  <c r="Z42" i="54"/>
  <c r="Y42" i="54"/>
  <c r="X42" i="54"/>
  <c r="AF40" i="54"/>
  <c r="AF4" i="54"/>
  <c r="AA4" i="54"/>
  <c r="Z4" i="54"/>
  <c r="Y4" i="54"/>
  <c r="X4" i="54"/>
  <c r="AP4" i="52"/>
  <c r="AK4" i="52"/>
  <c r="AJ4" i="52"/>
  <c r="AI4" i="52"/>
  <c r="AH4" i="52"/>
  <c r="AF44" i="44"/>
  <c r="AF30" i="44"/>
  <c r="AF17" i="44"/>
  <c r="W44" i="44"/>
  <c r="W30" i="44"/>
  <c r="W17" i="44"/>
  <c r="E44" i="44"/>
  <c r="N44" i="44"/>
  <c r="N30" i="44"/>
  <c r="E30" i="44"/>
  <c r="E17" i="44"/>
  <c r="N17" i="44"/>
  <c r="E9" i="44"/>
  <c r="N9" i="44"/>
  <c r="AF9" i="44"/>
  <c r="W9" i="44"/>
  <c r="F6" i="61" s="1"/>
  <c r="AV9" i="13"/>
  <c r="AJ5" i="47"/>
  <c r="N43" i="28"/>
  <c r="M43" i="28" s="1"/>
  <c r="L43" i="28" s="1"/>
  <c r="K43" i="28" s="1"/>
  <c r="O43" i="28"/>
  <c r="AO6" i="9" s="1"/>
  <c r="N46" i="28"/>
  <c r="O46" i="28"/>
  <c r="CI16" i="47"/>
  <c r="AH5" i="47"/>
  <c r="N44" i="28"/>
  <c r="O44" i="28"/>
  <c r="P44" i="28" s="1"/>
  <c r="Q44" i="28" s="1"/>
  <c r="AI5" i="47"/>
  <c r="N45" i="28"/>
  <c r="O45" i="28" s="1"/>
  <c r="P45" i="28" s="1"/>
  <c r="Q45" i="28" s="1"/>
  <c r="R45" i="28" s="1"/>
  <c r="S45" i="28" s="1"/>
  <c r="T45" i="28" s="1"/>
  <c r="U45" i="28" s="1"/>
  <c r="AK5" i="47"/>
  <c r="N47" i="28"/>
  <c r="O47" i="28"/>
  <c r="P47" i="28" s="1"/>
  <c r="Q47" i="28" s="1"/>
  <c r="R47" i="28" s="1"/>
  <c r="S47" i="28" s="1"/>
  <c r="T47" i="28" s="1"/>
  <c r="U47" i="28" s="1"/>
  <c r="U29" i="11"/>
  <c r="U30" i="11"/>
  <c r="U31" i="11"/>
  <c r="U32" i="11"/>
  <c r="U33" i="11"/>
  <c r="U34" i="11"/>
  <c r="U35" i="11"/>
  <c r="U36" i="11"/>
  <c r="U37" i="11"/>
  <c r="F5" i="56"/>
  <c r="E5" i="56"/>
  <c r="AT9" i="13"/>
  <c r="AU9" i="13"/>
  <c r="AC6" i="15"/>
  <c r="AL5" i="15"/>
  <c r="O25" i="28"/>
  <c r="D12" i="62" s="1"/>
  <c r="P25" i="28"/>
  <c r="E12" i="62" s="1"/>
  <c r="Q25" i="28"/>
  <c r="F12" i="62" s="1"/>
  <c r="N27" i="28"/>
  <c r="K28" i="28"/>
  <c r="L28" i="28" s="1"/>
  <c r="M28" i="28" s="1"/>
  <c r="N28" i="28" s="1"/>
  <c r="O28" i="28" s="1"/>
  <c r="P28" i="28" s="1"/>
  <c r="Q28" i="28" s="1"/>
  <c r="R28" i="28" s="1"/>
  <c r="S28" i="28" s="1"/>
  <c r="T28" i="28" s="1"/>
  <c r="U28" i="28" s="1"/>
  <c r="AU6" i="15"/>
  <c r="AC7" i="15"/>
  <c r="AU7" i="15"/>
  <c r="AC9" i="15"/>
  <c r="AU9" i="15"/>
  <c r="AR5" i="47"/>
  <c r="P43" i="28"/>
  <c r="N48" i="28"/>
  <c r="O48" i="28" s="1"/>
  <c r="P48" i="28" s="1"/>
  <c r="AD7" i="15"/>
  <c r="AV7" i="15"/>
  <c r="AV9" i="15"/>
  <c r="AD12" i="15"/>
  <c r="AU5" i="47"/>
  <c r="Q43" i="28"/>
  <c r="R44" i="52"/>
  <c r="AE7" i="15"/>
  <c r="AW7" i="15"/>
  <c r="AE9" i="15"/>
  <c r="AW9" i="15"/>
  <c r="AE12" i="15"/>
  <c r="AW12" i="15"/>
  <c r="AF7" i="15"/>
  <c r="AX7" i="15"/>
  <c r="AF9" i="15"/>
  <c r="AX9" i="15"/>
  <c r="AF12" i="15"/>
  <c r="AX12" i="15"/>
  <c r="AG7" i="15"/>
  <c r="AY7" i="15"/>
  <c r="AG9" i="15"/>
  <c r="AY9" i="15"/>
  <c r="AH7" i="15"/>
  <c r="AZ7" i="15"/>
  <c r="AH9" i="15"/>
  <c r="AZ9" i="15"/>
  <c r="AH12" i="15"/>
  <c r="AZ12" i="15"/>
  <c r="AN5" i="47"/>
  <c r="AP5" i="47"/>
  <c r="AP24" i="47" s="1"/>
  <c r="P46" i="28"/>
  <c r="CA5" i="47"/>
  <c r="AO5" i="47"/>
  <c r="BC6" i="6"/>
  <c r="BD6" i="6"/>
  <c r="BE6" i="6"/>
  <c r="BF6" i="6"/>
  <c r="BG6" i="6"/>
  <c r="V26" i="6"/>
  <c r="V27" i="6"/>
  <c r="V28" i="6"/>
  <c r="V29" i="6"/>
  <c r="V30" i="6"/>
  <c r="V31" i="6"/>
  <c r="V32" i="6"/>
  <c r="V33" i="6"/>
  <c r="V34" i="6"/>
  <c r="V35" i="6"/>
  <c r="V36" i="6"/>
  <c r="V37" i="6"/>
  <c r="V38" i="6"/>
  <c r="K34" i="23"/>
  <c r="E39" i="17"/>
  <c r="N17" i="28"/>
  <c r="D2" i="57"/>
  <c r="L17" i="28"/>
  <c r="K17" i="28"/>
  <c r="CJ7" i="9"/>
  <c r="P15" i="5"/>
  <c r="Z26" i="6"/>
  <c r="Z27" i="6"/>
  <c r="Z28" i="6"/>
  <c r="Z29" i="6"/>
  <c r="Z30" i="6"/>
  <c r="Z31" i="6"/>
  <c r="Z32" i="6"/>
  <c r="Z33" i="6"/>
  <c r="Z34" i="6"/>
  <c r="Z35" i="6"/>
  <c r="Z36" i="6"/>
  <c r="Z37" i="6"/>
  <c r="Z38" i="6"/>
  <c r="Z29" i="11"/>
  <c r="Z30" i="11"/>
  <c r="Z31" i="11"/>
  <c r="Z32" i="11"/>
  <c r="Z33" i="11"/>
  <c r="Z34" i="11"/>
  <c r="Z35" i="11"/>
  <c r="Z36" i="11"/>
  <c r="Z37" i="11"/>
  <c r="AX12" i="55"/>
  <c r="L40" i="55"/>
  <c r="BA11" i="55"/>
  <c r="AG11" i="55"/>
  <c r="AW11" i="55"/>
  <c r="AW37" i="55" s="1"/>
  <c r="AX10" i="55"/>
  <c r="L37" i="55"/>
  <c r="BQ4" i="54"/>
  <c r="Q40" i="55"/>
  <c r="P40" i="55"/>
  <c r="O40" i="55"/>
  <c r="N40" i="55"/>
  <c r="M40" i="55"/>
  <c r="Q15" i="5"/>
  <c r="O15" i="5"/>
  <c r="N15" i="5"/>
  <c r="M15" i="5"/>
  <c r="Q31" i="4"/>
  <c r="P31" i="4"/>
  <c r="O31" i="4"/>
  <c r="N31" i="4"/>
  <c r="M31" i="4"/>
  <c r="E3" i="42"/>
  <c r="D3" i="42"/>
  <c r="C3" i="42"/>
  <c r="E40" i="42"/>
  <c r="D40" i="42"/>
  <c r="E39" i="42"/>
  <c r="D39" i="42"/>
  <c r="E38" i="42"/>
  <c r="D38" i="42"/>
  <c r="E37" i="42"/>
  <c r="D37" i="42"/>
  <c r="E36" i="42"/>
  <c r="D36" i="42"/>
  <c r="E35" i="42"/>
  <c r="D35" i="42"/>
  <c r="E34" i="42"/>
  <c r="D34" i="42"/>
  <c r="E33" i="42"/>
  <c r="D33" i="42"/>
  <c r="E32" i="42"/>
  <c r="D32" i="42"/>
  <c r="E31" i="42"/>
  <c r="D31" i="42"/>
  <c r="E30" i="42"/>
  <c r="D30" i="42"/>
  <c r="E29" i="42"/>
  <c r="D29" i="42"/>
  <c r="E28" i="42"/>
  <c r="D28" i="42"/>
  <c r="E27" i="42"/>
  <c r="D27" i="42"/>
  <c r="E26" i="42"/>
  <c r="D26" i="42"/>
  <c r="E25" i="42"/>
  <c r="D25" i="42"/>
  <c r="E24" i="42"/>
  <c r="D24" i="42"/>
  <c r="E23" i="42"/>
  <c r="D23" i="42"/>
  <c r="E22" i="42"/>
  <c r="D22" i="42"/>
  <c r="E21" i="42"/>
  <c r="D21" i="42"/>
  <c r="E20" i="42"/>
  <c r="D20" i="42"/>
  <c r="E19" i="42"/>
  <c r="D19" i="42"/>
  <c r="E18" i="42"/>
  <c r="D18" i="42"/>
  <c r="E17" i="42"/>
  <c r="D17" i="42"/>
  <c r="E16" i="42"/>
  <c r="D16" i="42"/>
  <c r="E15" i="42"/>
  <c r="D15" i="42"/>
  <c r="E14" i="42"/>
  <c r="D14" i="42"/>
  <c r="E13" i="42"/>
  <c r="D13" i="42"/>
  <c r="E12" i="42"/>
  <c r="D12" i="42"/>
  <c r="E11" i="42"/>
  <c r="D11" i="42"/>
  <c r="E9" i="42"/>
  <c r="D9" i="42"/>
  <c r="E8" i="42"/>
  <c r="D8" i="42"/>
  <c r="E7" i="42"/>
  <c r="D7" i="42"/>
  <c r="E6" i="42"/>
  <c r="D6" i="42"/>
  <c r="E5" i="42"/>
  <c r="D5" i="42"/>
  <c r="E4" i="42"/>
  <c r="D4" i="42"/>
  <c r="D7" i="48"/>
  <c r="AV11" i="13"/>
  <c r="AV10" i="13"/>
  <c r="E37" i="17"/>
  <c r="N37" i="15"/>
  <c r="P39" i="17"/>
  <c r="AX14" i="15"/>
  <c r="BG14" i="15" s="1"/>
  <c r="Q46" i="28"/>
  <c r="R46" i="28" s="1"/>
  <c r="S46" i="28" s="1"/>
  <c r="T46" i="28" s="1"/>
  <c r="U46" i="28" s="1"/>
  <c r="AX5" i="47"/>
  <c r="Q48" i="28"/>
  <c r="R48" i="28" s="1"/>
  <c r="S48" i="28" s="1"/>
  <c r="AD5" i="47"/>
  <c r="AD24" i="47" s="1"/>
  <c r="AC5" i="47"/>
  <c r="AC25" i="47" s="1"/>
  <c r="CH16" i="47"/>
  <c r="AV5" i="47"/>
  <c r="AV10" i="47" s="1"/>
  <c r="J25" i="19"/>
  <c r="CW30" i="4"/>
  <c r="CV30" i="4"/>
  <c r="CU30" i="4"/>
  <c r="CT30" i="4"/>
  <c r="CR30" i="4"/>
  <c r="CQ30" i="4"/>
  <c r="CX30" i="4"/>
  <c r="CS30" i="4"/>
  <c r="J17" i="19"/>
  <c r="J14" i="19"/>
  <c r="J54" i="19"/>
  <c r="J40" i="19"/>
  <c r="I54" i="19"/>
  <c r="H54" i="19"/>
  <c r="Z32" i="53"/>
  <c r="Y32" i="53"/>
  <c r="X32" i="53"/>
  <c r="Z6" i="53"/>
  <c r="P32" i="53"/>
  <c r="F32" i="53"/>
  <c r="P6" i="53"/>
  <c r="F41" i="53"/>
  <c r="F6" i="53"/>
  <c r="BD4" i="54"/>
  <c r="BD42" i="54"/>
  <c r="AT42" i="54"/>
  <c r="AT4" i="54"/>
  <c r="AJ4" i="54"/>
  <c r="AJ42" i="54"/>
  <c r="P42" i="54"/>
  <c r="P4" i="54"/>
  <c r="F42" i="54"/>
  <c r="F4" i="54"/>
  <c r="BD36" i="52"/>
  <c r="BN4" i="52"/>
  <c r="BD4" i="52"/>
  <c r="AT4" i="52"/>
  <c r="Z4" i="52"/>
  <c r="P4" i="52"/>
  <c r="F4" i="52"/>
  <c r="P9" i="17"/>
  <c r="E9" i="17"/>
  <c r="S5" i="17"/>
  <c r="L45" i="40"/>
  <c r="CJ10" i="40"/>
  <c r="CJ9" i="40"/>
  <c r="CJ8" i="40"/>
  <c r="CJ37" i="40" s="1"/>
  <c r="CJ7" i="40"/>
  <c r="CJ6" i="40"/>
  <c r="CS36" i="40"/>
  <c r="CS35" i="40"/>
  <c r="CS34" i="40"/>
  <c r="CS33" i="40"/>
  <c r="CS32" i="40"/>
  <c r="CS31" i="40"/>
  <c r="CS30" i="40"/>
  <c r="CS29" i="40"/>
  <c r="CS28" i="40"/>
  <c r="CS27" i="40"/>
  <c r="CS26" i="40"/>
  <c r="CS25" i="40"/>
  <c r="CS24" i="40"/>
  <c r="CS23" i="40"/>
  <c r="CS22" i="40"/>
  <c r="CS21" i="40"/>
  <c r="CS20" i="40"/>
  <c r="CS19" i="40"/>
  <c r="CS18" i="40"/>
  <c r="CS17" i="40"/>
  <c r="CS16" i="40"/>
  <c r="CS15" i="40"/>
  <c r="CS14" i="40"/>
  <c r="CS13" i="40"/>
  <c r="CS12" i="40"/>
  <c r="CS11" i="40"/>
  <c r="CS44" i="40"/>
  <c r="CS43" i="40"/>
  <c r="AR5" i="40"/>
  <c r="AN5" i="40"/>
  <c r="AN41" i="40" s="1"/>
  <c r="AM5" i="40"/>
  <c r="AM41" i="40" s="1"/>
  <c r="AL5" i="40"/>
  <c r="AL41" i="40" s="1"/>
  <c r="AK5" i="40"/>
  <c r="AK41" i="40" s="1"/>
  <c r="AJ5" i="40"/>
  <c r="AJ41" i="40" s="1"/>
  <c r="AI5" i="40"/>
  <c r="AI41" i="40" s="1"/>
  <c r="AH5" i="40"/>
  <c r="AH41" i="40" s="1"/>
  <c r="AG5" i="40"/>
  <c r="AG41" i="40" s="1"/>
  <c r="AF5" i="40"/>
  <c r="AF41" i="40" s="1"/>
  <c r="AE5" i="40"/>
  <c r="AE41" i="40" s="1"/>
  <c r="AD5" i="40"/>
  <c r="AD41" i="40" s="1"/>
  <c r="AC5" i="40"/>
  <c r="AC41" i="40" s="1"/>
  <c r="AB5" i="40"/>
  <c r="AB41" i="40" s="1"/>
  <c r="AS5" i="40"/>
  <c r="AS41" i="40" s="1"/>
  <c r="AQ5" i="40"/>
  <c r="AQ41" i="40" s="1"/>
  <c r="AP5" i="40"/>
  <c r="AO5" i="40"/>
  <c r="CA45" i="40"/>
  <c r="CJ45" i="40"/>
  <c r="CS41" i="40"/>
  <c r="CR41" i="40"/>
  <c r="CQ41" i="40"/>
  <c r="CJ41" i="40"/>
  <c r="CA41" i="40"/>
  <c r="CJ5" i="40"/>
  <c r="CA5" i="40"/>
  <c r="CS5" i="40"/>
  <c r="U5" i="40"/>
  <c r="U45" i="40"/>
  <c r="U41" i="40"/>
  <c r="L41" i="40"/>
  <c r="L37" i="40"/>
  <c r="L5" i="40"/>
  <c r="G5" i="17"/>
  <c r="J5" i="9"/>
  <c r="K5" i="9"/>
  <c r="L5" i="9"/>
  <c r="J37" i="9"/>
  <c r="K37" i="9"/>
  <c r="L37" i="9"/>
  <c r="M37" i="9"/>
  <c r="N37" i="9"/>
  <c r="O37" i="9"/>
  <c r="P37" i="9"/>
  <c r="Q37" i="9"/>
  <c r="BD5" i="15"/>
  <c r="AU12" i="15"/>
  <c r="AU10" i="15"/>
  <c r="AU8" i="15"/>
  <c r="AU5" i="15"/>
  <c r="AC12" i="15"/>
  <c r="AC10" i="15"/>
  <c r="AC8" i="15"/>
  <c r="AC5" i="15"/>
  <c r="T5" i="15"/>
  <c r="K5" i="15"/>
  <c r="BE24" i="55"/>
  <c r="BE25" i="55"/>
  <c r="BE26" i="55"/>
  <c r="BE27" i="55"/>
  <c r="BE28" i="55"/>
  <c r="BE29" i="55"/>
  <c r="BE30" i="55"/>
  <c r="BE31" i="55"/>
  <c r="BE32" i="55"/>
  <c r="BE33" i="55"/>
  <c r="BE34" i="55"/>
  <c r="BE35" i="55"/>
  <c r="BE36" i="55"/>
  <c r="AV13" i="55"/>
  <c r="AV12" i="55"/>
  <c r="AV11" i="55"/>
  <c r="AV10" i="55"/>
  <c r="AD13" i="55"/>
  <c r="AD12" i="55"/>
  <c r="AD11" i="55"/>
  <c r="AD10" i="55"/>
  <c r="BE23" i="55"/>
  <c r="BE21" i="55"/>
  <c r="BE20" i="55"/>
  <c r="BE19" i="55"/>
  <c r="BE9" i="55"/>
  <c r="BE8" i="55"/>
  <c r="BE7" i="55"/>
  <c r="BE6" i="55"/>
  <c r="BE23" i="13"/>
  <c r="BE22" i="13"/>
  <c r="BE21" i="13"/>
  <c r="BE20" i="13"/>
  <c r="BE19" i="13"/>
  <c r="BE18" i="13"/>
  <c r="BE17" i="13"/>
  <c r="BE16" i="13"/>
  <c r="BE15" i="13"/>
  <c r="BE14" i="13"/>
  <c r="BE13" i="13"/>
  <c r="BE12" i="13"/>
  <c r="BE5" i="55"/>
  <c r="BE5" i="13"/>
  <c r="AV5" i="55"/>
  <c r="AV5" i="13"/>
  <c r="AM5" i="55"/>
  <c r="AM5" i="13"/>
  <c r="AD5" i="55"/>
  <c r="AD5" i="13"/>
  <c r="U5" i="55"/>
  <c r="U5" i="13"/>
  <c r="L5" i="55"/>
  <c r="L5" i="13"/>
  <c r="CS33" i="47"/>
  <c r="CS32" i="47"/>
  <c r="CS31" i="47"/>
  <c r="CS30" i="47"/>
  <c r="CS22" i="47"/>
  <c r="CS14" i="47"/>
  <c r="AS5" i="47"/>
  <c r="AQ5" i="47"/>
  <c r="U5" i="47"/>
  <c r="L5" i="47"/>
  <c r="CJ5" i="47"/>
  <c r="CS5" i="47"/>
  <c r="CY37" i="11"/>
  <c r="CY36" i="11"/>
  <c r="CY35" i="11"/>
  <c r="CY34" i="11"/>
  <c r="CY33" i="11"/>
  <c r="CY32" i="11"/>
  <c r="CY31" i="11"/>
  <c r="CY30" i="11"/>
  <c r="CY29" i="11"/>
  <c r="CP37" i="11"/>
  <c r="CP36" i="11"/>
  <c r="CP35" i="11"/>
  <c r="CP34" i="11"/>
  <c r="CP33" i="11"/>
  <c r="CP32" i="11"/>
  <c r="CP31" i="11"/>
  <c r="CP30" i="11"/>
  <c r="CP29" i="11"/>
  <c r="BG37" i="11"/>
  <c r="BF37" i="11"/>
  <c r="BE37" i="11"/>
  <c r="BD37" i="11"/>
  <c r="BC37" i="11"/>
  <c r="BG36" i="11"/>
  <c r="BF36" i="11"/>
  <c r="BE36" i="11"/>
  <c r="BH36" i="11" s="1"/>
  <c r="BD36" i="11"/>
  <c r="BC36" i="11"/>
  <c r="BG35" i="11"/>
  <c r="BF35" i="11"/>
  <c r="BE35" i="11"/>
  <c r="BD35" i="11"/>
  <c r="BC35" i="11"/>
  <c r="BG34" i="11"/>
  <c r="BH34" i="11" s="1"/>
  <c r="BF34" i="11"/>
  <c r="BE34" i="11"/>
  <c r="BD34" i="11"/>
  <c r="BC34" i="11"/>
  <c r="BG33" i="11"/>
  <c r="BF33" i="11"/>
  <c r="BE33" i="11"/>
  <c r="BD33" i="11"/>
  <c r="BC33" i="11"/>
  <c r="BG32" i="11"/>
  <c r="BF32" i="11"/>
  <c r="BE32" i="11"/>
  <c r="BD32" i="11"/>
  <c r="BC32" i="11"/>
  <c r="BG31" i="11"/>
  <c r="BF31" i="11"/>
  <c r="BH31" i="11" s="1"/>
  <c r="BE31" i="11"/>
  <c r="BD31" i="11"/>
  <c r="BC31" i="11"/>
  <c r="BG30" i="11"/>
  <c r="BF30" i="11"/>
  <c r="BE30" i="11"/>
  <c r="BD30" i="11"/>
  <c r="BC30" i="11"/>
  <c r="BG29" i="11"/>
  <c r="BF29" i="11"/>
  <c r="BE29" i="11"/>
  <c r="BD29" i="11"/>
  <c r="BC29" i="11"/>
  <c r="AJ37" i="11"/>
  <c r="AJ36" i="11"/>
  <c r="AJ35" i="11"/>
  <c r="AJ34" i="11"/>
  <c r="AJ33" i="11"/>
  <c r="AJ32" i="11"/>
  <c r="AJ31" i="11"/>
  <c r="AJ30" i="11"/>
  <c r="AJ29" i="11"/>
  <c r="AJ6" i="11"/>
  <c r="V37" i="11"/>
  <c r="V36" i="11"/>
  <c r="V35" i="11"/>
  <c r="V34" i="11"/>
  <c r="V33" i="11"/>
  <c r="V32" i="11"/>
  <c r="V31" i="11"/>
  <c r="V30" i="11"/>
  <c r="V29" i="11"/>
  <c r="V38" i="11"/>
  <c r="V6" i="11"/>
  <c r="L6" i="11"/>
  <c r="BH6" i="11"/>
  <c r="BG6" i="11"/>
  <c r="BF6" i="11"/>
  <c r="BE6" i="11"/>
  <c r="BD6" i="11"/>
  <c r="BC6" i="11"/>
  <c r="CP6" i="11"/>
  <c r="CY6" i="11"/>
  <c r="DH6" i="11"/>
  <c r="CS36" i="4"/>
  <c r="CS35" i="4"/>
  <c r="CS34" i="4"/>
  <c r="CS33" i="4"/>
  <c r="CS32" i="4"/>
  <c r="CS16" i="4"/>
  <c r="CS12" i="4"/>
  <c r="CS36" i="5"/>
  <c r="CS35" i="5"/>
  <c r="CS34" i="5"/>
  <c r="CS33" i="5"/>
  <c r="CS32" i="5"/>
  <c r="CS31" i="5"/>
  <c r="CS30" i="5"/>
  <c r="CS29" i="5"/>
  <c r="CS28" i="5"/>
  <c r="CS27" i="5"/>
  <c r="CS26" i="5"/>
  <c r="CS25" i="5"/>
  <c r="CS24" i="5"/>
  <c r="CS23" i="5"/>
  <c r="CS22" i="5"/>
  <c r="CS18" i="5"/>
  <c r="CS36" i="8"/>
  <c r="CS35" i="8"/>
  <c r="CS34" i="8"/>
  <c r="CS33" i="8"/>
  <c r="CS32" i="8"/>
  <c r="CS31" i="8"/>
  <c r="CS30" i="8"/>
  <c r="CS29" i="8"/>
  <c r="CS28" i="8"/>
  <c r="CS27" i="8"/>
  <c r="CS26" i="8"/>
  <c r="CS36" i="9"/>
  <c r="CS35" i="9"/>
  <c r="CS34" i="9"/>
  <c r="CS33" i="9"/>
  <c r="CS32" i="9"/>
  <c r="CS31" i="9"/>
  <c r="CS30" i="9"/>
  <c r="CS29" i="9"/>
  <c r="CS28" i="9"/>
  <c r="CS27" i="9"/>
  <c r="CS26" i="9"/>
  <c r="CS25" i="9"/>
  <c r="CS24" i="9"/>
  <c r="CS23" i="9"/>
  <c r="CS22" i="9"/>
  <c r="CS21" i="9"/>
  <c r="CS20" i="9"/>
  <c r="CS19" i="9"/>
  <c r="CS18" i="9"/>
  <c r="CS17" i="9"/>
  <c r="CS16" i="9"/>
  <c r="CS15" i="9"/>
  <c r="CS14" i="9"/>
  <c r="CS13" i="9"/>
  <c r="CS12" i="9"/>
  <c r="CS11" i="9"/>
  <c r="CS10" i="9"/>
  <c r="AS5" i="9"/>
  <c r="AR5" i="9"/>
  <c r="AQ5" i="9"/>
  <c r="AP5" i="9"/>
  <c r="AP6" i="9" s="1"/>
  <c r="AO5" i="9"/>
  <c r="AN5" i="9"/>
  <c r="CS5" i="9"/>
  <c r="CJ6" i="9"/>
  <c r="CJ5" i="9"/>
  <c r="CA5" i="9"/>
  <c r="U5" i="9"/>
  <c r="AS5" i="8"/>
  <c r="AR5" i="8"/>
  <c r="AQ5" i="8"/>
  <c r="AP5" i="8"/>
  <c r="AO5" i="8"/>
  <c r="AN5" i="8"/>
  <c r="CJ15" i="8"/>
  <c r="CJ14" i="8"/>
  <c r="CJ13" i="8"/>
  <c r="CJ12" i="8"/>
  <c r="CJ11" i="8"/>
  <c r="CJ9" i="8"/>
  <c r="CJ8" i="8"/>
  <c r="CJ7" i="8"/>
  <c r="CJ6" i="8"/>
  <c r="CJ5" i="8"/>
  <c r="CA5" i="8"/>
  <c r="U5" i="8"/>
  <c r="L37" i="8"/>
  <c r="L5" i="8"/>
  <c r="BH6" i="7"/>
  <c r="BG6" i="7"/>
  <c r="BF6" i="7"/>
  <c r="BE6" i="7"/>
  <c r="BD6" i="7"/>
  <c r="BC6" i="7"/>
  <c r="DH6" i="7"/>
  <c r="CY6" i="7"/>
  <c r="CP6" i="7"/>
  <c r="AJ6" i="7"/>
  <c r="V6" i="7"/>
  <c r="L6" i="7"/>
  <c r="BG38" i="6"/>
  <c r="BF38" i="6"/>
  <c r="BE38" i="6"/>
  <c r="BD38" i="6"/>
  <c r="BC38" i="6"/>
  <c r="BG37" i="6"/>
  <c r="BF37" i="6"/>
  <c r="BE37" i="6"/>
  <c r="BD37" i="6"/>
  <c r="BC37" i="6"/>
  <c r="BG36" i="6"/>
  <c r="BF36" i="6"/>
  <c r="BE36" i="6"/>
  <c r="BD36" i="6"/>
  <c r="BC36" i="6"/>
  <c r="BG35" i="6"/>
  <c r="BH35" i="6" s="1"/>
  <c r="BF35" i="6"/>
  <c r="BE35" i="6"/>
  <c r="BD35" i="6"/>
  <c r="BC35" i="6"/>
  <c r="BG34" i="6"/>
  <c r="BF34" i="6"/>
  <c r="BE34" i="6"/>
  <c r="BD34" i="6"/>
  <c r="BC34" i="6"/>
  <c r="BG33" i="6"/>
  <c r="BF33" i="6"/>
  <c r="BE33" i="6"/>
  <c r="BD33" i="6"/>
  <c r="BC33" i="6"/>
  <c r="BG32" i="6"/>
  <c r="BF32" i="6"/>
  <c r="BH32" i="6" s="1"/>
  <c r="BE32" i="6"/>
  <c r="BD32" i="6"/>
  <c r="BC32" i="6"/>
  <c r="BG31" i="6"/>
  <c r="BF31" i="6"/>
  <c r="BE31" i="6"/>
  <c r="BD31" i="6"/>
  <c r="BH31" i="6" s="1"/>
  <c r="BC31" i="6"/>
  <c r="BG30" i="6"/>
  <c r="BF30" i="6"/>
  <c r="BE30" i="6"/>
  <c r="BD30" i="6"/>
  <c r="BC30" i="6"/>
  <c r="BG29" i="6"/>
  <c r="BF29" i="6"/>
  <c r="BH29" i="6" s="1"/>
  <c r="BE29" i="6"/>
  <c r="BD29" i="6"/>
  <c r="BC29" i="6"/>
  <c r="BG28" i="6"/>
  <c r="BF28" i="6"/>
  <c r="BE28" i="6"/>
  <c r="BD28" i="6"/>
  <c r="BC28" i="6"/>
  <c r="BH28" i="6" s="1"/>
  <c r="BG27" i="6"/>
  <c r="BF27" i="6"/>
  <c r="BE27" i="6"/>
  <c r="BD27" i="6"/>
  <c r="BC27" i="6"/>
  <c r="BG26" i="6"/>
  <c r="BF26" i="6"/>
  <c r="BE26" i="6"/>
  <c r="BH26" i="6" s="1"/>
  <c r="BD26" i="6"/>
  <c r="BC26" i="6"/>
  <c r="BH6" i="6"/>
  <c r="DH6" i="6"/>
  <c r="CY38" i="6"/>
  <c r="CY37" i="6"/>
  <c r="CY36" i="6"/>
  <c r="CY35" i="6"/>
  <c r="CY34" i="6"/>
  <c r="CY33" i="6"/>
  <c r="CY32" i="6"/>
  <c r="CY31" i="6"/>
  <c r="CY30" i="6"/>
  <c r="CY29" i="6"/>
  <c r="CY28" i="6"/>
  <c r="CY27" i="6"/>
  <c r="CY26" i="6"/>
  <c r="CY6" i="6"/>
  <c r="CP38" i="6"/>
  <c r="AJ38" i="6"/>
  <c r="CP37" i="6"/>
  <c r="CP36" i="6"/>
  <c r="CP35" i="6"/>
  <c r="AJ35" i="6"/>
  <c r="CP34" i="6"/>
  <c r="AJ34" i="6"/>
  <c r="CP33" i="6"/>
  <c r="CP32" i="6"/>
  <c r="CP31" i="6"/>
  <c r="AJ31" i="6"/>
  <c r="CP30" i="6"/>
  <c r="AJ30" i="6"/>
  <c r="CP29" i="6"/>
  <c r="CP28" i="6"/>
  <c r="CP27" i="6"/>
  <c r="AJ27" i="6"/>
  <c r="CP26" i="6"/>
  <c r="AJ26" i="6"/>
  <c r="CP6" i="6"/>
  <c r="AJ37" i="6"/>
  <c r="AJ36" i="6"/>
  <c r="AJ33" i="6"/>
  <c r="AJ32" i="6"/>
  <c r="AJ29" i="6"/>
  <c r="AJ28" i="6"/>
  <c r="AJ6" i="6"/>
  <c r="V6" i="6"/>
  <c r="L6" i="6"/>
  <c r="CJ5" i="5"/>
  <c r="AS5" i="5"/>
  <c r="AR5" i="5"/>
  <c r="AQ5" i="5"/>
  <c r="AP5" i="5"/>
  <c r="AO5" i="5"/>
  <c r="AN5" i="5"/>
  <c r="CS5" i="5"/>
  <c r="CA5" i="5"/>
  <c r="U5" i="5"/>
  <c r="L37" i="5"/>
  <c r="L5" i="5"/>
  <c r="T48" i="28"/>
  <c r="U48" i="28" s="1"/>
  <c r="AS5" i="4"/>
  <c r="AR5" i="4"/>
  <c r="AQ5" i="4"/>
  <c r="AP5" i="4"/>
  <c r="AO5" i="4"/>
  <c r="AO9" i="4" s="1"/>
  <c r="AN5" i="4"/>
  <c r="CS5" i="4"/>
  <c r="CJ31" i="4"/>
  <c r="CJ29" i="4"/>
  <c r="CJ28" i="4"/>
  <c r="CJ27" i="4"/>
  <c r="CJ26" i="4"/>
  <c r="CJ25" i="4"/>
  <c r="CJ24" i="4"/>
  <c r="CJ23" i="4"/>
  <c r="CJ22" i="4"/>
  <c r="CJ21" i="4"/>
  <c r="CJ20" i="4"/>
  <c r="CJ19" i="4"/>
  <c r="CJ18" i="4"/>
  <c r="CJ17" i="4"/>
  <c r="CJ15" i="4"/>
  <c r="CJ14" i="4"/>
  <c r="CJ13" i="4"/>
  <c r="CJ11" i="4"/>
  <c r="CJ10" i="4"/>
  <c r="CJ9" i="4"/>
  <c r="CJ8" i="4"/>
  <c r="CJ7" i="4"/>
  <c r="CJ6" i="4"/>
  <c r="CJ5" i="4"/>
  <c r="CA5" i="4"/>
  <c r="U5" i="4"/>
  <c r="L37" i="4"/>
  <c r="L5" i="4"/>
  <c r="N31" i="23"/>
  <c r="N19" i="23"/>
  <c r="N7" i="23"/>
  <c r="Q35" i="28"/>
  <c r="P35" i="28"/>
  <c r="O35" i="28"/>
  <c r="N35" i="28"/>
  <c r="M35" i="28"/>
  <c r="L35" i="28" s="1"/>
  <c r="K35" i="28" s="1"/>
  <c r="I36" i="23"/>
  <c r="G41" i="29"/>
  <c r="D41" i="29"/>
  <c r="AN28" i="4"/>
  <c r="E41" i="29"/>
  <c r="AO10" i="4"/>
  <c r="F41" i="29"/>
  <c r="H41" i="29"/>
  <c r="AO6" i="4"/>
  <c r="AN7" i="8"/>
  <c r="AP13" i="4"/>
  <c r="AA32" i="53"/>
  <c r="K54" i="19"/>
  <c r="CT41" i="40"/>
  <c r="AR22" i="4"/>
  <c r="AP7" i="8"/>
  <c r="AQ13" i="8"/>
  <c r="AP6" i="8"/>
  <c r="AO8" i="9"/>
  <c r="AO41" i="40"/>
  <c r="T6" i="7"/>
  <c r="U6" i="7"/>
  <c r="T6" i="6"/>
  <c r="U6" i="6"/>
  <c r="J5" i="8"/>
  <c r="K5" i="8"/>
  <c r="J5" i="5"/>
  <c r="K5" i="5"/>
  <c r="AP15" i="4"/>
  <c r="AP7" i="4"/>
  <c r="AO22" i="4"/>
  <c r="CH13" i="47"/>
  <c r="AE5" i="47"/>
  <c r="AE28" i="47" s="1"/>
  <c r="AF5" i="47"/>
  <c r="AF12" i="47" s="1"/>
  <c r="AG12" i="47" s="1"/>
  <c r="CO31" i="4"/>
  <c r="CN31" i="4"/>
  <c r="CL31" i="4"/>
  <c r="CK31" i="4"/>
  <c r="CI31" i="4"/>
  <c r="CH31" i="4"/>
  <c r="CN28" i="4"/>
  <c r="CM28" i="4"/>
  <c r="CH28" i="4"/>
  <c r="CI28" i="4"/>
  <c r="CK28" i="4"/>
  <c r="CO28" i="4"/>
  <c r="CL28" i="4"/>
  <c r="CO20" i="47"/>
  <c r="CN20" i="47"/>
  <c r="CO17" i="47"/>
  <c r="CN17" i="47"/>
  <c r="CO16" i="47"/>
  <c r="CN16" i="47"/>
  <c r="AB13" i="55"/>
  <c r="AC13" i="55"/>
  <c r="AE13" i="55"/>
  <c r="AF13" i="55"/>
  <c r="AF37" i="55" s="1"/>
  <c r="AG13" i="55"/>
  <c r="AH13" i="55"/>
  <c r="AI13" i="55"/>
  <c r="AT13" i="55"/>
  <c r="AU13" i="55"/>
  <c r="AW13" i="55"/>
  <c r="AX13" i="55"/>
  <c r="AY13" i="55"/>
  <c r="AZ13" i="55"/>
  <c r="BA13" i="55"/>
  <c r="I37" i="29"/>
  <c r="CO13" i="47"/>
  <c r="CN13" i="47"/>
  <c r="CO10" i="47"/>
  <c r="CN10" i="47"/>
  <c r="CO9" i="47"/>
  <c r="CN9" i="47"/>
  <c r="AT10" i="13"/>
  <c r="AG15" i="4"/>
  <c r="DB5" i="5"/>
  <c r="AE10" i="55"/>
  <c r="AW10" i="55"/>
  <c r="AE11" i="55"/>
  <c r="AE12" i="55"/>
  <c r="AW12" i="55"/>
  <c r="AF10" i="55"/>
  <c r="AF11" i="55"/>
  <c r="AX11" i="55"/>
  <c r="AX37" i="55" s="1"/>
  <c r="AF12" i="55"/>
  <c r="AG10" i="55"/>
  <c r="AY10" i="55"/>
  <c r="AY11" i="55"/>
  <c r="AY37" i="55" s="1"/>
  <c r="AG12" i="55"/>
  <c r="AY12" i="55"/>
  <c r="AH10" i="55"/>
  <c r="AZ10" i="55"/>
  <c r="AZ37" i="55" s="1"/>
  <c r="AH11" i="55"/>
  <c r="AZ11" i="55"/>
  <c r="AH12" i="55"/>
  <c r="AI10" i="55"/>
  <c r="BA10" i="55"/>
  <c r="AI11" i="55"/>
  <c r="AI12" i="55"/>
  <c r="AI37" i="55" s="1"/>
  <c r="BA12" i="55"/>
  <c r="H26" i="29"/>
  <c r="AX8" i="15"/>
  <c r="CK11" i="4"/>
  <c r="CK6" i="4"/>
  <c r="CK7" i="4"/>
  <c r="CK8" i="4"/>
  <c r="CK23" i="4"/>
  <c r="CK24" i="4"/>
  <c r="CK25" i="4"/>
  <c r="CK26" i="4"/>
  <c r="CL15" i="4"/>
  <c r="F20" i="29"/>
  <c r="BI29" i="11"/>
  <c r="BJ29" i="11"/>
  <c r="BK29" i="11"/>
  <c r="BL29" i="11"/>
  <c r="BM29" i="11"/>
  <c r="CZ29" i="11"/>
  <c r="BI30" i="11"/>
  <c r="BJ30" i="11"/>
  <c r="BK30" i="11"/>
  <c r="BL30" i="11"/>
  <c r="BM30" i="11"/>
  <c r="CZ30" i="11"/>
  <c r="BI31" i="11"/>
  <c r="BJ31" i="11"/>
  <c r="BN31" i="11" s="1"/>
  <c r="BK31" i="11"/>
  <c r="BL31" i="11"/>
  <c r="BM31" i="11"/>
  <c r="CZ31" i="11"/>
  <c r="BI32" i="11"/>
  <c r="BJ32" i="11"/>
  <c r="BK32" i="11"/>
  <c r="BL32" i="11"/>
  <c r="BN32" i="11" s="1"/>
  <c r="BM32" i="11"/>
  <c r="CZ32" i="11"/>
  <c r="BI33" i="11"/>
  <c r="BJ33" i="11"/>
  <c r="BK33" i="11"/>
  <c r="BL33" i="11"/>
  <c r="BM33" i="11"/>
  <c r="CZ33" i="11"/>
  <c r="BI34" i="11"/>
  <c r="BJ34" i="11"/>
  <c r="BK34" i="11"/>
  <c r="BL34" i="11"/>
  <c r="BM34" i="11"/>
  <c r="CZ34" i="11"/>
  <c r="BI35" i="11"/>
  <c r="BJ35" i="11"/>
  <c r="BK35" i="11"/>
  <c r="BL35" i="11"/>
  <c r="BM35" i="11"/>
  <c r="CZ35" i="11"/>
  <c r="BI36" i="11"/>
  <c r="BJ36" i="11"/>
  <c r="BK36" i="11"/>
  <c r="BL36" i="11"/>
  <c r="BN36" i="11" s="1"/>
  <c r="BM36" i="11"/>
  <c r="CZ36" i="11"/>
  <c r="BI37" i="11"/>
  <c r="BJ37" i="11"/>
  <c r="BK37" i="11"/>
  <c r="BL37" i="11"/>
  <c r="BM37" i="11"/>
  <c r="CZ37" i="11"/>
  <c r="G20" i="29"/>
  <c r="CL14" i="5"/>
  <c r="BI26" i="6"/>
  <c r="BJ26" i="6"/>
  <c r="BK26" i="6"/>
  <c r="BN26" i="6" s="1"/>
  <c r="BL26" i="6"/>
  <c r="BM26" i="6"/>
  <c r="CZ26" i="6"/>
  <c r="BI27" i="6"/>
  <c r="BJ27" i="6"/>
  <c r="BK27" i="6"/>
  <c r="BL27" i="6"/>
  <c r="BM27" i="6"/>
  <c r="CZ27" i="6"/>
  <c r="BI28" i="6"/>
  <c r="BJ28" i="6"/>
  <c r="BK28" i="6"/>
  <c r="BL28" i="6"/>
  <c r="BM28" i="6"/>
  <c r="CZ28" i="6"/>
  <c r="BI29" i="6"/>
  <c r="BN29" i="6" s="1"/>
  <c r="BJ29" i="6"/>
  <c r="BK29" i="6"/>
  <c r="BL29" i="6"/>
  <c r="BM29" i="6"/>
  <c r="CZ29" i="6"/>
  <c r="BI30" i="6"/>
  <c r="BJ30" i="6"/>
  <c r="BK30" i="6"/>
  <c r="BL30" i="6"/>
  <c r="BM30" i="6"/>
  <c r="CZ30" i="6"/>
  <c r="BI31" i="6"/>
  <c r="BJ31" i="6"/>
  <c r="BK31" i="6"/>
  <c r="BL31" i="6"/>
  <c r="BM31" i="6"/>
  <c r="CZ31" i="6"/>
  <c r="BI32" i="6"/>
  <c r="BJ32" i="6"/>
  <c r="BK32" i="6"/>
  <c r="BL32" i="6"/>
  <c r="BM32" i="6"/>
  <c r="CZ32" i="6"/>
  <c r="BI33" i="6"/>
  <c r="BN33" i="6" s="1"/>
  <c r="BJ33" i="6"/>
  <c r="BK33" i="6"/>
  <c r="BL33" i="6"/>
  <c r="BM33" i="6"/>
  <c r="CZ33" i="6"/>
  <c r="BI34" i="6"/>
  <c r="BN34" i="6" s="1"/>
  <c r="BJ34" i="6"/>
  <c r="BK34" i="6"/>
  <c r="BL34" i="6"/>
  <c r="BM34" i="6"/>
  <c r="CZ34" i="6"/>
  <c r="BI35" i="6"/>
  <c r="BJ35" i="6"/>
  <c r="BK35" i="6"/>
  <c r="BL35" i="6"/>
  <c r="BN35" i="6" s="1"/>
  <c r="BM35" i="6"/>
  <c r="CZ35" i="6"/>
  <c r="BI36" i="6"/>
  <c r="BJ36" i="6"/>
  <c r="BK36" i="6"/>
  <c r="BL36" i="6"/>
  <c r="BM36" i="6"/>
  <c r="BN36" i="6" s="1"/>
  <c r="CZ36" i="6"/>
  <c r="BI37" i="6"/>
  <c r="BJ37" i="6"/>
  <c r="BK37" i="6"/>
  <c r="BL37" i="6"/>
  <c r="BM37" i="6"/>
  <c r="CZ37" i="6"/>
  <c r="BI38" i="6"/>
  <c r="BN38" i="6" s="1"/>
  <c r="BJ38" i="6"/>
  <c r="BK38" i="6"/>
  <c r="BL38" i="6"/>
  <c r="BM38" i="6"/>
  <c r="CZ38" i="6"/>
  <c r="CN6" i="4"/>
  <c r="CN7" i="4"/>
  <c r="CN8" i="4"/>
  <c r="CN11" i="4"/>
  <c r="CN23" i="4"/>
  <c r="CN24" i="4"/>
  <c r="CN25" i="4"/>
  <c r="CN26" i="4"/>
  <c r="CN29" i="4"/>
  <c r="CA29" i="11"/>
  <c r="CB29" i="11"/>
  <c r="CC29" i="11"/>
  <c r="CF29" i="11" s="1"/>
  <c r="CD29" i="11"/>
  <c r="CE29" i="11"/>
  <c r="DC29" i="11"/>
  <c r="CA30" i="11"/>
  <c r="CB30" i="11"/>
  <c r="CC30" i="11"/>
  <c r="CD30" i="11"/>
  <c r="CE30" i="11"/>
  <c r="CF30" i="11" s="1"/>
  <c r="DC30" i="11"/>
  <c r="CA31" i="11"/>
  <c r="CB31" i="11"/>
  <c r="CC31" i="11"/>
  <c r="CD31" i="11"/>
  <c r="CE31" i="11"/>
  <c r="DC31" i="11"/>
  <c r="CA32" i="11"/>
  <c r="CB32" i="11"/>
  <c r="CC32" i="11"/>
  <c r="CD32" i="11"/>
  <c r="CE32" i="11"/>
  <c r="DC32" i="11"/>
  <c r="CA33" i="11"/>
  <c r="CB33" i="11"/>
  <c r="CC33" i="11"/>
  <c r="CF33" i="11" s="1"/>
  <c r="CD33" i="11"/>
  <c r="CE33" i="11"/>
  <c r="DC33" i="11"/>
  <c r="CA34" i="11"/>
  <c r="CB34" i="11"/>
  <c r="CC34" i="11"/>
  <c r="CD34" i="11"/>
  <c r="CE34" i="11"/>
  <c r="DC34" i="11"/>
  <c r="CA35" i="11"/>
  <c r="CB35" i="11"/>
  <c r="CC35" i="11"/>
  <c r="CD35" i="11"/>
  <c r="CE35" i="11"/>
  <c r="DC35" i="11"/>
  <c r="CA36" i="11"/>
  <c r="CF36" i="11" s="1"/>
  <c r="CB36" i="11"/>
  <c r="CC36" i="11"/>
  <c r="CD36" i="11"/>
  <c r="CE36" i="11"/>
  <c r="DC36" i="11"/>
  <c r="CA37" i="11"/>
  <c r="CB37" i="11"/>
  <c r="CC37" i="11"/>
  <c r="CF37" i="11" s="1"/>
  <c r="CD37" i="11"/>
  <c r="CE37" i="11"/>
  <c r="DC37" i="11"/>
  <c r="CA26" i="6"/>
  <c r="CB26" i="6"/>
  <c r="CF26" i="6" s="1"/>
  <c r="CC26" i="6"/>
  <c r="CD26" i="6"/>
  <c r="CE26" i="6"/>
  <c r="DC26" i="6"/>
  <c r="CA27" i="6"/>
  <c r="CB27" i="6"/>
  <c r="CC27" i="6"/>
  <c r="CD27" i="6"/>
  <c r="CE27" i="6"/>
  <c r="DC27" i="6"/>
  <c r="CA28" i="6"/>
  <c r="CB28" i="6"/>
  <c r="CC28" i="6"/>
  <c r="CD28" i="6"/>
  <c r="CE28" i="6"/>
  <c r="DC28" i="6"/>
  <c r="CA29" i="6"/>
  <c r="CB29" i="6"/>
  <c r="CC29" i="6"/>
  <c r="CD29" i="6"/>
  <c r="CE29" i="6"/>
  <c r="DC29" i="6"/>
  <c r="CA30" i="6"/>
  <c r="CB30" i="6"/>
  <c r="CC30" i="6"/>
  <c r="CD30" i="6"/>
  <c r="CE30" i="6"/>
  <c r="DC30" i="6"/>
  <c r="CA31" i="6"/>
  <c r="CB31" i="6"/>
  <c r="CC31" i="6"/>
  <c r="CD31" i="6"/>
  <c r="CE31" i="6"/>
  <c r="DC31" i="6"/>
  <c r="CA32" i="6"/>
  <c r="CB32" i="6"/>
  <c r="CC32" i="6"/>
  <c r="CD32" i="6"/>
  <c r="CE32" i="6"/>
  <c r="DC32" i="6"/>
  <c r="CA33" i="6"/>
  <c r="CB33" i="6"/>
  <c r="CF33" i="6" s="1"/>
  <c r="CC33" i="6"/>
  <c r="CD33" i="6"/>
  <c r="CE33" i="6"/>
  <c r="DC33" i="6"/>
  <c r="CA34" i="6"/>
  <c r="CB34" i="6"/>
  <c r="CC34" i="6"/>
  <c r="CD34" i="6"/>
  <c r="CF34" i="6" s="1"/>
  <c r="CE34" i="6"/>
  <c r="DC34" i="6"/>
  <c r="CA35" i="6"/>
  <c r="CB35" i="6"/>
  <c r="CC35" i="6"/>
  <c r="CD35" i="6"/>
  <c r="CE35" i="6"/>
  <c r="DC35" i="6"/>
  <c r="CA36" i="6"/>
  <c r="CB36" i="6"/>
  <c r="CC36" i="6"/>
  <c r="CD36" i="6"/>
  <c r="CE36" i="6"/>
  <c r="DC36" i="6"/>
  <c r="CA37" i="6"/>
  <c r="CB37" i="6"/>
  <c r="CF37" i="6" s="1"/>
  <c r="CC37" i="6"/>
  <c r="CD37" i="6"/>
  <c r="CE37" i="6"/>
  <c r="DC37" i="6"/>
  <c r="CA38" i="6"/>
  <c r="CB38" i="6"/>
  <c r="CC38" i="6"/>
  <c r="CD38" i="6"/>
  <c r="CE38" i="6"/>
  <c r="DC38" i="6"/>
  <c r="CN9" i="8"/>
  <c r="CE42" i="40"/>
  <c r="CE45" i="40" s="1"/>
  <c r="CN8" i="9"/>
  <c r="CN9" i="9"/>
  <c r="CO9" i="4"/>
  <c r="CO10" i="4"/>
  <c r="CO6" i="4"/>
  <c r="CO7" i="4"/>
  <c r="CO8" i="4"/>
  <c r="CO11" i="4"/>
  <c r="CO17" i="4"/>
  <c r="CO18" i="4"/>
  <c r="CO23" i="4"/>
  <c r="CO24" i="4"/>
  <c r="CO25" i="4"/>
  <c r="CO26" i="4"/>
  <c r="CO27" i="4"/>
  <c r="CO29" i="4"/>
  <c r="CG29" i="11"/>
  <c r="CH29" i="11"/>
  <c r="CI29" i="11"/>
  <c r="CJ29" i="11"/>
  <c r="CK29" i="11"/>
  <c r="CL29" i="11" s="1"/>
  <c r="DD29" i="11"/>
  <c r="CG30" i="11"/>
  <c r="CH30" i="11"/>
  <c r="CI30" i="11"/>
  <c r="CJ30" i="11"/>
  <c r="CK30" i="11"/>
  <c r="DD30" i="11"/>
  <c r="CG31" i="11"/>
  <c r="CL31" i="11" s="1"/>
  <c r="CH31" i="11"/>
  <c r="CI31" i="11"/>
  <c r="CJ31" i="11"/>
  <c r="CK31" i="11"/>
  <c r="DD31" i="11"/>
  <c r="CG32" i="11"/>
  <c r="CH32" i="11"/>
  <c r="CI32" i="11"/>
  <c r="CJ32" i="11"/>
  <c r="CK32" i="11"/>
  <c r="DD32" i="11"/>
  <c r="CG33" i="11"/>
  <c r="CH33" i="11"/>
  <c r="CI33" i="11"/>
  <c r="CJ33" i="11"/>
  <c r="CK33" i="11"/>
  <c r="CL33" i="11" s="1"/>
  <c r="DD33" i="11"/>
  <c r="CG34" i="11"/>
  <c r="CH34" i="11"/>
  <c r="CI34" i="11"/>
  <c r="CJ34" i="11"/>
  <c r="CK34" i="11"/>
  <c r="DD34" i="11"/>
  <c r="CG35" i="11"/>
  <c r="CH35" i="11"/>
  <c r="CI35" i="11"/>
  <c r="CJ35" i="11"/>
  <c r="CK35" i="11"/>
  <c r="DD35" i="11"/>
  <c r="CG36" i="11"/>
  <c r="CH36" i="11"/>
  <c r="CI36" i="11"/>
  <c r="CL36" i="11" s="1"/>
  <c r="CJ36" i="11"/>
  <c r="CK36" i="11"/>
  <c r="DD36" i="11"/>
  <c r="CG37" i="11"/>
  <c r="CH37" i="11"/>
  <c r="CI37" i="11"/>
  <c r="CJ37" i="11"/>
  <c r="CK37" i="11"/>
  <c r="CL37" i="11" s="1"/>
  <c r="DD37" i="11"/>
  <c r="CG26" i="6"/>
  <c r="CH26" i="6"/>
  <c r="CI26" i="6"/>
  <c r="CJ26" i="6"/>
  <c r="CK26" i="6"/>
  <c r="DD26" i="6"/>
  <c r="CG27" i="6"/>
  <c r="CL27" i="6" s="1"/>
  <c r="CH27" i="6"/>
  <c r="CI27" i="6"/>
  <c r="CJ27" i="6"/>
  <c r="CK27" i="6"/>
  <c r="DD27" i="6"/>
  <c r="CG28" i="6"/>
  <c r="CH28" i="6"/>
  <c r="CI28" i="6"/>
  <c r="CJ28" i="6"/>
  <c r="CK28" i="6"/>
  <c r="DD28" i="6"/>
  <c r="CG29" i="6"/>
  <c r="CH29" i="6"/>
  <c r="CI29" i="6"/>
  <c r="CJ29" i="6"/>
  <c r="CK29" i="6"/>
  <c r="DD29" i="6"/>
  <c r="CG30" i="6"/>
  <c r="CH30" i="6"/>
  <c r="CI30" i="6"/>
  <c r="CJ30" i="6"/>
  <c r="CK30" i="6"/>
  <c r="DD30" i="6"/>
  <c r="CG31" i="6"/>
  <c r="CH31" i="6"/>
  <c r="CI31" i="6"/>
  <c r="CJ31" i="6"/>
  <c r="CK31" i="6"/>
  <c r="DD31" i="6"/>
  <c r="CG32" i="6"/>
  <c r="CH32" i="6"/>
  <c r="CI32" i="6"/>
  <c r="CJ32" i="6"/>
  <c r="CK32" i="6"/>
  <c r="DD32" i="6"/>
  <c r="CG33" i="6"/>
  <c r="CH33" i="6"/>
  <c r="CI33" i="6"/>
  <c r="CJ33" i="6"/>
  <c r="CK33" i="6"/>
  <c r="DD33" i="6"/>
  <c r="CG34" i="6"/>
  <c r="CH34" i="6"/>
  <c r="CI34" i="6"/>
  <c r="CL34" i="6" s="1"/>
  <c r="CJ34" i="6"/>
  <c r="CK34" i="6"/>
  <c r="DD34" i="6"/>
  <c r="CG35" i="6"/>
  <c r="CH35" i="6"/>
  <c r="CI35" i="6"/>
  <c r="CJ35" i="6"/>
  <c r="CK35" i="6"/>
  <c r="DD35" i="6"/>
  <c r="CG36" i="6"/>
  <c r="CH36" i="6"/>
  <c r="CI36" i="6"/>
  <c r="CJ36" i="6"/>
  <c r="CK36" i="6"/>
  <c r="DD36" i="6"/>
  <c r="CG37" i="6"/>
  <c r="CH37" i="6"/>
  <c r="CI37" i="6"/>
  <c r="CJ37" i="6"/>
  <c r="CK37" i="6"/>
  <c r="DD37" i="6"/>
  <c r="CG38" i="6"/>
  <c r="CH38" i="6"/>
  <c r="CI38" i="6"/>
  <c r="CJ38" i="6"/>
  <c r="CK38" i="6"/>
  <c r="DD38" i="6"/>
  <c r="CO6" i="8"/>
  <c r="CO7" i="8"/>
  <c r="CO8" i="8"/>
  <c r="CO9" i="8"/>
  <c r="CO11" i="8"/>
  <c r="CO12" i="8"/>
  <c r="CO13" i="8"/>
  <c r="CO14" i="8"/>
  <c r="CO15" i="8"/>
  <c r="CF42" i="40"/>
  <c r="CF45" i="40"/>
  <c r="CM11" i="4"/>
  <c r="CM6" i="4"/>
  <c r="CM7" i="4"/>
  <c r="CM8" i="4"/>
  <c r="CM13" i="4"/>
  <c r="CM22" i="4"/>
  <c r="CM23" i="4"/>
  <c r="CM24" i="4"/>
  <c r="CM25" i="4"/>
  <c r="CM26" i="4"/>
  <c r="CM27" i="4"/>
  <c r="CM29" i="4"/>
  <c r="BU29" i="11"/>
  <c r="BV29" i="11"/>
  <c r="BW29" i="11"/>
  <c r="BX29" i="11"/>
  <c r="BY29" i="11"/>
  <c r="DB29" i="11"/>
  <c r="BU30" i="11"/>
  <c r="BV30" i="11"/>
  <c r="BW30" i="11"/>
  <c r="BX30" i="11"/>
  <c r="BY30" i="11"/>
  <c r="DB30" i="11"/>
  <c r="BU31" i="11"/>
  <c r="BV31" i="11"/>
  <c r="BW31" i="11"/>
  <c r="BX31" i="11"/>
  <c r="BZ31" i="11" s="1"/>
  <c r="BY31" i="11"/>
  <c r="DB31" i="11"/>
  <c r="BU32" i="11"/>
  <c r="BV32" i="11"/>
  <c r="BW32" i="11"/>
  <c r="BX32" i="11"/>
  <c r="BY32" i="11"/>
  <c r="DB32" i="11"/>
  <c r="BU33" i="11"/>
  <c r="BV33" i="11"/>
  <c r="BW33" i="11"/>
  <c r="BX33" i="11"/>
  <c r="BY33" i="11"/>
  <c r="DB33" i="11"/>
  <c r="BU34" i="11"/>
  <c r="BV34" i="11"/>
  <c r="BZ34" i="11" s="1"/>
  <c r="BW34" i="11"/>
  <c r="BX34" i="11"/>
  <c r="BY34" i="11"/>
  <c r="DB34" i="11"/>
  <c r="BU35" i="11"/>
  <c r="BV35" i="11"/>
  <c r="BW35" i="11"/>
  <c r="BX35" i="11"/>
  <c r="BZ35" i="11" s="1"/>
  <c r="BY35" i="11"/>
  <c r="DB35" i="11"/>
  <c r="BU36" i="11"/>
  <c r="BV36" i="11"/>
  <c r="BW36" i="11"/>
  <c r="BX36" i="11"/>
  <c r="BY36" i="11"/>
  <c r="DB36" i="11"/>
  <c r="BU37" i="11"/>
  <c r="BV37" i="11"/>
  <c r="BW37" i="11"/>
  <c r="BX37" i="11"/>
  <c r="BY37" i="11"/>
  <c r="DB37" i="11"/>
  <c r="BU26" i="6"/>
  <c r="BV26" i="6"/>
  <c r="BZ26" i="6" s="1"/>
  <c r="BW26" i="6"/>
  <c r="BX26" i="6"/>
  <c r="BY26" i="6"/>
  <c r="DB26" i="6"/>
  <c r="BU27" i="6"/>
  <c r="BV27" i="6"/>
  <c r="BW27" i="6"/>
  <c r="BX27" i="6"/>
  <c r="BY27" i="6"/>
  <c r="DB27" i="6"/>
  <c r="BU28" i="6"/>
  <c r="BV28" i="6"/>
  <c r="BW28" i="6"/>
  <c r="BX28" i="6"/>
  <c r="BY28" i="6"/>
  <c r="DB28" i="6"/>
  <c r="BU29" i="6"/>
  <c r="BV29" i="6"/>
  <c r="BW29" i="6"/>
  <c r="BX29" i="6"/>
  <c r="BY29" i="6"/>
  <c r="DB29" i="6"/>
  <c r="BU30" i="6"/>
  <c r="BV30" i="6"/>
  <c r="BZ30" i="6" s="1"/>
  <c r="BW30" i="6"/>
  <c r="BX30" i="6"/>
  <c r="BY30" i="6"/>
  <c r="DB30" i="6"/>
  <c r="BU31" i="6"/>
  <c r="BV31" i="6"/>
  <c r="BW31" i="6"/>
  <c r="BX31" i="6"/>
  <c r="BZ31" i="6" s="1"/>
  <c r="BY31" i="6"/>
  <c r="DB31" i="6"/>
  <c r="BU32" i="6"/>
  <c r="BV32" i="6"/>
  <c r="BW32" i="6"/>
  <c r="BX32" i="6"/>
  <c r="BY32" i="6"/>
  <c r="DB32" i="6"/>
  <c r="BU33" i="6"/>
  <c r="BV33" i="6"/>
  <c r="BW33" i="6"/>
  <c r="BX33" i="6"/>
  <c r="BY33" i="6"/>
  <c r="DB33" i="6"/>
  <c r="BU34" i="6"/>
  <c r="BV34" i="6"/>
  <c r="BZ34" i="6" s="1"/>
  <c r="BW34" i="6"/>
  <c r="BX34" i="6"/>
  <c r="BY34" i="6"/>
  <c r="DB34" i="6"/>
  <c r="BU35" i="6"/>
  <c r="BV35" i="6"/>
  <c r="BW35" i="6"/>
  <c r="BX35" i="6"/>
  <c r="BY35" i="6"/>
  <c r="DB35" i="6"/>
  <c r="BU36" i="6"/>
  <c r="BV36" i="6"/>
  <c r="BW36" i="6"/>
  <c r="BX36" i="6"/>
  <c r="BY36" i="6"/>
  <c r="DB36" i="6"/>
  <c r="BU37" i="6"/>
  <c r="BV37" i="6"/>
  <c r="BW37" i="6"/>
  <c r="BX37" i="6"/>
  <c r="BY37" i="6"/>
  <c r="DB37" i="6"/>
  <c r="BU38" i="6"/>
  <c r="BV38" i="6"/>
  <c r="BZ38" i="6" s="1"/>
  <c r="BW38" i="6"/>
  <c r="BX38" i="6"/>
  <c r="BY38" i="6"/>
  <c r="DB38" i="6"/>
  <c r="CM8" i="8"/>
  <c r="CM9" i="8"/>
  <c r="CD42" i="40"/>
  <c r="CD45" i="40"/>
  <c r="CM42" i="40"/>
  <c r="CM45" i="40" s="1"/>
  <c r="CL11" i="4"/>
  <c r="CL6" i="4"/>
  <c r="CL7" i="4"/>
  <c r="CL8" i="4"/>
  <c r="CL9" i="4"/>
  <c r="CL10" i="4"/>
  <c r="CL13" i="4"/>
  <c r="CL14" i="4"/>
  <c r="CL17" i="4"/>
  <c r="CL18" i="4"/>
  <c r="CL19" i="4"/>
  <c r="CL20" i="4"/>
  <c r="CL21" i="4"/>
  <c r="CL22" i="4"/>
  <c r="CL23" i="4"/>
  <c r="CL24" i="4"/>
  <c r="CL25" i="4"/>
  <c r="CL26" i="4"/>
  <c r="CL27" i="4"/>
  <c r="CL29" i="4"/>
  <c r="BO29" i="11"/>
  <c r="BP29" i="11"/>
  <c r="BQ29" i="11"/>
  <c r="BR29" i="11"/>
  <c r="BS29" i="11"/>
  <c r="BT29" i="11" s="1"/>
  <c r="DA29" i="11"/>
  <c r="BO30" i="11"/>
  <c r="BP30" i="11"/>
  <c r="BQ30" i="11"/>
  <c r="BR30" i="11"/>
  <c r="BS30" i="11"/>
  <c r="DA30" i="11"/>
  <c r="BO31" i="11"/>
  <c r="BT31" i="11" s="1"/>
  <c r="BP31" i="11"/>
  <c r="BQ31" i="11"/>
  <c r="BR31" i="11"/>
  <c r="BS31" i="11"/>
  <c r="DA31" i="11"/>
  <c r="BO32" i="11"/>
  <c r="BP32" i="11"/>
  <c r="BQ32" i="11"/>
  <c r="BT32" i="11" s="1"/>
  <c r="BR32" i="11"/>
  <c r="BS32" i="11"/>
  <c r="DA32" i="11"/>
  <c r="BO33" i="11"/>
  <c r="BP33" i="11"/>
  <c r="BQ33" i="11"/>
  <c r="BR33" i="11"/>
  <c r="BS33" i="11"/>
  <c r="BT33" i="11" s="1"/>
  <c r="DA33" i="11"/>
  <c r="BO34" i="11"/>
  <c r="BP34" i="11"/>
  <c r="BQ34" i="11"/>
  <c r="BR34" i="11"/>
  <c r="BS34" i="11"/>
  <c r="DA34" i="11"/>
  <c r="BO35" i="11"/>
  <c r="BP35" i="11"/>
  <c r="BQ35" i="11"/>
  <c r="BR35" i="11"/>
  <c r="BS35" i="11"/>
  <c r="DA35" i="11"/>
  <c r="BO36" i="11"/>
  <c r="BP36" i="11"/>
  <c r="BQ36" i="11"/>
  <c r="BT36" i="11" s="1"/>
  <c r="BR36" i="11"/>
  <c r="BS36" i="11"/>
  <c r="DA36" i="11"/>
  <c r="BO37" i="11"/>
  <c r="BP37" i="11"/>
  <c r="BQ37" i="11"/>
  <c r="BR37" i="11"/>
  <c r="BS37" i="11"/>
  <c r="DA37" i="11"/>
  <c r="BO26" i="6"/>
  <c r="BP26" i="6"/>
  <c r="BQ26" i="6"/>
  <c r="BR26" i="6"/>
  <c r="BS26" i="6"/>
  <c r="DA26" i="6"/>
  <c r="BO27" i="6"/>
  <c r="BT27" i="6" s="1"/>
  <c r="BP27" i="6"/>
  <c r="BQ27" i="6"/>
  <c r="BR27" i="6"/>
  <c r="BS27" i="6"/>
  <c r="DA27" i="6"/>
  <c r="BO28" i="6"/>
  <c r="BP28" i="6"/>
  <c r="BQ28" i="6"/>
  <c r="BT28" i="6" s="1"/>
  <c r="BR28" i="6"/>
  <c r="BS28" i="6"/>
  <c r="DA28" i="6"/>
  <c r="BO29" i="6"/>
  <c r="BP29" i="6"/>
  <c r="BQ29" i="6"/>
  <c r="BR29" i="6"/>
  <c r="BS29" i="6"/>
  <c r="BT29" i="6" s="1"/>
  <c r="DA29" i="6"/>
  <c r="BO30" i="6"/>
  <c r="BP30" i="6"/>
  <c r="BQ30" i="6"/>
  <c r="BR30" i="6"/>
  <c r="BS30" i="6"/>
  <c r="DA30" i="6"/>
  <c r="BO31" i="6"/>
  <c r="BT31" i="6" s="1"/>
  <c r="BP31" i="6"/>
  <c r="BQ31" i="6"/>
  <c r="BR31" i="6"/>
  <c r="BS31" i="6"/>
  <c r="DA31" i="6"/>
  <c r="BO32" i="6"/>
  <c r="BP32" i="6"/>
  <c r="BQ32" i="6"/>
  <c r="BR32" i="6"/>
  <c r="BS32" i="6"/>
  <c r="DA32" i="6"/>
  <c r="BO33" i="6"/>
  <c r="BP33" i="6"/>
  <c r="BQ33" i="6"/>
  <c r="BR33" i="6"/>
  <c r="BS33" i="6"/>
  <c r="BT33" i="6" s="1"/>
  <c r="DA33" i="6"/>
  <c r="BO34" i="6"/>
  <c r="BP34" i="6"/>
  <c r="BQ34" i="6"/>
  <c r="BR34" i="6"/>
  <c r="BS34" i="6"/>
  <c r="DA34" i="6"/>
  <c r="BO35" i="6"/>
  <c r="BP35" i="6"/>
  <c r="BQ35" i="6"/>
  <c r="BR35" i="6"/>
  <c r="BS35" i="6"/>
  <c r="DA35" i="6"/>
  <c r="BO36" i="6"/>
  <c r="BP36" i="6"/>
  <c r="BQ36" i="6"/>
  <c r="BR36" i="6"/>
  <c r="BS36" i="6"/>
  <c r="DA36" i="6"/>
  <c r="BO37" i="6"/>
  <c r="BP37" i="6"/>
  <c r="BQ37" i="6"/>
  <c r="BR37" i="6"/>
  <c r="BS37" i="6"/>
  <c r="BT37" i="6" s="1"/>
  <c r="DA37" i="6"/>
  <c r="BO38" i="6"/>
  <c r="BP38" i="6"/>
  <c r="BQ38" i="6"/>
  <c r="BR38" i="6"/>
  <c r="BS38" i="6"/>
  <c r="DA38" i="6"/>
  <c r="CL7" i="8"/>
  <c r="CL8" i="8"/>
  <c r="CL11" i="8"/>
  <c r="CL12" i="8"/>
  <c r="CL15" i="8"/>
  <c r="CC42" i="40"/>
  <c r="CC45" i="40" s="1"/>
  <c r="CL42" i="40"/>
  <c r="CL45" i="40"/>
  <c r="AC10" i="55"/>
  <c r="AU10" i="55"/>
  <c r="AC11" i="55"/>
  <c r="AU11" i="55"/>
  <c r="AC12" i="55"/>
  <c r="AU12" i="55"/>
  <c r="AB10" i="55"/>
  <c r="S5" i="55"/>
  <c r="AK5" i="55"/>
  <c r="AT10" i="55"/>
  <c r="AB11" i="55"/>
  <c r="AT11" i="55"/>
  <c r="AB12" i="55"/>
  <c r="AT12" i="55"/>
  <c r="H23" i="29"/>
  <c r="CZ8" i="5"/>
  <c r="CZ9" i="5"/>
  <c r="CZ10" i="5"/>
  <c r="CZ11" i="5"/>
  <c r="CZ12" i="5"/>
  <c r="CZ13" i="5"/>
  <c r="CZ14" i="5"/>
  <c r="CZ15" i="5"/>
  <c r="CZ16" i="5"/>
  <c r="CZ17" i="5"/>
  <c r="CZ21" i="5"/>
  <c r="CZ20" i="5"/>
  <c r="CZ19" i="5"/>
  <c r="CZ18" i="5"/>
  <c r="CZ7" i="5"/>
  <c r="CZ6" i="5"/>
  <c r="DD5" i="5"/>
  <c r="DC5" i="5"/>
  <c r="DA5" i="5"/>
  <c r="CZ5" i="5"/>
  <c r="AH26" i="6"/>
  <c r="AQ26" i="6"/>
  <c r="AR26" i="6"/>
  <c r="AS26" i="6"/>
  <c r="AT26" i="6"/>
  <c r="AU26" i="6"/>
  <c r="CN26" i="6"/>
  <c r="CW26" i="6"/>
  <c r="AH27" i="6"/>
  <c r="AQ27" i="6"/>
  <c r="AV27" i="6" s="1"/>
  <c r="AR27" i="6"/>
  <c r="AS27" i="6"/>
  <c r="AT27" i="6"/>
  <c r="AU27" i="6"/>
  <c r="CN27" i="6"/>
  <c r="CW27" i="6"/>
  <c r="AH28" i="6"/>
  <c r="AQ28" i="6"/>
  <c r="AV28" i="6" s="1"/>
  <c r="AR28" i="6"/>
  <c r="AS28" i="6"/>
  <c r="AT28" i="6"/>
  <c r="AU28" i="6"/>
  <c r="CN28" i="6"/>
  <c r="CW28" i="6"/>
  <c r="AH29" i="6"/>
  <c r="AQ29" i="6"/>
  <c r="AV29" i="6" s="1"/>
  <c r="AR29" i="6"/>
  <c r="AS29" i="6"/>
  <c r="AT29" i="6"/>
  <c r="AU29" i="6"/>
  <c r="CN29" i="6"/>
  <c r="CW29" i="6"/>
  <c r="AH30" i="6"/>
  <c r="AQ30" i="6"/>
  <c r="AV30" i="6" s="1"/>
  <c r="AR30" i="6"/>
  <c r="AS30" i="6"/>
  <c r="AT30" i="6"/>
  <c r="AU30" i="6"/>
  <c r="CN30" i="6"/>
  <c r="CW30" i="6"/>
  <c r="AH31" i="6"/>
  <c r="AQ31" i="6"/>
  <c r="AR31" i="6"/>
  <c r="AS31" i="6"/>
  <c r="AT31" i="6"/>
  <c r="AU31" i="6"/>
  <c r="CN31" i="6"/>
  <c r="CW31" i="6"/>
  <c r="AH32" i="6"/>
  <c r="AQ32" i="6"/>
  <c r="AV32" i="6" s="1"/>
  <c r="AR32" i="6"/>
  <c r="AS32" i="6"/>
  <c r="AT32" i="6"/>
  <c r="AU32" i="6"/>
  <c r="CN32" i="6"/>
  <c r="CW32" i="6"/>
  <c r="AH33" i="6"/>
  <c r="AQ33" i="6"/>
  <c r="AR33" i="6"/>
  <c r="AS33" i="6"/>
  <c r="AT33" i="6"/>
  <c r="AU33" i="6"/>
  <c r="CN33" i="6"/>
  <c r="CW33" i="6"/>
  <c r="AH34" i="6"/>
  <c r="AQ34" i="6"/>
  <c r="AV34" i="6" s="1"/>
  <c r="AR34" i="6"/>
  <c r="AS34" i="6"/>
  <c r="AT34" i="6"/>
  <c r="AU34" i="6"/>
  <c r="CN34" i="6"/>
  <c r="CW34" i="6"/>
  <c r="AH35" i="6"/>
  <c r="AQ35" i="6"/>
  <c r="AR35" i="6"/>
  <c r="AS35" i="6"/>
  <c r="AT35" i="6"/>
  <c r="AU35" i="6"/>
  <c r="CN35" i="6"/>
  <c r="CW35" i="6"/>
  <c r="AH36" i="6"/>
  <c r="AQ36" i="6"/>
  <c r="AV36" i="6" s="1"/>
  <c r="AR36" i="6"/>
  <c r="AS36" i="6"/>
  <c r="AT36" i="6"/>
  <c r="AU36" i="6"/>
  <c r="CN36" i="6"/>
  <c r="CW36" i="6"/>
  <c r="AH37" i="6"/>
  <c r="AQ37" i="6"/>
  <c r="AV37" i="6" s="1"/>
  <c r="AR37" i="6"/>
  <c r="AS37" i="6"/>
  <c r="AT37" i="6"/>
  <c r="AU37" i="6"/>
  <c r="CN37" i="6"/>
  <c r="CW37" i="6"/>
  <c r="AH38" i="6"/>
  <c r="AQ38" i="6"/>
  <c r="AV38" i="6" s="1"/>
  <c r="AR38" i="6"/>
  <c r="AS38" i="6"/>
  <c r="AT38" i="6"/>
  <c r="AU38" i="6"/>
  <c r="CN38" i="6"/>
  <c r="CW38" i="6"/>
  <c r="AI26" i="6"/>
  <c r="AW26" i="6"/>
  <c r="BB26" i="6" s="1"/>
  <c r="AX26" i="6"/>
  <c r="AY26" i="6"/>
  <c r="AZ26" i="6"/>
  <c r="BA26" i="6"/>
  <c r="CO26" i="6"/>
  <c r="CX26" i="6"/>
  <c r="AI27" i="6"/>
  <c r="AW27" i="6"/>
  <c r="BB27" i="6" s="1"/>
  <c r="AX27" i="6"/>
  <c r="AY27" i="6"/>
  <c r="AZ27" i="6"/>
  <c r="BA27" i="6"/>
  <c r="CO27" i="6"/>
  <c r="CX27" i="6"/>
  <c r="AI28" i="6"/>
  <c r="AW28" i="6"/>
  <c r="BB28" i="6" s="1"/>
  <c r="AX28" i="6"/>
  <c r="AY28" i="6"/>
  <c r="AZ28" i="6"/>
  <c r="BA28" i="6"/>
  <c r="CO28" i="6"/>
  <c r="CX28" i="6"/>
  <c r="AI29" i="6"/>
  <c r="AW29" i="6"/>
  <c r="AX29" i="6"/>
  <c r="AY29" i="6"/>
  <c r="AZ29" i="6"/>
  <c r="BA29" i="6"/>
  <c r="CO29" i="6"/>
  <c r="CX29" i="6"/>
  <c r="AI30" i="6"/>
  <c r="AW30" i="6"/>
  <c r="BB30" i="6" s="1"/>
  <c r="AX30" i="6"/>
  <c r="AY30" i="6"/>
  <c r="AZ30" i="6"/>
  <c r="BA30" i="6"/>
  <c r="CO30" i="6"/>
  <c r="CX30" i="6"/>
  <c r="AI31" i="6"/>
  <c r="AW31" i="6"/>
  <c r="BB31" i="6" s="1"/>
  <c r="AX31" i="6"/>
  <c r="AY31" i="6"/>
  <c r="AZ31" i="6"/>
  <c r="BA31" i="6"/>
  <c r="CO31" i="6"/>
  <c r="CX31" i="6"/>
  <c r="AI32" i="6"/>
  <c r="AW32" i="6"/>
  <c r="AX32" i="6"/>
  <c r="AY32" i="6"/>
  <c r="AZ32" i="6"/>
  <c r="BA32" i="6"/>
  <c r="CO32" i="6"/>
  <c r="CX32" i="6"/>
  <c r="AI33" i="6"/>
  <c r="AW33" i="6"/>
  <c r="BB33" i="6" s="1"/>
  <c r="AX33" i="6"/>
  <c r="AY33" i="6"/>
  <c r="AZ33" i="6"/>
  <c r="BA33" i="6"/>
  <c r="CO33" i="6"/>
  <c r="CX33" i="6"/>
  <c r="AI34" i="6"/>
  <c r="AW34" i="6"/>
  <c r="BB34" i="6" s="1"/>
  <c r="AX34" i="6"/>
  <c r="AY34" i="6"/>
  <c r="AZ34" i="6"/>
  <c r="BA34" i="6"/>
  <c r="CO34" i="6"/>
  <c r="CX34" i="6"/>
  <c r="AI35" i="6"/>
  <c r="AW35" i="6"/>
  <c r="AX35" i="6"/>
  <c r="AY35" i="6"/>
  <c r="AZ35" i="6"/>
  <c r="BA35" i="6"/>
  <c r="CO35" i="6"/>
  <c r="CX35" i="6"/>
  <c r="AI36" i="6"/>
  <c r="AW36" i="6"/>
  <c r="BB36" i="6" s="1"/>
  <c r="AX36" i="6"/>
  <c r="AY36" i="6"/>
  <c r="AZ36" i="6"/>
  <c r="BA36" i="6"/>
  <c r="CO36" i="6"/>
  <c r="CX36" i="6"/>
  <c r="AI37" i="6"/>
  <c r="AW37" i="6"/>
  <c r="BB37" i="6" s="1"/>
  <c r="AX37" i="6"/>
  <c r="AY37" i="6"/>
  <c r="AZ37" i="6"/>
  <c r="BA37" i="6"/>
  <c r="CO37" i="6"/>
  <c r="CX37" i="6"/>
  <c r="AI38" i="6"/>
  <c r="AW38" i="6"/>
  <c r="BB38" i="6" s="1"/>
  <c r="AX38" i="6"/>
  <c r="AY38" i="6"/>
  <c r="AZ38" i="6"/>
  <c r="BA38" i="6"/>
  <c r="CO38" i="6"/>
  <c r="CX38" i="6"/>
  <c r="J12" i="28"/>
  <c r="J18" i="28" s="1"/>
  <c r="K18" i="28" s="1"/>
  <c r="L18" i="28" s="1"/>
  <c r="M18" i="28" s="1"/>
  <c r="N18" i="28" s="1"/>
  <c r="O18" i="28" s="1"/>
  <c r="CO37" i="11"/>
  <c r="CN37" i="11"/>
  <c r="CO36" i="11"/>
  <c r="CN36" i="11"/>
  <c r="AH36" i="11"/>
  <c r="AQ36" i="11"/>
  <c r="AR36" i="11"/>
  <c r="AS36" i="11"/>
  <c r="AV36" i="11" s="1"/>
  <c r="AT36" i="11"/>
  <c r="AU36" i="11"/>
  <c r="CW36" i="11"/>
  <c r="CO35" i="11"/>
  <c r="CN35" i="11"/>
  <c r="CO34" i="11"/>
  <c r="CN34" i="11"/>
  <c r="CO33" i="11"/>
  <c r="CN33" i="11"/>
  <c r="CO32" i="11"/>
  <c r="AI32" i="11"/>
  <c r="AW32" i="11"/>
  <c r="AX32" i="11"/>
  <c r="AY32" i="11"/>
  <c r="AZ32" i="11"/>
  <c r="BA32" i="11"/>
  <c r="BB32" i="11" s="1"/>
  <c r="CX32" i="11"/>
  <c r="CN32" i="11"/>
  <c r="CO31" i="11"/>
  <c r="CN31" i="11"/>
  <c r="CO30" i="11"/>
  <c r="CN30" i="11"/>
  <c r="CO29" i="11"/>
  <c r="CN29" i="11"/>
  <c r="K31" i="28"/>
  <c r="L31" i="28"/>
  <c r="M31" i="28" s="1"/>
  <c r="D40" i="1"/>
  <c r="D27" i="1"/>
  <c r="H24" i="29"/>
  <c r="E30" i="17"/>
  <c r="BJ36" i="55"/>
  <c r="BI36" i="55"/>
  <c r="BH36" i="55"/>
  <c r="BG36" i="55"/>
  <c r="BF36" i="55"/>
  <c r="BD36" i="55"/>
  <c r="BC36" i="55"/>
  <c r="BJ35" i="55"/>
  <c r="BI35" i="55"/>
  <c r="BH35" i="55"/>
  <c r="BG35" i="55"/>
  <c r="BF35" i="55"/>
  <c r="BD35" i="55"/>
  <c r="BC35" i="55"/>
  <c r="BJ34" i="55"/>
  <c r="BI34" i="55"/>
  <c r="BH34" i="55"/>
  <c r="BG34" i="55"/>
  <c r="BF34" i="55"/>
  <c r="BD34" i="55"/>
  <c r="BC34" i="55"/>
  <c r="BJ33" i="55"/>
  <c r="BI33" i="55"/>
  <c r="BH33" i="55"/>
  <c r="BG33" i="55"/>
  <c r="BF33" i="55"/>
  <c r="BD33" i="55"/>
  <c r="BC33" i="55"/>
  <c r="BJ32" i="55"/>
  <c r="BI32" i="55"/>
  <c r="BH32" i="55"/>
  <c r="BG32" i="55"/>
  <c r="BF32" i="55"/>
  <c r="BD32" i="55"/>
  <c r="BC32" i="55"/>
  <c r="BJ31" i="55"/>
  <c r="BI31" i="55"/>
  <c r="BH31" i="55"/>
  <c r="BG31" i="55"/>
  <c r="BF31" i="55"/>
  <c r="BD31" i="55"/>
  <c r="BC31" i="55"/>
  <c r="BJ30" i="55"/>
  <c r="BI30" i="55"/>
  <c r="BH30" i="55"/>
  <c r="BG30" i="55"/>
  <c r="BF30" i="55"/>
  <c r="BD30" i="55"/>
  <c r="BC30" i="55"/>
  <c r="BJ29" i="55"/>
  <c r="BI29" i="55"/>
  <c r="BH29" i="55"/>
  <c r="BG29" i="55"/>
  <c r="BF29" i="55"/>
  <c r="BD29" i="55"/>
  <c r="BC29" i="55"/>
  <c r="BJ28" i="55"/>
  <c r="BI28" i="55"/>
  <c r="BH28" i="55"/>
  <c r="BG28" i="55"/>
  <c r="BF28" i="55"/>
  <c r="BD28" i="55"/>
  <c r="BC28" i="55"/>
  <c r="BJ27" i="55"/>
  <c r="BI27" i="55"/>
  <c r="BH27" i="55"/>
  <c r="BG27" i="55"/>
  <c r="BF27" i="55"/>
  <c r="BD27" i="55"/>
  <c r="BC27" i="55"/>
  <c r="BJ26" i="55"/>
  <c r="BI26" i="55"/>
  <c r="BH26" i="55"/>
  <c r="BG26" i="55"/>
  <c r="BF26" i="55"/>
  <c r="BD26" i="55"/>
  <c r="BC26" i="55"/>
  <c r="BJ25" i="55"/>
  <c r="BI25" i="55"/>
  <c r="BH25" i="55"/>
  <c r="BG25" i="55"/>
  <c r="BF25" i="55"/>
  <c r="BD25" i="55"/>
  <c r="BC25" i="55"/>
  <c r="BJ24" i="55"/>
  <c r="BI24" i="55"/>
  <c r="BH24" i="55"/>
  <c r="BG24" i="55"/>
  <c r="BF24" i="55"/>
  <c r="BD24" i="55"/>
  <c r="BC24" i="55"/>
  <c r="BJ23" i="55"/>
  <c r="BI23" i="55"/>
  <c r="BH23" i="55"/>
  <c r="BG23" i="55"/>
  <c r="BF23" i="55"/>
  <c r="BD23" i="55"/>
  <c r="BC23" i="55"/>
  <c r="BJ21" i="55"/>
  <c r="BI21" i="55"/>
  <c r="BH21" i="55"/>
  <c r="BG21" i="55"/>
  <c r="BF21" i="55"/>
  <c r="BD21" i="55"/>
  <c r="BC21" i="55"/>
  <c r="BJ20" i="55"/>
  <c r="BI20" i="55"/>
  <c r="BH20" i="55"/>
  <c r="BG20" i="55"/>
  <c r="BF20" i="55"/>
  <c r="BD20" i="55"/>
  <c r="BC20" i="55"/>
  <c r="BJ19" i="55"/>
  <c r="BI19" i="55"/>
  <c r="BH19" i="55"/>
  <c r="BG19" i="55"/>
  <c r="BF19" i="55"/>
  <c r="BD19" i="55"/>
  <c r="BC19" i="55"/>
  <c r="BJ9" i="55"/>
  <c r="BI9" i="55"/>
  <c r="BH9" i="55"/>
  <c r="BG9" i="55"/>
  <c r="BF9" i="55"/>
  <c r="BD9" i="55"/>
  <c r="BC9" i="55"/>
  <c r="BD8" i="55"/>
  <c r="BC7" i="55"/>
  <c r="J37" i="55"/>
  <c r="BC8" i="55"/>
  <c r="BC6" i="55"/>
  <c r="BD7" i="55"/>
  <c r="N37" i="55"/>
  <c r="BD6" i="55"/>
  <c r="M37" i="55"/>
  <c r="BG6" i="55"/>
  <c r="BG8" i="55"/>
  <c r="BJ6" i="55"/>
  <c r="BH8" i="55"/>
  <c r="BG7" i="55"/>
  <c r="BF8" i="55"/>
  <c r="BF6" i="55"/>
  <c r="BI6" i="55"/>
  <c r="BI8" i="55"/>
  <c r="BH7" i="55"/>
  <c r="BH6" i="55"/>
  <c r="BJ7" i="55"/>
  <c r="BJ8" i="55"/>
  <c r="BI7" i="55"/>
  <c r="BF7" i="55"/>
  <c r="P37" i="17"/>
  <c r="H12" i="1"/>
  <c r="L41" i="53"/>
  <c r="H8" i="1"/>
  <c r="BT4" i="52"/>
  <c r="BJ4" i="52"/>
  <c r="AS39" i="54"/>
  <c r="AR39" i="54"/>
  <c r="V40" i="54"/>
  <c r="AA8" i="15"/>
  <c r="V4" i="52"/>
  <c r="AP42" i="54"/>
  <c r="AP4" i="54"/>
  <c r="V42" i="54"/>
  <c r="V4" i="54"/>
  <c r="BQ42" i="54"/>
  <c r="BJ42" i="54"/>
  <c r="L42" i="54"/>
  <c r="BJ4" i="54"/>
  <c r="L4" i="54"/>
  <c r="CI11" i="4"/>
  <c r="V32" i="53"/>
  <c r="L32" i="53"/>
  <c r="AF32" i="53"/>
  <c r="V6" i="53"/>
  <c r="L6" i="53"/>
  <c r="AF6" i="53"/>
  <c r="N4" i="53"/>
  <c r="N3" i="53"/>
  <c r="D4" i="53"/>
  <c r="D3" i="53"/>
  <c r="D10" i="53" s="1"/>
  <c r="D36" i="53" s="1"/>
  <c r="AZ4" i="52"/>
  <c r="AF4" i="52"/>
  <c r="AI29" i="11"/>
  <c r="AW29" i="11"/>
  <c r="AX29" i="11"/>
  <c r="AY29" i="11"/>
  <c r="AZ29" i="11"/>
  <c r="BA29" i="11"/>
  <c r="CX29" i="11"/>
  <c r="AI30" i="11"/>
  <c r="AW30" i="11"/>
  <c r="AX30" i="11"/>
  <c r="AY30" i="11"/>
  <c r="AZ30" i="11"/>
  <c r="BA30" i="11"/>
  <c r="CX30" i="11"/>
  <c r="AI31" i="11"/>
  <c r="AW31" i="11"/>
  <c r="BB31" i="11" s="1"/>
  <c r="AX31" i="11"/>
  <c r="AY31" i="11"/>
  <c r="AZ31" i="11"/>
  <c r="BA31" i="11"/>
  <c r="CX31" i="11"/>
  <c r="AI33" i="11"/>
  <c r="AW33" i="11"/>
  <c r="AX33" i="11"/>
  <c r="AY33" i="11"/>
  <c r="AZ33" i="11"/>
  <c r="BA33" i="11"/>
  <c r="CX33" i="11"/>
  <c r="AI34" i="11"/>
  <c r="AW34" i="11"/>
  <c r="AX34" i="11"/>
  <c r="AY34" i="11"/>
  <c r="BB34" i="11" s="1"/>
  <c r="AZ34" i="11"/>
  <c r="BA34" i="11"/>
  <c r="CX34" i="11"/>
  <c r="AI35" i="11"/>
  <c r="AW35" i="11"/>
  <c r="AX35" i="11"/>
  <c r="AY35" i="11"/>
  <c r="AZ35" i="11"/>
  <c r="BB35" i="11" s="1"/>
  <c r="BA35" i="11"/>
  <c r="CX35" i="11"/>
  <c r="AI36" i="11"/>
  <c r="AW36" i="11"/>
  <c r="AX36" i="11"/>
  <c r="AY36" i="11"/>
  <c r="AZ36" i="11"/>
  <c r="BA36" i="11"/>
  <c r="BB36" i="11" s="1"/>
  <c r="CX36" i="11"/>
  <c r="AI37" i="11"/>
  <c r="AW37" i="11"/>
  <c r="AX37" i="11"/>
  <c r="AY37" i="11"/>
  <c r="AZ37" i="11"/>
  <c r="BA37" i="11"/>
  <c r="CX37" i="11"/>
  <c r="AH29" i="11"/>
  <c r="AQ29" i="11"/>
  <c r="AR29" i="11"/>
  <c r="AS29" i="11"/>
  <c r="AT29" i="11"/>
  <c r="AU29" i="11"/>
  <c r="CW29" i="11"/>
  <c r="AH30" i="11"/>
  <c r="AQ30" i="11"/>
  <c r="AV30" i="11" s="1"/>
  <c r="AR30" i="11"/>
  <c r="AS30" i="11"/>
  <c r="AT30" i="11"/>
  <c r="AU30" i="11"/>
  <c r="CW30" i="11"/>
  <c r="AH31" i="11"/>
  <c r="AQ31" i="11"/>
  <c r="AR31" i="11"/>
  <c r="AV31" i="11" s="1"/>
  <c r="AS31" i="11"/>
  <c r="AT31" i="11"/>
  <c r="AU31" i="11"/>
  <c r="CW31" i="11"/>
  <c r="AH32" i="11"/>
  <c r="AQ32" i="11"/>
  <c r="AR32" i="11"/>
  <c r="AS32" i="11"/>
  <c r="AV32" i="11" s="1"/>
  <c r="AT32" i="11"/>
  <c r="AU32" i="11"/>
  <c r="CW32" i="11"/>
  <c r="AH33" i="11"/>
  <c r="AQ33" i="11"/>
  <c r="AR33" i="11"/>
  <c r="AS33" i="11"/>
  <c r="AT33" i="11"/>
  <c r="AU33" i="11"/>
  <c r="CW33" i="11"/>
  <c r="AH34" i="11"/>
  <c r="AQ34" i="11"/>
  <c r="AR34" i="11"/>
  <c r="AS34" i="11"/>
  <c r="AT34" i="11"/>
  <c r="AU34" i="11"/>
  <c r="AV34" i="11" s="1"/>
  <c r="CW34" i="11"/>
  <c r="AH35" i="11"/>
  <c r="AQ35" i="11"/>
  <c r="AR35" i="11"/>
  <c r="AS35" i="11"/>
  <c r="AT35" i="11"/>
  <c r="AU35" i="11"/>
  <c r="CW35" i="11"/>
  <c r="AH37" i="11"/>
  <c r="AQ37" i="11"/>
  <c r="AR37" i="11"/>
  <c r="AS37" i="11"/>
  <c r="AT37" i="11"/>
  <c r="AU37" i="11"/>
  <c r="CW37" i="11"/>
  <c r="L4" i="52"/>
  <c r="DE36" i="47"/>
  <c r="DE35" i="47"/>
  <c r="DE34" i="47"/>
  <c r="DE33" i="47"/>
  <c r="DE32" i="47"/>
  <c r="DE31" i="47"/>
  <c r="DE30" i="47"/>
  <c r="DE22" i="47"/>
  <c r="DE7" i="47"/>
  <c r="DE6" i="47"/>
  <c r="I68" i="29"/>
  <c r="AT6" i="15"/>
  <c r="E40" i="17"/>
  <c r="P40" i="17"/>
  <c r="CX33" i="47"/>
  <c r="CW33" i="47"/>
  <c r="CR33" i="47"/>
  <c r="CQ33" i="47"/>
  <c r="CX32" i="47"/>
  <c r="CW32" i="47"/>
  <c r="CR32" i="47"/>
  <c r="CQ32" i="47"/>
  <c r="CX31" i="47"/>
  <c r="CW31" i="47"/>
  <c r="CR31" i="47"/>
  <c r="CQ31" i="47"/>
  <c r="CX30" i="47"/>
  <c r="CW30" i="47"/>
  <c r="CV30" i="47"/>
  <c r="CU30" i="47"/>
  <c r="CT30" i="47"/>
  <c r="CR30" i="47"/>
  <c r="CQ30" i="47"/>
  <c r="E45" i="47"/>
  <c r="E44" i="47"/>
  <c r="E43" i="47"/>
  <c r="E42" i="47"/>
  <c r="E41" i="47"/>
  <c r="CX22" i="47"/>
  <c r="CW22" i="47"/>
  <c r="CV22" i="47"/>
  <c r="CU22" i="47"/>
  <c r="CT22" i="47"/>
  <c r="CR22" i="47"/>
  <c r="CQ22" i="47"/>
  <c r="CX14" i="47"/>
  <c r="CW14" i="47"/>
  <c r="CV14" i="47"/>
  <c r="CU14" i="47"/>
  <c r="CT14" i="47"/>
  <c r="CR14" i="47"/>
  <c r="CQ14" i="47"/>
  <c r="L8" i="20"/>
  <c r="P38" i="17"/>
  <c r="P36" i="17"/>
  <c r="P30" i="17"/>
  <c r="P29" i="17"/>
  <c r="P26" i="17"/>
  <c r="P25" i="17"/>
  <c r="P24" i="17"/>
  <c r="P23" i="17"/>
  <c r="P20" i="17"/>
  <c r="P19" i="17"/>
  <c r="P18" i="17"/>
  <c r="P17" i="17"/>
  <c r="P16" i="17"/>
  <c r="P13" i="17"/>
  <c r="P12" i="17"/>
  <c r="P8" i="17"/>
  <c r="G40" i="23"/>
  <c r="F40" i="23"/>
  <c r="E40" i="23"/>
  <c r="D40" i="23"/>
  <c r="T31" i="23"/>
  <c r="T19" i="23"/>
  <c r="AE22" i="23" s="1"/>
  <c r="T7" i="23"/>
  <c r="AE7" i="23"/>
  <c r="BJ23" i="13"/>
  <c r="BI23" i="13"/>
  <c r="BH23" i="13"/>
  <c r="BG23" i="13"/>
  <c r="BF23" i="13"/>
  <c r="BD23" i="13"/>
  <c r="BC23" i="13"/>
  <c r="BJ22" i="13"/>
  <c r="BI22" i="13"/>
  <c r="BH22" i="13"/>
  <c r="BG22" i="13"/>
  <c r="BF22" i="13"/>
  <c r="BD22" i="13"/>
  <c r="BC22" i="13"/>
  <c r="BJ21" i="13"/>
  <c r="BI21" i="13"/>
  <c r="BH21" i="13"/>
  <c r="BG21" i="13"/>
  <c r="BF21" i="13"/>
  <c r="BD21" i="13"/>
  <c r="BC21" i="13"/>
  <c r="BJ20" i="13"/>
  <c r="BI20" i="13"/>
  <c r="BH20" i="13"/>
  <c r="BG20" i="13"/>
  <c r="BF20" i="13"/>
  <c r="BD20" i="13"/>
  <c r="BC20" i="13"/>
  <c r="BJ12" i="13"/>
  <c r="BI12" i="13"/>
  <c r="BH12" i="13"/>
  <c r="BG12" i="13"/>
  <c r="BF12" i="13"/>
  <c r="BD12" i="13"/>
  <c r="BC12" i="13"/>
  <c r="K37" i="4"/>
  <c r="F5" i="17"/>
  <c r="J5" i="4"/>
  <c r="K5" i="4"/>
  <c r="CT51" i="12"/>
  <c r="K37" i="5"/>
  <c r="K37" i="8"/>
  <c r="CR44" i="40"/>
  <c r="CR43" i="40"/>
  <c r="CR36" i="40"/>
  <c r="CR35" i="40"/>
  <c r="CR34" i="40"/>
  <c r="CR33" i="40"/>
  <c r="CR32" i="40"/>
  <c r="CR31" i="40"/>
  <c r="CR30" i="40"/>
  <c r="CR29" i="40"/>
  <c r="CR28" i="40"/>
  <c r="CR27" i="40"/>
  <c r="CR26" i="40"/>
  <c r="CR25" i="40"/>
  <c r="CR24" i="40"/>
  <c r="CR23" i="40"/>
  <c r="CR22" i="40"/>
  <c r="CR21" i="40"/>
  <c r="CR20" i="40"/>
  <c r="K45" i="40"/>
  <c r="K37" i="40"/>
  <c r="CR36" i="9"/>
  <c r="CR35" i="9"/>
  <c r="CR34" i="9"/>
  <c r="CR33" i="9"/>
  <c r="CR32" i="9"/>
  <c r="CR31" i="9"/>
  <c r="CR30" i="9"/>
  <c r="CR29" i="9"/>
  <c r="CR28" i="9"/>
  <c r="CR27" i="9"/>
  <c r="CR26" i="9"/>
  <c r="CR25" i="9"/>
  <c r="CR24" i="9"/>
  <c r="CR23" i="9"/>
  <c r="CR22" i="9"/>
  <c r="CR21" i="9"/>
  <c r="CR20" i="9"/>
  <c r="CR19" i="9"/>
  <c r="CR18" i="9"/>
  <c r="CR36" i="8"/>
  <c r="CR35" i="8"/>
  <c r="CR34" i="8"/>
  <c r="CR33" i="8"/>
  <c r="CR32" i="8"/>
  <c r="CR31" i="8"/>
  <c r="CR30" i="8"/>
  <c r="CR26" i="8"/>
  <c r="CR36" i="4"/>
  <c r="CR35" i="4"/>
  <c r="CR34" i="4"/>
  <c r="CR33" i="4"/>
  <c r="CR32" i="4"/>
  <c r="CR16" i="4"/>
  <c r="CR36" i="5"/>
  <c r="CR35" i="5"/>
  <c r="CR34" i="5"/>
  <c r="CR33" i="5"/>
  <c r="CR32" i="5"/>
  <c r="CR31" i="5"/>
  <c r="CR30" i="5"/>
  <c r="CR29" i="5"/>
  <c r="CR28" i="5"/>
  <c r="CR27" i="5"/>
  <c r="CR26" i="5"/>
  <c r="CR25" i="5"/>
  <c r="CR24" i="5"/>
  <c r="CR23" i="5"/>
  <c r="CR22" i="5"/>
  <c r="U38" i="6"/>
  <c r="U37" i="6"/>
  <c r="U36" i="6"/>
  <c r="U35" i="6"/>
  <c r="U34" i="6"/>
  <c r="U33" i="6"/>
  <c r="U32" i="6"/>
  <c r="U31" i="6"/>
  <c r="U30" i="6"/>
  <c r="U29" i="6"/>
  <c r="U28" i="6"/>
  <c r="U27" i="6"/>
  <c r="U26" i="6"/>
  <c r="CT37" i="12"/>
  <c r="CT36" i="12"/>
  <c r="CT35" i="12"/>
  <c r="CT34" i="12"/>
  <c r="CT33" i="12"/>
  <c r="CT32" i="12"/>
  <c r="CT31" i="12"/>
  <c r="CT30" i="12"/>
  <c r="CT29" i="12"/>
  <c r="CT28" i="12"/>
  <c r="CT27" i="12"/>
  <c r="CT26" i="12"/>
  <c r="CT25" i="12"/>
  <c r="CT24" i="12"/>
  <c r="CT23" i="12"/>
  <c r="CT22" i="12"/>
  <c r="CT21" i="12"/>
  <c r="CT20" i="12"/>
  <c r="CT19" i="12"/>
  <c r="CT18" i="12"/>
  <c r="CT17" i="12"/>
  <c r="CT16" i="12"/>
  <c r="CT15" i="12"/>
  <c r="CT14" i="12"/>
  <c r="CT13" i="12"/>
  <c r="CT12" i="12"/>
  <c r="CT11" i="12"/>
  <c r="CT10" i="12"/>
  <c r="CT9" i="12"/>
  <c r="CT8" i="12"/>
  <c r="CT7" i="12"/>
  <c r="CL38" i="12"/>
  <c r="CD38" i="12"/>
  <c r="AE38" i="12"/>
  <c r="R38" i="12"/>
  <c r="AW38" i="12"/>
  <c r="AV38" i="12"/>
  <c r="AU38" i="12"/>
  <c r="AT38" i="12"/>
  <c r="AS38" i="12"/>
  <c r="AR38" i="12"/>
  <c r="CV31" i="47"/>
  <c r="CT33" i="47"/>
  <c r="F12" i="28"/>
  <c r="G12" i="28"/>
  <c r="H12" i="28"/>
  <c r="I12" i="28"/>
  <c r="E12" i="28"/>
  <c r="D25" i="41"/>
  <c r="Q37" i="47"/>
  <c r="P37" i="47"/>
  <c r="CA38" i="12"/>
  <c r="BZ38" i="12"/>
  <c r="BY38" i="12"/>
  <c r="BX38" i="12"/>
  <c r="BW38" i="12"/>
  <c r="BV38" i="12"/>
  <c r="BU38" i="12"/>
  <c r="BT38" i="12"/>
  <c r="BS38" i="12"/>
  <c r="BR38" i="12"/>
  <c r="BQ38" i="12"/>
  <c r="BP38" i="12"/>
  <c r="BO38" i="12"/>
  <c r="BN38" i="12"/>
  <c r="BM38" i="12"/>
  <c r="BL38" i="12"/>
  <c r="BK38" i="12"/>
  <c r="BJ38" i="12"/>
  <c r="BI38" i="12"/>
  <c r="BH38" i="12"/>
  <c r="BG38" i="12"/>
  <c r="BF38" i="12"/>
  <c r="BE38" i="12"/>
  <c r="BD38" i="12"/>
  <c r="BB38" i="12"/>
  <c r="BA38" i="12"/>
  <c r="AZ38" i="12"/>
  <c r="AY38" i="12"/>
  <c r="AX38" i="12"/>
  <c r="AP38" i="12"/>
  <c r="AO38" i="12"/>
  <c r="AN38" i="12"/>
  <c r="AM38" i="12"/>
  <c r="AL38" i="12"/>
  <c r="I67" i="29"/>
  <c r="I66" i="29"/>
  <c r="I69" i="29"/>
  <c r="I70" i="29"/>
  <c r="I71" i="29"/>
  <c r="I72" i="29"/>
  <c r="I73" i="29"/>
  <c r="I74" i="29"/>
  <c r="I75" i="29"/>
  <c r="I76" i="29"/>
  <c r="I77" i="29"/>
  <c r="I78" i="29"/>
  <c r="I79" i="29"/>
  <c r="I80" i="29"/>
  <c r="I81" i="29"/>
  <c r="I82" i="29"/>
  <c r="I83" i="29"/>
  <c r="I84" i="29"/>
  <c r="I85" i="29"/>
  <c r="I86" i="29"/>
  <c r="I87" i="29"/>
  <c r="I88" i="29"/>
  <c r="I89" i="29"/>
  <c r="I90" i="29"/>
  <c r="I91" i="29"/>
  <c r="I92" i="29"/>
  <c r="I93" i="29"/>
  <c r="I48" i="29"/>
  <c r="AF37" i="11"/>
  <c r="AE37" i="11"/>
  <c r="AD37" i="11"/>
  <c r="AC37" i="11"/>
  <c r="AF36" i="11"/>
  <c r="AE36" i="11"/>
  <c r="AD36" i="11"/>
  <c r="AC36" i="11"/>
  <c r="AF35" i="11"/>
  <c r="AE35" i="11"/>
  <c r="AD35" i="11"/>
  <c r="AC35" i="11"/>
  <c r="AF34" i="11"/>
  <c r="AE34" i="11"/>
  <c r="AD34" i="11"/>
  <c r="AC34" i="11"/>
  <c r="AF33" i="11"/>
  <c r="AE33" i="11"/>
  <c r="AD33" i="11"/>
  <c r="AC33" i="11"/>
  <c r="AF32" i="11"/>
  <c r="AE32" i="11"/>
  <c r="AD32" i="11"/>
  <c r="AC32" i="11"/>
  <c r="AF31" i="11"/>
  <c r="AE31" i="11"/>
  <c r="AD31" i="11"/>
  <c r="AC31" i="11"/>
  <c r="AF30" i="11"/>
  <c r="AE30" i="11"/>
  <c r="AD30" i="11"/>
  <c r="AC30" i="11"/>
  <c r="AF29" i="11"/>
  <c r="AE29" i="11"/>
  <c r="AD29" i="11"/>
  <c r="AC29" i="11"/>
  <c r="AF38" i="6"/>
  <c r="AE38" i="6"/>
  <c r="AD38" i="6"/>
  <c r="AC38" i="6"/>
  <c r="AF37" i="6"/>
  <c r="AE37" i="6"/>
  <c r="AD37" i="6"/>
  <c r="AC37" i="6"/>
  <c r="AF36" i="6"/>
  <c r="AE36" i="6"/>
  <c r="AD36" i="6"/>
  <c r="AC36" i="6"/>
  <c r="AF35" i="6"/>
  <c r="AE35" i="6"/>
  <c r="AD35" i="6"/>
  <c r="AC35" i="6"/>
  <c r="AF34" i="6"/>
  <c r="AE34" i="6"/>
  <c r="AD34" i="6"/>
  <c r="AC34" i="6"/>
  <c r="AF33" i="6"/>
  <c r="AE33" i="6"/>
  <c r="AD33" i="6"/>
  <c r="AC33" i="6"/>
  <c r="AF32" i="6"/>
  <c r="AE32" i="6"/>
  <c r="AD32" i="6"/>
  <c r="AC32" i="6"/>
  <c r="AF31" i="6"/>
  <c r="AE31" i="6"/>
  <c r="AD31" i="6"/>
  <c r="AC31" i="6"/>
  <c r="AF30" i="6"/>
  <c r="AE30" i="6"/>
  <c r="AD30" i="6"/>
  <c r="AC30" i="6"/>
  <c r="AF29" i="6"/>
  <c r="AE29" i="6"/>
  <c r="AD29" i="6"/>
  <c r="AC29" i="6"/>
  <c r="AF28" i="6"/>
  <c r="AE28" i="6"/>
  <c r="AD28" i="6"/>
  <c r="AC28" i="6"/>
  <c r="AF27" i="6"/>
  <c r="AE27" i="6"/>
  <c r="AD27" i="6"/>
  <c r="AC27" i="6"/>
  <c r="AF26" i="6"/>
  <c r="AE26" i="6"/>
  <c r="AD26" i="6"/>
  <c r="AC26" i="6"/>
  <c r="CX22" i="5"/>
  <c r="CX23" i="5"/>
  <c r="CX24" i="5"/>
  <c r="CX25" i="5"/>
  <c r="CX26" i="5"/>
  <c r="CX27" i="5"/>
  <c r="CX28" i="5"/>
  <c r="CX29" i="5"/>
  <c r="CX30" i="5"/>
  <c r="CX31" i="5"/>
  <c r="CX32" i="5"/>
  <c r="CX33" i="5"/>
  <c r="CX34" i="5"/>
  <c r="CX35" i="5"/>
  <c r="CX36" i="5"/>
  <c r="CX26" i="8"/>
  <c r="CX30" i="8"/>
  <c r="CX31" i="8"/>
  <c r="CX32" i="8"/>
  <c r="CX33" i="8"/>
  <c r="CX34" i="8"/>
  <c r="CX35" i="8"/>
  <c r="CX36" i="8"/>
  <c r="CX18" i="9"/>
  <c r="CX19" i="9"/>
  <c r="CX20" i="9"/>
  <c r="CX21" i="9"/>
  <c r="CX22" i="9"/>
  <c r="CX23" i="9"/>
  <c r="CX24" i="9"/>
  <c r="CX25" i="9"/>
  <c r="CX26" i="9"/>
  <c r="CX27" i="9"/>
  <c r="CX28" i="9"/>
  <c r="CX29" i="9"/>
  <c r="CX30" i="9"/>
  <c r="CX31" i="9"/>
  <c r="CX32" i="9"/>
  <c r="CX33" i="9"/>
  <c r="CX34" i="9"/>
  <c r="CX35" i="9"/>
  <c r="CX36" i="9"/>
  <c r="CW22" i="5"/>
  <c r="CW23" i="5"/>
  <c r="CW24" i="5"/>
  <c r="CW25" i="5"/>
  <c r="CW26" i="5"/>
  <c r="CW27" i="5"/>
  <c r="CW28" i="5"/>
  <c r="CW29" i="5"/>
  <c r="CW30" i="5"/>
  <c r="CW31" i="5"/>
  <c r="CW32" i="5"/>
  <c r="CW33" i="5"/>
  <c r="CW34" i="5"/>
  <c r="CW35" i="5"/>
  <c r="CW36" i="5"/>
  <c r="CW26" i="8"/>
  <c r="CW30" i="8"/>
  <c r="CW31" i="8"/>
  <c r="CW32" i="8"/>
  <c r="CW33" i="8"/>
  <c r="CW34" i="8"/>
  <c r="CW35" i="8"/>
  <c r="CW36" i="8"/>
  <c r="CW18" i="9"/>
  <c r="CW19" i="9"/>
  <c r="CW20" i="9"/>
  <c r="CW21" i="9"/>
  <c r="CW22" i="9"/>
  <c r="CW23" i="9"/>
  <c r="CW24" i="9"/>
  <c r="CW25" i="9"/>
  <c r="CW26" i="9"/>
  <c r="CW27" i="9"/>
  <c r="CW28" i="9"/>
  <c r="CW29" i="9"/>
  <c r="CW30" i="9"/>
  <c r="CW31" i="9"/>
  <c r="CW32" i="9"/>
  <c r="CW33" i="9"/>
  <c r="CW34" i="9"/>
  <c r="CW35" i="9"/>
  <c r="CW36" i="9"/>
  <c r="CV22" i="5"/>
  <c r="CV23" i="5"/>
  <c r="CV24" i="5"/>
  <c r="CV25" i="5"/>
  <c r="CV26" i="5"/>
  <c r="CV27" i="5"/>
  <c r="CV28" i="5"/>
  <c r="CV29" i="5"/>
  <c r="CV30" i="5"/>
  <c r="CV31" i="5"/>
  <c r="CV32" i="5"/>
  <c r="CV33" i="5"/>
  <c r="CV34" i="5"/>
  <c r="CV35" i="5"/>
  <c r="CV36" i="5"/>
  <c r="CV26" i="8"/>
  <c r="CV30" i="8"/>
  <c r="CV31" i="8"/>
  <c r="CV32" i="8"/>
  <c r="CV33" i="8"/>
  <c r="CV34" i="8"/>
  <c r="CV35" i="8"/>
  <c r="CV36" i="8"/>
  <c r="CV18" i="9"/>
  <c r="CV19" i="9"/>
  <c r="CV20" i="9"/>
  <c r="CV21" i="9"/>
  <c r="CV22" i="9"/>
  <c r="CV23" i="9"/>
  <c r="CV24" i="9"/>
  <c r="CV25" i="9"/>
  <c r="CV26" i="9"/>
  <c r="CV27" i="9"/>
  <c r="CV28" i="9"/>
  <c r="CV29" i="9"/>
  <c r="CV30" i="9"/>
  <c r="CV31" i="9"/>
  <c r="CV32" i="9"/>
  <c r="CV33" i="9"/>
  <c r="CV34" i="9"/>
  <c r="CV35" i="9"/>
  <c r="CV36" i="9"/>
  <c r="CU22" i="5"/>
  <c r="CU23" i="5"/>
  <c r="CU24" i="5"/>
  <c r="CU25" i="5"/>
  <c r="CU26" i="5"/>
  <c r="CU27" i="5"/>
  <c r="CU28" i="5"/>
  <c r="CU29" i="5"/>
  <c r="CU30" i="5"/>
  <c r="CU31" i="5"/>
  <c r="CU32" i="5"/>
  <c r="CU33" i="5"/>
  <c r="CU34" i="5"/>
  <c r="CU35" i="5"/>
  <c r="CU36" i="5"/>
  <c r="CU26" i="8"/>
  <c r="CU30" i="8"/>
  <c r="CU31" i="8"/>
  <c r="CU32" i="8"/>
  <c r="CU33" i="8"/>
  <c r="CU34" i="8"/>
  <c r="CU35" i="8"/>
  <c r="CU36" i="8"/>
  <c r="CU18" i="9"/>
  <c r="CU19" i="9"/>
  <c r="CU20" i="9"/>
  <c r="CU21" i="9"/>
  <c r="CU22" i="9"/>
  <c r="CU23" i="9"/>
  <c r="CU24" i="9"/>
  <c r="CU25" i="9"/>
  <c r="CU26" i="9"/>
  <c r="CU27" i="9"/>
  <c r="CU28" i="9"/>
  <c r="CU29" i="9"/>
  <c r="CU30" i="9"/>
  <c r="CU31" i="9"/>
  <c r="CU32" i="9"/>
  <c r="CU33" i="9"/>
  <c r="CU34" i="9"/>
  <c r="CU35" i="9"/>
  <c r="CU36" i="9"/>
  <c r="CT22" i="5"/>
  <c r="CT23" i="5"/>
  <c r="CT24" i="5"/>
  <c r="CT25" i="5"/>
  <c r="CT26" i="5"/>
  <c r="CT27" i="5"/>
  <c r="CT28" i="5"/>
  <c r="CT29" i="5"/>
  <c r="CT30" i="5"/>
  <c r="CT31" i="5"/>
  <c r="CT32" i="5"/>
  <c r="CT33" i="5"/>
  <c r="CT34" i="5"/>
  <c r="CT35" i="5"/>
  <c r="CT36" i="5"/>
  <c r="CT26" i="8"/>
  <c r="CT30" i="8"/>
  <c r="CT31" i="8"/>
  <c r="CT32" i="8"/>
  <c r="CT33" i="8"/>
  <c r="CT34" i="8"/>
  <c r="CT35" i="8"/>
  <c r="CT36" i="8"/>
  <c r="CT18" i="9"/>
  <c r="CT19" i="9"/>
  <c r="CT20" i="9"/>
  <c r="CT21" i="9"/>
  <c r="CT22" i="9"/>
  <c r="CT23" i="9"/>
  <c r="CT24" i="9"/>
  <c r="CT25" i="9"/>
  <c r="CT26" i="9"/>
  <c r="CT27" i="9"/>
  <c r="CT28" i="9"/>
  <c r="CT29" i="9"/>
  <c r="CT30" i="9"/>
  <c r="CT31" i="9"/>
  <c r="CT32" i="9"/>
  <c r="CT33" i="9"/>
  <c r="CT34" i="9"/>
  <c r="CT35" i="9"/>
  <c r="CT36" i="9"/>
  <c r="CQ22" i="5"/>
  <c r="CQ23" i="5"/>
  <c r="CQ24" i="5"/>
  <c r="CQ25" i="5"/>
  <c r="CQ26" i="5"/>
  <c r="CQ27" i="5"/>
  <c r="CQ28" i="5"/>
  <c r="CQ29" i="5"/>
  <c r="CQ30" i="5"/>
  <c r="CQ31" i="5"/>
  <c r="CQ32" i="5"/>
  <c r="CQ33" i="5"/>
  <c r="CQ34" i="5"/>
  <c r="CQ35" i="5"/>
  <c r="CQ36" i="5"/>
  <c r="CQ18" i="9"/>
  <c r="CQ19" i="9"/>
  <c r="CQ20" i="9"/>
  <c r="CQ21" i="9"/>
  <c r="CQ22" i="9"/>
  <c r="CQ23" i="9"/>
  <c r="CQ24" i="9"/>
  <c r="CQ25" i="9"/>
  <c r="CQ26" i="9"/>
  <c r="CQ27" i="9"/>
  <c r="CQ28" i="9"/>
  <c r="CQ29" i="9"/>
  <c r="CQ30" i="9"/>
  <c r="CQ31" i="9"/>
  <c r="CQ32" i="9"/>
  <c r="CQ33" i="9"/>
  <c r="CQ34" i="9"/>
  <c r="CQ35" i="9"/>
  <c r="CQ36" i="9"/>
  <c r="CQ26" i="8"/>
  <c r="CQ30" i="8"/>
  <c r="CQ31" i="8"/>
  <c r="CQ32" i="8"/>
  <c r="CQ33" i="8"/>
  <c r="CQ34" i="8"/>
  <c r="CQ35" i="8"/>
  <c r="CQ36" i="8"/>
  <c r="D12" i="28"/>
  <c r="C40" i="42"/>
  <c r="C39" i="42"/>
  <c r="C38" i="42"/>
  <c r="C37" i="42"/>
  <c r="C36" i="42"/>
  <c r="C35" i="42"/>
  <c r="C34" i="42"/>
  <c r="C33" i="42"/>
  <c r="C32" i="42"/>
  <c r="C31" i="42"/>
  <c r="C30" i="42"/>
  <c r="C29" i="42"/>
  <c r="C28" i="42"/>
  <c r="C27" i="42"/>
  <c r="C26" i="42"/>
  <c r="C25" i="42"/>
  <c r="C24" i="42"/>
  <c r="C23" i="42"/>
  <c r="C22" i="42"/>
  <c r="C21" i="42"/>
  <c r="C20" i="42"/>
  <c r="C19" i="42"/>
  <c r="C18" i="42"/>
  <c r="C17" i="42"/>
  <c r="C16" i="42"/>
  <c r="C15" i="42"/>
  <c r="C14" i="42"/>
  <c r="C13" i="42"/>
  <c r="C12" i="42"/>
  <c r="C11" i="42"/>
  <c r="C9" i="42"/>
  <c r="C8" i="42"/>
  <c r="C7" i="42"/>
  <c r="C6" i="42"/>
  <c r="C5" i="42"/>
  <c r="C4" i="42"/>
  <c r="Q45" i="40"/>
  <c r="P45" i="40"/>
  <c r="O45" i="40"/>
  <c r="N45" i="40"/>
  <c r="J45" i="40"/>
  <c r="E25" i="17"/>
  <c r="CQ43" i="40"/>
  <c r="CX44" i="40"/>
  <c r="CV43" i="40"/>
  <c r="CQ44" i="40"/>
  <c r="CW43" i="40"/>
  <c r="CV44" i="40"/>
  <c r="CW44" i="40"/>
  <c r="CT43" i="40"/>
  <c r="CU43" i="40"/>
  <c r="CU44" i="40"/>
  <c r="CX43" i="40"/>
  <c r="CT44" i="40"/>
  <c r="T51" i="12"/>
  <c r="E6" i="28"/>
  <c r="F6" i="28" s="1"/>
  <c r="G6" i="28" s="1"/>
  <c r="H6" i="28" s="1"/>
  <c r="I6" i="28" s="1"/>
  <c r="J6" i="28" s="1"/>
  <c r="CX36" i="40"/>
  <c r="CW36" i="40"/>
  <c r="CV36" i="40"/>
  <c r="CU36" i="40"/>
  <c r="CT36" i="40"/>
  <c r="CQ36" i="40"/>
  <c r="CX35" i="40"/>
  <c r="CW35" i="40"/>
  <c r="CV35" i="40"/>
  <c r="CU35" i="40"/>
  <c r="CT35" i="40"/>
  <c r="CQ35" i="40"/>
  <c r="CX34" i="40"/>
  <c r="CW34" i="40"/>
  <c r="CV34" i="40"/>
  <c r="CU34" i="40"/>
  <c r="CT34" i="40"/>
  <c r="CQ34" i="40"/>
  <c r="CX33" i="40"/>
  <c r="CW33" i="40"/>
  <c r="CV33" i="40"/>
  <c r="CU33" i="40"/>
  <c r="CT33" i="40"/>
  <c r="CQ33" i="40"/>
  <c r="CX32" i="40"/>
  <c r="CW32" i="40"/>
  <c r="CV32" i="40"/>
  <c r="CU32" i="40"/>
  <c r="CT32" i="40"/>
  <c r="CQ32" i="40"/>
  <c r="CX31" i="40"/>
  <c r="CW31" i="40"/>
  <c r="CV31" i="40"/>
  <c r="CU31" i="40"/>
  <c r="CT31" i="40"/>
  <c r="CQ31" i="40"/>
  <c r="CX30" i="40"/>
  <c r="CW30" i="40"/>
  <c r="CV30" i="40"/>
  <c r="CU30" i="40"/>
  <c r="CT30" i="40"/>
  <c r="CQ30" i="40"/>
  <c r="CX29" i="40"/>
  <c r="CW29" i="40"/>
  <c r="CV29" i="40"/>
  <c r="CU29" i="40"/>
  <c r="CT29" i="40"/>
  <c r="CQ29" i="40"/>
  <c r="CX28" i="40"/>
  <c r="CW28" i="40"/>
  <c r="CV28" i="40"/>
  <c r="CU28" i="40"/>
  <c r="CT28" i="40"/>
  <c r="CQ28" i="40"/>
  <c r="CX26" i="40"/>
  <c r="CW26" i="40"/>
  <c r="CV26" i="40"/>
  <c r="CU26" i="40"/>
  <c r="CT26" i="40"/>
  <c r="CQ26" i="40"/>
  <c r="CX25" i="40"/>
  <c r="CW25" i="40"/>
  <c r="CV25" i="40"/>
  <c r="CU25" i="40"/>
  <c r="CT25" i="40"/>
  <c r="CQ25" i="40"/>
  <c r="CY37" i="12"/>
  <c r="CX37" i="12"/>
  <c r="CW37" i="12"/>
  <c r="CV37" i="12"/>
  <c r="CU37" i="12"/>
  <c r="CS37" i="12"/>
  <c r="CY36" i="12"/>
  <c r="CX36" i="12"/>
  <c r="CW36" i="12"/>
  <c r="CV36" i="12"/>
  <c r="CU36" i="12"/>
  <c r="CS36" i="12"/>
  <c r="CY35" i="12"/>
  <c r="CX35" i="12"/>
  <c r="CW35" i="12"/>
  <c r="CV35" i="12"/>
  <c r="CU35" i="12"/>
  <c r="CS35" i="12"/>
  <c r="CY34" i="12"/>
  <c r="CX34" i="12"/>
  <c r="CW34" i="12"/>
  <c r="CV34" i="12"/>
  <c r="CU34" i="12"/>
  <c r="CS34" i="12"/>
  <c r="CY33" i="12"/>
  <c r="CX33" i="12"/>
  <c r="CW33" i="12"/>
  <c r="CV33" i="12"/>
  <c r="CU33" i="12"/>
  <c r="CS33" i="12"/>
  <c r="CY32" i="12"/>
  <c r="CX32" i="12"/>
  <c r="CW32" i="12"/>
  <c r="CV32" i="12"/>
  <c r="CU32" i="12"/>
  <c r="CS32" i="12"/>
  <c r="CY31" i="12"/>
  <c r="CX31" i="12"/>
  <c r="CW31" i="12"/>
  <c r="CV31" i="12"/>
  <c r="CU31" i="12"/>
  <c r="CS31" i="12"/>
  <c r="CY30" i="12"/>
  <c r="CX30" i="12"/>
  <c r="CW30" i="12"/>
  <c r="CV30" i="12"/>
  <c r="CU30" i="12"/>
  <c r="CS30" i="12"/>
  <c r="CY29" i="12"/>
  <c r="CX29" i="12"/>
  <c r="CW29" i="12"/>
  <c r="CV29" i="12"/>
  <c r="CU29" i="12"/>
  <c r="CS29" i="12"/>
  <c r="CY28" i="12"/>
  <c r="CX28" i="12"/>
  <c r="CW28" i="12"/>
  <c r="CV28" i="12"/>
  <c r="CU28" i="12"/>
  <c r="CS28" i="12"/>
  <c r="CY27" i="12"/>
  <c r="CX27" i="12"/>
  <c r="CW27" i="12"/>
  <c r="CV27" i="12"/>
  <c r="CU27" i="12"/>
  <c r="CS27" i="12"/>
  <c r="CY26" i="12"/>
  <c r="CX26" i="12"/>
  <c r="CW26" i="12"/>
  <c r="CV26" i="12"/>
  <c r="CU26" i="12"/>
  <c r="CS26" i="12"/>
  <c r="CY25" i="12"/>
  <c r="CX25" i="12"/>
  <c r="CW25" i="12"/>
  <c r="CV25" i="12"/>
  <c r="CU25" i="12"/>
  <c r="CS25" i="12"/>
  <c r="CY24" i="12"/>
  <c r="CX24" i="12"/>
  <c r="CW24" i="12"/>
  <c r="CV24" i="12"/>
  <c r="CU24" i="12"/>
  <c r="CS24" i="12"/>
  <c r="CY23" i="12"/>
  <c r="CX23" i="12"/>
  <c r="CW23" i="12"/>
  <c r="CV23" i="12"/>
  <c r="CU23" i="12"/>
  <c r="CS23" i="12"/>
  <c r="CY22" i="12"/>
  <c r="CX22" i="12"/>
  <c r="CW22" i="12"/>
  <c r="CV22" i="12"/>
  <c r="CU22" i="12"/>
  <c r="CS22" i="12"/>
  <c r="CY21" i="12"/>
  <c r="CX21" i="12"/>
  <c r="CW21" i="12"/>
  <c r="CV21" i="12"/>
  <c r="CU21" i="12"/>
  <c r="CS21" i="12"/>
  <c r="CY20" i="12"/>
  <c r="CX20" i="12"/>
  <c r="CW20" i="12"/>
  <c r="CV20" i="12"/>
  <c r="CU20" i="12"/>
  <c r="CS20" i="12"/>
  <c r="CY19" i="12"/>
  <c r="CX19" i="12"/>
  <c r="CW19" i="12"/>
  <c r="CV19" i="12"/>
  <c r="CU19" i="12"/>
  <c r="CS19" i="12"/>
  <c r="CY18" i="12"/>
  <c r="CX18" i="12"/>
  <c r="CW18" i="12"/>
  <c r="CV18" i="12"/>
  <c r="CU18" i="12"/>
  <c r="CS18" i="12"/>
  <c r="CY17" i="12"/>
  <c r="CX17" i="12"/>
  <c r="CW17" i="12"/>
  <c r="CV17" i="12"/>
  <c r="CU17" i="12"/>
  <c r="CS17" i="12"/>
  <c r="CY16" i="12"/>
  <c r="CX16" i="12"/>
  <c r="CW16" i="12"/>
  <c r="CV16" i="12"/>
  <c r="CU16" i="12"/>
  <c r="CS16" i="12"/>
  <c r="CY15" i="12"/>
  <c r="CX15" i="12"/>
  <c r="CW15" i="12"/>
  <c r="CV15" i="12"/>
  <c r="CU15" i="12"/>
  <c r="CS15" i="12"/>
  <c r="CY14" i="12"/>
  <c r="CX14" i="12"/>
  <c r="CW14" i="12"/>
  <c r="CV14" i="12"/>
  <c r="CU14" i="12"/>
  <c r="CS14" i="12"/>
  <c r="CY13" i="12"/>
  <c r="CX13" i="12"/>
  <c r="CW13" i="12"/>
  <c r="CV13" i="12"/>
  <c r="CU13" i="12"/>
  <c r="CS13" i="12"/>
  <c r="CY12" i="12"/>
  <c r="CX12" i="12"/>
  <c r="CW12" i="12"/>
  <c r="CV12" i="12"/>
  <c r="CU12" i="12"/>
  <c r="CS12" i="12"/>
  <c r="CX36" i="4"/>
  <c r="CW36" i="4"/>
  <c r="CV36" i="4"/>
  <c r="CU36" i="4"/>
  <c r="CT36" i="4"/>
  <c r="CQ36" i="4"/>
  <c r="CX35" i="4"/>
  <c r="CW35" i="4"/>
  <c r="CV35" i="4"/>
  <c r="CU35" i="4"/>
  <c r="CT35" i="4"/>
  <c r="CQ35" i="4"/>
  <c r="CX34" i="4"/>
  <c r="CW34" i="4"/>
  <c r="CV34" i="4"/>
  <c r="CU34" i="4"/>
  <c r="CT34" i="4"/>
  <c r="CQ34" i="4"/>
  <c r="CX33" i="4"/>
  <c r="CW33" i="4"/>
  <c r="CV33" i="4"/>
  <c r="CU33" i="4"/>
  <c r="CT33" i="4"/>
  <c r="CQ33" i="4"/>
  <c r="CX32" i="4"/>
  <c r="CW32" i="4"/>
  <c r="CV32" i="4"/>
  <c r="CU32" i="4"/>
  <c r="CT32" i="4"/>
  <c r="CQ32" i="4"/>
  <c r="CX16" i="4"/>
  <c r="CW16" i="4"/>
  <c r="CV16" i="4"/>
  <c r="CU16" i="4"/>
  <c r="CT16" i="4"/>
  <c r="CQ16" i="4"/>
  <c r="H11" i="29"/>
  <c r="I61" i="29"/>
  <c r="I60" i="29"/>
  <c r="I59" i="29"/>
  <c r="I58" i="29"/>
  <c r="I57" i="29"/>
  <c r="I56" i="29"/>
  <c r="I54" i="29"/>
  <c r="I53" i="29"/>
  <c r="I52" i="29"/>
  <c r="I51" i="29"/>
  <c r="I50" i="29"/>
  <c r="D15" i="1"/>
  <c r="Q37" i="5"/>
  <c r="AA26" i="6"/>
  <c r="AA27" i="6"/>
  <c r="AA28" i="6"/>
  <c r="AA29" i="6"/>
  <c r="AA30" i="6"/>
  <c r="AA31" i="6"/>
  <c r="AA32" i="6"/>
  <c r="AA33" i="6"/>
  <c r="AA34" i="6"/>
  <c r="AA35" i="6"/>
  <c r="AA36" i="6"/>
  <c r="AA37" i="6"/>
  <c r="AA38" i="6"/>
  <c r="AA29" i="11"/>
  <c r="AA30" i="11"/>
  <c r="AA31" i="11"/>
  <c r="AA32" i="11"/>
  <c r="AA33" i="11"/>
  <c r="AA34" i="11"/>
  <c r="AA35" i="11"/>
  <c r="AA36" i="11"/>
  <c r="AA37" i="11"/>
  <c r="Q37" i="40"/>
  <c r="Q37" i="4"/>
  <c r="P37" i="5"/>
  <c r="P37" i="40"/>
  <c r="P37" i="4"/>
  <c r="O37" i="5"/>
  <c r="Y39" i="6"/>
  <c r="Y26" i="6"/>
  <c r="Y27" i="6"/>
  <c r="Y28" i="6"/>
  <c r="Y29" i="6"/>
  <c r="Y30" i="6"/>
  <c r="Y31" i="6"/>
  <c r="Y32" i="6"/>
  <c r="Y33" i="6"/>
  <c r="Y34" i="6"/>
  <c r="Y35" i="6"/>
  <c r="Y36" i="6"/>
  <c r="Y37" i="6"/>
  <c r="Y38" i="6"/>
  <c r="Y29" i="11"/>
  <c r="Y30" i="11"/>
  <c r="Y31" i="11"/>
  <c r="Y32" i="11"/>
  <c r="Y33" i="11"/>
  <c r="Y34" i="11"/>
  <c r="Y35" i="11"/>
  <c r="Y36" i="11"/>
  <c r="Y37" i="11"/>
  <c r="O37" i="40"/>
  <c r="N37" i="5"/>
  <c r="X39" i="6"/>
  <c r="X26" i="6"/>
  <c r="X27" i="6"/>
  <c r="X28" i="6"/>
  <c r="X29" i="6"/>
  <c r="X30" i="6"/>
  <c r="X31" i="6"/>
  <c r="X32" i="6"/>
  <c r="X33" i="6"/>
  <c r="X34" i="6"/>
  <c r="X35" i="6"/>
  <c r="X36" i="6"/>
  <c r="X37" i="6"/>
  <c r="X38" i="6"/>
  <c r="X29" i="11"/>
  <c r="X30" i="11"/>
  <c r="X31" i="11"/>
  <c r="X32" i="11"/>
  <c r="X33" i="11"/>
  <c r="X34" i="11"/>
  <c r="X35" i="11"/>
  <c r="X36" i="11"/>
  <c r="X37" i="11"/>
  <c r="N37" i="40"/>
  <c r="N37" i="4"/>
  <c r="M37" i="5"/>
  <c r="W26" i="6"/>
  <c r="W27" i="6"/>
  <c r="W28" i="6"/>
  <c r="W29" i="6"/>
  <c r="W30" i="6"/>
  <c r="W31" i="6"/>
  <c r="W32" i="6"/>
  <c r="W33" i="6"/>
  <c r="W34" i="6"/>
  <c r="W35" i="6"/>
  <c r="W36" i="6"/>
  <c r="W37" i="6"/>
  <c r="W38" i="6"/>
  <c r="W29" i="11"/>
  <c r="W30" i="11"/>
  <c r="W31" i="11"/>
  <c r="W32" i="11"/>
  <c r="W33" i="11"/>
  <c r="W34" i="11"/>
  <c r="W35" i="11"/>
  <c r="W36" i="11"/>
  <c r="W37" i="11"/>
  <c r="M37" i="40"/>
  <c r="M37" i="4"/>
  <c r="J37" i="5"/>
  <c r="T39" i="6"/>
  <c r="T26" i="6"/>
  <c r="T27" i="6"/>
  <c r="T28" i="6"/>
  <c r="T29" i="6"/>
  <c r="T30" i="6"/>
  <c r="T31" i="6"/>
  <c r="T32" i="6"/>
  <c r="T33" i="6"/>
  <c r="T34" i="6"/>
  <c r="T35" i="6"/>
  <c r="T36" i="6"/>
  <c r="T37" i="6"/>
  <c r="T38" i="6"/>
  <c r="J37" i="8"/>
  <c r="T29" i="11"/>
  <c r="T30" i="11"/>
  <c r="T31" i="11"/>
  <c r="T32" i="11"/>
  <c r="T33" i="11"/>
  <c r="T34" i="11"/>
  <c r="T35" i="11"/>
  <c r="T36" i="11"/>
  <c r="T37" i="11"/>
  <c r="J37" i="40"/>
  <c r="J37" i="4"/>
  <c r="D31" i="1"/>
  <c r="I62" i="29"/>
  <c r="I63" i="29"/>
  <c r="I64" i="29"/>
  <c r="I65" i="29"/>
  <c r="C49" i="28"/>
  <c r="I39" i="29"/>
  <c r="I40" i="29"/>
  <c r="I42" i="29"/>
  <c r="I43" i="29"/>
  <c r="I49" i="29"/>
  <c r="I38" i="29"/>
  <c r="I36" i="29"/>
  <c r="I35" i="29"/>
  <c r="I34" i="29"/>
  <c r="I33" i="29"/>
  <c r="D9" i="1"/>
  <c r="D8" i="1"/>
  <c r="D36" i="1"/>
  <c r="D41" i="1"/>
  <c r="D39" i="1"/>
  <c r="D30" i="1"/>
  <c r="D25" i="1"/>
  <c r="D24" i="1"/>
  <c r="D23" i="1"/>
  <c r="D22" i="1"/>
  <c r="D26" i="1"/>
  <c r="H7" i="1"/>
  <c r="H17" i="1"/>
  <c r="T38" i="12"/>
  <c r="Q51" i="12"/>
  <c r="U51" i="12"/>
  <c r="V51" i="12"/>
  <c r="Q38" i="12"/>
  <c r="S51" i="12"/>
  <c r="V38" i="12"/>
  <c r="W51" i="12"/>
  <c r="S38" i="12"/>
  <c r="W38" i="12"/>
  <c r="U38" i="12"/>
  <c r="CT27" i="40"/>
  <c r="CQ27" i="40"/>
  <c r="CU27" i="40"/>
  <c r="CV27" i="40"/>
  <c r="CW27" i="40"/>
  <c r="CX27" i="40"/>
  <c r="AJ5" i="15"/>
  <c r="CI38" i="12"/>
  <c r="CK38" i="12"/>
  <c r="CV9" i="12"/>
  <c r="CN38" i="12"/>
  <c r="CF38" i="12"/>
  <c r="CH38" i="12"/>
  <c r="CO38" i="12"/>
  <c r="CP38" i="12"/>
  <c r="AD38" i="12"/>
  <c r="CG38" i="12"/>
  <c r="CM38" i="12"/>
  <c r="CW11" i="12"/>
  <c r="CQ38" i="12"/>
  <c r="CV10" i="12"/>
  <c r="AH38" i="12"/>
  <c r="CX9" i="12"/>
  <c r="CU9" i="12"/>
  <c r="CU11" i="12"/>
  <c r="CV11" i="12"/>
  <c r="CQ23" i="40"/>
  <c r="CW23" i="40"/>
  <c r="CQ22" i="40"/>
  <c r="CS9" i="12"/>
  <c r="AI38" i="12"/>
  <c r="CW10" i="12"/>
  <c r="CT21" i="40"/>
  <c r="CT24" i="40"/>
  <c r="CU22" i="40"/>
  <c r="CV23" i="40"/>
  <c r="CV20" i="40"/>
  <c r="CY8" i="12"/>
  <c r="CY10" i="12"/>
  <c r="CY11" i="12"/>
  <c r="M45" i="40"/>
  <c r="CX10" i="12"/>
  <c r="CY9" i="12"/>
  <c r="CX11" i="12"/>
  <c r="CC38" i="12"/>
  <c r="CS7" i="12"/>
  <c r="CS38" i="12" s="1"/>
  <c r="CS39" i="12" s="1"/>
  <c r="CE38" i="12"/>
  <c r="CU8" i="12"/>
  <c r="CU10" i="12"/>
  <c r="CX7" i="12"/>
  <c r="CV8" i="12"/>
  <c r="CW9" i="12"/>
  <c r="AF38" i="12"/>
  <c r="CX8" i="12"/>
  <c r="CX38" i="12" s="1"/>
  <c r="CX39" i="12" s="1"/>
  <c r="AG38" i="12"/>
  <c r="CS10" i="12"/>
  <c r="AJ38" i="12"/>
  <c r="CU7" i="12"/>
  <c r="CU38" i="12" s="1"/>
  <c r="CS11" i="12"/>
  <c r="CS8" i="12"/>
  <c r="CW8" i="12"/>
  <c r="CV7" i="12"/>
  <c r="CV38" i="12" s="1"/>
  <c r="CV39" i="12" s="1"/>
  <c r="CX21" i="40"/>
  <c r="CX22" i="40"/>
  <c r="CU21" i="40"/>
  <c r="CU20" i="40"/>
  <c r="CT22" i="40"/>
  <c r="CT23" i="40"/>
  <c r="CU23" i="40"/>
  <c r="CV21" i="40"/>
  <c r="CT20" i="40"/>
  <c r="CV22" i="40"/>
  <c r="CU24" i="40"/>
  <c r="CX23" i="40"/>
  <c r="CX20" i="40"/>
  <c r="CW21" i="40"/>
  <c r="CV24" i="40"/>
  <c r="CW20" i="40"/>
  <c r="CQ24" i="40"/>
  <c r="CX24" i="40"/>
  <c r="CW22" i="40"/>
  <c r="CQ21" i="40"/>
  <c r="CQ20" i="40"/>
  <c r="CW24" i="40"/>
  <c r="AQ38" i="12"/>
  <c r="CY7" i="12"/>
  <c r="CY38" i="12" s="1"/>
  <c r="CY39" i="12" s="1"/>
  <c r="R5" i="15"/>
  <c r="CW7" i="12"/>
  <c r="BC38" i="12"/>
  <c r="CV32" i="47"/>
  <c r="CT31" i="47"/>
  <c r="CV33" i="47"/>
  <c r="CU33" i="47"/>
  <c r="CU31" i="47"/>
  <c r="CT32" i="47"/>
  <c r="CS51" i="12"/>
  <c r="CU51" i="12"/>
  <c r="CW51" i="12"/>
  <c r="CX51" i="12"/>
  <c r="CY51" i="12"/>
  <c r="CV51" i="12"/>
  <c r="CU32" i="47"/>
  <c r="CQ12" i="4"/>
  <c r="CQ11" i="40"/>
  <c r="CQ12" i="40"/>
  <c r="CQ17" i="40"/>
  <c r="CQ13" i="40"/>
  <c r="CQ16" i="40"/>
  <c r="CQ15" i="9"/>
  <c r="CQ17" i="9"/>
  <c r="CQ16" i="9"/>
  <c r="CQ19" i="40"/>
  <c r="CQ18" i="40"/>
  <c r="CQ14" i="9"/>
  <c r="CQ15" i="40"/>
  <c r="CQ14" i="40"/>
  <c r="CR12" i="4"/>
  <c r="CR19" i="40"/>
  <c r="CR14" i="9"/>
  <c r="CR14" i="40"/>
  <c r="CR11" i="40"/>
  <c r="CR15" i="40"/>
  <c r="CR12" i="40"/>
  <c r="CR18" i="40"/>
  <c r="CR17" i="40"/>
  <c r="CR16" i="9"/>
  <c r="CR17" i="9"/>
  <c r="CR13" i="40"/>
  <c r="CR15" i="9"/>
  <c r="CR16" i="40"/>
  <c r="CQ18" i="5"/>
  <c r="CR18" i="5"/>
  <c r="CT18" i="5"/>
  <c r="CT15" i="9"/>
  <c r="CT12" i="40"/>
  <c r="CT16" i="9"/>
  <c r="CT17" i="9"/>
  <c r="CT15" i="40"/>
  <c r="CT18" i="40"/>
  <c r="CT14" i="40"/>
  <c r="CT13" i="40"/>
  <c r="CT19" i="40"/>
  <c r="CT17" i="40"/>
  <c r="CT16" i="40"/>
  <c r="CT11" i="40"/>
  <c r="CT14" i="9"/>
  <c r="CT12" i="4"/>
  <c r="CU19" i="40"/>
  <c r="CU18" i="5"/>
  <c r="CU14" i="40"/>
  <c r="CU11" i="40"/>
  <c r="CU16" i="9"/>
  <c r="CU14" i="9"/>
  <c r="CU12" i="4"/>
  <c r="CU12" i="40"/>
  <c r="CU18" i="40"/>
  <c r="CU16" i="40"/>
  <c r="CU17" i="9"/>
  <c r="CU15" i="9"/>
  <c r="CU17" i="40"/>
  <c r="CU13" i="40"/>
  <c r="CU15" i="40"/>
  <c r="CV15" i="9"/>
  <c r="CV17" i="40"/>
  <c r="CV16" i="9"/>
  <c r="CV11" i="40"/>
  <c r="CV12" i="4"/>
  <c r="CV12" i="40"/>
  <c r="CV18" i="40"/>
  <c r="CV16" i="40"/>
  <c r="CV18" i="5"/>
  <c r="DA18" i="5" s="1"/>
  <c r="DB18" i="5" s="1"/>
  <c r="CV14" i="40"/>
  <c r="CV19" i="40"/>
  <c r="CV14" i="9"/>
  <c r="CV15" i="40"/>
  <c r="CV13" i="40"/>
  <c r="CV17" i="9"/>
  <c r="CW16" i="9"/>
  <c r="CW12" i="4"/>
  <c r="CW14" i="40"/>
  <c r="CW11" i="40"/>
  <c r="CW15" i="9"/>
  <c r="CW18" i="5"/>
  <c r="CW19" i="40"/>
  <c r="CW13" i="40"/>
  <c r="CW17" i="40"/>
  <c r="CW12" i="40"/>
  <c r="CW14" i="9"/>
  <c r="CW18" i="40"/>
  <c r="CW15" i="40"/>
  <c r="CW17" i="9"/>
  <c r="CW16" i="40"/>
  <c r="CX13" i="40"/>
  <c r="CX17" i="40"/>
  <c r="CX18" i="40"/>
  <c r="CX14" i="9"/>
  <c r="CX16" i="9"/>
  <c r="CX14" i="40"/>
  <c r="CX12" i="40"/>
  <c r="CX12" i="4"/>
  <c r="CX17" i="9"/>
  <c r="CX16" i="40"/>
  <c r="CX19" i="40"/>
  <c r="CX11" i="40"/>
  <c r="CX15" i="9"/>
  <c r="CX18" i="5"/>
  <c r="CX15" i="40"/>
  <c r="CH9" i="4"/>
  <c r="CI9" i="4"/>
  <c r="H9" i="29"/>
  <c r="BG19" i="13"/>
  <c r="H15" i="29"/>
  <c r="H18" i="29"/>
  <c r="H19" i="29"/>
  <c r="H6" i="29"/>
  <c r="H16" i="29"/>
  <c r="H22" i="29"/>
  <c r="H13" i="29"/>
  <c r="H14" i="29"/>
  <c r="H10" i="29"/>
  <c r="H7" i="29"/>
  <c r="H17" i="29"/>
  <c r="CH11" i="4"/>
  <c r="CH6" i="9"/>
  <c r="AA10" i="15"/>
  <c r="AA6" i="15"/>
  <c r="AB12" i="15"/>
  <c r="AB10" i="15"/>
  <c r="AB7" i="15"/>
  <c r="BY42" i="40"/>
  <c r="BY45" i="40" s="1"/>
  <c r="BZ42" i="40"/>
  <c r="BZ45" i="40"/>
  <c r="AA7" i="15"/>
  <c r="CH9" i="9"/>
  <c r="CH8" i="40"/>
  <c r="CI6" i="40"/>
  <c r="CI7" i="40"/>
  <c r="CH6" i="40"/>
  <c r="CH7" i="40"/>
  <c r="CI42" i="40"/>
  <c r="CI45" i="40" s="1"/>
  <c r="CH42" i="40"/>
  <c r="CH45" i="40" s="1"/>
  <c r="CI6" i="4"/>
  <c r="CI7" i="4"/>
  <c r="CH6" i="4"/>
  <c r="CH7" i="4"/>
  <c r="CH8" i="4"/>
  <c r="CI8" i="4"/>
  <c r="CI10" i="4"/>
  <c r="CI19" i="4"/>
  <c r="CI27" i="4"/>
  <c r="CH14" i="4"/>
  <c r="CH21" i="4"/>
  <c r="CI13" i="4"/>
  <c r="CI20" i="4"/>
  <c r="CH17" i="4"/>
  <c r="CH18" i="4"/>
  <c r="CH22" i="4"/>
  <c r="CI14" i="4"/>
  <c r="CI21" i="4"/>
  <c r="CH10" i="4"/>
  <c r="CH19" i="4"/>
  <c r="CH27" i="4"/>
  <c r="CI17" i="4"/>
  <c r="CI18" i="4"/>
  <c r="CI22" i="4"/>
  <c r="CH13" i="4"/>
  <c r="CH20" i="4"/>
  <c r="CI29" i="4"/>
  <c r="CH29" i="4"/>
  <c r="CI23" i="4"/>
  <c r="CH25" i="4"/>
  <c r="CI24" i="4"/>
  <c r="CH26" i="4"/>
  <c r="CI25" i="4"/>
  <c r="CH23" i="4"/>
  <c r="CI26" i="4"/>
  <c r="CH24" i="4"/>
  <c r="AS12" i="15"/>
  <c r="CH8" i="9"/>
  <c r="AA12" i="15"/>
  <c r="AS10" i="15"/>
  <c r="CH7" i="9"/>
  <c r="AT12" i="15"/>
  <c r="AT10" i="15"/>
  <c r="AB6" i="15"/>
  <c r="BG16" i="13"/>
  <c r="BD18" i="13"/>
  <c r="BG15" i="13"/>
  <c r="BJ15" i="13"/>
  <c r="BJ19" i="13"/>
  <c r="BG18" i="13"/>
  <c r="BD17" i="13"/>
  <c r="BF15" i="13"/>
  <c r="BF19" i="13"/>
  <c r="BH13" i="13"/>
  <c r="BH17" i="13"/>
  <c r="BD14" i="13"/>
  <c r="BI16" i="13"/>
  <c r="BD15" i="13"/>
  <c r="BI19" i="13"/>
  <c r="BI13" i="13"/>
  <c r="BD19" i="13"/>
  <c r="BF16" i="13"/>
  <c r="BF13" i="13"/>
  <c r="BJ16" i="13"/>
  <c r="BH14" i="13"/>
  <c r="BH18" i="13"/>
  <c r="BG17" i="13"/>
  <c r="BI17" i="13"/>
  <c r="BC19" i="13"/>
  <c r="BI18" i="13"/>
  <c r="BC16" i="13"/>
  <c r="BD13" i="13"/>
  <c r="BG13" i="13"/>
  <c r="BF17" i="13"/>
  <c r="BF14" i="13"/>
  <c r="BJ13" i="13"/>
  <c r="BJ17" i="13"/>
  <c r="BH15" i="13"/>
  <c r="BH19" i="13"/>
  <c r="BC13" i="13"/>
  <c r="BC17" i="13"/>
  <c r="BC15" i="13"/>
  <c r="BD16" i="13"/>
  <c r="BG14" i="13"/>
  <c r="BI14" i="13"/>
  <c r="BI15" i="13"/>
  <c r="BF18" i="13"/>
  <c r="BJ14" i="13"/>
  <c r="BJ18" i="13"/>
  <c r="BH16" i="13"/>
  <c r="BC14" i="13"/>
  <c r="BC18" i="13"/>
  <c r="Q37" i="8"/>
  <c r="CR27" i="8"/>
  <c r="CR28" i="8"/>
  <c r="CQ29" i="8"/>
  <c r="CQ28" i="8"/>
  <c r="CR29" i="8"/>
  <c r="CX28" i="8"/>
  <c r="CX29" i="8"/>
  <c r="CQ27" i="8"/>
  <c r="CU27" i="8"/>
  <c r="M37" i="8"/>
  <c r="P37" i="8"/>
  <c r="CX27" i="8"/>
  <c r="N37" i="8"/>
  <c r="CW28" i="8"/>
  <c r="CT29" i="8"/>
  <c r="CU29" i="8"/>
  <c r="O37" i="8"/>
  <c r="CW29" i="8"/>
  <c r="AD20" i="17"/>
  <c r="CT28" i="8"/>
  <c r="CU28" i="8"/>
  <c r="CV27" i="8"/>
  <c r="CT27" i="8"/>
  <c r="CV29" i="8"/>
  <c r="CW27" i="8"/>
  <c r="CV28" i="8"/>
  <c r="AB20" i="17"/>
  <c r="AA20" i="17"/>
  <c r="Z20" i="17"/>
  <c r="AC20" i="17"/>
  <c r="K37" i="55"/>
  <c r="CJ9" i="5"/>
  <c r="CJ12" i="5"/>
  <c r="AV18" i="55"/>
  <c r="AV14" i="55"/>
  <c r="AV17" i="55"/>
  <c r="AK5" i="15"/>
  <c r="CQ6" i="6"/>
  <c r="CL6" i="5"/>
  <c r="F25" i="41"/>
  <c r="D33" i="23"/>
  <c r="F33" i="23"/>
  <c r="D38" i="23"/>
  <c r="D34" i="23"/>
  <c r="D35" i="23"/>
  <c r="D36" i="23"/>
  <c r="AT8" i="15"/>
  <c r="D17" i="23"/>
  <c r="E35" i="23"/>
  <c r="G10" i="19"/>
  <c r="F35" i="23"/>
  <c r="G38" i="23"/>
  <c r="E17" i="23"/>
  <c r="F36" i="23"/>
  <c r="D28" i="53"/>
  <c r="L3" i="23"/>
  <c r="E33" i="23"/>
  <c r="F38" i="23"/>
  <c r="G35" i="23"/>
  <c r="D26" i="53"/>
  <c r="N26" i="53"/>
  <c r="C10" i="19"/>
  <c r="D22" i="53"/>
  <c r="N22" i="53"/>
  <c r="P37" i="55"/>
  <c r="AB8" i="15"/>
  <c r="CU39" i="12"/>
  <c r="D9" i="48"/>
  <c r="BC36" i="52"/>
  <c r="E36" i="23"/>
  <c r="F17" i="23"/>
  <c r="G36" i="23"/>
  <c r="G41" i="23"/>
  <c r="AS8" i="15"/>
  <c r="D10" i="48"/>
  <c r="AR42" i="54"/>
  <c r="CT38" i="12"/>
  <c r="CT39" i="12" s="1"/>
  <c r="E38" i="23"/>
  <c r="F10" i="19"/>
  <c r="AS9" i="15"/>
  <c r="AA9" i="15"/>
  <c r="H18" i="28"/>
  <c r="E29" i="23"/>
  <c r="E34" i="23"/>
  <c r="F29" i="23"/>
  <c r="G17" i="23"/>
  <c r="G33" i="23"/>
  <c r="G34" i="23"/>
  <c r="G29" i="23"/>
  <c r="CW38" i="12"/>
  <c r="CW39" i="12"/>
  <c r="O22" i="53"/>
  <c r="N21" i="53"/>
  <c r="O21" i="53"/>
  <c r="N20" i="53"/>
  <c r="O20" i="53"/>
  <c r="E26" i="53"/>
  <c r="D24" i="53"/>
  <c r="E28" i="53"/>
  <c r="E24" i="53"/>
  <c r="E10" i="19"/>
  <c r="F34" i="23"/>
  <c r="O26" i="53"/>
  <c r="CZ37" i="5"/>
  <c r="U39" i="6"/>
  <c r="Z39" i="6"/>
  <c r="AA39" i="6"/>
  <c r="I41" i="29"/>
  <c r="CL8" i="5"/>
  <c r="CI8" i="5"/>
  <c r="CH17" i="5"/>
  <c r="CI6" i="5"/>
  <c r="CH11" i="5"/>
  <c r="AS7" i="15"/>
  <c r="AY8" i="15"/>
  <c r="AT7" i="15"/>
  <c r="AU17" i="55"/>
  <c r="AT14" i="55"/>
  <c r="N31" i="28"/>
  <c r="O31" i="28" s="1"/>
  <c r="P31" i="28" s="1"/>
  <c r="Q31" i="28" s="1"/>
  <c r="R31" i="28" s="1"/>
  <c r="S31" i="28" s="1"/>
  <c r="T31" i="28" s="1"/>
  <c r="U31" i="28" s="1"/>
  <c r="AI6" i="7"/>
  <c r="CI16" i="5"/>
  <c r="CH9" i="5"/>
  <c r="CL16" i="5"/>
  <c r="CM9" i="5"/>
  <c r="CI14" i="5"/>
  <c r="CK6" i="8"/>
  <c r="CK8" i="8"/>
  <c r="CK13" i="8"/>
  <c r="CK15" i="8"/>
  <c r="CK6" i="40"/>
  <c r="CK7" i="40"/>
  <c r="CK8" i="40"/>
  <c r="CK9" i="40"/>
  <c r="CK37" i="40" s="1"/>
  <c r="CK10" i="40"/>
  <c r="CK14" i="8"/>
  <c r="CN8" i="8"/>
  <c r="CN12" i="8"/>
  <c r="CN7" i="40"/>
  <c r="CN9" i="40"/>
  <c r="CN10" i="40"/>
  <c r="CO6" i="40"/>
  <c r="CO37" i="40" s="1"/>
  <c r="CO7" i="40"/>
  <c r="CO8" i="40"/>
  <c r="CO9" i="40"/>
  <c r="CK12" i="8"/>
  <c r="CN7" i="8"/>
  <c r="CN11" i="8"/>
  <c r="CN15" i="8"/>
  <c r="CO10" i="40"/>
  <c r="CN8" i="40"/>
  <c r="CM7" i="8"/>
  <c r="CM11" i="8"/>
  <c r="CM15" i="8"/>
  <c r="CM7" i="40"/>
  <c r="CL6" i="40"/>
  <c r="CL7" i="40"/>
  <c r="CL37" i="40" s="1"/>
  <c r="CL8" i="40"/>
  <c r="CL9" i="40"/>
  <c r="CH6" i="8"/>
  <c r="CH7" i="8"/>
  <c r="CK11" i="8"/>
  <c r="CN6" i="8"/>
  <c r="CN14" i="8"/>
  <c r="CN6" i="40"/>
  <c r="CM6" i="8"/>
  <c r="CM14" i="8"/>
  <c r="CM6" i="40"/>
  <c r="CM10" i="40"/>
  <c r="CL10" i="40"/>
  <c r="CH8" i="8"/>
  <c r="CH9" i="8"/>
  <c r="CH11" i="8"/>
  <c r="CH12" i="8"/>
  <c r="CH13" i="8"/>
  <c r="CH14" i="8"/>
  <c r="CH15" i="8"/>
  <c r="CK6" i="9"/>
  <c r="CK7" i="9"/>
  <c r="CK8" i="9"/>
  <c r="CK37" i="9" s="1"/>
  <c r="CK9" i="9"/>
  <c r="CO6" i="9"/>
  <c r="CO7" i="9"/>
  <c r="CO8" i="9"/>
  <c r="CO37" i="9" s="1"/>
  <c r="CO9" i="9"/>
  <c r="CN7" i="9"/>
  <c r="CM6" i="9"/>
  <c r="CM7" i="9"/>
  <c r="CM37" i="9" s="1"/>
  <c r="CM8" i="9"/>
  <c r="CM9" i="9"/>
  <c r="CL6" i="9"/>
  <c r="CL7" i="9"/>
  <c r="CL37" i="9" s="1"/>
  <c r="CN6" i="9"/>
  <c r="CN37" i="9" s="1"/>
  <c r="CL8" i="9"/>
  <c r="CL9" i="9"/>
  <c r="AS6" i="15"/>
  <c r="CI8" i="40"/>
  <c r="CH9" i="40"/>
  <c r="CI9" i="40"/>
  <c r="H28" i="29"/>
  <c r="H8" i="29"/>
  <c r="H21" i="29"/>
  <c r="CL13" i="8"/>
  <c r="CL9" i="8"/>
  <c r="CM8" i="40"/>
  <c r="CM12" i="8"/>
  <c r="CN13" i="8"/>
  <c r="CN37" i="8"/>
  <c r="CH10" i="40"/>
  <c r="CI10" i="40"/>
  <c r="H27" i="29"/>
  <c r="CI9" i="9"/>
  <c r="CI37" i="9" s="1"/>
  <c r="CI8" i="9"/>
  <c r="CI7" i="9"/>
  <c r="CI6" i="9"/>
  <c r="CI15" i="8"/>
  <c r="CI14" i="8"/>
  <c r="CI13" i="8"/>
  <c r="CI12" i="8"/>
  <c r="CI11" i="8"/>
  <c r="CI9" i="8"/>
  <c r="CI8" i="8"/>
  <c r="CI7" i="8"/>
  <c r="CI6" i="8"/>
  <c r="CL14" i="8"/>
  <c r="CL6" i="8"/>
  <c r="CL37" i="8" s="1"/>
  <c r="CM9" i="40"/>
  <c r="CM13" i="8"/>
  <c r="CN16" i="5"/>
  <c r="CM13" i="5"/>
  <c r="CO7" i="5"/>
  <c r="CM6" i="5"/>
  <c r="CM17" i="5"/>
  <c r="CO11" i="5"/>
  <c r="CL10" i="5"/>
  <c r="CH13" i="5"/>
  <c r="CI10" i="5"/>
  <c r="CO15" i="5"/>
  <c r="CL12" i="5"/>
  <c r="CH7" i="5"/>
  <c r="CH15" i="5"/>
  <c r="CI12" i="5"/>
  <c r="CK42" i="40"/>
  <c r="CK45" i="40"/>
  <c r="CO42" i="40"/>
  <c r="CO45" i="40" s="1"/>
  <c r="CN17" i="4"/>
  <c r="CN10" i="4"/>
  <c r="CN13" i="4"/>
  <c r="CN14" i="4"/>
  <c r="CN20" i="4"/>
  <c r="CN21" i="4"/>
  <c r="CN22" i="4"/>
  <c r="CM18" i="4"/>
  <c r="AG8" i="15"/>
  <c r="AD8" i="15"/>
  <c r="AE8" i="15"/>
  <c r="AD10" i="15"/>
  <c r="AH10" i="15"/>
  <c r="AV10" i="15"/>
  <c r="AW8" i="15"/>
  <c r="AY10" i="15"/>
  <c r="AW10" i="15"/>
  <c r="AT17" i="55"/>
  <c r="AU14" i="55"/>
  <c r="AY11" i="13"/>
  <c r="AX11" i="13"/>
  <c r="AZ11" i="13"/>
  <c r="AW11" i="13"/>
  <c r="BA11" i="13"/>
  <c r="AT18" i="55"/>
  <c r="AU7" i="13"/>
  <c r="E25" i="41"/>
  <c r="D10" i="19"/>
  <c r="H10" i="19"/>
  <c r="D29" i="23"/>
  <c r="AV31" i="6"/>
  <c r="CK14" i="5"/>
  <c r="CK11" i="5"/>
  <c r="CN11" i="5"/>
  <c r="CN17" i="5"/>
  <c r="CO8" i="5"/>
  <c r="CO12" i="5"/>
  <c r="CO16" i="5"/>
  <c r="CM8" i="5"/>
  <c r="CM12" i="5"/>
  <c r="CM16" i="5"/>
  <c r="CK9" i="5"/>
  <c r="CN7" i="5"/>
  <c r="CN14" i="5"/>
  <c r="CO6" i="5"/>
  <c r="CO10" i="5"/>
  <c r="CO14" i="5"/>
  <c r="CM7" i="5"/>
  <c r="CM10" i="5"/>
  <c r="CM14" i="5"/>
  <c r="CN13" i="5"/>
  <c r="CO9" i="5"/>
  <c r="CO17" i="5"/>
  <c r="CM15" i="5"/>
  <c r="CL7" i="5"/>
  <c r="CL37" i="5" s="1"/>
  <c r="CL11" i="5"/>
  <c r="CL15" i="5"/>
  <c r="CH8" i="5"/>
  <c r="CH12" i="5"/>
  <c r="CH16" i="5"/>
  <c r="CI9" i="5"/>
  <c r="CI13" i="5"/>
  <c r="CI17" i="5"/>
  <c r="CI37" i="5" s="1"/>
  <c r="CK15" i="5"/>
  <c r="CN6" i="5"/>
  <c r="CO13" i="5"/>
  <c r="CM11" i="5"/>
  <c r="CL9" i="5"/>
  <c r="CL13" i="5"/>
  <c r="CL17" i="5"/>
  <c r="CH6" i="5"/>
  <c r="CH10" i="5"/>
  <c r="CH14" i="5"/>
  <c r="CI7" i="5"/>
  <c r="CI11" i="5"/>
  <c r="CI15" i="5"/>
  <c r="CN10" i="5"/>
  <c r="AT8" i="13"/>
  <c r="AT7" i="13"/>
  <c r="CN42" i="40"/>
  <c r="CN45" i="40" s="1"/>
  <c r="BA10" i="13"/>
  <c r="AW10" i="13"/>
  <c r="AU10" i="13"/>
  <c r="AZ10" i="13"/>
  <c r="AY10" i="13"/>
  <c r="AX10" i="13"/>
  <c r="AW14" i="55"/>
  <c r="AX17" i="55"/>
  <c r="AY14" i="55"/>
  <c r="AY17" i="55"/>
  <c r="AW18" i="55"/>
  <c r="AY18" i="55"/>
  <c r="AZ17" i="55"/>
  <c r="BA18" i="55"/>
  <c r="AW17" i="55"/>
  <c r="AX18" i="55"/>
  <c r="AX14" i="55"/>
  <c r="AZ18" i="55"/>
  <c r="BA17" i="55"/>
  <c r="BA37" i="55" s="1"/>
  <c r="AU8" i="13"/>
  <c r="AU18" i="55"/>
  <c r="BA14" i="55"/>
  <c r="AZ14" i="55"/>
  <c r="CM17" i="4"/>
  <c r="CM14" i="4"/>
  <c r="CO22" i="4"/>
  <c r="CO21" i="4"/>
  <c r="CO20" i="4"/>
  <c r="CO19" i="4"/>
  <c r="CN19" i="4"/>
  <c r="CN18" i="4"/>
  <c r="AZ10" i="15"/>
  <c r="AX10" i="15"/>
  <c r="CK27" i="4"/>
  <c r="CM21" i="4"/>
  <c r="CM20" i="4"/>
  <c r="CM19" i="4"/>
  <c r="CM10" i="4"/>
  <c r="CM9" i="4"/>
  <c r="CL35" i="6"/>
  <c r="CO14" i="4"/>
  <c r="CO13" i="4"/>
  <c r="CN27" i="4"/>
  <c r="CN9" i="4"/>
  <c r="CK7" i="8"/>
  <c r="CK9" i="8"/>
  <c r="AH8" i="15"/>
  <c r="H12" i="29"/>
  <c r="V42" i="40"/>
  <c r="Y42" i="40"/>
  <c r="T42" i="40"/>
  <c r="T45" i="40" s="1"/>
  <c r="X42" i="40"/>
  <c r="W42" i="40"/>
  <c r="Z42" i="40"/>
  <c r="Z45" i="40" s="1"/>
  <c r="S42" i="40"/>
  <c r="BZ33" i="6"/>
  <c r="BZ28" i="6"/>
  <c r="BN30" i="6"/>
  <c r="D20" i="29"/>
  <c r="CK16" i="5"/>
  <c r="CK9" i="4"/>
  <c r="CK10" i="4"/>
  <c r="CK13" i="4"/>
  <c r="CK14" i="4"/>
  <c r="CK17" i="4"/>
  <c r="CK18" i="4"/>
  <c r="CK19" i="4"/>
  <c r="CK20" i="4"/>
  <c r="CK21" i="4"/>
  <c r="CK22" i="4"/>
  <c r="CK10" i="5"/>
  <c r="CK13" i="5"/>
  <c r="CK6" i="5"/>
  <c r="CK8" i="5"/>
  <c r="CK37" i="5" s="1"/>
  <c r="CK17" i="5"/>
  <c r="CK7" i="5"/>
  <c r="CK12" i="5"/>
  <c r="CN8" i="5"/>
  <c r="CN9" i="5"/>
  <c r="CN12" i="5"/>
  <c r="CN15" i="5"/>
  <c r="CB42" i="40"/>
  <c r="CB45" i="40" s="1"/>
  <c r="E20" i="29"/>
  <c r="CK15" i="4"/>
  <c r="CO15" i="4"/>
  <c r="CH15" i="4"/>
  <c r="CM15" i="4"/>
  <c r="CI15" i="4"/>
  <c r="CN15" i="4"/>
  <c r="CK29" i="4"/>
  <c r="AG10" i="15"/>
  <c r="AE10" i="15"/>
  <c r="AF10" i="15"/>
  <c r="AZ8" i="15"/>
  <c r="AV8" i="15"/>
  <c r="AF8" i="15"/>
  <c r="AN11" i="5"/>
  <c r="AP9" i="5"/>
  <c r="AR11" i="5"/>
  <c r="AN17" i="5"/>
  <c r="AN6" i="5"/>
  <c r="AQ10" i="5"/>
  <c r="AN15" i="5"/>
  <c r="AP13" i="5"/>
  <c r="AO13" i="5"/>
  <c r="AP17" i="5"/>
  <c r="AR10" i="5"/>
  <c r="AO17" i="5"/>
  <c r="AP14" i="5"/>
  <c r="AQ17" i="5"/>
  <c r="AP15" i="5"/>
  <c r="AO7" i="5"/>
  <c r="AR14" i="5"/>
  <c r="AQ12" i="5"/>
  <c r="AO15" i="5"/>
  <c r="AN13" i="5"/>
  <c r="AO16" i="5"/>
  <c r="AQ15" i="5"/>
  <c r="AP6" i="5"/>
  <c r="AR12" i="5"/>
  <c r="AP7" i="5"/>
  <c r="AO9" i="5"/>
  <c r="AQ13" i="5"/>
  <c r="AP11" i="5"/>
  <c r="AQ14" i="5"/>
  <c r="AT14" i="15"/>
  <c r="BC14" i="15"/>
  <c r="BM4" i="52"/>
  <c r="AE5" i="9"/>
  <c r="AE9" i="9" s="1"/>
  <c r="M17" i="44"/>
  <c r="AZ6" i="11"/>
  <c r="AC5" i="8"/>
  <c r="AC11" i="8"/>
  <c r="U30" i="44"/>
  <c r="K6" i="6"/>
  <c r="AY6" i="12"/>
  <c r="CQ5" i="47"/>
  <c r="AD17" i="44"/>
  <c r="X4" i="52"/>
  <c r="AH42" i="54"/>
  <c r="AV6" i="12"/>
  <c r="AL5" i="13"/>
  <c r="CI5" i="47"/>
  <c r="Q42" i="54"/>
  <c r="AR6" i="6"/>
  <c r="AT5" i="13"/>
  <c r="AU5" i="55"/>
  <c r="CI5" i="40"/>
  <c r="AX6" i="11"/>
  <c r="AV5" i="40"/>
  <c r="BL42" i="54"/>
  <c r="G18" i="28"/>
  <c r="F18" i="28" s="1"/>
  <c r="E18" i="28" s="1"/>
  <c r="D18" i="28" s="1"/>
  <c r="L31" i="23"/>
  <c r="CS6" i="12"/>
  <c r="CQ5" i="4"/>
  <c r="AU6" i="11"/>
  <c r="BY5" i="8"/>
  <c r="J5" i="55"/>
  <c r="R5" i="17"/>
  <c r="AW6" i="6"/>
  <c r="AI5" i="5"/>
  <c r="AI16" i="5"/>
  <c r="E42" i="54"/>
  <c r="BB4" i="54"/>
  <c r="D4" i="54"/>
  <c r="AD6" i="40"/>
  <c r="AG5" i="9"/>
  <c r="K6" i="7"/>
  <c r="BD5" i="55"/>
  <c r="AU5" i="13"/>
  <c r="AI6" i="11"/>
  <c r="AW6" i="11"/>
  <c r="AY6" i="11"/>
  <c r="BA6" i="11"/>
  <c r="CO6" i="11"/>
  <c r="C9" i="44"/>
  <c r="AB5" i="4"/>
  <c r="S41" i="40"/>
  <c r="AD6" i="12"/>
  <c r="AD5" i="8"/>
  <c r="L44" i="44"/>
  <c r="AT6" i="12"/>
  <c r="AH5" i="5"/>
  <c r="AH14" i="5"/>
  <c r="AM14" i="5" s="1"/>
  <c r="AE44" i="44"/>
  <c r="AI6" i="6"/>
  <c r="BZ5" i="47"/>
  <c r="T5" i="4"/>
  <c r="T5" i="40"/>
  <c r="Y6" i="53"/>
  <c r="AK5" i="5"/>
  <c r="AK16" i="5" s="1"/>
  <c r="AK14" i="5"/>
  <c r="AL5" i="47"/>
  <c r="CI5" i="9"/>
  <c r="AD30" i="44"/>
  <c r="J6" i="6"/>
  <c r="S5" i="4"/>
  <c r="S31" i="4" s="1"/>
  <c r="U9" i="44"/>
  <c r="D6" i="61" s="1"/>
  <c r="AF5" i="4"/>
  <c r="AF31" i="4"/>
  <c r="BL4" i="52"/>
  <c r="CQ5" i="5"/>
  <c r="AT5" i="15"/>
  <c r="M19" i="23"/>
  <c r="AL5" i="55"/>
  <c r="AX6" i="7"/>
  <c r="CD6" i="12"/>
  <c r="AL5" i="8"/>
  <c r="CR5" i="4"/>
  <c r="I6" i="12"/>
  <c r="CH5" i="4"/>
  <c r="C44" i="44"/>
  <c r="DF6" i="11"/>
  <c r="S5" i="13"/>
  <c r="AB5" i="13"/>
  <c r="AS6" i="11"/>
  <c r="AR4" i="54"/>
  <c r="S5" i="9"/>
  <c r="CN6" i="7"/>
  <c r="AH6" i="7"/>
  <c r="AQ6" i="7"/>
  <c r="AR6" i="7"/>
  <c r="AS6" i="7"/>
  <c r="AT6" i="7"/>
  <c r="AU6" i="7"/>
  <c r="CH5" i="9"/>
  <c r="AU6" i="6"/>
  <c r="AV6" i="7"/>
  <c r="AB5" i="8"/>
  <c r="AB8" i="8" s="1"/>
  <c r="AB9" i="8"/>
  <c r="N4" i="52"/>
  <c r="BB42" i="54"/>
  <c r="CR5" i="5"/>
  <c r="AH5" i="9"/>
  <c r="BZ5" i="8"/>
  <c r="T5" i="8"/>
  <c r="AL5" i="4"/>
  <c r="AL31" i="4"/>
  <c r="AJ5" i="9"/>
  <c r="BZ5" i="40"/>
  <c r="O4" i="52"/>
  <c r="T5" i="5"/>
  <c r="M31" i="23"/>
  <c r="AI4" i="54"/>
  <c r="AR6" i="12"/>
  <c r="D44" i="44"/>
  <c r="BD5" i="13"/>
  <c r="AC5" i="55"/>
  <c r="O6" i="53"/>
  <c r="BA6" i="7"/>
  <c r="AF8" i="40"/>
  <c r="CH5" i="40"/>
  <c r="Q6" i="12"/>
  <c r="BC5" i="13"/>
  <c r="AG5" i="47"/>
  <c r="BY41" i="40"/>
  <c r="AT6" i="6"/>
  <c r="AH6" i="6"/>
  <c r="AS5" i="15"/>
  <c r="L9" i="44"/>
  <c r="BB36" i="52"/>
  <c r="AM6" i="12"/>
  <c r="AD44" i="44"/>
  <c r="CN6" i="6"/>
  <c r="AD9" i="44"/>
  <c r="D32" i="53"/>
  <c r="AM5" i="9"/>
  <c r="AI5" i="8"/>
  <c r="AI13" i="8" s="1"/>
  <c r="CR5" i="9"/>
  <c r="BZ5" i="9"/>
  <c r="K5" i="13"/>
  <c r="AM5" i="4"/>
  <c r="CO6" i="6"/>
  <c r="AJ9" i="40"/>
  <c r="BC42" i="54"/>
  <c r="R45" i="12"/>
  <c r="AY6" i="7"/>
  <c r="CR5" i="47"/>
  <c r="CT45" i="12"/>
  <c r="AI6" i="40"/>
  <c r="CZ6" i="7"/>
  <c r="AN5" i="55"/>
  <c r="BM6" i="11"/>
  <c r="CK41" i="40"/>
  <c r="AZ6" i="12"/>
  <c r="AA6" i="53"/>
  <c r="AX5" i="40"/>
  <c r="K40" i="19"/>
  <c r="AA4" i="52"/>
  <c r="AD5" i="15"/>
  <c r="AE5" i="55"/>
  <c r="G32" i="53"/>
  <c r="CT5" i="9"/>
  <c r="CE6" i="12"/>
  <c r="AX5" i="5"/>
  <c r="AX6" i="5"/>
  <c r="AU5" i="8"/>
  <c r="X9" i="44"/>
  <c r="O17" i="44"/>
  <c r="BJ6" i="11"/>
  <c r="V5" i="40"/>
  <c r="AK4" i="54"/>
  <c r="Q4" i="54"/>
  <c r="BK6" i="6"/>
  <c r="AV5" i="15"/>
  <c r="H8" i="26"/>
  <c r="M5" i="55"/>
  <c r="BE4" i="52"/>
  <c r="G4" i="52"/>
  <c r="M20" i="61" s="1"/>
  <c r="AW5" i="5"/>
  <c r="AW16" i="5" s="1"/>
  <c r="AW5" i="13"/>
  <c r="BE36" i="52"/>
  <c r="G4" i="54"/>
  <c r="M5" i="8"/>
  <c r="BK6" i="7"/>
  <c r="AY5" i="4"/>
  <c r="BM6" i="6"/>
  <c r="O30" i="44"/>
  <c r="AG17" i="44"/>
  <c r="U5" i="15"/>
  <c r="CB5" i="4"/>
  <c r="AK42" i="54"/>
  <c r="V5" i="55"/>
  <c r="AY5" i="8"/>
  <c r="BO4" i="52"/>
  <c r="CT5" i="5"/>
  <c r="M6" i="6"/>
  <c r="W6" i="6"/>
  <c r="CT5" i="4"/>
  <c r="AY5" i="9"/>
  <c r="V5" i="8"/>
  <c r="AG9" i="44"/>
  <c r="BK6" i="11"/>
  <c r="AU5" i="40"/>
  <c r="AU41" i="40"/>
  <c r="AM5" i="15"/>
  <c r="AU5" i="4"/>
  <c r="AU31" i="4" s="1"/>
  <c r="CK5" i="9"/>
  <c r="AW5" i="40"/>
  <c r="AW7" i="40" s="1"/>
  <c r="V5" i="5"/>
  <c r="G41" i="53"/>
  <c r="BF5" i="13"/>
  <c r="BE4" i="54"/>
  <c r="BC5" i="55"/>
  <c r="N42" i="54"/>
  <c r="J5" i="13"/>
  <c r="AQ6" i="6"/>
  <c r="AT5" i="55"/>
  <c r="AR4" i="52"/>
  <c r="N6" i="53"/>
  <c r="AR6" i="11"/>
  <c r="S5" i="5"/>
  <c r="AC5" i="5"/>
  <c r="AC21" i="5" s="1"/>
  <c r="L17" i="44"/>
  <c r="J41" i="40"/>
  <c r="BY5" i="5"/>
  <c r="N4" i="54"/>
  <c r="AB5" i="47"/>
  <c r="AS6" i="6"/>
  <c r="CN6" i="11"/>
  <c r="C30" i="44"/>
  <c r="AC5" i="4"/>
  <c r="AC31" i="4"/>
  <c r="I5" i="15"/>
  <c r="AC5" i="9"/>
  <c r="E5" i="17"/>
  <c r="J5" i="40"/>
  <c r="AG5" i="8"/>
  <c r="AV6" i="6"/>
  <c r="AH4" i="54"/>
  <c r="S5" i="40"/>
  <c r="AG5" i="4"/>
  <c r="N32" i="53"/>
  <c r="X6" i="53"/>
  <c r="CS45" i="12"/>
  <c r="CW6" i="6"/>
  <c r="AN6" i="12"/>
  <c r="AF5" i="9"/>
  <c r="CW6" i="11"/>
  <c r="AD5" i="5"/>
  <c r="AD10" i="5" s="1"/>
  <c r="T6" i="11"/>
  <c r="H6" i="12"/>
  <c r="D4" i="52"/>
  <c r="BB5" i="15"/>
  <c r="AG5" i="5"/>
  <c r="CQ5" i="40"/>
  <c r="AB5" i="5"/>
  <c r="AB19" i="5" s="1"/>
  <c r="BY5" i="9"/>
  <c r="AB5" i="55"/>
  <c r="S5" i="8"/>
  <c r="Q5" i="17"/>
  <c r="L2" i="44"/>
  <c r="C17" i="62" s="1"/>
  <c r="CK6" i="12"/>
  <c r="AF5" i="5"/>
  <c r="AF7" i="5" s="1"/>
  <c r="BY5" i="4"/>
  <c r="Q45" i="12"/>
  <c r="AO6" i="12"/>
  <c r="CQ5" i="9"/>
  <c r="AE5" i="8"/>
  <c r="AE15" i="8"/>
  <c r="BC4" i="54"/>
  <c r="CI5" i="5"/>
  <c r="M2" i="44"/>
  <c r="D17" i="62" s="1"/>
  <c r="CR5" i="40"/>
  <c r="U6" i="11"/>
  <c r="AI5" i="9"/>
  <c r="AI6" i="9" s="1"/>
  <c r="CX6" i="6"/>
  <c r="CR5" i="8"/>
  <c r="AH5" i="4"/>
  <c r="AK5" i="4"/>
  <c r="AK31" i="4"/>
  <c r="AI42" i="54"/>
  <c r="AS42" i="54"/>
  <c r="E32" i="53"/>
  <c r="V44" i="44"/>
  <c r="S5" i="15"/>
  <c r="AK7" i="40"/>
  <c r="V9" i="44"/>
  <c r="E6" i="61" s="1"/>
  <c r="CI5" i="8"/>
  <c r="AK5" i="9"/>
  <c r="V30" i="44"/>
  <c r="O32" i="53"/>
  <c r="AE6" i="12"/>
  <c r="BC5" i="15"/>
  <c r="K6" i="11"/>
  <c r="AE17" i="44"/>
  <c r="AE9" i="44"/>
  <c r="Y4" i="52"/>
  <c r="BC4" i="52"/>
  <c r="AM5" i="8"/>
  <c r="T5" i="47"/>
  <c r="D17" i="44"/>
  <c r="AJ5" i="4"/>
  <c r="AJ31" i="4"/>
  <c r="AS6" i="12"/>
  <c r="AL5" i="9"/>
  <c r="BB6" i="6"/>
  <c r="E41" i="53"/>
  <c r="M9" i="44"/>
  <c r="BB6" i="11"/>
  <c r="AK5" i="8"/>
  <c r="AS4" i="54"/>
  <c r="K5" i="47"/>
  <c r="V17" i="44"/>
  <c r="AW6" i="7"/>
  <c r="AI5" i="4"/>
  <c r="AI31" i="4" s="1"/>
  <c r="DG6" i="6"/>
  <c r="AZ6" i="6"/>
  <c r="O42" i="54"/>
  <c r="I40" i="19"/>
  <c r="AL5" i="5"/>
  <c r="M44" i="44"/>
  <c r="CI5" i="4"/>
  <c r="AM5" i="5"/>
  <c r="AB5" i="15"/>
  <c r="K41" i="40"/>
  <c r="D9" i="44"/>
  <c r="CO6" i="7"/>
  <c r="AW6" i="12"/>
  <c r="O4" i="54"/>
  <c r="AS4" i="52"/>
  <c r="T41" i="40"/>
  <c r="AH5" i="8"/>
  <c r="DG6" i="11"/>
  <c r="AY6" i="6"/>
  <c r="E4" i="52"/>
  <c r="AC5" i="13"/>
  <c r="AX6" i="6"/>
  <c r="AH10" i="40"/>
  <c r="CI41" i="40"/>
  <c r="BZ5" i="4"/>
  <c r="K5" i="40"/>
  <c r="AQ6" i="11"/>
  <c r="AE5" i="5"/>
  <c r="AE9" i="5"/>
  <c r="AV6" i="11"/>
  <c r="CC6" i="12"/>
  <c r="AD5" i="9"/>
  <c r="L7" i="23"/>
  <c r="S5" i="47"/>
  <c r="CW6" i="7"/>
  <c r="H40" i="19"/>
  <c r="AK5" i="13"/>
  <c r="J6" i="11"/>
  <c r="AH6" i="11"/>
  <c r="AT6" i="11"/>
  <c r="AF5" i="8"/>
  <c r="DF6" i="7"/>
  <c r="U17" i="44"/>
  <c r="AA5" i="15"/>
  <c r="CQ5" i="8"/>
  <c r="D6" i="53"/>
  <c r="D41" i="53"/>
  <c r="D42" i="54"/>
  <c r="CX6" i="7"/>
  <c r="BB6" i="7"/>
  <c r="CL6" i="12"/>
  <c r="BZ41" i="40"/>
  <c r="BA6" i="6"/>
  <c r="AJ5" i="5"/>
  <c r="AJ10" i="5" s="1"/>
  <c r="AM5" i="47"/>
  <c r="AZ6" i="7"/>
  <c r="E6" i="53"/>
  <c r="R6" i="12"/>
  <c r="AJ5" i="8"/>
  <c r="AJ12" i="8"/>
  <c r="T5" i="13"/>
  <c r="K5" i="55"/>
  <c r="T5" i="55"/>
  <c r="D30" i="44"/>
  <c r="AU6" i="12"/>
  <c r="DG6" i="7"/>
  <c r="AE30" i="44"/>
  <c r="J5" i="15"/>
  <c r="T5" i="9"/>
  <c r="E4" i="54"/>
  <c r="AE5" i="4"/>
  <c r="BB4" i="52"/>
  <c r="J5" i="47"/>
  <c r="AL6" i="12"/>
  <c r="CH5" i="47"/>
  <c r="AQ6" i="12"/>
  <c r="AB5" i="9"/>
  <c r="DF6" i="6"/>
  <c r="U44" i="44"/>
  <c r="AD5" i="4"/>
  <c r="CH5" i="8"/>
  <c r="L30" i="44"/>
  <c r="CH41" i="40"/>
  <c r="C17" i="44"/>
  <c r="AP6" i="12"/>
  <c r="J6" i="7"/>
  <c r="L19" i="23"/>
  <c r="CH5" i="5"/>
  <c r="BY5" i="40"/>
  <c r="M30" i="44"/>
  <c r="CX6" i="11"/>
  <c r="M7" i="23"/>
  <c r="CT6" i="12"/>
  <c r="BZ5" i="5"/>
  <c r="BF5" i="55"/>
  <c r="BL4" i="54"/>
  <c r="G8" i="20"/>
  <c r="CB5" i="8"/>
  <c r="BN6" i="6"/>
  <c r="AV5" i="5"/>
  <c r="AV17" i="5"/>
  <c r="O31" i="23"/>
  <c r="AE5" i="13"/>
  <c r="M41" i="40"/>
  <c r="CT5" i="47"/>
  <c r="V41" i="40"/>
  <c r="M5" i="47"/>
  <c r="CU45" i="12"/>
  <c r="W6" i="11"/>
  <c r="X30" i="44"/>
  <c r="O9" i="44"/>
  <c r="CZ6" i="11"/>
  <c r="AV5" i="8"/>
  <c r="CT5" i="8"/>
  <c r="BL6" i="6"/>
  <c r="M5" i="9"/>
  <c r="DI6" i="6"/>
  <c r="BC6" i="12"/>
  <c r="M5" i="4"/>
  <c r="M6" i="7"/>
  <c r="F30" i="44"/>
  <c r="Q4" i="52"/>
  <c r="G20" i="61" s="1"/>
  <c r="Q32" i="53"/>
  <c r="G6" i="53"/>
  <c r="AU4" i="52"/>
  <c r="AY5" i="5"/>
  <c r="AK6" i="6"/>
  <c r="CM6" i="12"/>
  <c r="O7" i="23"/>
  <c r="Z7" i="23"/>
  <c r="M5" i="13"/>
  <c r="AT5" i="40"/>
  <c r="AT41" i="40" s="1"/>
  <c r="V5" i="47"/>
  <c r="AY5" i="40"/>
  <c r="AY41" i="40" s="1"/>
  <c r="AT5" i="47"/>
  <c r="M6" i="11"/>
  <c r="AY5" i="47"/>
  <c r="X44" i="44"/>
  <c r="F17" i="44"/>
  <c r="CB5" i="47"/>
  <c r="BL6" i="11"/>
  <c r="V5" i="9"/>
  <c r="AX5" i="9"/>
  <c r="BI6" i="7"/>
  <c r="T5" i="17"/>
  <c r="M14" i="61" s="1"/>
  <c r="BI6" i="6"/>
  <c r="CB5" i="5"/>
  <c r="AW5" i="4"/>
  <c r="V5" i="4"/>
  <c r="J6" i="12"/>
  <c r="BJ6" i="6"/>
  <c r="AX5" i="8"/>
  <c r="AW5" i="55"/>
  <c r="AX6" i="12"/>
  <c r="BE5" i="15"/>
  <c r="AW5" i="47"/>
  <c r="M5" i="40"/>
  <c r="CK5" i="40"/>
  <c r="F44" i="44"/>
  <c r="CB5" i="9"/>
  <c r="AW5" i="9"/>
  <c r="BN6" i="7"/>
  <c r="BJ6" i="7"/>
  <c r="S6" i="12"/>
  <c r="AT5" i="9"/>
  <c r="CK5" i="4"/>
  <c r="CZ6" i="6"/>
  <c r="G42" i="54"/>
  <c r="L5" i="15"/>
  <c r="AK6" i="11"/>
  <c r="CB5" i="40"/>
  <c r="CB41" i="40"/>
  <c r="CK5" i="8"/>
  <c r="S45" i="12"/>
  <c r="DI6" i="7"/>
  <c r="AU5" i="5"/>
  <c r="CQ6" i="11"/>
  <c r="AF6" i="12"/>
  <c r="CK5" i="47"/>
  <c r="BE42" i="54"/>
  <c r="O19" i="23"/>
  <c r="Z22" i="23" s="1"/>
  <c r="AN5" i="13"/>
  <c r="CT5" i="40"/>
  <c r="H5" i="17"/>
  <c r="G14" i="61" s="1"/>
  <c r="O44" i="44"/>
  <c r="AT5" i="5"/>
  <c r="AT5" i="4"/>
  <c r="CQ6" i="7"/>
  <c r="CK5" i="5"/>
  <c r="BB6" i="12"/>
  <c r="M5" i="5"/>
  <c r="Q6" i="53"/>
  <c r="O2" i="44"/>
  <c r="F17" i="62" s="1"/>
  <c r="BN6" i="11"/>
  <c r="AG44" i="44"/>
  <c r="AV5" i="9"/>
  <c r="BL6" i="7"/>
  <c r="CU6" i="12"/>
  <c r="W6" i="7"/>
  <c r="F9" i="44"/>
  <c r="BI6" i="11"/>
  <c r="AK6" i="7"/>
  <c r="AU5" i="9"/>
  <c r="AX5" i="4"/>
  <c r="AX28" i="4" s="1"/>
  <c r="DI6" i="11"/>
  <c r="AV5" i="4"/>
  <c r="X17" i="44"/>
  <c r="BM6" i="7"/>
  <c r="AT5" i="8"/>
  <c r="AW5" i="8"/>
  <c r="V5" i="13"/>
  <c r="AG30" i="44"/>
  <c r="BA6" i="12"/>
  <c r="CH37" i="40"/>
  <c r="CN37" i="40"/>
  <c r="S45" i="40"/>
  <c r="H20" i="29"/>
  <c r="X45" i="40"/>
  <c r="V45" i="40"/>
  <c r="Y45" i="40"/>
  <c r="AW8" i="40"/>
  <c r="AV9" i="40"/>
  <c r="AV41" i="40"/>
  <c r="AX42" i="40"/>
  <c r="AX45" i="40"/>
  <c r="AX41" i="40"/>
  <c r="AV28" i="4"/>
  <c r="AV31" i="4"/>
  <c r="AX31" i="4"/>
  <c r="AI28" i="4"/>
  <c r="AJ26" i="4"/>
  <c r="AJ28" i="4"/>
  <c r="AK10" i="4"/>
  <c r="AK28" i="4"/>
  <c r="AF13" i="4"/>
  <c r="AF28" i="4"/>
  <c r="AU9" i="4"/>
  <c r="AU28" i="4"/>
  <c r="AL9" i="4"/>
  <c r="AL28" i="4"/>
  <c r="AC11" i="4"/>
  <c r="AC28" i="4"/>
  <c r="S24" i="4"/>
  <c r="AK7" i="5"/>
  <c r="AK12" i="5"/>
  <c r="AK37" i="5" s="1"/>
  <c r="AK9" i="5"/>
  <c r="AK10" i="5"/>
  <c r="AK17" i="5"/>
  <c r="AK15" i="5"/>
  <c r="AK8" i="5"/>
  <c r="AK6" i="5"/>
  <c r="AK11" i="5"/>
  <c r="AK13" i="5"/>
  <c r="AD8" i="40"/>
  <c r="AD37" i="40" s="1"/>
  <c r="AD7" i="40"/>
  <c r="AV8" i="40"/>
  <c r="AV6" i="40"/>
  <c r="AD9" i="40"/>
  <c r="AV10" i="40"/>
  <c r="AH15" i="5"/>
  <c r="AD10" i="40"/>
  <c r="AV7" i="40"/>
  <c r="AJ6" i="5"/>
  <c r="AD42" i="40"/>
  <c r="AD45" i="40" s="1"/>
  <c r="AV42" i="40"/>
  <c r="AV45" i="40" s="1"/>
  <c r="AH8" i="40"/>
  <c r="AU13" i="8"/>
  <c r="AU7" i="8"/>
  <c r="AU6" i="8"/>
  <c r="AX8" i="40"/>
  <c r="AU15" i="8"/>
  <c r="AU14" i="8"/>
  <c r="AF15" i="5"/>
  <c r="AU8" i="8"/>
  <c r="AU11" i="8"/>
  <c r="AU9" i="8"/>
  <c r="AU37" i="8" s="1"/>
  <c r="AI7" i="5"/>
  <c r="AC13" i="8"/>
  <c r="AL14" i="5"/>
  <c r="AL7" i="5"/>
  <c r="AC6" i="8"/>
  <c r="AC6" i="4"/>
  <c r="AC37" i="4" s="1"/>
  <c r="AI17" i="5"/>
  <c r="AF14" i="5"/>
  <c r="AC19" i="5"/>
  <c r="AC25" i="4"/>
  <c r="AL14" i="4"/>
  <c r="AE6" i="9"/>
  <c r="BY14" i="8"/>
  <c r="CR19" i="5"/>
  <c r="AI10" i="5"/>
  <c r="AI14" i="5"/>
  <c r="AH11" i="5"/>
  <c r="AI9" i="5"/>
  <c r="AI7" i="9"/>
  <c r="AC14" i="8"/>
  <c r="AC12" i="8"/>
  <c r="AC8" i="8"/>
  <c r="AU17" i="4"/>
  <c r="AH9" i="5"/>
  <c r="AH37" i="5" s="1"/>
  <c r="AV12" i="5"/>
  <c r="AH19" i="4"/>
  <c r="AC7" i="8"/>
  <c r="AC9" i="8"/>
  <c r="AC37" i="8" s="1"/>
  <c r="CQ19" i="8"/>
  <c r="AJ42" i="40"/>
  <c r="AE8" i="9"/>
  <c r="AE7" i="9"/>
  <c r="AU26" i="4"/>
  <c r="AI15" i="5"/>
  <c r="AC15" i="8"/>
  <c r="AU27" i="4"/>
  <c r="AF24" i="4"/>
  <c r="AL24" i="4"/>
  <c r="AB14" i="8"/>
  <c r="AV8" i="5"/>
  <c r="AD6" i="9"/>
  <c r="AF42" i="40"/>
  <c r="AF45" i="40" s="1"/>
  <c r="AL23" i="4"/>
  <c r="AE8" i="5"/>
  <c r="AB13" i="8"/>
  <c r="AV15" i="5"/>
  <c r="AK9" i="40"/>
  <c r="AD8" i="9"/>
  <c r="AG8" i="9" s="1"/>
  <c r="AF7" i="40"/>
  <c r="AL27" i="4"/>
  <c r="AE13" i="5"/>
  <c r="AF12" i="5"/>
  <c r="AF8" i="5"/>
  <c r="AH7" i="5"/>
  <c r="AF10" i="5"/>
  <c r="AE12" i="5"/>
  <c r="AI13" i="5"/>
  <c r="AI6" i="5"/>
  <c r="AM6" i="5" s="1"/>
  <c r="AF16" i="5"/>
  <c r="AF9" i="5"/>
  <c r="AX16" i="5"/>
  <c r="AD7" i="9"/>
  <c r="AL13" i="8"/>
  <c r="AL8" i="8"/>
  <c r="AF10" i="40"/>
  <c r="AL8" i="4"/>
  <c r="AL37" i="4" s="1"/>
  <c r="AL25" i="4"/>
  <c r="AL11" i="4"/>
  <c r="S26" i="4"/>
  <c r="AH15" i="8"/>
  <c r="AI15" i="8"/>
  <c r="AJ15" i="8"/>
  <c r="AK15" i="8"/>
  <c r="AL15" i="8"/>
  <c r="AM15" i="8" s="1"/>
  <c r="AB11" i="8"/>
  <c r="E19" i="17"/>
  <c r="E18" i="17"/>
  <c r="AE15" i="5"/>
  <c r="AE37" i="5" s="1"/>
  <c r="AE20" i="5"/>
  <c r="AI12" i="5"/>
  <c r="AI8" i="5"/>
  <c r="AE17" i="5"/>
  <c r="AI11" i="5"/>
  <c r="AF19" i="5"/>
  <c r="AE11" i="5"/>
  <c r="AD9" i="9"/>
  <c r="AL17" i="4"/>
  <c r="AH12" i="8"/>
  <c r="AM12" i="8" s="1"/>
  <c r="AH7" i="8"/>
  <c r="AH8" i="8"/>
  <c r="AH13" i="8"/>
  <c r="AH9" i="8"/>
  <c r="AL11" i="5"/>
  <c r="AC16" i="5"/>
  <c r="AC15" i="5"/>
  <c r="AL6" i="5"/>
  <c r="AL8" i="5"/>
  <c r="AC23" i="4"/>
  <c r="AH6" i="8"/>
  <c r="AM6" i="8" s="1"/>
  <c r="AW6" i="5"/>
  <c r="AD7" i="8"/>
  <c r="AL16" i="5"/>
  <c r="AC7" i="5"/>
  <c r="AB6" i="5"/>
  <c r="AL17" i="5"/>
  <c r="AM17" i="5" s="1"/>
  <c r="AC27" i="4"/>
  <c r="AC29" i="4"/>
  <c r="AF8" i="4"/>
  <c r="AH14" i="8"/>
  <c r="AM14" i="8" s="1"/>
  <c r="AF9" i="40"/>
  <c r="AF6" i="40"/>
  <c r="AL15" i="4"/>
  <c r="AL22" i="4"/>
  <c r="AL19" i="4"/>
  <c r="AL7" i="4"/>
  <c r="AL6" i="4"/>
  <c r="AL10" i="4"/>
  <c r="AM10" i="4" s="1"/>
  <c r="AL13" i="4"/>
  <c r="AL18" i="4"/>
  <c r="AL20" i="4"/>
  <c r="AL21" i="4"/>
  <c r="AL26" i="4"/>
  <c r="AL29" i="4"/>
  <c r="AB6" i="8"/>
  <c r="AB15" i="8"/>
  <c r="AG15" i="8" s="1"/>
  <c r="AB12" i="8"/>
  <c r="AB7" i="8"/>
  <c r="AU10" i="5"/>
  <c r="AU9" i="5"/>
  <c r="AB9" i="5"/>
  <c r="AB14" i="5"/>
  <c r="AB12" i="5"/>
  <c r="AC13" i="4"/>
  <c r="AC24" i="4"/>
  <c r="AC26" i="4"/>
  <c r="AC14" i="4"/>
  <c r="AC8" i="4"/>
  <c r="AC17" i="5"/>
  <c r="AL9" i="5"/>
  <c r="AL15" i="5"/>
  <c r="AB10" i="5"/>
  <c r="AC6" i="5"/>
  <c r="AC20" i="4"/>
  <c r="AC7" i="4"/>
  <c r="AL12" i="5"/>
  <c r="AC12" i="5"/>
  <c r="AB7" i="5"/>
  <c r="AL13" i="5"/>
  <c r="AB13" i="5"/>
  <c r="AX14" i="5"/>
  <c r="AX15" i="5"/>
  <c r="AC22" i="4"/>
  <c r="AH11" i="8"/>
  <c r="AJ12" i="5"/>
  <c r="AJ17" i="5"/>
  <c r="AJ16" i="5"/>
  <c r="AX39" i="6"/>
  <c r="AK11" i="8"/>
  <c r="AJ21" i="4"/>
  <c r="AJ24" i="4"/>
  <c r="AJ18" i="4"/>
  <c r="AJ14" i="4"/>
  <c r="AK21" i="4"/>
  <c r="AK9" i="4"/>
  <c r="AK22" i="4"/>
  <c r="AK23" i="4"/>
  <c r="AK26" i="4"/>
  <c r="AK18" i="4"/>
  <c r="AU14" i="4"/>
  <c r="AU13" i="4"/>
  <c r="AU8" i="4"/>
  <c r="AU6" i="4"/>
  <c r="AU11" i="4"/>
  <c r="AU25" i="4"/>
  <c r="AU15" i="4"/>
  <c r="AU19" i="4"/>
  <c r="AI11" i="8"/>
  <c r="AI9" i="8"/>
  <c r="AH16" i="5"/>
  <c r="AH12" i="5"/>
  <c r="AH13" i="5"/>
  <c r="AH10" i="5"/>
  <c r="AH6" i="5"/>
  <c r="AH17" i="5"/>
  <c r="AH8" i="5"/>
  <c r="AK6" i="4"/>
  <c r="AJ8" i="4"/>
  <c r="AL14" i="8"/>
  <c r="AJ7" i="40"/>
  <c r="AU20" i="4"/>
  <c r="AU23" i="4"/>
  <c r="AF9" i="9"/>
  <c r="AG9" i="9" s="1"/>
  <c r="AF6" i="9"/>
  <c r="AI27" i="4"/>
  <c r="AI20" i="4"/>
  <c r="AI8" i="40"/>
  <c r="AJ8" i="40"/>
  <c r="AK8" i="40"/>
  <c r="AK37" i="40" s="1"/>
  <c r="AL8" i="40"/>
  <c r="AK24" i="4"/>
  <c r="AJ13" i="4"/>
  <c r="AH8" i="9"/>
  <c r="AL11" i="8"/>
  <c r="AL6" i="8"/>
  <c r="AL37" i="8" s="1"/>
  <c r="AL12" i="8"/>
  <c r="AL7" i="8"/>
  <c r="AL9" i="8"/>
  <c r="S29" i="4"/>
  <c r="S9" i="4"/>
  <c r="S6" i="4"/>
  <c r="S20" i="4"/>
  <c r="AS38" i="11"/>
  <c r="AK8" i="4"/>
  <c r="AJ22" i="4"/>
  <c r="AI6" i="8"/>
  <c r="AU10" i="4"/>
  <c r="AU18" i="4"/>
  <c r="AI14" i="8"/>
  <c r="AJ14" i="8"/>
  <c r="AK14" i="8"/>
  <c r="AB6" i="40"/>
  <c r="AB9" i="40"/>
  <c r="AH26" i="4"/>
  <c r="AH24" i="4"/>
  <c r="AH27" i="4"/>
  <c r="AH20" i="4"/>
  <c r="AH7" i="4"/>
  <c r="AH9" i="4"/>
  <c r="AH29" i="4"/>
  <c r="AM29" i="4" s="1"/>
  <c r="AH11" i="4"/>
  <c r="AI11" i="4"/>
  <c r="AJ11" i="4"/>
  <c r="AK11" i="4"/>
  <c r="CQ21" i="5"/>
  <c r="AD21" i="5"/>
  <c r="AE21" i="5"/>
  <c r="S7" i="5"/>
  <c r="AD14" i="5"/>
  <c r="AU15" i="5"/>
  <c r="AH6" i="4"/>
  <c r="AK10" i="40"/>
  <c r="AM10" i="40" s="1"/>
  <c r="S15" i="5"/>
  <c r="AD15" i="5"/>
  <c r="AD9" i="5"/>
  <c r="AD17" i="5"/>
  <c r="AD7" i="5"/>
  <c r="AU17" i="5"/>
  <c r="AH25" i="4"/>
  <c r="AH23" i="4"/>
  <c r="AM23" i="4" s="1"/>
  <c r="AI13" i="4"/>
  <c r="AI6" i="4"/>
  <c r="AI37" i="4" s="1"/>
  <c r="AI18" i="4"/>
  <c r="AI14" i="4"/>
  <c r="AK13" i="8"/>
  <c r="AK8" i="8"/>
  <c r="AK9" i="8"/>
  <c r="AK6" i="8"/>
  <c r="AK7" i="8"/>
  <c r="AK12" i="8"/>
  <c r="AJ15" i="4"/>
  <c r="AJ17" i="4"/>
  <c r="AJ25" i="4"/>
  <c r="AJ7" i="4"/>
  <c r="AJ9" i="4"/>
  <c r="AJ29" i="4"/>
  <c r="AJ23" i="4"/>
  <c r="AJ6" i="4"/>
  <c r="AJ37" i="4" s="1"/>
  <c r="AJ19" i="4"/>
  <c r="AJ10" i="4"/>
  <c r="AH10" i="4"/>
  <c r="AI10" i="4"/>
  <c r="AJ20" i="4"/>
  <c r="AJ27" i="4"/>
  <c r="AK15" i="4"/>
  <c r="AK14" i="4"/>
  <c r="AK20" i="4"/>
  <c r="AK17" i="4"/>
  <c r="AK29" i="4"/>
  <c r="AK25" i="4"/>
  <c r="AK13" i="4"/>
  <c r="AK7" i="4"/>
  <c r="AK27" i="4"/>
  <c r="AK19" i="4"/>
  <c r="AM19" i="4" s="1"/>
  <c r="AC7" i="9"/>
  <c r="AC9" i="9"/>
  <c r="AC8" i="9"/>
  <c r="AK6" i="40"/>
  <c r="AK42" i="40"/>
  <c r="AK45" i="40" s="1"/>
  <c r="AI8" i="9"/>
  <c r="AE12" i="8"/>
  <c r="AE6" i="8"/>
  <c r="AE8" i="8"/>
  <c r="AE7" i="8"/>
  <c r="AE9" i="8"/>
  <c r="AE37" i="8" s="1"/>
  <c r="AE11" i="8"/>
  <c r="AE13" i="8"/>
  <c r="AD20" i="5"/>
  <c r="AD8" i="5"/>
  <c r="AD16" i="5"/>
  <c r="AU13" i="5"/>
  <c r="AU6" i="5"/>
  <c r="AU7" i="5"/>
  <c r="AH8" i="4"/>
  <c r="AM8" i="4" s="1"/>
  <c r="AU6" i="40"/>
  <c r="AU42" i="40"/>
  <c r="AU45" i="40" s="1"/>
  <c r="AF22" i="4"/>
  <c r="AF17" i="4"/>
  <c r="AF10" i="4"/>
  <c r="AF11" i="4"/>
  <c r="AF23" i="4"/>
  <c r="AF37" i="4" s="1"/>
  <c r="AF21" i="4"/>
  <c r="AF25" i="4"/>
  <c r="AF19" i="4"/>
  <c r="AF20" i="4"/>
  <c r="AF18" i="4"/>
  <c r="AF29" i="4"/>
  <c r="AF6" i="4"/>
  <c r="AF26" i="4"/>
  <c r="AF14" i="4"/>
  <c r="AF9" i="4"/>
  <c r="AF7" i="4"/>
  <c r="AD15" i="8"/>
  <c r="AD8" i="8"/>
  <c r="AD37" i="8" s="1"/>
  <c r="AD13" i="8"/>
  <c r="AD12" i="8"/>
  <c r="AD9" i="8"/>
  <c r="AD6" i="8"/>
  <c r="AD11" i="8"/>
  <c r="AD7" i="4"/>
  <c r="AE7" i="4"/>
  <c r="AE24" i="4"/>
  <c r="S16" i="5"/>
  <c r="AD12" i="5"/>
  <c r="AG12" i="5" s="1"/>
  <c r="AD13" i="5"/>
  <c r="AD19" i="5"/>
  <c r="AX10" i="5"/>
  <c r="AW10" i="5"/>
  <c r="AI9" i="9"/>
  <c r="AH18" i="4"/>
  <c r="AH13" i="4"/>
  <c r="AM13" i="4" s="1"/>
  <c r="AE14" i="8"/>
  <c r="AG14" i="8" s="1"/>
  <c r="AF27" i="4"/>
  <c r="AD14" i="8"/>
  <c r="AE10" i="40"/>
  <c r="AE6" i="40"/>
  <c r="AF11" i="8"/>
  <c r="AF14" i="8"/>
  <c r="AF12" i="8"/>
  <c r="AG12" i="8" s="1"/>
  <c r="AI10" i="40"/>
  <c r="AI42" i="40"/>
  <c r="AI45" i="40"/>
  <c r="AB42" i="40"/>
  <c r="AB45" i="40" s="1"/>
  <c r="AB10" i="40"/>
  <c r="AB37" i="40" s="1"/>
  <c r="AW10" i="40"/>
  <c r="AJ10" i="40"/>
  <c r="AJ6" i="40"/>
  <c r="AI7" i="8"/>
  <c r="AM7" i="8" s="1"/>
  <c r="AI8" i="8"/>
  <c r="AI12" i="8"/>
  <c r="AH9" i="9"/>
  <c r="AH7" i="9"/>
  <c r="AH37" i="9" s="1"/>
  <c r="AH6" i="9"/>
  <c r="AJ9" i="9"/>
  <c r="AJ6" i="9"/>
  <c r="AJ8" i="9"/>
  <c r="AJ37" i="9" s="1"/>
  <c r="S8" i="9"/>
  <c r="AB8" i="9"/>
  <c r="AF8" i="9"/>
  <c r="AW17" i="5"/>
  <c r="AL10" i="40"/>
  <c r="AL7" i="40"/>
  <c r="AL9" i="40"/>
  <c r="AL37" i="40" s="1"/>
  <c r="AL42" i="40"/>
  <c r="AL45" i="40" s="1"/>
  <c r="AL6" i="40"/>
  <c r="AW11" i="5"/>
  <c r="AW14" i="5"/>
  <c r="AW15" i="5"/>
  <c r="AW8" i="5"/>
  <c r="AW12" i="5"/>
  <c r="AX7" i="5"/>
  <c r="AX11" i="5"/>
  <c r="AX8" i="5"/>
  <c r="AX9" i="5"/>
  <c r="AW13" i="5"/>
  <c r="AW9" i="5"/>
  <c r="AX13" i="5"/>
  <c r="AW7" i="5"/>
  <c r="AX17" i="5"/>
  <c r="AX12" i="5"/>
  <c r="AJ7" i="9"/>
  <c r="AV7" i="5"/>
  <c r="AV13" i="5"/>
  <c r="AV16" i="5"/>
  <c r="AV6" i="5"/>
  <c r="AV11" i="5"/>
  <c r="AV14" i="5"/>
  <c r="AV37" i="5" s="1"/>
  <c r="AV9" i="5"/>
  <c r="AV10" i="5"/>
  <c r="AE7" i="5"/>
  <c r="BY6" i="5"/>
  <c r="AI7" i="40"/>
  <c r="AM7" i="40" s="1"/>
  <c r="AI9" i="40"/>
  <c r="AH9" i="40"/>
  <c r="AB8" i="40"/>
  <c r="AB7" i="40"/>
  <c r="AI26" i="4"/>
  <c r="AI25" i="4"/>
  <c r="AI29" i="4"/>
  <c r="AI23" i="4"/>
  <c r="AI24" i="4"/>
  <c r="AC6" i="9"/>
  <c r="AW6" i="40"/>
  <c r="AW9" i="40"/>
  <c r="AW42" i="40"/>
  <c r="AW45" i="40" s="1"/>
  <c r="AE8" i="40"/>
  <c r="AF8" i="8"/>
  <c r="AJ8" i="8"/>
  <c r="AE16" i="5"/>
  <c r="AE19" i="5"/>
  <c r="AE6" i="5"/>
  <c r="AE10" i="5"/>
  <c r="AU14" i="5"/>
  <c r="AU8" i="5"/>
  <c r="AU11" i="5"/>
  <c r="AU16" i="5"/>
  <c r="AU12" i="5"/>
  <c r="BJ39" i="6"/>
  <c r="AE42" i="40"/>
  <c r="AE45" i="40" s="1"/>
  <c r="AE7" i="40"/>
  <c r="AF15" i="8"/>
  <c r="AF6" i="8"/>
  <c r="AG6" i="8" s="1"/>
  <c r="AX6" i="40"/>
  <c r="AJ7" i="8"/>
  <c r="AI7" i="4"/>
  <c r="AI9" i="4"/>
  <c r="AI8" i="4"/>
  <c r="AU7" i="40"/>
  <c r="AU10" i="40"/>
  <c r="AU8" i="40"/>
  <c r="AU9" i="40"/>
  <c r="AJ6" i="8"/>
  <c r="AJ9" i="8"/>
  <c r="AJ11" i="8"/>
  <c r="AM11" i="8" s="1"/>
  <c r="AE9" i="40"/>
  <c r="AF13" i="8"/>
  <c r="AF9" i="8"/>
  <c r="AX10" i="40"/>
  <c r="AE14" i="5"/>
  <c r="AF7" i="8"/>
  <c r="AX7" i="40"/>
  <c r="AX9" i="40"/>
  <c r="AX37" i="40" s="1"/>
  <c r="AJ13" i="8"/>
  <c r="BY7" i="4"/>
  <c r="AU21" i="4"/>
  <c r="AU29" i="4"/>
  <c r="AU22" i="4"/>
  <c r="AV22" i="4"/>
  <c r="AW22" i="4"/>
  <c r="AX22" i="4"/>
  <c r="AU7" i="4"/>
  <c r="AU12" i="8"/>
  <c r="AJ14" i="5"/>
  <c r="AJ11" i="5"/>
  <c r="AM11" i="5" s="1"/>
  <c r="AH42" i="40"/>
  <c r="AH45" i="40" s="1"/>
  <c r="AH6" i="40"/>
  <c r="AH37" i="40" s="1"/>
  <c r="AH7" i="40"/>
  <c r="AF13" i="5"/>
  <c r="AF6" i="5"/>
  <c r="AF7" i="9"/>
  <c r="E17" i="17"/>
  <c r="E16" i="17"/>
  <c r="E29" i="17"/>
  <c r="E28" i="17" s="1"/>
  <c r="BA38" i="11"/>
  <c r="S6" i="40"/>
  <c r="S8" i="40"/>
  <c r="AC19" i="4"/>
  <c r="AC21" i="4"/>
  <c r="AE21" i="4"/>
  <c r="AC17" i="4"/>
  <c r="AC18" i="4"/>
  <c r="AC9" i="4"/>
  <c r="AC10" i="4"/>
  <c r="AI17" i="4"/>
  <c r="AM17" i="4" s="1"/>
  <c r="AI21" i="4"/>
  <c r="AI15" i="4"/>
  <c r="AI19" i="4"/>
  <c r="AI22" i="4"/>
  <c r="S6" i="8"/>
  <c r="S8" i="8"/>
  <c r="S15" i="8"/>
  <c r="S13" i="8"/>
  <c r="CQ20" i="8"/>
  <c r="S7" i="8"/>
  <c r="AH21" i="4"/>
  <c r="AH22" i="4"/>
  <c r="AH17" i="4"/>
  <c r="AH15" i="4"/>
  <c r="AM15" i="4" s="1"/>
  <c r="BY16" i="5"/>
  <c r="R7" i="15"/>
  <c r="AX11" i="4"/>
  <c r="AX24" i="4"/>
  <c r="AX23" i="4"/>
  <c r="AX6" i="4"/>
  <c r="AX37" i="4" s="1"/>
  <c r="AX25" i="4"/>
  <c r="AX14" i="4"/>
  <c r="AX8" i="4"/>
  <c r="AX26" i="4"/>
  <c r="AX10" i="4"/>
  <c r="AX9" i="4"/>
  <c r="AX15" i="4"/>
  <c r="AX21" i="4"/>
  <c r="AX20" i="4"/>
  <c r="AX19" i="4"/>
  <c r="AX17" i="4"/>
  <c r="AX7" i="4"/>
  <c r="AX18" i="4"/>
  <c r="AX29" i="4"/>
  <c r="AX13" i="4"/>
  <c r="AX27" i="4"/>
  <c r="AC10" i="40"/>
  <c r="AC6" i="40"/>
  <c r="AC9" i="40"/>
  <c r="AC8" i="40"/>
  <c r="AC7" i="40"/>
  <c r="AC42" i="40"/>
  <c r="AC45" i="40" s="1"/>
  <c r="AV26" i="4"/>
  <c r="AV13" i="4"/>
  <c r="AV17" i="4"/>
  <c r="AV25" i="4"/>
  <c r="AV8" i="4"/>
  <c r="AW8" i="4"/>
  <c r="AV23" i="4"/>
  <c r="AV24" i="4"/>
  <c r="AV11" i="4"/>
  <c r="AV9" i="4"/>
  <c r="AV14" i="4"/>
  <c r="AV10" i="4"/>
  <c r="AV19" i="4"/>
  <c r="AV21" i="4"/>
  <c r="AW21" i="4"/>
  <c r="AV6" i="4"/>
  <c r="AV37" i="4" s="1"/>
  <c r="AV15" i="4"/>
  <c r="AV29" i="4"/>
  <c r="AV27" i="4"/>
  <c r="AV20" i="4"/>
  <c r="AV7" i="4"/>
  <c r="AV18" i="4"/>
  <c r="AV6" i="9"/>
  <c r="AV9" i="9"/>
  <c r="AV37" i="9" s="1"/>
  <c r="AV7" i="9"/>
  <c r="AV8" i="9"/>
  <c r="AX8" i="9"/>
  <c r="AX6" i="9"/>
  <c r="AX9" i="9"/>
  <c r="AX7" i="9"/>
  <c r="AX37" i="9" s="1"/>
  <c r="AW26" i="4"/>
  <c r="AV15" i="8"/>
  <c r="AV8" i="8"/>
  <c r="AV7" i="8"/>
  <c r="AV37" i="8" s="1"/>
  <c r="AV13" i="8"/>
  <c r="AV14" i="8"/>
  <c r="AV11" i="8"/>
  <c r="AV6" i="8"/>
  <c r="AV12" i="8"/>
  <c r="AV9" i="8"/>
  <c r="AD25" i="4"/>
  <c r="AD18" i="4"/>
  <c r="AD20" i="4"/>
  <c r="AD6" i="4"/>
  <c r="AD8" i="4"/>
  <c r="AD9" i="4"/>
  <c r="AD14" i="4"/>
  <c r="AD23" i="4"/>
  <c r="AD27" i="4"/>
  <c r="AE27" i="4"/>
  <c r="AD11" i="4"/>
  <c r="AD22" i="4"/>
  <c r="AD29" i="4"/>
  <c r="AD19" i="4"/>
  <c r="AD26" i="4"/>
  <c r="AD17" i="4"/>
  <c r="AD13" i="4"/>
  <c r="AD10" i="4"/>
  <c r="AB6" i="9"/>
  <c r="AG6" i="9" s="1"/>
  <c r="AB7" i="9"/>
  <c r="AB9" i="9"/>
  <c r="AE25" i="4"/>
  <c r="AE13" i="4"/>
  <c r="AE11" i="4"/>
  <c r="AE14" i="4"/>
  <c r="AE18" i="4"/>
  <c r="AE20" i="4"/>
  <c r="AE9" i="4"/>
  <c r="AE17" i="4"/>
  <c r="AE29" i="4"/>
  <c r="AE22" i="4"/>
  <c r="AE8" i="4"/>
  <c r="AE19" i="4"/>
  <c r="AE6" i="4"/>
  <c r="AE10" i="4"/>
  <c r="AE23" i="4"/>
  <c r="AE26" i="4"/>
  <c r="AW6" i="8"/>
  <c r="AW13" i="8"/>
  <c r="AW9" i="8"/>
  <c r="AW15" i="8"/>
  <c r="AW12" i="8"/>
  <c r="AW11" i="8"/>
  <c r="AW14" i="8"/>
  <c r="AW7" i="8"/>
  <c r="AW8" i="8"/>
  <c r="AW37" i="8" s="1"/>
  <c r="AU6" i="9"/>
  <c r="AU8" i="9"/>
  <c r="AU7" i="9"/>
  <c r="AU9" i="9"/>
  <c r="AW8" i="9"/>
  <c r="AW6" i="9"/>
  <c r="AW7" i="9"/>
  <c r="AW37" i="9" s="1"/>
  <c r="AW9" i="9"/>
  <c r="AX7" i="8"/>
  <c r="AX8" i="8"/>
  <c r="AX13" i="8"/>
  <c r="AX15" i="8"/>
  <c r="AX6" i="8"/>
  <c r="AX37" i="8" s="1"/>
  <c r="AX9" i="8"/>
  <c r="AX12" i="8"/>
  <c r="AX14" i="8"/>
  <c r="AX11" i="8"/>
  <c r="AW14" i="4"/>
  <c r="AW17" i="4"/>
  <c r="AW24" i="4"/>
  <c r="AW18" i="4"/>
  <c r="AW23" i="4"/>
  <c r="AW11" i="4"/>
  <c r="AW25" i="4"/>
  <c r="AW27" i="4"/>
  <c r="AW10" i="4"/>
  <c r="AW19" i="4"/>
  <c r="AW15" i="4"/>
  <c r="AW7" i="4"/>
  <c r="AW9" i="4"/>
  <c r="AW20" i="4"/>
  <c r="AW6" i="4"/>
  <c r="AW13" i="4"/>
  <c r="AW29" i="4"/>
  <c r="BL39" i="6"/>
  <c r="CR21" i="5"/>
  <c r="CR20" i="5"/>
  <c r="H17" i="19"/>
  <c r="I17" i="19"/>
  <c r="AV37" i="40"/>
  <c r="AE37" i="9"/>
  <c r="CR19" i="8"/>
  <c r="AM16" i="5"/>
  <c r="AD37" i="9"/>
  <c r="CR24" i="8"/>
  <c r="CR10" i="9"/>
  <c r="CQ19" i="5"/>
  <c r="CQ20" i="5"/>
  <c r="CR12" i="9"/>
  <c r="AM9" i="8"/>
  <c r="AC37" i="9"/>
  <c r="CR20" i="8"/>
  <c r="CR11" i="9"/>
  <c r="CR13" i="9"/>
  <c r="CQ23" i="8"/>
  <c r="CQ12" i="9"/>
  <c r="CQ18" i="8"/>
  <c r="CQ11" i="9"/>
  <c r="CQ13" i="9"/>
  <c r="AF37" i="9"/>
  <c r="CT10" i="9"/>
  <c r="CQ10" i="9"/>
  <c r="CT11" i="9"/>
  <c r="CT12" i="9"/>
  <c r="CT13" i="9"/>
  <c r="AU37" i="9"/>
  <c r="AC37" i="40"/>
  <c r="O8" i="53"/>
  <c r="N8" i="53"/>
  <c r="D21" i="53"/>
  <c r="E21" i="53"/>
  <c r="CU10" i="9"/>
  <c r="CU12" i="9"/>
  <c r="CU13" i="9"/>
  <c r="CU11" i="9"/>
  <c r="CW12" i="9"/>
  <c r="CV11" i="9"/>
  <c r="CV10" i="9"/>
  <c r="CW13" i="9"/>
  <c r="CW11" i="9"/>
  <c r="CV13" i="9"/>
  <c r="CV12" i="9"/>
  <c r="CW10" i="9"/>
  <c r="CX10" i="9"/>
  <c r="CX12" i="9"/>
  <c r="CX11" i="9"/>
  <c r="CX13" i="9"/>
  <c r="O37" i="15"/>
  <c r="J38" i="23"/>
  <c r="J36" i="23"/>
  <c r="J33" i="23"/>
  <c r="K38" i="23"/>
  <c r="K35" i="23"/>
  <c r="K33" i="23"/>
  <c r="CH9" i="47"/>
  <c r="CM10" i="47"/>
  <c r="AB10" i="47"/>
  <c r="AC10" i="47"/>
  <c r="AD10" i="47"/>
  <c r="AG10" i="47" s="1"/>
  <c r="AE10" i="47"/>
  <c r="AF10" i="47"/>
  <c r="CH10" i="47"/>
  <c r="S10" i="47"/>
  <c r="AX9" i="47"/>
  <c r="AV9" i="47"/>
  <c r="CL10" i="47"/>
  <c r="I17" i="23"/>
  <c r="K39" i="23"/>
  <c r="I33" i="23"/>
  <c r="J29" i="23"/>
  <c r="H29" i="23"/>
  <c r="I37" i="15"/>
  <c r="E38" i="17"/>
  <c r="AQ10" i="47"/>
  <c r="CL9" i="47"/>
  <c r="AE9" i="47"/>
  <c r="AB12" i="47"/>
  <c r="CL8" i="47"/>
  <c r="S9" i="47"/>
  <c r="CJ12" i="47"/>
  <c r="AN12" i="47"/>
  <c r="AP10" i="47"/>
  <c r="AR13" i="47"/>
  <c r="AD12" i="47"/>
  <c r="CH12" i="47"/>
  <c r="AE12" i="47"/>
  <c r="AC12" i="47"/>
  <c r="AQ9" i="47"/>
  <c r="CJ9" i="47"/>
  <c r="AN9" i="47"/>
  <c r="AO9" i="47"/>
  <c r="AP9" i="47"/>
  <c r="AR9" i="47"/>
  <c r="CJ10" i="47"/>
  <c r="AB13" i="47"/>
  <c r="AN10" i="47"/>
  <c r="AR10" i="47"/>
  <c r="AO10" i="47"/>
  <c r="AE11" i="13"/>
  <c r="AE18" i="55"/>
  <c r="Q37" i="55"/>
  <c r="O37" i="55"/>
  <c r="AZ12" i="55"/>
  <c r="AP21" i="47"/>
  <c r="AB8" i="13"/>
  <c r="AI10" i="13"/>
  <c r="AD11" i="13"/>
  <c r="CQ21" i="8"/>
  <c r="CR16" i="8"/>
  <c r="CS20" i="5"/>
  <c r="CS21" i="5"/>
  <c r="CS25" i="8"/>
  <c r="E11" i="20"/>
  <c r="E9" i="20"/>
  <c r="J20" i="57"/>
  <c r="F20" i="57"/>
  <c r="I18" i="57"/>
  <c r="E18" i="57"/>
  <c r="H17" i="57"/>
  <c r="D17" i="57"/>
  <c r="I20" i="57"/>
  <c r="E20" i="57"/>
  <c r="H18" i="57"/>
  <c r="D18" i="57"/>
  <c r="G17" i="57"/>
  <c r="D16" i="57"/>
  <c r="H20" i="57"/>
  <c r="D20" i="57"/>
  <c r="G18" i="57"/>
  <c r="J17" i="57"/>
  <c r="F17" i="57"/>
  <c r="G20" i="57"/>
  <c r="J18" i="57"/>
  <c r="F18" i="57"/>
  <c r="I17" i="57"/>
  <c r="E17" i="57"/>
  <c r="N8" i="19"/>
  <c r="N9" i="19"/>
  <c r="CI19" i="47"/>
  <c r="AL21" i="47"/>
  <c r="AJ20" i="47"/>
  <c r="CL17" i="47"/>
  <c r="AI20" i="47"/>
  <c r="AL20" i="47"/>
  <c r="AK20" i="47"/>
  <c r="AR19" i="47"/>
  <c r="K10" i="19"/>
  <c r="I10" i="19"/>
  <c r="J10" i="19"/>
  <c r="CI21" i="47"/>
  <c r="AE14" i="55"/>
  <c r="AH14" i="55"/>
  <c r="AH37" i="55" s="1"/>
  <c r="AB14" i="55"/>
  <c r="AG14" i="55"/>
  <c r="AN17" i="47"/>
  <c r="AE20" i="47"/>
  <c r="AI21" i="47"/>
  <c r="AJ21" i="47"/>
  <c r="AK21" i="47"/>
  <c r="AH21" i="47"/>
  <c r="CL16" i="47"/>
  <c r="CH20" i="47"/>
  <c r="AB20" i="47"/>
  <c r="AB9" i="13"/>
  <c r="AC14" i="55"/>
  <c r="AB7" i="13"/>
  <c r="AC8" i="13"/>
  <c r="AH18" i="55"/>
  <c r="AG18" i="55"/>
  <c r="AE10" i="13"/>
  <c r="AG10" i="13"/>
  <c r="AG11" i="13"/>
  <c r="AI11" i="13"/>
  <c r="AD18" i="55"/>
  <c r="AE17" i="55"/>
  <c r="AG17" i="55"/>
  <c r="AF17" i="55"/>
  <c r="AI18" i="55"/>
  <c r="AC10" i="13"/>
  <c r="AC37" i="13" s="1"/>
  <c r="AF10" i="13"/>
  <c r="AF11" i="13"/>
  <c r="AF18" i="55"/>
  <c r="AB17" i="55"/>
  <c r="AC7" i="13"/>
  <c r="AD17" i="55"/>
  <c r="AD9" i="13"/>
  <c r="AC18" i="55"/>
  <c r="AC37" i="55" s="1"/>
  <c r="AI14" i="55"/>
  <c r="AI17" i="55"/>
  <c r="AF14" i="55"/>
  <c r="AH17" i="55"/>
  <c r="AH10" i="13"/>
  <c r="AB10" i="13"/>
  <c r="AC11" i="13"/>
  <c r="AH11" i="13"/>
  <c r="AH37" i="13" s="1"/>
  <c r="AU11" i="13"/>
  <c r="AC17" i="55"/>
  <c r="AB18" i="55"/>
  <c r="AD10" i="13"/>
  <c r="AD14" i="55"/>
  <c r="H25" i="29"/>
  <c r="S14" i="55"/>
  <c r="S18" i="55"/>
  <c r="S8" i="13"/>
  <c r="S17" i="55"/>
  <c r="AN19" i="47"/>
  <c r="CJ19" i="47"/>
  <c r="AO19" i="47"/>
  <c r="AP19" i="47"/>
  <c r="AQ19" i="47"/>
  <c r="AD19" i="47"/>
  <c r="AB19" i="47"/>
  <c r="CM17" i="47"/>
  <c r="AF19" i="47"/>
  <c r="AJ19" i="47"/>
  <c r="AI19" i="47"/>
  <c r="AC9" i="13"/>
  <c r="AP20" i="47"/>
  <c r="CI20" i="47"/>
  <c r="AH20" i="47"/>
  <c r="AM20" i="47" s="1"/>
  <c r="AH19" i="47"/>
  <c r="AS14" i="15"/>
  <c r="BB14" i="15" s="1"/>
  <c r="AW14" i="15"/>
  <c r="BF14" i="15"/>
  <c r="M37" i="15"/>
  <c r="AE13" i="47"/>
  <c r="AG13" i="47" s="1"/>
  <c r="AC6" i="13"/>
  <c r="K37" i="13"/>
  <c r="AD13" i="47"/>
  <c r="AF13" i="47"/>
  <c r="AN13" i="47"/>
  <c r="AC13" i="47"/>
  <c r="AO13" i="47"/>
  <c r="AQ13" i="47"/>
  <c r="AU6" i="13"/>
  <c r="S13" i="47"/>
  <c r="CJ13" i="47"/>
  <c r="AP13" i="47"/>
  <c r="E41" i="23"/>
  <c r="F41" i="23"/>
  <c r="AK12" i="47"/>
  <c r="AJ12" i="47"/>
  <c r="CI12" i="47"/>
  <c r="AH12" i="47"/>
  <c r="AL12" i="47"/>
  <c r="AI12" i="47"/>
  <c r="AH13" i="47"/>
  <c r="AM13" i="47" s="1"/>
  <c r="CK9" i="47"/>
  <c r="M37" i="47"/>
  <c r="AU9" i="47"/>
  <c r="AW9" i="47"/>
  <c r="AT9" i="47"/>
  <c r="AO12" i="47"/>
  <c r="AS12" i="47" s="1"/>
  <c r="AQ12" i="47"/>
  <c r="AP12" i="47"/>
  <c r="AR12" i="47"/>
  <c r="AF9" i="47"/>
  <c r="AC9" i="47"/>
  <c r="AB9" i="47"/>
  <c r="AD9" i="47"/>
  <c r="CL11" i="47"/>
  <c r="AB6" i="13"/>
  <c r="S6" i="13"/>
  <c r="J37" i="13"/>
  <c r="E36" i="17"/>
  <c r="E35" i="17" s="1"/>
  <c r="AT6" i="13"/>
  <c r="AJ9" i="47"/>
  <c r="AK9" i="47"/>
  <c r="AL10" i="47"/>
  <c r="AG12" i="15"/>
  <c r="AY12" i="15"/>
  <c r="AV12" i="15"/>
  <c r="AV8" i="13"/>
  <c r="AD8" i="13"/>
  <c r="CL18" i="47"/>
  <c r="AN16" i="47"/>
  <c r="AQ16" i="47"/>
  <c r="AP16" i="47"/>
  <c r="CJ16" i="47"/>
  <c r="AR16" i="47"/>
  <c r="CM20" i="47"/>
  <c r="O37" i="47"/>
  <c r="AJ16" i="47"/>
  <c r="AM16" i="47" s="1"/>
  <c r="AI16" i="47"/>
  <c r="AL16" i="47"/>
  <c r="AH16" i="47"/>
  <c r="AK16" i="47"/>
  <c r="AE16" i="47"/>
  <c r="AD16" i="47"/>
  <c r="AF16" i="47"/>
  <c r="AB16" i="47"/>
  <c r="AG16" i="47" s="1"/>
  <c r="AC16" i="47"/>
  <c r="AC21" i="47"/>
  <c r="AX16" i="47"/>
  <c r="AW16" i="47"/>
  <c r="CK16" i="47"/>
  <c r="AV16" i="47"/>
  <c r="AT16" i="47"/>
  <c r="CM16" i="47"/>
  <c r="AE19" i="47"/>
  <c r="CH19" i="47"/>
  <c r="CL15" i="47"/>
  <c r="AQ21" i="47"/>
  <c r="AO21" i="47"/>
  <c r="CJ21" i="47"/>
  <c r="AN21" i="47"/>
  <c r="AR17" i="47"/>
  <c r="CT20" i="8"/>
  <c r="CT20" i="5"/>
  <c r="CT18" i="8"/>
  <c r="CT25" i="8"/>
  <c r="CT21" i="5"/>
  <c r="CT21" i="8"/>
  <c r="CT19" i="5"/>
  <c r="CT23" i="8"/>
  <c r="CT19" i="8"/>
  <c r="CT22" i="8"/>
  <c r="CT17" i="8"/>
  <c r="CT24" i="8"/>
  <c r="CU16" i="8"/>
  <c r="CU18" i="8"/>
  <c r="CU21" i="8"/>
  <c r="CU20" i="8"/>
  <c r="CU19" i="5"/>
  <c r="DA19" i="5" s="1"/>
  <c r="DB19" i="5" s="1"/>
  <c r="CU20" i="5"/>
  <c r="CU22" i="8"/>
  <c r="CU23" i="8"/>
  <c r="CU17" i="8"/>
  <c r="CU24" i="8"/>
  <c r="CU21" i="5"/>
  <c r="CU25" i="8"/>
  <c r="CU19" i="8"/>
  <c r="CV18" i="8"/>
  <c r="CV16" i="8"/>
  <c r="CV21" i="8"/>
  <c r="CV19" i="5"/>
  <c r="CV23" i="8"/>
  <c r="CV22" i="8"/>
  <c r="CV25" i="8"/>
  <c r="CV19" i="8"/>
  <c r="CV24" i="8"/>
  <c r="CV20" i="8"/>
  <c r="CV17" i="8"/>
  <c r="CV21" i="5"/>
  <c r="CV20" i="5"/>
  <c r="CW19" i="8"/>
  <c r="CW21" i="8"/>
  <c r="CW17" i="8"/>
  <c r="CW22" i="8"/>
  <c r="CW20" i="5"/>
  <c r="CW18" i="8"/>
  <c r="CW23" i="8"/>
  <c r="CW20" i="8"/>
  <c r="CW21" i="5"/>
  <c r="CW19" i="5"/>
  <c r="CW24" i="8"/>
  <c r="CW16" i="8"/>
  <c r="CW25" i="8"/>
  <c r="M37" i="23"/>
  <c r="L37" i="23"/>
  <c r="CX21" i="5"/>
  <c r="DA21" i="5" s="1"/>
  <c r="DB21" i="5" s="1"/>
  <c r="CX21" i="8"/>
  <c r="CX20" i="5"/>
  <c r="CX19" i="5"/>
  <c r="CX17" i="8"/>
  <c r="CX18" i="8"/>
  <c r="CX19" i="8"/>
  <c r="CX25" i="8"/>
  <c r="CX23" i="8"/>
  <c r="CX24" i="8"/>
  <c r="CX22" i="8"/>
  <c r="CX20" i="8"/>
  <c r="CX16" i="8"/>
  <c r="N40" i="23"/>
  <c r="L37" i="15"/>
  <c r="AV6" i="13"/>
  <c r="AU14" i="15"/>
  <c r="K37" i="15"/>
  <c r="P37" i="15"/>
  <c r="N36" i="23"/>
  <c r="N39" i="23"/>
  <c r="F12" i="20"/>
  <c r="G40" i="26" s="1"/>
  <c r="E12" i="20"/>
  <c r="F40" i="26" s="1"/>
  <c r="E36" i="20"/>
  <c r="M39" i="23"/>
  <c r="L39" i="23"/>
  <c r="M40" i="23"/>
  <c r="L40" i="23"/>
  <c r="M38" i="23"/>
  <c r="L38" i="23"/>
  <c r="M36" i="23"/>
  <c r="M35" i="23"/>
  <c r="L35" i="23"/>
  <c r="L17" i="23"/>
  <c r="M29" i="23"/>
  <c r="M34" i="23"/>
  <c r="D15" i="54"/>
  <c r="O43" i="52"/>
  <c r="N43" i="52"/>
  <c r="D38" i="52"/>
  <c r="BD15" i="54"/>
  <c r="F38" i="52"/>
  <c r="E38" i="52"/>
  <c r="E11" i="17"/>
  <c r="N29" i="23"/>
  <c r="N35" i="23"/>
  <c r="N34" i="23"/>
  <c r="N17" i="23"/>
  <c r="N33" i="23"/>
  <c r="BC17" i="54"/>
  <c r="BG17" i="54"/>
  <c r="BI17" i="54"/>
  <c r="BB17" i="54"/>
  <c r="BD17" i="54"/>
  <c r="CL19" i="47"/>
  <c r="D20" i="53"/>
  <c r="D9" i="53"/>
  <c r="D7" i="53"/>
  <c r="E8" i="53"/>
  <c r="E7" i="53"/>
  <c r="E20" i="53"/>
  <c r="D8" i="53"/>
  <c r="E22" i="53"/>
  <c r="AI6" i="13"/>
  <c r="AZ6" i="13"/>
  <c r="AG8" i="13"/>
  <c r="BD16" i="55"/>
  <c r="CT16" i="8"/>
  <c r="CQ16" i="8"/>
  <c r="AJ37" i="8"/>
  <c r="AG42" i="40"/>
  <c r="AG45" i="40" s="1"/>
  <c r="CQ17" i="8"/>
  <c r="AG7" i="8"/>
  <c r="CR23" i="8"/>
  <c r="AG7" i="40"/>
  <c r="CQ25" i="8"/>
  <c r="CQ24" i="8"/>
  <c r="CR17" i="8"/>
  <c r="AK37" i="8"/>
  <c r="CR25" i="8"/>
  <c r="AM13" i="8"/>
  <c r="CR21" i="8"/>
  <c r="AI37" i="8"/>
  <c r="CR22" i="8"/>
  <c r="AG6" i="40"/>
  <c r="CS16" i="8"/>
  <c r="CQ22" i="8"/>
  <c r="AM8" i="8"/>
  <c r="CR18" i="8"/>
  <c r="CJ8" i="9"/>
  <c r="AD9" i="15"/>
  <c r="AG11" i="15"/>
  <c r="CJ8" i="5"/>
  <c r="CS19" i="5"/>
  <c r="CJ15" i="5"/>
  <c r="CJ13" i="5"/>
  <c r="CS18" i="8"/>
  <c r="CS20" i="8"/>
  <c r="CS24" i="8"/>
  <c r="CS22" i="8"/>
  <c r="CS17" i="8"/>
  <c r="CS23" i="8"/>
  <c r="CS21" i="8"/>
  <c r="CJ9" i="9"/>
  <c r="CI37" i="40"/>
  <c r="CJ10" i="5"/>
  <c r="CJ7" i="5"/>
  <c r="CJ16" i="5"/>
  <c r="CS19" i="8"/>
  <c r="BE16" i="55"/>
  <c r="BI16" i="55"/>
  <c r="BE15" i="55"/>
  <c r="BC16" i="55"/>
  <c r="BG16" i="55"/>
  <c r="BD15" i="55"/>
  <c r="BH15" i="55"/>
  <c r="AT37" i="55"/>
  <c r="AD37" i="55"/>
  <c r="BH16" i="55"/>
  <c r="BG15" i="55"/>
  <c r="AI7" i="13"/>
  <c r="Q37" i="13"/>
  <c r="BJ16" i="55"/>
  <c r="BI15" i="55"/>
  <c r="BC15" i="55"/>
  <c r="AV37" i="55"/>
  <c r="BF16" i="55"/>
  <c r="AF8" i="13"/>
  <c r="M37" i="13"/>
  <c r="AU37" i="13"/>
  <c r="AB37" i="55"/>
  <c r="AY6" i="13"/>
  <c r="AI9" i="13"/>
  <c r="AH8" i="13"/>
  <c r="BA6" i="13"/>
  <c r="BJ15" i="55"/>
  <c r="AG37" i="55"/>
  <c r="AU37" i="55"/>
  <c r="AC37" i="15"/>
  <c r="BF15" i="55"/>
  <c r="AF37" i="40"/>
  <c r="E10" i="53"/>
  <c r="E36" i="53" s="1"/>
  <c r="L33" i="23"/>
  <c r="M33" i="23"/>
  <c r="P43" i="52"/>
  <c r="L29" i="23"/>
  <c r="L34" i="23"/>
  <c r="L41" i="23" s="1"/>
  <c r="E43" i="52"/>
  <c r="AD17" i="47"/>
  <c r="AE17" i="47"/>
  <c r="AG17" i="47" s="1"/>
  <c r="AF17" i="47"/>
  <c r="CH17" i="47"/>
  <c r="AB17" i="47"/>
  <c r="AC17" i="47"/>
  <c r="AD21" i="47"/>
  <c r="CH21" i="47"/>
  <c r="AF21" i="47"/>
  <c r="AE21" i="47"/>
  <c r="AB21" i="47"/>
  <c r="AG21" i="47" s="1"/>
  <c r="N37" i="47"/>
  <c r="AJ17" i="47"/>
  <c r="AH17" i="47"/>
  <c r="AI17" i="47"/>
  <c r="CI17" i="47"/>
  <c r="AL17" i="47"/>
  <c r="AK17" i="47"/>
  <c r="CI9" i="47"/>
  <c r="AH9" i="47"/>
  <c r="AI9" i="47"/>
  <c r="AL9" i="47"/>
  <c r="CM9" i="47"/>
  <c r="AJ13" i="47"/>
  <c r="AL13" i="47"/>
  <c r="AI13" i="47"/>
  <c r="CI13" i="47"/>
  <c r="AK13" i="47"/>
  <c r="CM13" i="47"/>
  <c r="CM37" i="47" s="1"/>
  <c r="AT11" i="13"/>
  <c r="AT37" i="13"/>
  <c r="AB11" i="13"/>
  <c r="AC20" i="47"/>
  <c r="AD20" i="47"/>
  <c r="AG20" i="47" s="1"/>
  <c r="AF20" i="47"/>
  <c r="S20" i="47"/>
  <c r="AK19" i="47"/>
  <c r="AL19" i="47"/>
  <c r="AQ17" i="47"/>
  <c r="AO17" i="47"/>
  <c r="AP17" i="47"/>
  <c r="AS17" i="47" s="1"/>
  <c r="CJ17" i="47"/>
  <c r="CJ20" i="47"/>
  <c r="AO20" i="47"/>
  <c r="AQ20" i="47"/>
  <c r="AN20" i="47"/>
  <c r="AR20" i="47"/>
  <c r="AB9" i="15"/>
  <c r="AT9" i="15"/>
  <c r="J37" i="15"/>
  <c r="CI10" i="47"/>
  <c r="Y16" i="53"/>
  <c r="BC15" i="54"/>
  <c r="Y17" i="53"/>
  <c r="X16" i="53"/>
  <c r="Q11" i="17"/>
  <c r="M17" i="23"/>
  <c r="F36" i="20"/>
  <c r="L37" i="13"/>
  <c r="K29" i="23"/>
  <c r="H33" i="23"/>
  <c r="D33" i="52"/>
  <c r="D43" i="52" s="1"/>
  <c r="J17" i="23"/>
  <c r="H35" i="23"/>
  <c r="H41" i="23" s="1"/>
  <c r="AE37" i="13"/>
  <c r="O37" i="13"/>
  <c r="AY7" i="13"/>
  <c r="AY37" i="13" s="1"/>
  <c r="AG7" i="13"/>
  <c r="P37" i="13"/>
  <c r="AZ7" i="13"/>
  <c r="AH7" i="13"/>
  <c r="N37" i="13"/>
  <c r="AX7" i="13"/>
  <c r="AF7" i="13"/>
  <c r="AZ14" i="15"/>
  <c r="AZ37" i="15" s="1"/>
  <c r="AY9" i="13"/>
  <c r="AW7" i="13"/>
  <c r="BA7" i="13"/>
  <c r="AZ9" i="13"/>
  <c r="AX9" i="13"/>
  <c r="AV14" i="15"/>
  <c r="BE14" i="15"/>
  <c r="AG6" i="13"/>
  <c r="AG37" i="13" s="1"/>
  <c r="AH6" i="13"/>
  <c r="AF6" i="13"/>
  <c r="E19" i="59"/>
  <c r="E40" i="59"/>
  <c r="G32" i="26"/>
  <c r="D40" i="59"/>
  <c r="D31" i="59"/>
  <c r="F31" i="59"/>
  <c r="E31" i="59"/>
  <c r="E39" i="59"/>
  <c r="E41" i="59" s="1"/>
  <c r="E42" i="59" s="1"/>
  <c r="D39" i="59"/>
  <c r="CQ42" i="40"/>
  <c r="CQ45" i="40" s="1"/>
  <c r="Q25" i="17" s="1"/>
  <c r="J16" i="57"/>
  <c r="AI37" i="13"/>
  <c r="AV7" i="13"/>
  <c r="E16" i="57"/>
  <c r="AD7" i="13"/>
  <c r="AB37" i="13"/>
  <c r="AB37" i="15"/>
  <c r="F16" i="57"/>
  <c r="F43" i="52"/>
  <c r="BN13" i="52"/>
  <c r="D16" i="54"/>
  <c r="AX37" i="13"/>
  <c r="BA37" i="13"/>
  <c r="I16" i="57"/>
  <c r="AF37" i="13"/>
  <c r="G34" i="26"/>
  <c r="D10" i="59"/>
  <c r="D32" i="59" s="1"/>
  <c r="F34" i="26"/>
  <c r="D19" i="59"/>
  <c r="G10" i="41" s="1"/>
  <c r="F10" i="59"/>
  <c r="E18" i="59"/>
  <c r="E20" i="59" s="1"/>
  <c r="E10" i="59"/>
  <c r="D18" i="59"/>
  <c r="D20" i="59" s="1"/>
  <c r="H16" i="57"/>
  <c r="F43" i="26"/>
  <c r="AV37" i="13"/>
  <c r="G43" i="26"/>
  <c r="X17" i="53"/>
  <c r="D14" i="54"/>
  <c r="G16" i="57"/>
  <c r="E32" i="59"/>
  <c r="F32" i="59"/>
  <c r="BM13" i="52"/>
  <c r="E29" i="20"/>
  <c r="BD16" i="54"/>
  <c r="G29" i="20"/>
  <c r="F29" i="20"/>
  <c r="E10" i="20"/>
  <c r="F10" i="20"/>
  <c r="AS14" i="54"/>
  <c r="BL13" i="52"/>
  <c r="AR14" i="54"/>
  <c r="AT14" i="54"/>
  <c r="G36" i="20"/>
  <c r="CJ23" i="47"/>
  <c r="AR23" i="47"/>
  <c r="AN23" i="47"/>
  <c r="AS23" i="47" s="1"/>
  <c r="AQ23" i="47"/>
  <c r="AP23" i="47"/>
  <c r="AO23" i="47"/>
  <c r="AD23" i="47"/>
  <c r="AB23" i="47"/>
  <c r="AC23" i="47"/>
  <c r="CH23" i="47"/>
  <c r="AF23" i="47"/>
  <c r="S23" i="47"/>
  <c r="AE23" i="47"/>
  <c r="AI23" i="47"/>
  <c r="AK23" i="47"/>
  <c r="CI23" i="47"/>
  <c r="AL23" i="47"/>
  <c r="AH23" i="47"/>
  <c r="AJ23" i="47"/>
  <c r="AJ11" i="47"/>
  <c r="AK11" i="47"/>
  <c r="AL11" i="47"/>
  <c r="CI11" i="47"/>
  <c r="AH11" i="47"/>
  <c r="AM11" i="47" s="1"/>
  <c r="AI11" i="47"/>
  <c r="AO18" i="47"/>
  <c r="AS18" i="47" s="1"/>
  <c r="AQ18" i="47"/>
  <c r="AN18" i="47"/>
  <c r="AP18" i="47"/>
  <c r="AR18" i="47"/>
  <c r="CJ18" i="47"/>
  <c r="CJ37" i="47" s="1"/>
  <c r="AQ11" i="47"/>
  <c r="AR11" i="47"/>
  <c r="AO11" i="47"/>
  <c r="AN11" i="47"/>
  <c r="CJ11" i="47"/>
  <c r="AP11" i="47"/>
  <c r="AC18" i="47"/>
  <c r="AD18" i="47"/>
  <c r="AF18" i="47"/>
  <c r="AE18" i="47"/>
  <c r="AB18" i="47"/>
  <c r="CH18" i="47"/>
  <c r="AC11" i="47"/>
  <c r="AD11" i="47"/>
  <c r="AE11" i="47"/>
  <c r="CH11" i="47"/>
  <c r="S11" i="47"/>
  <c r="AB11" i="47"/>
  <c r="AF11" i="47"/>
  <c r="AH18" i="47"/>
  <c r="AJ18" i="47"/>
  <c r="AL18" i="47"/>
  <c r="CI18" i="47"/>
  <c r="AK18" i="47"/>
  <c r="AI18" i="47"/>
  <c r="H10" i="41"/>
  <c r="AF15" i="47"/>
  <c r="AD15" i="47"/>
  <c r="AB15" i="47"/>
  <c r="CH15" i="47"/>
  <c r="CH37" i="47" s="1"/>
  <c r="S15" i="47"/>
  <c r="AC15" i="47"/>
  <c r="AE15" i="47"/>
  <c r="AI15" i="47"/>
  <c r="AH15" i="47"/>
  <c r="AL15" i="47"/>
  <c r="AJ15" i="47"/>
  <c r="AK15" i="47"/>
  <c r="CI15" i="47"/>
  <c r="AD8" i="47"/>
  <c r="AE8" i="47"/>
  <c r="AG8" i="47" s="1"/>
  <c r="AB8" i="47"/>
  <c r="S8" i="47"/>
  <c r="AC8" i="47"/>
  <c r="AF8" i="47"/>
  <c r="CH8" i="47"/>
  <c r="J37" i="47"/>
  <c r="E24" i="17"/>
  <c r="AR8" i="47"/>
  <c r="AQ8" i="47"/>
  <c r="L37" i="47"/>
  <c r="AP8" i="47"/>
  <c r="CJ8" i="47"/>
  <c r="AN8" i="47"/>
  <c r="AO8" i="47"/>
  <c r="AS8" i="47" s="1"/>
  <c r="CI8" i="47"/>
  <c r="AH8" i="47"/>
  <c r="AM8" i="47" s="1"/>
  <c r="AJ8" i="47"/>
  <c r="AK8" i="47"/>
  <c r="AI8" i="47"/>
  <c r="AL8" i="47"/>
  <c r="K37" i="47"/>
  <c r="AP15" i="47"/>
  <c r="CJ15" i="47"/>
  <c r="AR15" i="47"/>
  <c r="AN15" i="47"/>
  <c r="AS15" i="47" s="1"/>
  <c r="AO15" i="47"/>
  <c r="AQ15" i="47"/>
  <c r="N10" i="19"/>
  <c r="O9" i="19"/>
  <c r="J27" i="19"/>
  <c r="O8" i="19"/>
  <c r="V45" i="19"/>
  <c r="G33" i="61"/>
  <c r="T45" i="19"/>
  <c r="E27" i="61"/>
  <c r="E33" i="61"/>
  <c r="U45" i="19"/>
  <c r="F27" i="61"/>
  <c r="F33" i="61"/>
  <c r="S45" i="19"/>
  <c r="D33" i="61"/>
  <c r="D27" i="61"/>
  <c r="D41" i="23"/>
  <c r="AY37" i="15"/>
  <c r="AX37" i="15"/>
  <c r="AE37" i="15"/>
  <c r="AD37" i="15"/>
  <c r="AV37" i="15"/>
  <c r="AH37" i="15"/>
  <c r="AF37" i="15"/>
  <c r="Q39" i="17"/>
  <c r="D37" i="54" s="1"/>
  <c r="BB37" i="54" s="1"/>
  <c r="D24" i="52"/>
  <c r="BG37" i="54"/>
  <c r="BF37" i="54"/>
  <c r="BC37" i="54"/>
  <c r="AA37" i="15"/>
  <c r="BH37" i="11"/>
  <c r="BT34" i="11"/>
  <c r="CL35" i="11"/>
  <c r="CL34" i="11"/>
  <c r="CL30" i="11"/>
  <c r="CF31" i="11"/>
  <c r="BN30" i="11"/>
  <c r="AM7" i="4"/>
  <c r="AM18" i="4"/>
  <c r="AM26" i="4"/>
  <c r="E8" i="17"/>
  <c r="E7" i="17"/>
  <c r="X12" i="53"/>
  <c r="G46" i="61"/>
  <c r="N41" i="23"/>
  <c r="AM9" i="4"/>
  <c r="AM11" i="4"/>
  <c r="AM27" i="4"/>
  <c r="AM21" i="4"/>
  <c r="CN37" i="4"/>
  <c r="AM24" i="4"/>
  <c r="Z38" i="11"/>
  <c r="U38" i="11"/>
  <c r="Y38" i="11"/>
  <c r="X38" i="11"/>
  <c r="BG38" i="11"/>
  <c r="T38" i="11"/>
  <c r="E23" i="17" s="1"/>
  <c r="E22" i="17"/>
  <c r="W38" i="11"/>
  <c r="AA38" i="11"/>
  <c r="BH32" i="11"/>
  <c r="BH33" i="11"/>
  <c r="AM22" i="4"/>
  <c r="CO37" i="4"/>
  <c r="CI37" i="4"/>
  <c r="CH37" i="4"/>
  <c r="CL37" i="4"/>
  <c r="CK37" i="4"/>
  <c r="CJ37" i="4"/>
  <c r="AK37" i="4"/>
  <c r="T41" i="52"/>
  <c r="AS11" i="47"/>
  <c r="AG9" i="47"/>
  <c r="CL37" i="47"/>
  <c r="AM12" i="47"/>
  <c r="AS10" i="47"/>
  <c r="AS9" i="47"/>
  <c r="CK37" i="47"/>
  <c r="AM17" i="47"/>
  <c r="AM9" i="47"/>
  <c r="CI37" i="47"/>
  <c r="CN37" i="47"/>
  <c r="AG37" i="15"/>
  <c r="AG15" i="47"/>
  <c r="AW37" i="13"/>
  <c r="AD37" i="13"/>
  <c r="AZ37" i="13"/>
  <c r="AY9" i="47"/>
  <c r="AG7" i="9"/>
  <c r="AR15" i="5"/>
  <c r="AS15" i="5" s="1"/>
  <c r="AN7" i="5"/>
  <c r="AR6" i="5"/>
  <c r="AO14" i="5"/>
  <c r="AR8" i="5"/>
  <c r="AQ8" i="5"/>
  <c r="AP10" i="5"/>
  <c r="AN9" i="5"/>
  <c r="AQ7" i="5"/>
  <c r="AN12" i="5"/>
  <c r="AR9" i="5"/>
  <c r="AP12" i="5"/>
  <c r="AN16" i="5"/>
  <c r="AR13" i="5"/>
  <c r="AN8" i="5"/>
  <c r="DA38" i="11"/>
  <c r="AG9" i="40"/>
  <c r="AM25" i="4"/>
  <c r="CH37" i="5"/>
  <c r="CN37" i="5"/>
  <c r="CI37" i="8"/>
  <c r="CK37" i="8"/>
  <c r="AJ37" i="40"/>
  <c r="CX38" i="11"/>
  <c r="CM37" i="5"/>
  <c r="CM37" i="40"/>
  <c r="AN8" i="4"/>
  <c r="AN9" i="4"/>
  <c r="AN31" i="4"/>
  <c r="AN18" i="4"/>
  <c r="AN10" i="4"/>
  <c r="CJ37" i="8"/>
  <c r="CM37" i="8"/>
  <c r="AR10" i="4"/>
  <c r="AR21" i="4"/>
  <c r="AR17" i="4"/>
  <c r="AR31" i="4"/>
  <c r="AR18" i="4"/>
  <c r="AR19" i="4"/>
  <c r="CJ11" i="5"/>
  <c r="BN32" i="6"/>
  <c r="BN31" i="6"/>
  <c r="BN27" i="6"/>
  <c r="CO37" i="47"/>
  <c r="AN21" i="4"/>
  <c r="AR8" i="4"/>
  <c r="BH33" i="6"/>
  <c r="BH29" i="11"/>
  <c r="BZ27" i="6"/>
  <c r="CJ14" i="5"/>
  <c r="CJ17" i="5"/>
  <c r="CJ6" i="5"/>
  <c r="CJ37" i="5"/>
  <c r="AR20" i="4"/>
  <c r="AN17" i="4"/>
  <c r="BZ37" i="11"/>
  <c r="BZ36" i="11"/>
  <c r="CO37" i="8"/>
  <c r="BH34" i="6"/>
  <c r="BH36" i="6"/>
  <c r="AV35" i="11"/>
  <c r="AV33" i="11"/>
  <c r="BB37" i="11"/>
  <c r="BB33" i="11"/>
  <c r="BB30" i="11"/>
  <c r="BB32" i="6"/>
  <c r="BB29" i="6"/>
  <c r="AV35" i="6"/>
  <c r="AV33" i="6"/>
  <c r="BT38" i="6"/>
  <c r="BT35" i="6"/>
  <c r="BT34" i="6"/>
  <c r="BT32" i="6"/>
  <c r="BT30" i="6"/>
  <c r="BT26" i="6"/>
  <c r="BT37" i="11"/>
  <c r="BT35" i="11"/>
  <c r="BT30" i="11"/>
  <c r="BZ37" i="6"/>
  <c r="BZ36" i="6"/>
  <c r="BZ32" i="6"/>
  <c r="BZ29" i="6"/>
  <c r="BH37" i="6"/>
  <c r="AG23" i="47"/>
  <c r="AS20" i="47"/>
  <c r="AE37" i="40"/>
  <c r="AV37" i="11"/>
  <c r="BB29" i="11"/>
  <c r="AG7" i="5"/>
  <c r="BN37" i="11"/>
  <c r="BN35" i="11"/>
  <c r="BN34" i="11"/>
  <c r="BN33" i="11"/>
  <c r="BN29" i="11"/>
  <c r="AX37" i="5"/>
  <c r="BZ32" i="11"/>
  <c r="BZ30" i="11"/>
  <c r="BZ29" i="11"/>
  <c r="CF38" i="6"/>
  <c r="CF36" i="6"/>
  <c r="CF35" i="6"/>
  <c r="CF32" i="6"/>
  <c r="CF31" i="6"/>
  <c r="CF30" i="6"/>
  <c r="CF28" i="6"/>
  <c r="CF27" i="6"/>
  <c r="CF35" i="11"/>
  <c r="CF34" i="11"/>
  <c r="CF32" i="11"/>
  <c r="AU37" i="40"/>
  <c r="AG11" i="8"/>
  <c r="AM20" i="4"/>
  <c r="CL32" i="11"/>
  <c r="BN28" i="6"/>
  <c r="BH30" i="6"/>
  <c r="AV29" i="11"/>
  <c r="BT36" i="6"/>
  <c r="BZ33" i="11"/>
  <c r="CL30" i="6"/>
  <c r="BH30" i="11"/>
  <c r="AS13" i="5"/>
  <c r="AV26" i="6"/>
  <c r="BH38" i="6"/>
  <c r="BH35" i="11"/>
  <c r="AW37" i="5"/>
  <c r="AG9" i="8"/>
  <c r="O41" i="52"/>
  <c r="S41" i="52"/>
  <c r="CH37" i="8"/>
  <c r="AG13" i="8"/>
  <c r="P41" i="52"/>
  <c r="AJ45" i="40"/>
  <c r="AM42" i="40"/>
  <c r="AM45" i="40"/>
  <c r="W45" i="40"/>
  <c r="N44" i="52"/>
  <c r="R41" i="52"/>
  <c r="CR42" i="40"/>
  <c r="CR45" i="40" s="1"/>
  <c r="H26" i="19"/>
  <c r="I26" i="19"/>
  <c r="J32" i="19" s="1"/>
  <c r="J26" i="19"/>
  <c r="N42" i="52"/>
  <c r="DD38" i="11"/>
  <c r="J28" i="19"/>
  <c r="AA25" i="23"/>
  <c r="Z29" i="23"/>
  <c r="Z30" i="23" s="1"/>
  <c r="Z31" i="23" s="1"/>
  <c r="BL24" i="52" l="1"/>
  <c r="X24" i="52"/>
  <c r="BE17" i="54"/>
  <c r="BB16" i="54"/>
  <c r="BD14" i="54"/>
  <c r="BH17" i="54"/>
  <c r="J41" i="23"/>
  <c r="M41" i="23"/>
  <c r="K41" i="23"/>
  <c r="I41" i="23"/>
  <c r="BQ24" i="52"/>
  <c r="AE37" i="55"/>
  <c r="U41" i="52"/>
  <c r="BP24" i="52"/>
  <c r="AG37" i="8"/>
  <c r="AM37" i="8"/>
  <c r="AF37" i="8"/>
  <c r="AM12" i="5"/>
  <c r="AB37" i="8"/>
  <c r="AM9" i="40"/>
  <c r="AI37" i="40"/>
  <c r="BB35" i="6"/>
  <c r="BZ35" i="6"/>
  <c r="AG10" i="40"/>
  <c r="AM6" i="4"/>
  <c r="AM8" i="40"/>
  <c r="AI37" i="5"/>
  <c r="AB37" i="9"/>
  <c r="AM6" i="40"/>
  <c r="CL38" i="6"/>
  <c r="CL32" i="6"/>
  <c r="CF29" i="6"/>
  <c r="AM23" i="47"/>
  <c r="AW37" i="40"/>
  <c r="CL37" i="6"/>
  <c r="DM37" i="6" s="1"/>
  <c r="CL33" i="6"/>
  <c r="AG8" i="8"/>
  <c r="AM15" i="47"/>
  <c r="AM18" i="47"/>
  <c r="AM21" i="47"/>
  <c r="AM19" i="47"/>
  <c r="AS19" i="47"/>
  <c r="AG8" i="40"/>
  <c r="AG37" i="40" s="1"/>
  <c r="CL36" i="6"/>
  <c r="CL31" i="6"/>
  <c r="AH37" i="8"/>
  <c r="AI37" i="9"/>
  <c r="CL26" i="6"/>
  <c r="BN37" i="6"/>
  <c r="AB28" i="23"/>
  <c r="AB29" i="23" s="1"/>
  <c r="AB30" i="23" s="1"/>
  <c r="T26" i="23"/>
  <c r="T23" i="23"/>
  <c r="AE28" i="23"/>
  <c r="Z26" i="23"/>
  <c r="AE26" i="23" s="1"/>
  <c r="T24" i="23"/>
  <c r="R43" i="52"/>
  <c r="T27" i="23"/>
  <c r="T25" i="23"/>
  <c r="L89" i="19"/>
  <c r="L90" i="19" s="1"/>
  <c r="AE25" i="23"/>
  <c r="K89" i="19"/>
  <c r="K90" i="19" s="1"/>
  <c r="AA27" i="23"/>
  <c r="AE27" i="23" s="1"/>
  <c r="M89" i="19"/>
  <c r="M90" i="19" s="1"/>
  <c r="N89" i="19"/>
  <c r="N90" i="19" s="1"/>
  <c r="M102" i="19"/>
  <c r="K102" i="19"/>
  <c r="N102" i="19"/>
  <c r="L102" i="19"/>
  <c r="AB31" i="23"/>
  <c r="AB32" i="23" s="1"/>
  <c r="Q44" i="52"/>
  <c r="AE30" i="23"/>
  <c r="Z32" i="23"/>
  <c r="N41" i="52"/>
  <c r="BN8" i="52"/>
  <c r="AG37" i="9"/>
  <c r="CJ37" i="9"/>
  <c r="AE29" i="23"/>
  <c r="I32" i="19"/>
  <c r="AS13" i="47"/>
  <c r="AG18" i="47"/>
  <c r="BB15" i="54"/>
  <c r="BB14" i="54" s="1"/>
  <c r="H27" i="19"/>
  <c r="H28" i="19" s="1"/>
  <c r="I27" i="19"/>
  <c r="I28" i="19" s="1"/>
  <c r="AG11" i="47"/>
  <c r="AU37" i="15"/>
  <c r="BD14" i="15"/>
  <c r="DA20" i="5"/>
  <c r="DB20" i="5" s="1"/>
  <c r="O44" i="52"/>
  <c r="BI14" i="15"/>
  <c r="F32" i="26"/>
  <c r="D41" i="59"/>
  <c r="D42" i="59" s="1"/>
  <c r="BO24" i="52"/>
  <c r="P44" i="52"/>
  <c r="BM8" i="52"/>
  <c r="R44" i="28"/>
  <c r="S44" i="28" s="1"/>
  <c r="T44" i="28" s="1"/>
  <c r="U44" i="28" s="1"/>
  <c r="AT31" i="4"/>
  <c r="AT10" i="5"/>
  <c r="AY10" i="5" s="1"/>
  <c r="AT11" i="5"/>
  <c r="AY11" i="5" s="1"/>
  <c r="AT8" i="5"/>
  <c r="AY8" i="5" s="1"/>
  <c r="AT17" i="5"/>
  <c r="AY17" i="5" s="1"/>
  <c r="AT22" i="4"/>
  <c r="AY22" i="4" s="1"/>
  <c r="AT9" i="5"/>
  <c r="AY9" i="5" s="1"/>
  <c r="AT15" i="5"/>
  <c r="AY15" i="5" s="1"/>
  <c r="AT7" i="8"/>
  <c r="AY7" i="8" s="1"/>
  <c r="AT26" i="4"/>
  <c r="AY26" i="4" s="1"/>
  <c r="AT18" i="4"/>
  <c r="AY18" i="4" s="1"/>
  <c r="AT13" i="8"/>
  <c r="AY13" i="8" s="1"/>
  <c r="AT8" i="4"/>
  <c r="AY8" i="4" s="1"/>
  <c r="AT25" i="4"/>
  <c r="AY25" i="4" s="1"/>
  <c r="AT9" i="4"/>
  <c r="AY9" i="4" s="1"/>
  <c r="AT14" i="5"/>
  <c r="AY14" i="5" s="1"/>
  <c r="AT7" i="5"/>
  <c r="AY7" i="5" s="1"/>
  <c r="AT11" i="8"/>
  <c r="AY11" i="8" s="1"/>
  <c r="AT15" i="8"/>
  <c r="AY15" i="8" s="1"/>
  <c r="AT6" i="40"/>
  <c r="AT7" i="4"/>
  <c r="AY7" i="4" s="1"/>
  <c r="AT14" i="4"/>
  <c r="AY14" i="4" s="1"/>
  <c r="AT7" i="9"/>
  <c r="AY7" i="9" s="1"/>
  <c r="AT12" i="8"/>
  <c r="AY12" i="8" s="1"/>
  <c r="AT8" i="8"/>
  <c r="AY8" i="8" s="1"/>
  <c r="AT21" i="4"/>
  <c r="AY21" i="4" s="1"/>
  <c r="AT42" i="40"/>
  <c r="AT29" i="4"/>
  <c r="AY29" i="4" s="1"/>
  <c r="AT13" i="4"/>
  <c r="AY13" i="4" s="1"/>
  <c r="AT6" i="9"/>
  <c r="AT6" i="8"/>
  <c r="AT10" i="40"/>
  <c r="AY10" i="40" s="1"/>
  <c r="AT24" i="4"/>
  <c r="AT20" i="4"/>
  <c r="AY20" i="4" s="1"/>
  <c r="AT27" i="4"/>
  <c r="AY27" i="4" s="1"/>
  <c r="AT8" i="9"/>
  <c r="AY8" i="9" s="1"/>
  <c r="AT17" i="4"/>
  <c r="AY17" i="4" s="1"/>
  <c r="AT6" i="4"/>
  <c r="AT9" i="9"/>
  <c r="AY9" i="9" s="1"/>
  <c r="AT10" i="4"/>
  <c r="AY10" i="4" s="1"/>
  <c r="AT11" i="4"/>
  <c r="AY11" i="4" s="1"/>
  <c r="AT23" i="4"/>
  <c r="AY23" i="4" s="1"/>
  <c r="AT7" i="40"/>
  <c r="AY7" i="40" s="1"/>
  <c r="AT9" i="8"/>
  <c r="AY9" i="8" s="1"/>
  <c r="AT9" i="40"/>
  <c r="AY9" i="40" s="1"/>
  <c r="AT19" i="4"/>
  <c r="AY19" i="4" s="1"/>
  <c r="AT8" i="40"/>
  <c r="AY8" i="40" s="1"/>
  <c r="AT15" i="4"/>
  <c r="AY15" i="4" s="1"/>
  <c r="AT14" i="8"/>
  <c r="AY14" i="8" s="1"/>
  <c r="AL27" i="47"/>
  <c r="AL29" i="47"/>
  <c r="AL26" i="47"/>
  <c r="AL28" i="47"/>
  <c r="AL24" i="47"/>
  <c r="AL25" i="47"/>
  <c r="AB26" i="4"/>
  <c r="AG26" i="4" s="1"/>
  <c r="AB14" i="4"/>
  <c r="AG14" i="4" s="1"/>
  <c r="AB6" i="4"/>
  <c r="AB11" i="4"/>
  <c r="AG11" i="4" s="1"/>
  <c r="AB13" i="4"/>
  <c r="AG13" i="4" s="1"/>
  <c r="AB28" i="4"/>
  <c r="AB25" i="4"/>
  <c r="AG25" i="4" s="1"/>
  <c r="AB31" i="4"/>
  <c r="AB29" i="4"/>
  <c r="AG29" i="4" s="1"/>
  <c r="AB24" i="4"/>
  <c r="AG24" i="4" s="1"/>
  <c r="AB20" i="4"/>
  <c r="AG20" i="4" s="1"/>
  <c r="AB8" i="4"/>
  <c r="AG8" i="4" s="1"/>
  <c r="AB21" i="4"/>
  <c r="AG21" i="4" s="1"/>
  <c r="AB27" i="4"/>
  <c r="AG27" i="4" s="1"/>
  <c r="AB10" i="4"/>
  <c r="AG10" i="4" s="1"/>
  <c r="AB9" i="4"/>
  <c r="AG9" i="4" s="1"/>
  <c r="AB22" i="4"/>
  <c r="AG22" i="4" s="1"/>
  <c r="AB17" i="4"/>
  <c r="AG17" i="4" s="1"/>
  <c r="AB19" i="4"/>
  <c r="AG19" i="4" s="1"/>
  <c r="AB7" i="4"/>
  <c r="AG7" i="4" s="1"/>
  <c r="AB18" i="4"/>
  <c r="AG18" i="4" s="1"/>
  <c r="AB23" i="4"/>
  <c r="AG23" i="4" s="1"/>
  <c r="E15" i="17"/>
  <c r="E32" i="17" s="1"/>
  <c r="AD24" i="4"/>
  <c r="AD21" i="4"/>
  <c r="AD28" i="4"/>
  <c r="AD31" i="4"/>
  <c r="AL6" i="9"/>
  <c r="AL9" i="9"/>
  <c r="AL7" i="9"/>
  <c r="AL8" i="9"/>
  <c r="AK6" i="9"/>
  <c r="AK9" i="9"/>
  <c r="AM9" i="9" s="1"/>
  <c r="AK8" i="9"/>
  <c r="AK7" i="9"/>
  <c r="AM7" i="9" s="1"/>
  <c r="AU37" i="5"/>
  <c r="AE28" i="4"/>
  <c r="AE37" i="4" s="1"/>
  <c r="AE31" i="4"/>
  <c r="AW31" i="4"/>
  <c r="AW28" i="4"/>
  <c r="AW37" i="4" s="1"/>
  <c r="DD39" i="6"/>
  <c r="AT12" i="5"/>
  <c r="AY12" i="5" s="1"/>
  <c r="AT6" i="5"/>
  <c r="AT16" i="5"/>
  <c r="AY16" i="5" s="1"/>
  <c r="AT13" i="5"/>
  <c r="AY13" i="5" s="1"/>
  <c r="BM38" i="11"/>
  <c r="BL38" i="11"/>
  <c r="AY38" i="11"/>
  <c r="AR38" i="11"/>
  <c r="BD39" i="6"/>
  <c r="BK39" i="6"/>
  <c r="BM39" i="6"/>
  <c r="BA39" i="6"/>
  <c r="DB39" i="6"/>
  <c r="AW41" i="40"/>
  <c r="DA39" i="6"/>
  <c r="AC8" i="5"/>
  <c r="AC14" i="5"/>
  <c r="AG14" i="5" s="1"/>
  <c r="AC13" i="5"/>
  <c r="AG13" i="5" s="1"/>
  <c r="AC10" i="5"/>
  <c r="AG10" i="5" s="1"/>
  <c r="AC9" i="5"/>
  <c r="AG9" i="5" s="1"/>
  <c r="AC11" i="5"/>
  <c r="AC20" i="5"/>
  <c r="DB38" i="11"/>
  <c r="AY39" i="6"/>
  <c r="AJ13" i="5"/>
  <c r="AM13" i="5" s="1"/>
  <c r="AD6" i="5"/>
  <c r="AJ8" i="5"/>
  <c r="AM8" i="5" s="1"/>
  <c r="AB20" i="5"/>
  <c r="AF20" i="5"/>
  <c r="AD11" i="5"/>
  <c r="AB8" i="5"/>
  <c r="AJ9" i="5"/>
  <c r="AM9" i="5" s="1"/>
  <c r="AU24" i="4"/>
  <c r="AU37" i="4" s="1"/>
  <c r="AJ7" i="5"/>
  <c r="AF17" i="5"/>
  <c r="AB15" i="5"/>
  <c r="AG15" i="5" s="1"/>
  <c r="CW38" i="11"/>
  <c r="AH31" i="4"/>
  <c r="AM31" i="4" s="1"/>
  <c r="AH28" i="4"/>
  <c r="AM28" i="4" s="1"/>
  <c r="CO37" i="5"/>
  <c r="AS37" i="15"/>
  <c r="CH37" i="9"/>
  <c r="AJ15" i="5"/>
  <c r="AM15" i="5" s="1"/>
  <c r="BM24" i="52"/>
  <c r="W39" i="6"/>
  <c r="AB17" i="5"/>
  <c r="AB16" i="5"/>
  <c r="AG16" i="5" s="1"/>
  <c r="CQ16" i="5" s="1"/>
  <c r="AB21" i="5"/>
  <c r="AB11" i="5"/>
  <c r="AF11" i="5"/>
  <c r="AF21" i="5"/>
  <c r="AH14" i="4"/>
  <c r="AT28" i="4"/>
  <c r="AY28" i="4" s="1"/>
  <c r="AO11" i="5"/>
  <c r="AO8" i="5"/>
  <c r="AQ9" i="5"/>
  <c r="AS9" i="5" s="1"/>
  <c r="AQ16" i="5"/>
  <c r="AP16" i="5"/>
  <c r="AS16" i="5" s="1"/>
  <c r="AO6" i="5"/>
  <c r="AO10" i="5"/>
  <c r="AO12" i="5"/>
  <c r="AS12" i="5" s="1"/>
  <c r="AQ6" i="5"/>
  <c r="AR16" i="5"/>
  <c r="AR7" i="5"/>
  <c r="AR17" i="5"/>
  <c r="AS17" i="5" s="1"/>
  <c r="AN14" i="5"/>
  <c r="AS14" i="5" s="1"/>
  <c r="AQ11" i="5"/>
  <c r="AP8" i="5"/>
  <c r="AN10" i="5"/>
  <c r="AL10" i="5"/>
  <c r="AT37" i="15"/>
  <c r="AW12" i="47"/>
  <c r="AW13" i="47"/>
  <c r="AW8" i="47"/>
  <c r="AW26" i="47"/>
  <c r="AW25" i="47"/>
  <c r="AW11" i="47"/>
  <c r="AW23" i="47"/>
  <c r="AW27" i="47"/>
  <c r="AW29" i="47"/>
  <c r="AW28" i="47"/>
  <c r="AW17" i="47"/>
  <c r="AW15" i="47"/>
  <c r="AW10" i="47"/>
  <c r="AW19" i="47"/>
  <c r="AW18" i="47"/>
  <c r="AW21" i="47"/>
  <c r="AW20" i="47"/>
  <c r="AW24" i="47"/>
  <c r="AO11" i="8"/>
  <c r="AO12" i="8"/>
  <c r="AO8" i="8"/>
  <c r="AO7" i="8"/>
  <c r="AO14" i="8"/>
  <c r="AO9" i="8"/>
  <c r="AO15" i="8"/>
  <c r="AO6" i="8"/>
  <c r="AH10" i="47"/>
  <c r="AT29" i="47"/>
  <c r="AT15" i="47"/>
  <c r="AT27" i="47"/>
  <c r="AT24" i="47"/>
  <c r="AT28" i="47"/>
  <c r="AT23" i="47"/>
  <c r="AT17" i="47"/>
  <c r="AT10" i="47"/>
  <c r="AT19" i="47"/>
  <c r="AT21" i="47"/>
  <c r="AT20" i="47"/>
  <c r="AT8" i="47"/>
  <c r="AT26" i="47"/>
  <c r="AT13" i="47"/>
  <c r="AT25" i="47"/>
  <c r="AT11" i="47"/>
  <c r="AT12" i="47"/>
  <c r="AT18" i="47"/>
  <c r="E9" i="53"/>
  <c r="AN7" i="40"/>
  <c r="AQ7" i="9"/>
  <c r="E7" i="62"/>
  <c r="Q6" i="28"/>
  <c r="AW37" i="15"/>
  <c r="AO13" i="8"/>
  <c r="AP10" i="40"/>
  <c r="AP7" i="40"/>
  <c r="AP41" i="40"/>
  <c r="AP6" i="40"/>
  <c r="AP8" i="40"/>
  <c r="AP9" i="40"/>
  <c r="AP42" i="40"/>
  <c r="AP45" i="40" s="1"/>
  <c r="AR10" i="40"/>
  <c r="AR7" i="40"/>
  <c r="AR9" i="40"/>
  <c r="AR6" i="40"/>
  <c r="AR8" i="40"/>
  <c r="AR41" i="40"/>
  <c r="AR42" i="40"/>
  <c r="AR45" i="40" s="1"/>
  <c r="AN24" i="47"/>
  <c r="AK26" i="47"/>
  <c r="CY38" i="11"/>
  <c r="DG33" i="11"/>
  <c r="AQ19" i="4"/>
  <c r="AQ17" i="4"/>
  <c r="AQ8" i="4"/>
  <c r="AQ26" i="47"/>
  <c r="AQ25" i="47"/>
  <c r="AQ24" i="47"/>
  <c r="AQ29" i="47"/>
  <c r="AQ27" i="47"/>
  <c r="AQ28" i="47"/>
  <c r="O37" i="4"/>
  <c r="CM31" i="4"/>
  <c r="CM37" i="4" s="1"/>
  <c r="E9" i="62"/>
  <c r="AB28" i="47"/>
  <c r="AB27" i="47"/>
  <c r="AB25" i="47"/>
  <c r="AB24" i="47"/>
  <c r="AB37" i="47" s="1"/>
  <c r="AB29" i="47"/>
  <c r="AB26" i="47"/>
  <c r="BE38" i="11"/>
  <c r="CL28" i="6"/>
  <c r="DM28" i="6" s="1"/>
  <c r="AP19" i="4"/>
  <c r="AN7" i="9"/>
  <c r="AN14" i="4"/>
  <c r="AQ25" i="4"/>
  <c r="AP31" i="4"/>
  <c r="AX28" i="47"/>
  <c r="V39" i="6"/>
  <c r="AJ10" i="47"/>
  <c r="AP9" i="8"/>
  <c r="AO14" i="4"/>
  <c r="AN8" i="9"/>
  <c r="AQ27" i="4"/>
  <c r="AP22" i="4"/>
  <c r="AN25" i="4"/>
  <c r="AR9" i="4"/>
  <c r="AR28" i="4"/>
  <c r="AQ12" i="8"/>
  <c r="AO9" i="40"/>
  <c r="AN14" i="8"/>
  <c r="AQ10" i="40"/>
  <c r="AP8" i="4"/>
  <c r="AO28" i="4"/>
  <c r="AP24" i="4"/>
  <c r="AO13" i="4"/>
  <c r="AO26" i="4"/>
  <c r="AQ13" i="4"/>
  <c r="AO7" i="40"/>
  <c r="AN15" i="8"/>
  <c r="AR7" i="8"/>
  <c r="AP14" i="4"/>
  <c r="AN20" i="4"/>
  <c r="AN27" i="4"/>
  <c r="AR25" i="4"/>
  <c r="AR13" i="8"/>
  <c r="AN8" i="40"/>
  <c r="AQ7" i="40"/>
  <c r="AR9" i="8"/>
  <c r="AR6" i="9"/>
  <c r="AN12" i="8"/>
  <c r="AR14" i="8"/>
  <c r="AP18" i="4"/>
  <c r="AO7" i="4"/>
  <c r="AO25" i="4"/>
  <c r="AQ15" i="4"/>
  <c r="AN29" i="4"/>
  <c r="AR13" i="4"/>
  <c r="AQ6" i="9"/>
  <c r="AO42" i="40"/>
  <c r="AO45" i="40" s="1"/>
  <c r="AR11" i="8"/>
  <c r="AN6" i="4"/>
  <c r="AO20" i="4"/>
  <c r="AN24" i="4"/>
  <c r="AR15" i="4"/>
  <c r="AP15" i="8"/>
  <c r="AQ15" i="8"/>
  <c r="AQ42" i="40"/>
  <c r="AQ45" i="40" s="1"/>
  <c r="AP11" i="8"/>
  <c r="AP8" i="9"/>
  <c r="AR12" i="8"/>
  <c r="AQ9" i="9"/>
  <c r="AO6" i="40"/>
  <c r="AO19" i="4"/>
  <c r="AO15" i="4"/>
  <c r="AP28" i="4"/>
  <c r="AP17" i="4"/>
  <c r="AU16" i="47"/>
  <c r="AY16" i="47" s="1"/>
  <c r="AO7" i="9"/>
  <c r="AR26" i="4"/>
  <c r="AN11" i="4"/>
  <c r="AP20" i="4"/>
  <c r="AN7" i="4"/>
  <c r="AR11" i="4"/>
  <c r="AO23" i="4"/>
  <c r="AP7" i="9"/>
  <c r="AQ11" i="8"/>
  <c r="AQ23" i="4"/>
  <c r="AN13" i="8"/>
  <c r="AP14" i="8"/>
  <c r="AN6" i="8"/>
  <c r="AQ8" i="9"/>
  <c r="AQ8" i="40"/>
  <c r="AP26" i="4"/>
  <c r="AP6" i="4"/>
  <c r="AO29" i="4"/>
  <c r="AO18" i="4"/>
  <c r="AN22" i="4"/>
  <c r="AO10" i="40"/>
  <c r="AN15" i="4"/>
  <c r="AR27" i="4"/>
  <c r="AR24" i="4"/>
  <c r="AO31" i="4"/>
  <c r="AN6" i="9"/>
  <c r="AQ7" i="8"/>
  <c r="AQ26" i="4"/>
  <c r="AQ14" i="8"/>
  <c r="AQ9" i="40"/>
  <c r="AO9" i="9"/>
  <c r="AR6" i="8"/>
  <c r="AN42" i="40"/>
  <c r="AN10" i="40"/>
  <c r="AO27" i="4"/>
  <c r="AO11" i="4"/>
  <c r="AQ6" i="4"/>
  <c r="AP21" i="4"/>
  <c r="AV15" i="47"/>
  <c r="AV19" i="47"/>
  <c r="AH27" i="47"/>
  <c r="AN25" i="47"/>
  <c r="AQ8" i="8"/>
  <c r="AR29" i="4"/>
  <c r="AN11" i="8"/>
  <c r="AQ14" i="4"/>
  <c r="AP23" i="4"/>
  <c r="AN13" i="4"/>
  <c r="AR14" i="4"/>
  <c r="AN9" i="8"/>
  <c r="AP9" i="9"/>
  <c r="AQ9" i="8"/>
  <c r="AQ28" i="4"/>
  <c r="AN9" i="9"/>
  <c r="AN8" i="8"/>
  <c r="AN9" i="40"/>
  <c r="AS9" i="40" s="1"/>
  <c r="AQ6" i="40"/>
  <c r="AP27" i="4"/>
  <c r="AO17" i="4"/>
  <c r="AO8" i="4"/>
  <c r="AS8" i="4" s="1"/>
  <c r="AQ24" i="4"/>
  <c r="AI10" i="47"/>
  <c r="AC19" i="47"/>
  <c r="AG19" i="47" s="1"/>
  <c r="AQ7" i="4"/>
  <c r="AP13" i="8"/>
  <c r="AP10" i="4"/>
  <c r="AP29" i="4"/>
  <c r="AQ11" i="4"/>
  <c r="AR15" i="8"/>
  <c r="AN23" i="4"/>
  <c r="AN26" i="4"/>
  <c r="AP9" i="4"/>
  <c r="AS9" i="4" s="1"/>
  <c r="AR7" i="4"/>
  <c r="AN6" i="40"/>
  <c r="AP8" i="8"/>
  <c r="AQ6" i="8"/>
  <c r="AR9" i="9"/>
  <c r="AR8" i="8"/>
  <c r="AP12" i="8"/>
  <c r="AO8" i="40"/>
  <c r="AO24" i="4"/>
  <c r="AO21" i="4"/>
  <c r="AP11" i="4"/>
  <c r="AP25" i="4"/>
  <c r="AQ29" i="4"/>
  <c r="AN19" i="4"/>
  <c r="AQ9" i="4"/>
  <c r="AR7" i="9"/>
  <c r="AJ27" i="47"/>
  <c r="O42" i="52"/>
  <c r="CL29" i="6"/>
  <c r="AR23" i="4"/>
  <c r="BH27" i="6"/>
  <c r="DH27" i="6" s="1"/>
  <c r="AO29" i="47"/>
  <c r="AO26" i="47"/>
  <c r="AO25" i="47"/>
  <c r="AO24" i="47"/>
  <c r="AO27" i="47"/>
  <c r="AO28" i="47"/>
  <c r="AO16" i="47"/>
  <c r="AU21" i="47"/>
  <c r="AR29" i="47"/>
  <c r="BR24" i="52"/>
  <c r="AF25" i="47"/>
  <c r="AK29" i="47"/>
  <c r="AV18" i="47"/>
  <c r="AE29" i="47"/>
  <c r="AE26" i="47"/>
  <c r="AE25" i="47"/>
  <c r="AE24" i="47"/>
  <c r="AE27" i="47"/>
  <c r="AQ31" i="4"/>
  <c r="AD27" i="47"/>
  <c r="AD29" i="47"/>
  <c r="AD28" i="47"/>
  <c r="Q41" i="55"/>
  <c r="AU13" i="47"/>
  <c r="AU25" i="47"/>
  <c r="AU11" i="47"/>
  <c r="AU27" i="47"/>
  <c r="AU29" i="47"/>
  <c r="AU28" i="47"/>
  <c r="AU23" i="47"/>
  <c r="AU17" i="47"/>
  <c r="AU15" i="47"/>
  <c r="AU10" i="47"/>
  <c r="AU19" i="47"/>
  <c r="AU18" i="47"/>
  <c r="AU12" i="47"/>
  <c r="AU8" i="47"/>
  <c r="AU26" i="47"/>
  <c r="AU24" i="47"/>
  <c r="Z35" i="23"/>
  <c r="H13" i="48"/>
  <c r="F3" i="42"/>
  <c r="K25" i="19"/>
  <c r="K60" i="19"/>
  <c r="G39" i="61" s="1"/>
  <c r="K19" i="19"/>
  <c r="O3" i="42"/>
  <c r="G47" i="53"/>
  <c r="K31" i="19"/>
  <c r="AF24" i="47"/>
  <c r="AH28" i="47"/>
  <c r="D22" i="60"/>
  <c r="AQ20" i="4"/>
  <c r="AR6" i="4"/>
  <c r="AV13" i="47"/>
  <c r="AV23" i="47"/>
  <c r="AV8" i="47"/>
  <c r="AV26" i="47"/>
  <c r="AV25" i="47"/>
  <c r="AV11" i="47"/>
  <c r="AV27" i="47"/>
  <c r="AV29" i="47"/>
  <c r="AV28" i="47"/>
  <c r="AV17" i="47"/>
  <c r="AV21" i="47"/>
  <c r="AV20" i="47"/>
  <c r="AV12" i="47"/>
  <c r="AX20" i="47"/>
  <c r="AX26" i="47"/>
  <c r="AX21" i="47"/>
  <c r="AX12" i="47"/>
  <c r="AX13" i="47"/>
  <c r="AX8" i="47"/>
  <c r="AX25" i="47"/>
  <c r="AX23" i="47"/>
  <c r="AX27" i="47"/>
  <c r="AX24" i="47"/>
  <c r="AX15" i="47"/>
  <c r="AX10" i="47"/>
  <c r="AX19" i="47"/>
  <c r="AX18" i="47"/>
  <c r="AK10" i="47"/>
  <c r="AI25" i="47"/>
  <c r="AI24" i="47"/>
  <c r="AI28" i="47"/>
  <c r="AI27" i="47"/>
  <c r="AI26" i="47"/>
  <c r="K14" i="19"/>
  <c r="AP25" i="47"/>
  <c r="AU20" i="47"/>
  <c r="AF26" i="47"/>
  <c r="AF28" i="47"/>
  <c r="AF27" i="47"/>
  <c r="AF29" i="47"/>
  <c r="AR8" i="9"/>
  <c r="AQ18" i="4"/>
  <c r="AQ21" i="4"/>
  <c r="AR25" i="47"/>
  <c r="AR24" i="47"/>
  <c r="AR28" i="47"/>
  <c r="AR27" i="47"/>
  <c r="AR26" i="47"/>
  <c r="Q13" i="28"/>
  <c r="R13" i="28" s="1"/>
  <c r="S13" i="28" s="1"/>
  <c r="T13" i="28" s="1"/>
  <c r="U13" i="28" s="1"/>
  <c r="AD26" i="47"/>
  <c r="F22" i="60"/>
  <c r="AQ22" i="4"/>
  <c r="AP26" i="47"/>
  <c r="AP28" i="47"/>
  <c r="AP27" i="47"/>
  <c r="AP29" i="47"/>
  <c r="AV24" i="47"/>
  <c r="G22" i="60"/>
  <c r="AX11" i="47"/>
  <c r="AN27" i="47"/>
  <c r="AN29" i="47"/>
  <c r="AN28" i="47"/>
  <c r="AK28" i="47"/>
  <c r="AK27" i="47"/>
  <c r="AK25" i="47"/>
  <c r="AK24" i="47"/>
  <c r="AH26" i="47"/>
  <c r="AH25" i="47"/>
  <c r="AH24" i="47"/>
  <c r="AH29" i="47"/>
  <c r="J2" i="41"/>
  <c r="AN26" i="47"/>
  <c r="AX29" i="47"/>
  <c r="O88" i="19"/>
  <c r="O111" i="19" s="1"/>
  <c r="AQ10" i="4"/>
  <c r="AC27" i="47"/>
  <c r="AC29" i="47"/>
  <c r="AC26" i="47"/>
  <c r="AC28" i="47"/>
  <c r="AR21" i="47"/>
  <c r="S11" i="55"/>
  <c r="AJ25" i="47"/>
  <c r="AJ24" i="47"/>
  <c r="AJ28" i="47"/>
  <c r="AJ29" i="47"/>
  <c r="AJ26" i="47"/>
  <c r="BH37" i="54"/>
  <c r="Q17" i="28"/>
  <c r="R11" i="28"/>
  <c r="R15" i="28" s="1"/>
  <c r="AC24" i="47"/>
  <c r="AD25" i="47"/>
  <c r="AI29" i="47"/>
  <c r="AX17" i="47"/>
  <c r="T28" i="23"/>
  <c r="O101" i="19"/>
  <c r="M16" i="28"/>
  <c r="J22" i="28" s="1"/>
  <c r="F39" i="20"/>
  <c r="F42" i="20"/>
  <c r="F41" i="20"/>
  <c r="F40" i="20"/>
  <c r="M3" i="23"/>
  <c r="E22" i="20"/>
  <c r="DH34" i="6"/>
  <c r="DM35" i="6"/>
  <c r="DG30" i="11"/>
  <c r="DF32" i="11"/>
  <c r="DG32" i="6"/>
  <c r="DG29" i="6"/>
  <c r="DG28" i="6"/>
  <c r="DF35" i="6"/>
  <c r="DF33" i="6"/>
  <c r="DF31" i="6"/>
  <c r="DH30" i="6"/>
  <c r="DH32" i="6"/>
  <c r="DI36" i="11"/>
  <c r="DI33" i="11"/>
  <c r="DM36" i="11"/>
  <c r="DF29" i="11"/>
  <c r="DH33" i="6"/>
  <c r="DH32" i="11"/>
  <c r="X13" i="53"/>
  <c r="BY20" i="47"/>
  <c r="CQ20" i="47" s="1"/>
  <c r="BY8" i="40"/>
  <c r="CQ8" i="40" s="1"/>
  <c r="BY9" i="9"/>
  <c r="BY8" i="4"/>
  <c r="DG31" i="11"/>
  <c r="AJ8" i="15"/>
  <c r="AK11" i="55"/>
  <c r="BY25" i="47"/>
  <c r="BY15" i="47"/>
  <c r="CQ15" i="47" s="1"/>
  <c r="BY17" i="47"/>
  <c r="AK8" i="13"/>
  <c r="BC8" i="13" s="1"/>
  <c r="BY7" i="40"/>
  <c r="AJ12" i="15"/>
  <c r="BY11" i="5"/>
  <c r="BY19" i="4"/>
  <c r="BY15" i="4"/>
  <c r="BY11" i="4"/>
  <c r="BY7" i="9"/>
  <c r="BY22" i="4"/>
  <c r="BY6" i="4"/>
  <c r="DF36" i="11"/>
  <c r="DH36" i="11"/>
  <c r="AK9" i="13"/>
  <c r="BY17" i="4"/>
  <c r="BY12" i="8"/>
  <c r="BY24" i="47"/>
  <c r="DI37" i="11"/>
  <c r="DI38" i="6"/>
  <c r="DI26" i="6"/>
  <c r="BY11" i="47"/>
  <c r="CQ11" i="47" s="1"/>
  <c r="BY18" i="47"/>
  <c r="AK6" i="13"/>
  <c r="BC6" i="13" s="1"/>
  <c r="AK17" i="55"/>
  <c r="BC17" i="55" s="1"/>
  <c r="AK10" i="13"/>
  <c r="BY9" i="47"/>
  <c r="CQ9" i="47" s="1"/>
  <c r="AJ7" i="15"/>
  <c r="BB7" i="15" s="1"/>
  <c r="BY9" i="5"/>
  <c r="BY21" i="4"/>
  <c r="BY20" i="4"/>
  <c r="CQ20" i="4" s="1"/>
  <c r="BY6" i="8"/>
  <c r="O30" i="28"/>
  <c r="BY29" i="47"/>
  <c r="BY27" i="47"/>
  <c r="AK10" i="55"/>
  <c r="AJ11" i="15"/>
  <c r="BY15" i="5"/>
  <c r="BY31" i="4"/>
  <c r="BY13" i="47"/>
  <c r="CQ13" i="47" s="1"/>
  <c r="BY28" i="4"/>
  <c r="BY15" i="8"/>
  <c r="CQ15" i="8" s="1"/>
  <c r="BY9" i="8"/>
  <c r="BY8" i="8"/>
  <c r="CQ8" i="8" s="1"/>
  <c r="BY7" i="8"/>
  <c r="BY13" i="8"/>
  <c r="CQ13" i="8" s="1"/>
  <c r="BY26" i="4"/>
  <c r="CQ26" i="4" s="1"/>
  <c r="BY17" i="5"/>
  <c r="BY14" i="5"/>
  <c r="BY8" i="9"/>
  <c r="CQ8" i="9" s="1"/>
  <c r="BY25" i="4"/>
  <c r="BY13" i="4"/>
  <c r="BY10" i="4"/>
  <c r="BY23" i="4"/>
  <c r="BY14" i="4"/>
  <c r="BY8" i="5"/>
  <c r="AJ6" i="15"/>
  <c r="BY9" i="40"/>
  <c r="BY10" i="40"/>
  <c r="BY10" i="47"/>
  <c r="BY12" i="47"/>
  <c r="BY16" i="47"/>
  <c r="AK7" i="13"/>
  <c r="BY23" i="47"/>
  <c r="CQ23" i="47" s="1"/>
  <c r="BY8" i="47"/>
  <c r="CQ8" i="47" s="1"/>
  <c r="AK12" i="55"/>
  <c r="BY11" i="8"/>
  <c r="BY6" i="9"/>
  <c r="BY27" i="4"/>
  <c r="BY13" i="5"/>
  <c r="AJ10" i="15"/>
  <c r="BY24" i="4"/>
  <c r="BY7" i="5"/>
  <c r="CQ7" i="5" s="1"/>
  <c r="BY9" i="4"/>
  <c r="BY18" i="4"/>
  <c r="BY29" i="4"/>
  <c r="CQ29" i="4" s="1"/>
  <c r="BY12" i="5"/>
  <c r="BY10" i="5"/>
  <c r="AJ9" i="15"/>
  <c r="BY6" i="40"/>
  <c r="AK18" i="55"/>
  <c r="BC18" i="55" s="1"/>
  <c r="AK14" i="55"/>
  <c r="AK11" i="13"/>
  <c r="BY21" i="47"/>
  <c r="BY19" i="47"/>
  <c r="DL29" i="11"/>
  <c r="DJ30" i="11"/>
  <c r="DJ32" i="6"/>
  <c r="DG32" i="11"/>
  <c r="AK13" i="55"/>
  <c r="DJ28" i="6"/>
  <c r="DF37" i="11"/>
  <c r="DH35" i="6"/>
  <c r="DH38" i="6"/>
  <c r="DH29" i="11"/>
  <c r="DH33" i="11"/>
  <c r="DH31" i="11"/>
  <c r="DL30" i="11"/>
  <c r="DL36" i="6"/>
  <c r="DK37" i="11"/>
  <c r="DK35" i="11"/>
  <c r="DK33" i="11"/>
  <c r="DK37" i="6"/>
  <c r="DJ26" i="6"/>
  <c r="DG29" i="11"/>
  <c r="DF31" i="11"/>
  <c r="DG33" i="6"/>
  <c r="DG26" i="6"/>
  <c r="DF37" i="6"/>
  <c r="DF29" i="6"/>
  <c r="DF28" i="6"/>
  <c r="DK32" i="11"/>
  <c r="DK38" i="6"/>
  <c r="S9" i="8"/>
  <c r="S10" i="40"/>
  <c r="S6" i="9"/>
  <c r="S17" i="4"/>
  <c r="S18" i="4"/>
  <c r="S7" i="4"/>
  <c r="CQ7" i="4" s="1"/>
  <c r="S14" i="4"/>
  <c r="S17" i="5"/>
  <c r="S28" i="47"/>
  <c r="O27" i="28"/>
  <c r="S10" i="55"/>
  <c r="S12" i="55"/>
  <c r="S13" i="55"/>
  <c r="R8" i="15"/>
  <c r="S8" i="5"/>
  <c r="S28" i="4"/>
  <c r="S14" i="5"/>
  <c r="S21" i="4"/>
  <c r="S27" i="4"/>
  <c r="S10" i="4"/>
  <c r="S15" i="4"/>
  <c r="S25" i="4"/>
  <c r="R9" i="15"/>
  <c r="S12" i="5"/>
  <c r="R10" i="15"/>
  <c r="S11" i="5"/>
  <c r="S9" i="9"/>
  <c r="S9" i="40"/>
  <c r="S14" i="8"/>
  <c r="CQ14" i="8" s="1"/>
  <c r="S11" i="8"/>
  <c r="R12" i="15"/>
  <c r="S12" i="47"/>
  <c r="S10" i="13"/>
  <c r="S7" i="13"/>
  <c r="S29" i="47"/>
  <c r="S27" i="47"/>
  <c r="S26" i="47"/>
  <c r="S25" i="47"/>
  <c r="S19" i="4"/>
  <c r="R6" i="15"/>
  <c r="R11" i="15"/>
  <c r="S10" i="5"/>
  <c r="S8" i="4"/>
  <c r="S11" i="4"/>
  <c r="S22" i="4"/>
  <c r="S6" i="5"/>
  <c r="S7" i="9"/>
  <c r="S7" i="40"/>
  <c r="S12" i="8"/>
  <c r="S16" i="47"/>
  <c r="S9" i="13"/>
  <c r="S17" i="47"/>
  <c r="S11" i="13"/>
  <c r="S19" i="47"/>
  <c r="S21" i="47"/>
  <c r="S18" i="47"/>
  <c r="S23" i="4"/>
  <c r="S13" i="4"/>
  <c r="S9" i="5"/>
  <c r="CQ9" i="5" s="1"/>
  <c r="S13" i="5"/>
  <c r="S24" i="47"/>
  <c r="DG35" i="11"/>
  <c r="DF33" i="11"/>
  <c r="DL33" i="11"/>
  <c r="DL31" i="11"/>
  <c r="DJ35" i="11"/>
  <c r="Y14" i="53"/>
  <c r="DI30" i="6"/>
  <c r="X26" i="53"/>
  <c r="DF35" i="11"/>
  <c r="DG38" i="6"/>
  <c r="DG37" i="6"/>
  <c r="DG36" i="6"/>
  <c r="DG35" i="6"/>
  <c r="DH30" i="11"/>
  <c r="DH34" i="11"/>
  <c r="T25" i="47"/>
  <c r="DK28" i="6"/>
  <c r="DJ29" i="11"/>
  <c r="DJ37" i="6"/>
  <c r="DG37" i="11"/>
  <c r="DG34" i="11"/>
  <c r="DG34" i="6"/>
  <c r="DG31" i="6"/>
  <c r="DG30" i="6"/>
  <c r="DG27" i="6"/>
  <c r="DF38" i="6"/>
  <c r="DF36" i="6"/>
  <c r="DF34" i="6"/>
  <c r="DF32" i="6"/>
  <c r="DF30" i="6"/>
  <c r="DF27" i="6"/>
  <c r="DF26" i="6"/>
  <c r="DH29" i="6"/>
  <c r="DH37" i="6"/>
  <c r="DH35" i="11"/>
  <c r="DH37" i="11"/>
  <c r="Y26" i="53"/>
  <c r="DI34" i="11"/>
  <c r="DI35" i="6"/>
  <c r="DI31" i="6"/>
  <c r="DI29" i="6"/>
  <c r="DI27" i="6"/>
  <c r="DM36" i="6"/>
  <c r="DM32" i="6"/>
  <c r="DL37" i="6"/>
  <c r="DL27" i="6"/>
  <c r="DG36" i="11"/>
  <c r="DH28" i="6"/>
  <c r="DH36" i="6"/>
  <c r="DH26" i="6"/>
  <c r="DH31" i="6"/>
  <c r="DI32" i="11"/>
  <c r="DI35" i="11"/>
  <c r="DM31" i="11"/>
  <c r="DM29" i="6"/>
  <c r="DL38" i="6"/>
  <c r="DI36" i="6"/>
  <c r="DK29" i="6"/>
  <c r="DF34" i="11"/>
  <c r="DF30" i="11"/>
  <c r="DI34" i="6"/>
  <c r="DM35" i="11"/>
  <c r="DM30" i="11"/>
  <c r="DL35" i="6"/>
  <c r="DL31" i="6"/>
  <c r="DL26" i="6"/>
  <c r="DL32" i="6"/>
  <c r="DL30" i="6"/>
  <c r="DL28" i="6"/>
  <c r="DK31" i="11"/>
  <c r="DJ35" i="6"/>
  <c r="DK33" i="6"/>
  <c r="DJ32" i="11"/>
  <c r="DK34" i="6"/>
  <c r="DJ31" i="11"/>
  <c r="X14" i="53"/>
  <c r="D10" i="54"/>
  <c r="DI37" i="6"/>
  <c r="CQ15" i="5"/>
  <c r="DI30" i="11"/>
  <c r="DL34" i="11"/>
  <c r="DJ31" i="6"/>
  <c r="DM31" i="6"/>
  <c r="BC14" i="55"/>
  <c r="CQ7" i="8"/>
  <c r="DK36" i="11"/>
  <c r="DJ36" i="6"/>
  <c r="DK29" i="11"/>
  <c r="DK26" i="6"/>
  <c r="DJ37" i="11"/>
  <c r="DJ34" i="6"/>
  <c r="DJ29" i="6"/>
  <c r="DJ27" i="6"/>
  <c r="DI29" i="11"/>
  <c r="DL37" i="11"/>
  <c r="DL35" i="11"/>
  <c r="DL32" i="11"/>
  <c r="DM34" i="11"/>
  <c r="DM32" i="11"/>
  <c r="DM33" i="6"/>
  <c r="DM30" i="6"/>
  <c r="DK32" i="6"/>
  <c r="DK30" i="6"/>
  <c r="DJ36" i="11"/>
  <c r="DJ34" i="11"/>
  <c r="DJ33" i="6"/>
  <c r="BZ28" i="47"/>
  <c r="AK11" i="15"/>
  <c r="BZ23" i="47"/>
  <c r="BZ15" i="4"/>
  <c r="BZ22" i="4"/>
  <c r="BZ12" i="5"/>
  <c r="AL11" i="13"/>
  <c r="BZ17" i="47"/>
  <c r="BZ7" i="40"/>
  <c r="BZ28" i="4"/>
  <c r="BZ12" i="8"/>
  <c r="AL12" i="55"/>
  <c r="BZ18" i="4"/>
  <c r="BZ20" i="4"/>
  <c r="BZ19" i="4"/>
  <c r="BZ14" i="5"/>
  <c r="BZ20" i="47"/>
  <c r="AL13" i="55"/>
  <c r="BZ31" i="4"/>
  <c r="AL18" i="55"/>
  <c r="BZ19" i="47"/>
  <c r="AK12" i="15"/>
  <c r="BZ9" i="47"/>
  <c r="CQ10" i="47"/>
  <c r="E33" i="53"/>
  <c r="D33" i="53"/>
  <c r="DI33" i="6"/>
  <c r="DM29" i="11"/>
  <c r="DM27" i="6"/>
  <c r="DI28" i="6"/>
  <c r="DM33" i="11"/>
  <c r="DI31" i="11"/>
  <c r="DI32" i="6"/>
  <c r="DM37" i="11"/>
  <c r="DM34" i="6"/>
  <c r="DM38" i="6"/>
  <c r="DM26" i="6"/>
  <c r="DL34" i="6"/>
  <c r="DL36" i="11"/>
  <c r="DL29" i="6"/>
  <c r="DL33" i="6"/>
  <c r="DK34" i="11"/>
  <c r="DK36" i="6"/>
  <c r="DK30" i="11"/>
  <c r="DK27" i="6"/>
  <c r="DK31" i="6"/>
  <c r="DK35" i="6"/>
  <c r="DJ38" i="6"/>
  <c r="DJ30" i="6"/>
  <c r="DJ33" i="11"/>
  <c r="BF17" i="54" l="1"/>
  <c r="BJ17" i="54" s="1"/>
  <c r="U44" i="52"/>
  <c r="V44" i="52"/>
  <c r="BG39" i="6"/>
  <c r="BK38" i="11"/>
  <c r="AL37" i="47"/>
  <c r="CQ23" i="4"/>
  <c r="AQ37" i="5"/>
  <c r="AS11" i="5"/>
  <c r="AR39" i="6"/>
  <c r="AM37" i="40"/>
  <c r="AS21" i="4"/>
  <c r="AS24" i="4"/>
  <c r="CQ10" i="5"/>
  <c r="AS7" i="8"/>
  <c r="AP37" i="5"/>
  <c r="CQ9" i="4"/>
  <c r="AS19" i="4"/>
  <c r="AP37" i="40"/>
  <c r="AY28" i="47"/>
  <c r="BJ38" i="11"/>
  <c r="CQ27" i="4"/>
  <c r="N7" i="53" s="1"/>
  <c r="AF37" i="47"/>
  <c r="AM27" i="47"/>
  <c r="AS10" i="40"/>
  <c r="AS7" i="9"/>
  <c r="AG26" i="47"/>
  <c r="AM29" i="47"/>
  <c r="AS28" i="47"/>
  <c r="AP37" i="47"/>
  <c r="AK37" i="47"/>
  <c r="AE37" i="47"/>
  <c r="T43" i="52"/>
  <c r="AE31" i="23"/>
  <c r="O89" i="19"/>
  <c r="O90" i="19" s="1"/>
  <c r="E42" i="17"/>
  <c r="E33" i="17"/>
  <c r="E43" i="17" s="1"/>
  <c r="BZ6" i="4"/>
  <c r="AL10" i="13"/>
  <c r="AK7" i="15"/>
  <c r="BZ16" i="47"/>
  <c r="AK10" i="15"/>
  <c r="BZ10" i="5"/>
  <c r="AS10" i="4"/>
  <c r="AS22" i="4"/>
  <c r="AP37" i="4"/>
  <c r="AO37" i="9"/>
  <c r="AS8" i="40"/>
  <c r="AS14" i="8"/>
  <c r="AQ37" i="47"/>
  <c r="AY25" i="47"/>
  <c r="AY17" i="47"/>
  <c r="AM10" i="5"/>
  <c r="AL37" i="5"/>
  <c r="AM14" i="4"/>
  <c r="AM37" i="4" s="1"/>
  <c r="AH37" i="4"/>
  <c r="AG11" i="5"/>
  <c r="AD37" i="4"/>
  <c r="AT37" i="40"/>
  <c r="AY6" i="40"/>
  <c r="AY37" i="40" s="1"/>
  <c r="AX38" i="11"/>
  <c r="AA35" i="23"/>
  <c r="P3" i="42"/>
  <c r="L60" i="19"/>
  <c r="H39" i="61" s="1"/>
  <c r="L25" i="19"/>
  <c r="I13" i="48"/>
  <c r="H47" i="53"/>
  <c r="AB42" i="54"/>
  <c r="AB4" i="54"/>
  <c r="G5" i="56"/>
  <c r="AZ5" i="47"/>
  <c r="L54" i="19"/>
  <c r="L14" i="19"/>
  <c r="R43" i="28"/>
  <c r="G3" i="42"/>
  <c r="AB32" i="53"/>
  <c r="R25" i="28"/>
  <c r="G12" i="62" s="1"/>
  <c r="CU41" i="40"/>
  <c r="L31" i="19"/>
  <c r="L19" i="19"/>
  <c r="BA5" i="47"/>
  <c r="BD5" i="47"/>
  <c r="AL4" i="52"/>
  <c r="R35" i="28"/>
  <c r="N41" i="40"/>
  <c r="Y30" i="44"/>
  <c r="R4" i="52"/>
  <c r="H20" i="61" s="1"/>
  <c r="DA6" i="11"/>
  <c r="BS6" i="11"/>
  <c r="BG5" i="55"/>
  <c r="P44" i="44"/>
  <c r="AX5" i="55"/>
  <c r="BA5" i="9"/>
  <c r="AH17" i="44"/>
  <c r="H8" i="20"/>
  <c r="CU5" i="5"/>
  <c r="G30" i="44"/>
  <c r="BF42" i="54"/>
  <c r="BO6" i="7"/>
  <c r="BA5" i="4"/>
  <c r="AF5" i="13"/>
  <c r="U5" i="17"/>
  <c r="N14" i="61" s="1"/>
  <c r="BE5" i="40"/>
  <c r="BE41" i="40" s="1"/>
  <c r="AW5" i="15"/>
  <c r="BC5" i="8"/>
  <c r="H32" i="53"/>
  <c r="AZ5" i="4"/>
  <c r="BA5" i="5"/>
  <c r="M5" i="15"/>
  <c r="CF6" i="12"/>
  <c r="BO6" i="6"/>
  <c r="AB4" i="52"/>
  <c r="BP6" i="11"/>
  <c r="BE5" i="4"/>
  <c r="N5" i="8"/>
  <c r="I5" i="17"/>
  <c r="BF4" i="52"/>
  <c r="BR6" i="7"/>
  <c r="BP6" i="6"/>
  <c r="AN5" i="15"/>
  <c r="BD6" i="12"/>
  <c r="Y17" i="44"/>
  <c r="CC5" i="8"/>
  <c r="CC5" i="9"/>
  <c r="N6" i="6"/>
  <c r="AG6" i="12"/>
  <c r="H42" i="54"/>
  <c r="P2" i="44"/>
  <c r="G17" i="62" s="1"/>
  <c r="BF6" i="12"/>
  <c r="BP4" i="52"/>
  <c r="AH30" i="44"/>
  <c r="P9" i="44"/>
  <c r="BD5" i="4"/>
  <c r="Y44" i="44"/>
  <c r="W5" i="13"/>
  <c r="BH6" i="12"/>
  <c r="CN6" i="12"/>
  <c r="BD5" i="40"/>
  <c r="BF5" i="15"/>
  <c r="R32" i="53"/>
  <c r="AZ5" i="8"/>
  <c r="AE5" i="15"/>
  <c r="G9" i="44"/>
  <c r="W5" i="47"/>
  <c r="AB6" i="53"/>
  <c r="CC5" i="47"/>
  <c r="CU5" i="4"/>
  <c r="H41" i="53"/>
  <c r="BD5" i="5"/>
  <c r="BP6" i="7"/>
  <c r="BE5" i="47"/>
  <c r="AZ5" i="9"/>
  <c r="CU5" i="47"/>
  <c r="L40" i="19"/>
  <c r="CR6" i="11"/>
  <c r="BB5" i="5"/>
  <c r="BM4" i="54"/>
  <c r="AL4" i="54"/>
  <c r="AF5" i="55"/>
  <c r="BR6" i="11"/>
  <c r="CU5" i="9"/>
  <c r="W5" i="55"/>
  <c r="AZ5" i="40"/>
  <c r="CV6" i="12"/>
  <c r="CU5" i="8"/>
  <c r="P30" i="44"/>
  <c r="CL5" i="9"/>
  <c r="G44" i="44"/>
  <c r="BC5" i="5"/>
  <c r="BB5" i="47"/>
  <c r="CR6" i="7"/>
  <c r="AX5" i="13"/>
  <c r="H4" i="52"/>
  <c r="N20" i="61" s="1"/>
  <c r="N5" i="47"/>
  <c r="BD5" i="9"/>
  <c r="AL6" i="7"/>
  <c r="P17" i="44"/>
  <c r="BB5" i="4"/>
  <c r="X6" i="7"/>
  <c r="BQ6" i="11"/>
  <c r="BA5" i="8"/>
  <c r="Y9" i="44"/>
  <c r="H6" i="61" s="1"/>
  <c r="N5" i="40"/>
  <c r="AH9" i="44"/>
  <c r="W5" i="5"/>
  <c r="AH44" i="44"/>
  <c r="BB5" i="40"/>
  <c r="CL5" i="8"/>
  <c r="BS6" i="7"/>
  <c r="N5" i="9"/>
  <c r="N5" i="4"/>
  <c r="BF4" i="54"/>
  <c r="BO6" i="11"/>
  <c r="AO5" i="55"/>
  <c r="CL5" i="4"/>
  <c r="BI6" i="12"/>
  <c r="W5" i="9"/>
  <c r="W5" i="4"/>
  <c r="BB5" i="8"/>
  <c r="N5" i="5"/>
  <c r="W41" i="40"/>
  <c r="AL6" i="11"/>
  <c r="CL41" i="40"/>
  <c r="DJ6" i="6"/>
  <c r="BE5" i="8"/>
  <c r="BT6" i="6"/>
  <c r="K6" i="12"/>
  <c r="AO5" i="13"/>
  <c r="BS6" i="6"/>
  <c r="AZ5" i="5"/>
  <c r="I8" i="26"/>
  <c r="CC41" i="40"/>
  <c r="P19" i="23"/>
  <c r="BQ6" i="6"/>
  <c r="BF36" i="52"/>
  <c r="CC5" i="5"/>
  <c r="BR6" i="6"/>
  <c r="N5" i="55"/>
  <c r="T45" i="12"/>
  <c r="P7" i="23"/>
  <c r="AA7" i="23" s="1"/>
  <c r="BT6" i="7"/>
  <c r="BC5" i="47"/>
  <c r="BE6" i="12"/>
  <c r="BG5" i="13"/>
  <c r="DJ6" i="11"/>
  <c r="BB5" i="9"/>
  <c r="DA6" i="6"/>
  <c r="R4" i="54"/>
  <c r="BC5" i="4"/>
  <c r="X6" i="6"/>
  <c r="AV4" i="52"/>
  <c r="AL6" i="6"/>
  <c r="BT6" i="11"/>
  <c r="N6" i="11"/>
  <c r="BD5" i="8"/>
  <c r="V5" i="15"/>
  <c r="CC5" i="4"/>
  <c r="CL5" i="5"/>
  <c r="N6" i="7"/>
  <c r="T6" i="12"/>
  <c r="R6" i="53"/>
  <c r="R42" i="54"/>
  <c r="BE5" i="5"/>
  <c r="BA5" i="40"/>
  <c r="N5" i="13"/>
  <c r="AL42" i="54"/>
  <c r="W5" i="8"/>
  <c r="BE5" i="9"/>
  <c r="CU5" i="40"/>
  <c r="BM42" i="54"/>
  <c r="G17" i="44"/>
  <c r="CV45" i="12"/>
  <c r="BQ6" i="7"/>
  <c r="H4" i="54"/>
  <c r="BG6" i="12"/>
  <c r="BC5" i="40"/>
  <c r="BC5" i="9"/>
  <c r="P31" i="23"/>
  <c r="W5" i="40"/>
  <c r="CC5" i="40"/>
  <c r="CL5" i="47"/>
  <c r="X6" i="11"/>
  <c r="CR6" i="6"/>
  <c r="DA6" i="7"/>
  <c r="DJ6" i="7"/>
  <c r="CL5" i="40"/>
  <c r="H6" i="53"/>
  <c r="AY26" i="47"/>
  <c r="AM7" i="5"/>
  <c r="AJ37" i="5"/>
  <c r="CQ24" i="4"/>
  <c r="S11" i="28"/>
  <c r="S15" i="28" s="1"/>
  <c r="R17" i="28"/>
  <c r="AS26" i="47"/>
  <c r="BZ11" i="47"/>
  <c r="BZ8" i="9"/>
  <c r="BZ26" i="4"/>
  <c r="BZ12" i="47"/>
  <c r="AK6" i="15"/>
  <c r="AM28" i="47"/>
  <c r="AS16" i="47"/>
  <c r="AO37" i="47"/>
  <c r="AQ37" i="40"/>
  <c r="AS9" i="8"/>
  <c r="AS25" i="47"/>
  <c r="AP37" i="9"/>
  <c r="AS6" i="4"/>
  <c r="AN37" i="4"/>
  <c r="AO37" i="4"/>
  <c r="AS8" i="9"/>
  <c r="AS14" i="4"/>
  <c r="F7" i="62"/>
  <c r="R6" i="28"/>
  <c r="AY13" i="47"/>
  <c r="AY23" i="47"/>
  <c r="CZ38" i="11"/>
  <c r="AW37" i="47"/>
  <c r="AN37" i="5"/>
  <c r="AS10" i="5"/>
  <c r="CW39" i="6"/>
  <c r="AU39" i="6"/>
  <c r="AT39" i="6"/>
  <c r="AQ39" i="6"/>
  <c r="AK37" i="9"/>
  <c r="AM6" i="9"/>
  <c r="AB37" i="4"/>
  <c r="AG6" i="4"/>
  <c r="CQ6" i="4" s="1"/>
  <c r="D6" i="52" s="1"/>
  <c r="X6" i="52" s="1"/>
  <c r="BD37" i="54"/>
  <c r="BB39" i="6"/>
  <c r="AW39" i="6"/>
  <c r="AQ38" i="11"/>
  <c r="AY6" i="9"/>
  <c r="AY37" i="9" s="1"/>
  <c r="AT37" i="9"/>
  <c r="BL8" i="52"/>
  <c r="BZ27" i="4"/>
  <c r="BZ7" i="5"/>
  <c r="BZ21" i="47"/>
  <c r="BZ7" i="9"/>
  <c r="CQ22" i="4"/>
  <c r="BC11" i="55"/>
  <c r="O102" i="19"/>
  <c r="S42" i="52"/>
  <c r="AM24" i="47"/>
  <c r="AS29" i="47"/>
  <c r="AX37" i="47"/>
  <c r="AV37" i="47"/>
  <c r="BC38" i="11"/>
  <c r="AS26" i="4"/>
  <c r="AS13" i="4"/>
  <c r="AS42" i="40"/>
  <c r="AN45" i="40"/>
  <c r="AS31" i="4"/>
  <c r="AS27" i="4"/>
  <c r="AG29" i="47"/>
  <c r="AR37" i="40"/>
  <c r="AT37" i="47"/>
  <c r="AY8" i="47"/>
  <c r="AY24" i="47"/>
  <c r="AH37" i="47"/>
  <c r="AM10" i="47"/>
  <c r="AO37" i="5"/>
  <c r="AS6" i="5"/>
  <c r="AG17" i="5"/>
  <c r="CY39" i="6"/>
  <c r="BC39" i="6"/>
  <c r="AT37" i="4"/>
  <c r="AY6" i="4"/>
  <c r="AC37" i="47"/>
  <c r="AS6" i="9"/>
  <c r="AN37" i="9"/>
  <c r="BZ17" i="5"/>
  <c r="BZ8" i="8"/>
  <c r="AM25" i="47"/>
  <c r="AS27" i="47"/>
  <c r="K106" i="19"/>
  <c r="K83" i="19"/>
  <c r="AS23" i="4"/>
  <c r="AI37" i="47"/>
  <c r="AS8" i="8"/>
  <c r="AR37" i="8"/>
  <c r="AS6" i="8"/>
  <c r="AN37" i="8"/>
  <c r="AS7" i="4"/>
  <c r="AQ37" i="9"/>
  <c r="AS12" i="8"/>
  <c r="AS20" i="4"/>
  <c r="AJ37" i="47"/>
  <c r="AG24" i="47"/>
  <c r="AS24" i="47"/>
  <c r="AY20" i="47"/>
  <c r="AY27" i="47"/>
  <c r="AA41" i="6"/>
  <c r="AC37" i="5"/>
  <c r="CX39" i="6"/>
  <c r="AG31" i="4"/>
  <c r="CQ31" i="4" s="1"/>
  <c r="BI39" i="6"/>
  <c r="AY24" i="4"/>
  <c r="BI37" i="54"/>
  <c r="I33" i="19"/>
  <c r="I34" i="19" s="1"/>
  <c r="CQ26" i="47"/>
  <c r="AD37" i="47"/>
  <c r="AM26" i="47"/>
  <c r="R42" i="52"/>
  <c r="AQ37" i="8"/>
  <c r="AS9" i="9"/>
  <c r="BE39" i="6"/>
  <c r="AR37" i="9"/>
  <c r="AS28" i="4"/>
  <c r="AG25" i="47"/>
  <c r="P42" i="52"/>
  <c r="AY18" i="47"/>
  <c r="AY21" i="47"/>
  <c r="AY15" i="47"/>
  <c r="AO37" i="8"/>
  <c r="DC38" i="11"/>
  <c r="AB37" i="5"/>
  <c r="AG8" i="5"/>
  <c r="CQ8" i="5" s="1"/>
  <c r="AS39" i="6"/>
  <c r="AG6" i="5"/>
  <c r="CQ6" i="5" s="1"/>
  <c r="AD37" i="5"/>
  <c r="DC39" i="6"/>
  <c r="BF38" i="11"/>
  <c r="AL37" i="9"/>
  <c r="BI38" i="11"/>
  <c r="BD38" i="11"/>
  <c r="AS21" i="47"/>
  <c r="AR37" i="47"/>
  <c r="AZ38" i="11"/>
  <c r="T42" i="52"/>
  <c r="AR37" i="4"/>
  <c r="U42" i="52"/>
  <c r="AP37" i="8"/>
  <c r="AS11" i="8"/>
  <c r="AS15" i="4"/>
  <c r="AS18" i="4"/>
  <c r="AS13" i="8"/>
  <c r="AS11" i="4"/>
  <c r="AO37" i="40"/>
  <c r="AS29" i="4"/>
  <c r="AS25" i="4"/>
  <c r="AG27" i="47"/>
  <c r="CQ27" i="47" s="1"/>
  <c r="AS7" i="40"/>
  <c r="AY12" i="47"/>
  <c r="AY19" i="47"/>
  <c r="AY29" i="47"/>
  <c r="AT38" i="11"/>
  <c r="AS7" i="5"/>
  <c r="AR37" i="5"/>
  <c r="BF39" i="6"/>
  <c r="AU38" i="11"/>
  <c r="CZ39" i="6"/>
  <c r="AZ39" i="6"/>
  <c r="AY6" i="5"/>
  <c r="AY37" i="5" s="1"/>
  <c r="AT37" i="5"/>
  <c r="AG28" i="4"/>
  <c r="J33" i="19"/>
  <c r="J34" i="19" s="1"/>
  <c r="AN37" i="47"/>
  <c r="BC16" i="54"/>
  <c r="BC14" i="54" s="1"/>
  <c r="AE32" i="23"/>
  <c r="AU37" i="47"/>
  <c r="AN37" i="40"/>
  <c r="AS6" i="40"/>
  <c r="AS37" i="40" s="1"/>
  <c r="AS17" i="4"/>
  <c r="AQ37" i="4"/>
  <c r="AS15" i="8"/>
  <c r="AG28" i="47"/>
  <c r="CQ28" i="47" s="1"/>
  <c r="D31" i="54" s="1"/>
  <c r="BB31" i="54" s="1"/>
  <c r="AW38" i="11"/>
  <c r="AY11" i="47"/>
  <c r="AY10" i="47"/>
  <c r="AS8" i="5"/>
  <c r="AF37" i="5"/>
  <c r="AM8" i="9"/>
  <c r="AY6" i="8"/>
  <c r="AY37" i="8" s="1"/>
  <c r="AT37" i="8"/>
  <c r="AT45" i="40"/>
  <c r="AY42" i="40"/>
  <c r="AY31" i="4"/>
  <c r="V4" i="44"/>
  <c r="M5" i="44"/>
  <c r="E42" i="20"/>
  <c r="D9" i="58" s="1"/>
  <c r="E40" i="20"/>
  <c r="D7" i="58" s="1"/>
  <c r="E39" i="20"/>
  <c r="D6" i="58" s="1"/>
  <c r="E41" i="20"/>
  <c r="D8" i="58" s="1"/>
  <c r="L16" i="28"/>
  <c r="G2" i="59"/>
  <c r="BL2" i="54"/>
  <c r="E14" i="20"/>
  <c r="G2" i="56"/>
  <c r="G22" i="20"/>
  <c r="F2" i="58"/>
  <c r="F14" i="20"/>
  <c r="Q14" i="28"/>
  <c r="N3" i="23"/>
  <c r="E16" i="20" s="1"/>
  <c r="O3" i="23"/>
  <c r="N4" i="44"/>
  <c r="I3" i="26"/>
  <c r="F13" i="20"/>
  <c r="E13" i="20"/>
  <c r="F43" i="20"/>
  <c r="F44" i="20" s="1"/>
  <c r="L5" i="44"/>
  <c r="CQ17" i="5"/>
  <c r="CQ18" i="4"/>
  <c r="BC7" i="13"/>
  <c r="N24" i="53"/>
  <c r="CQ19" i="47"/>
  <c r="CQ11" i="8"/>
  <c r="CQ12" i="5"/>
  <c r="CQ25" i="4"/>
  <c r="CQ15" i="4"/>
  <c r="CQ16" i="47"/>
  <c r="CQ25" i="47"/>
  <c r="CQ10" i="40"/>
  <c r="CQ18" i="47"/>
  <c r="N30" i="53" s="1"/>
  <c r="CQ17" i="47"/>
  <c r="CQ12" i="8"/>
  <c r="CQ9" i="40"/>
  <c r="CQ28" i="4"/>
  <c r="N9" i="53" s="1"/>
  <c r="CQ9" i="8"/>
  <c r="BB9" i="15"/>
  <c r="BC9" i="13"/>
  <c r="CQ7" i="40"/>
  <c r="CQ19" i="4"/>
  <c r="CQ29" i="47"/>
  <c r="BC12" i="55"/>
  <c r="AK37" i="55"/>
  <c r="CN39" i="6"/>
  <c r="CQ6" i="9"/>
  <c r="BC10" i="55"/>
  <c r="BC13" i="55"/>
  <c r="AK37" i="13"/>
  <c r="CQ13" i="4"/>
  <c r="BB6" i="15"/>
  <c r="CQ12" i="47"/>
  <c r="CQ11" i="5"/>
  <c r="CQ10" i="4"/>
  <c r="CQ21" i="4"/>
  <c r="BY37" i="47"/>
  <c r="CQ11" i="4"/>
  <c r="CQ7" i="9"/>
  <c r="BC10" i="13"/>
  <c r="BY37" i="4"/>
  <c r="CQ6" i="40"/>
  <c r="BY37" i="40"/>
  <c r="CN38" i="11"/>
  <c r="BY37" i="9"/>
  <c r="BZ23" i="4"/>
  <c r="BZ24" i="47"/>
  <c r="BZ27" i="47"/>
  <c r="BZ10" i="40"/>
  <c r="BZ8" i="4"/>
  <c r="BZ17" i="4"/>
  <c r="BZ13" i="5"/>
  <c r="BZ13" i="8"/>
  <c r="BZ6" i="9"/>
  <c r="BZ25" i="4"/>
  <c r="AK8" i="15"/>
  <c r="BZ29" i="47"/>
  <c r="BZ26" i="47"/>
  <c r="BZ9" i="9"/>
  <c r="BZ11" i="8"/>
  <c r="BZ10" i="4"/>
  <c r="BZ9" i="5"/>
  <c r="AL7" i="13"/>
  <c r="BZ9" i="8"/>
  <c r="BZ8" i="40"/>
  <c r="BZ9" i="40"/>
  <c r="BZ11" i="4"/>
  <c r="BZ7" i="4"/>
  <c r="BZ16" i="5"/>
  <c r="AL8" i="13"/>
  <c r="BZ18" i="47"/>
  <c r="BZ13" i="4"/>
  <c r="BZ9" i="4"/>
  <c r="BZ14" i="8"/>
  <c r="AL9" i="13"/>
  <c r="AK9" i="15"/>
  <c r="AL6" i="13"/>
  <c r="BZ6" i="5"/>
  <c r="BZ8" i="47"/>
  <c r="P30" i="28"/>
  <c r="BZ25" i="47"/>
  <c r="CR25" i="47" s="1"/>
  <c r="BZ14" i="4"/>
  <c r="BZ8" i="5"/>
  <c r="AL14" i="55"/>
  <c r="AL10" i="55"/>
  <c r="BY37" i="8"/>
  <c r="CQ6" i="8"/>
  <c r="BZ10" i="47"/>
  <c r="BZ7" i="8"/>
  <c r="BZ13" i="47"/>
  <c r="BZ15" i="5"/>
  <c r="BZ29" i="4"/>
  <c r="BZ15" i="8"/>
  <c r="BZ6" i="8"/>
  <c r="BZ15" i="47"/>
  <c r="AL17" i="55"/>
  <c r="BZ11" i="5"/>
  <c r="BZ21" i="4"/>
  <c r="BZ24" i="4"/>
  <c r="AL11" i="55"/>
  <c r="S37" i="55"/>
  <c r="CQ21" i="47"/>
  <c r="BB10" i="15"/>
  <c r="CQ14" i="5"/>
  <c r="BY37" i="5"/>
  <c r="AJ37" i="15"/>
  <c r="BB12" i="15"/>
  <c r="Q40" i="17" s="1"/>
  <c r="D40" i="54" s="1"/>
  <c r="D39" i="54" s="1"/>
  <c r="S37" i="40"/>
  <c r="CQ13" i="5"/>
  <c r="S37" i="5"/>
  <c r="BC11" i="13"/>
  <c r="S37" i="8"/>
  <c r="CQ8" i="4"/>
  <c r="BB11" i="15"/>
  <c r="BB8" i="15"/>
  <c r="CQ14" i="4"/>
  <c r="CQ17" i="4"/>
  <c r="Q37" i="17"/>
  <c r="D35" i="54" s="1"/>
  <c r="AR35" i="54" s="1"/>
  <c r="BB35" i="54" s="1"/>
  <c r="S37" i="13"/>
  <c r="S37" i="9"/>
  <c r="AH39" i="6"/>
  <c r="AH38" i="11"/>
  <c r="BZ6" i="40"/>
  <c r="T26" i="47"/>
  <c r="T29" i="47"/>
  <c r="T27" i="47"/>
  <c r="T31" i="4"/>
  <c r="CR31" i="4" s="1"/>
  <c r="T28" i="4"/>
  <c r="CR28" i="4" s="1"/>
  <c r="O9" i="53" s="1"/>
  <c r="T15" i="5"/>
  <c r="T17" i="5"/>
  <c r="CR17" i="5" s="1"/>
  <c r="T15" i="8"/>
  <c r="T20" i="4"/>
  <c r="CR20" i="4" s="1"/>
  <c r="S10" i="15"/>
  <c r="T8" i="40"/>
  <c r="T18" i="4"/>
  <c r="CR18" i="4" s="1"/>
  <c r="T8" i="4"/>
  <c r="T13" i="4"/>
  <c r="T11" i="5"/>
  <c r="T7" i="8"/>
  <c r="S11" i="15"/>
  <c r="BC11" i="15" s="1"/>
  <c r="T6" i="13"/>
  <c r="T11" i="13"/>
  <c r="BD11" i="13" s="1"/>
  <c r="T16" i="47"/>
  <c r="CR16" i="47" s="1"/>
  <c r="T7" i="40"/>
  <c r="CR7" i="40" s="1"/>
  <c r="T17" i="4"/>
  <c r="S12" i="15"/>
  <c r="BC12" i="15" s="1"/>
  <c r="E40" i="54" s="1"/>
  <c r="T29" i="4"/>
  <c r="T9" i="8"/>
  <c r="P27" i="28"/>
  <c r="S9" i="15"/>
  <c r="T11" i="55"/>
  <c r="T13" i="8"/>
  <c r="T12" i="8"/>
  <c r="CR12" i="8" s="1"/>
  <c r="T6" i="4"/>
  <c r="CR6" i="4" s="1"/>
  <c r="T8" i="9"/>
  <c r="T6" i="9"/>
  <c r="T9" i="40"/>
  <c r="T9" i="4"/>
  <c r="T26" i="4"/>
  <c r="CR26" i="4" s="1"/>
  <c r="T8" i="8"/>
  <c r="CR8" i="8" s="1"/>
  <c r="T14" i="5"/>
  <c r="CR14" i="5" s="1"/>
  <c r="T11" i="8"/>
  <c r="T21" i="4"/>
  <c r="T12" i="55"/>
  <c r="BD12" i="55" s="1"/>
  <c r="T10" i="55"/>
  <c r="T13" i="47"/>
  <c r="T11" i="4"/>
  <c r="T6" i="40"/>
  <c r="T10" i="4"/>
  <c r="T23" i="4"/>
  <c r="T10" i="5"/>
  <c r="T19" i="4"/>
  <c r="CR19" i="4" s="1"/>
  <c r="S7" i="15"/>
  <c r="BC7" i="15" s="1"/>
  <c r="T10" i="40"/>
  <c r="T7" i="4"/>
  <c r="T13" i="5"/>
  <c r="T20" i="47"/>
  <c r="T21" i="47"/>
  <c r="CR21" i="47" s="1"/>
  <c r="T17" i="55"/>
  <c r="T18" i="47"/>
  <c r="T14" i="4"/>
  <c r="S8" i="15"/>
  <c r="T25" i="4"/>
  <c r="T16" i="5"/>
  <c r="T9" i="5"/>
  <c r="T6" i="8"/>
  <c r="T9" i="13"/>
  <c r="T28" i="47"/>
  <c r="T22" i="4"/>
  <c r="CR22" i="4" s="1"/>
  <c r="T7" i="5"/>
  <c r="CR7" i="5" s="1"/>
  <c r="T8" i="13"/>
  <c r="T19" i="47"/>
  <c r="CR19" i="47" s="1"/>
  <c r="T10" i="13"/>
  <c r="BD10" i="13" s="1"/>
  <c r="T13" i="55"/>
  <c r="BD13" i="55" s="1"/>
  <c r="T15" i="47"/>
  <c r="T8" i="47"/>
  <c r="CR8" i="47" s="1"/>
  <c r="T9" i="9"/>
  <c r="S6" i="15"/>
  <c r="T7" i="9"/>
  <c r="T27" i="4"/>
  <c r="CR27" i="4" s="1"/>
  <c r="O7" i="53" s="1"/>
  <c r="T15" i="4"/>
  <c r="CR15" i="4" s="1"/>
  <c r="T14" i="8"/>
  <c r="T6" i="5"/>
  <c r="T10" i="47"/>
  <c r="T7" i="13"/>
  <c r="T12" i="47"/>
  <c r="CR12" i="47" s="1"/>
  <c r="T14" i="55"/>
  <c r="T18" i="55"/>
  <c r="BD18" i="55" s="1"/>
  <c r="T17" i="47"/>
  <c r="CR17" i="47" s="1"/>
  <c r="T9" i="47"/>
  <c r="CR9" i="47" s="1"/>
  <c r="T23" i="47"/>
  <c r="CR23" i="47" s="1"/>
  <c r="T11" i="47"/>
  <c r="CR11" i="47" s="1"/>
  <c r="T24" i="4"/>
  <c r="T8" i="5"/>
  <c r="T12" i="5"/>
  <c r="CR12" i="5" s="1"/>
  <c r="T24" i="47"/>
  <c r="CR20" i="47"/>
  <c r="R37" i="15"/>
  <c r="S37" i="47"/>
  <c r="S37" i="4"/>
  <c r="CQ9" i="9"/>
  <c r="AH40" i="54"/>
  <c r="D22" i="52"/>
  <c r="D9" i="54"/>
  <c r="N10" i="53"/>
  <c r="N28" i="53"/>
  <c r="N33" i="53" s="1"/>
  <c r="D28" i="54"/>
  <c r="AM12" i="55"/>
  <c r="CA7" i="8"/>
  <c r="CA25" i="47"/>
  <c r="CA11" i="4"/>
  <c r="CA17" i="5"/>
  <c r="CA28" i="47"/>
  <c r="CA8" i="5"/>
  <c r="AM8" i="13"/>
  <c r="CA28" i="4"/>
  <c r="CA22" i="4"/>
  <c r="CA9" i="40"/>
  <c r="CA13" i="47"/>
  <c r="CA10" i="40"/>
  <c r="CA29" i="4"/>
  <c r="BN24" i="52" l="1"/>
  <c r="BL22" i="52"/>
  <c r="X22" i="52"/>
  <c r="CR7" i="9"/>
  <c r="AG37" i="47"/>
  <c r="BC10" i="15"/>
  <c r="CR15" i="47"/>
  <c r="BH39" i="6"/>
  <c r="BN38" i="11"/>
  <c r="CR13" i="47"/>
  <c r="BN39" i="6"/>
  <c r="AS37" i="47"/>
  <c r="AS37" i="9"/>
  <c r="CQ24" i="47"/>
  <c r="D6" i="54"/>
  <c r="AM37" i="47"/>
  <c r="BB38" i="11"/>
  <c r="CR14" i="4"/>
  <c r="CR9" i="4"/>
  <c r="CR8" i="40"/>
  <c r="AV38" i="11"/>
  <c r="U43" i="52"/>
  <c r="BE37" i="54"/>
  <c r="BJ37" i="54" s="1"/>
  <c r="BB7" i="9"/>
  <c r="BB9" i="9"/>
  <c r="BB8" i="9"/>
  <c r="BB6" i="9"/>
  <c r="H14" i="61"/>
  <c r="BA12" i="5"/>
  <c r="BA16" i="5"/>
  <c r="BA6" i="5"/>
  <c r="BA17" i="5"/>
  <c r="BA13" i="5"/>
  <c r="BA8" i="5"/>
  <c r="BA11" i="5"/>
  <c r="BA7" i="5"/>
  <c r="BA15" i="5"/>
  <c r="BA10" i="5"/>
  <c r="BA9" i="5"/>
  <c r="BA14" i="5"/>
  <c r="BA28" i="4"/>
  <c r="BA31" i="4"/>
  <c r="BA20" i="4"/>
  <c r="BA17" i="4"/>
  <c r="BA18" i="4"/>
  <c r="BA15" i="4"/>
  <c r="BA21" i="4"/>
  <c r="BA8" i="4"/>
  <c r="BA26" i="4"/>
  <c r="BA9" i="4"/>
  <c r="BA25" i="4"/>
  <c r="BA11" i="4"/>
  <c r="BA22" i="4"/>
  <c r="BA13" i="4"/>
  <c r="BA14" i="4"/>
  <c r="BA19" i="4"/>
  <c r="BA24" i="4"/>
  <c r="BA29" i="4"/>
  <c r="BA6" i="4"/>
  <c r="BA10" i="4"/>
  <c r="BA7" i="4"/>
  <c r="BA23" i="4"/>
  <c r="BA27" i="4"/>
  <c r="D23" i="54"/>
  <c r="X24" i="53" s="1"/>
  <c r="D19" i="58"/>
  <c r="AM37" i="9"/>
  <c r="AS37" i="4"/>
  <c r="BC6" i="9"/>
  <c r="BC9" i="9"/>
  <c r="BC7" i="9"/>
  <c r="BC8" i="9"/>
  <c r="AZ11" i="5"/>
  <c r="AZ6" i="5"/>
  <c r="AZ13" i="5"/>
  <c r="AZ8" i="5"/>
  <c r="AZ12" i="5"/>
  <c r="AZ16" i="5"/>
  <c r="AZ14" i="5"/>
  <c r="AZ7" i="5"/>
  <c r="AZ9" i="5"/>
  <c r="AZ17" i="5"/>
  <c r="AZ15" i="5"/>
  <c r="AZ10" i="5"/>
  <c r="BB28" i="4"/>
  <c r="BB31" i="4"/>
  <c r="BB19" i="4"/>
  <c r="BB11" i="4"/>
  <c r="BB9" i="4"/>
  <c r="BB25" i="4"/>
  <c r="BB29" i="4"/>
  <c r="BB15" i="4"/>
  <c r="BB24" i="4"/>
  <c r="BB13" i="4"/>
  <c r="BB17" i="4"/>
  <c r="BB7" i="4"/>
  <c r="BB8" i="4"/>
  <c r="BB14" i="4"/>
  <c r="BB6" i="4"/>
  <c r="BB18" i="4"/>
  <c r="BB22" i="4"/>
  <c r="BB23" i="4"/>
  <c r="BB21" i="4"/>
  <c r="BB10" i="4"/>
  <c r="BB20" i="4"/>
  <c r="BB26" i="4"/>
  <c r="BB27" i="4"/>
  <c r="BB21" i="47"/>
  <c r="BB20" i="47"/>
  <c r="BB13" i="47"/>
  <c r="BB29" i="47"/>
  <c r="BB24" i="47"/>
  <c r="BB28" i="47"/>
  <c r="BB27" i="47"/>
  <c r="BB12" i="47"/>
  <c r="BB26" i="47"/>
  <c r="BB23" i="47"/>
  <c r="BB25" i="47"/>
  <c r="BB10" i="47"/>
  <c r="BB9" i="47"/>
  <c r="BB8" i="47"/>
  <c r="BB11" i="47"/>
  <c r="BB15" i="47"/>
  <c r="BB17" i="47"/>
  <c r="BB16" i="47"/>
  <c r="BB19" i="47"/>
  <c r="BB18" i="47"/>
  <c r="W45" i="19"/>
  <c r="H33" i="61"/>
  <c r="BD41" i="40"/>
  <c r="BD10" i="40"/>
  <c r="BD7" i="40"/>
  <c r="BD6" i="40"/>
  <c r="BD42" i="40"/>
  <c r="BD45" i="40" s="1"/>
  <c r="BD8" i="40"/>
  <c r="BD9" i="40"/>
  <c r="AZ31" i="4"/>
  <c r="AZ28" i="4"/>
  <c r="AZ23" i="4"/>
  <c r="AZ24" i="4"/>
  <c r="AZ21" i="4"/>
  <c r="AZ26" i="4"/>
  <c r="AZ15" i="4"/>
  <c r="AZ14" i="4"/>
  <c r="AZ20" i="4"/>
  <c r="AZ9" i="4"/>
  <c r="AZ18" i="4"/>
  <c r="AZ6" i="4"/>
  <c r="AZ10" i="4"/>
  <c r="AZ29" i="4"/>
  <c r="AZ11" i="4"/>
  <c r="AZ8" i="4"/>
  <c r="AZ19" i="4"/>
  <c r="AZ17" i="4"/>
  <c r="AZ22" i="4"/>
  <c r="AZ27" i="4"/>
  <c r="AZ7" i="4"/>
  <c r="AZ13" i="4"/>
  <c r="AZ25" i="4"/>
  <c r="AZ41" i="40"/>
  <c r="AZ8" i="40"/>
  <c r="AZ6" i="40"/>
  <c r="AZ7" i="40"/>
  <c r="AZ9" i="40"/>
  <c r="AZ10" i="40"/>
  <c r="AZ42" i="40"/>
  <c r="BC37" i="55"/>
  <c r="BC38" i="55" s="1"/>
  <c r="V42" i="52"/>
  <c r="Q42" i="52"/>
  <c r="AS45" i="40"/>
  <c r="CS42" i="40"/>
  <c r="CS45" i="40" s="1"/>
  <c r="S43" i="52"/>
  <c r="BC41" i="40"/>
  <c r="BC42" i="40"/>
  <c r="BC45" i="40" s="1"/>
  <c r="BC9" i="40"/>
  <c r="BC7" i="40"/>
  <c r="BC6" i="40"/>
  <c r="BC8" i="40"/>
  <c r="BC10" i="40"/>
  <c r="BC6" i="5"/>
  <c r="BC8" i="5"/>
  <c r="BC11" i="5"/>
  <c r="BC15" i="5"/>
  <c r="BC7" i="5"/>
  <c r="BC17" i="5"/>
  <c r="BC16" i="5"/>
  <c r="BC13" i="5"/>
  <c r="BC12" i="5"/>
  <c r="BC10" i="5"/>
  <c r="BC14" i="5"/>
  <c r="BC9" i="5"/>
  <c r="BD29" i="47"/>
  <c r="BD28" i="47"/>
  <c r="BD27" i="47"/>
  <c r="BD12" i="47"/>
  <c r="BD23" i="47"/>
  <c r="BD13" i="47"/>
  <c r="BD25" i="47"/>
  <c r="BD20" i="47"/>
  <c r="BD26" i="47"/>
  <c r="BD24" i="47"/>
  <c r="BD21" i="47"/>
  <c r="BD9" i="47"/>
  <c r="BD19" i="47"/>
  <c r="BD18" i="47"/>
  <c r="BD16" i="47"/>
  <c r="BD15" i="47"/>
  <c r="BD11" i="47"/>
  <c r="BD8" i="47"/>
  <c r="BD17" i="47"/>
  <c r="BD10" i="47"/>
  <c r="AB35" i="23"/>
  <c r="M19" i="19"/>
  <c r="M14" i="19"/>
  <c r="M25" i="19"/>
  <c r="AC42" i="54"/>
  <c r="AC4" i="54"/>
  <c r="AC32" i="53"/>
  <c r="H5" i="56"/>
  <c r="BF5" i="47"/>
  <c r="BH5" i="47"/>
  <c r="CV41" i="40"/>
  <c r="S43" i="28"/>
  <c r="H3" i="42"/>
  <c r="BG5" i="47"/>
  <c r="S35" i="28"/>
  <c r="AM4" i="52"/>
  <c r="M31" i="19"/>
  <c r="Q3" i="42"/>
  <c r="M60" i="19"/>
  <c r="I39" i="61" s="1"/>
  <c r="I47" i="53"/>
  <c r="J13" i="48"/>
  <c r="M54" i="19"/>
  <c r="BI5" i="47"/>
  <c r="S25" i="28"/>
  <c r="H12" i="62" s="1"/>
  <c r="BH5" i="40"/>
  <c r="AF5" i="15"/>
  <c r="BQ4" i="52"/>
  <c r="CV5" i="40"/>
  <c r="X5" i="13"/>
  <c r="O6" i="7"/>
  <c r="DK6" i="6"/>
  <c r="BX6" i="11"/>
  <c r="DB6" i="6"/>
  <c r="DK6" i="11"/>
  <c r="BW6" i="7"/>
  <c r="BF5" i="40"/>
  <c r="CS6" i="6"/>
  <c r="O6" i="6"/>
  <c r="BK5" i="47"/>
  <c r="BH5" i="4"/>
  <c r="BY6" i="7"/>
  <c r="AM4" i="54"/>
  <c r="BX6" i="6"/>
  <c r="BG4" i="52"/>
  <c r="AG5" i="55"/>
  <c r="CD41" i="40"/>
  <c r="S6" i="53"/>
  <c r="AO5" i="15"/>
  <c r="AH6" i="12"/>
  <c r="CD5" i="47"/>
  <c r="J5" i="17"/>
  <c r="BI5" i="5"/>
  <c r="AI30" i="44"/>
  <c r="BU6" i="7"/>
  <c r="CV5" i="5"/>
  <c r="CD5" i="9"/>
  <c r="Q19" i="23"/>
  <c r="O5" i="8"/>
  <c r="AC4" i="52"/>
  <c r="H17" i="44"/>
  <c r="BN42" i="54"/>
  <c r="Q31" i="23"/>
  <c r="CM5" i="47"/>
  <c r="CW45" i="12"/>
  <c r="BK5" i="9"/>
  <c r="O5" i="40"/>
  <c r="CM5" i="5"/>
  <c r="BJ5" i="9"/>
  <c r="BK5" i="5"/>
  <c r="BF5" i="8"/>
  <c r="BU6" i="11"/>
  <c r="X5" i="4"/>
  <c r="BW6" i="6"/>
  <c r="CW6" i="12"/>
  <c r="BK5" i="8"/>
  <c r="BG5" i="15"/>
  <c r="X41" i="40"/>
  <c r="I6" i="53"/>
  <c r="AC6" i="53"/>
  <c r="AG5" i="13"/>
  <c r="AW4" i="52"/>
  <c r="Q7" i="23"/>
  <c r="AB7" i="23" s="1"/>
  <c r="O5" i="9"/>
  <c r="I8" i="20"/>
  <c r="AP5" i="13"/>
  <c r="N5" i="15"/>
  <c r="DB6" i="11"/>
  <c r="BI5" i="4"/>
  <c r="X5" i="47"/>
  <c r="BH5" i="5"/>
  <c r="Y6" i="7"/>
  <c r="Q2" i="44"/>
  <c r="H17" i="62" s="1"/>
  <c r="BM6" i="12"/>
  <c r="CM5" i="40"/>
  <c r="BG5" i="9"/>
  <c r="X5" i="5"/>
  <c r="CO6" i="12"/>
  <c r="BG5" i="5"/>
  <c r="AP5" i="55"/>
  <c r="CV5" i="4"/>
  <c r="X5" i="55"/>
  <c r="DB6" i="7"/>
  <c r="BJ5" i="40"/>
  <c r="AY5" i="13"/>
  <c r="CS6" i="11"/>
  <c r="BK5" i="4"/>
  <c r="V5" i="17"/>
  <c r="O14" i="61" s="1"/>
  <c r="BH5" i="13"/>
  <c r="BO6" i="12"/>
  <c r="BJ5" i="8"/>
  <c r="BH5" i="9"/>
  <c r="X5" i="8"/>
  <c r="CS6" i="7"/>
  <c r="X5" i="9"/>
  <c r="BH5" i="55"/>
  <c r="BG5" i="8"/>
  <c r="BG42" i="54"/>
  <c r="CV5" i="9"/>
  <c r="Y6" i="11"/>
  <c r="H9" i="44"/>
  <c r="BU6" i="6"/>
  <c r="BX6" i="7"/>
  <c r="CM41" i="40"/>
  <c r="BF5" i="4"/>
  <c r="CD5" i="40"/>
  <c r="AM6" i="7"/>
  <c r="BV6" i="6"/>
  <c r="AM42" i="54"/>
  <c r="BF5" i="5"/>
  <c r="I42" i="54"/>
  <c r="O41" i="40"/>
  <c r="S42" i="54"/>
  <c r="O6" i="11"/>
  <c r="U6" i="12"/>
  <c r="AI9" i="44"/>
  <c r="BJ6" i="12"/>
  <c r="BG5" i="40"/>
  <c r="CV5" i="47"/>
  <c r="BW6" i="11"/>
  <c r="DK6" i="7"/>
  <c r="O5" i="47"/>
  <c r="H30" i="44"/>
  <c r="Z17" i="44"/>
  <c r="H44" i="44"/>
  <c r="BG36" i="52"/>
  <c r="U45" i="12"/>
  <c r="CV5" i="8"/>
  <c r="CD5" i="5"/>
  <c r="BI5" i="40"/>
  <c r="J8" i="26"/>
  <c r="Z44" i="44"/>
  <c r="AY5" i="55"/>
  <c r="BJ5" i="47"/>
  <c r="BJ5" i="5"/>
  <c r="BI5" i="9"/>
  <c r="Q44" i="44"/>
  <c r="M40" i="19"/>
  <c r="BY6" i="11"/>
  <c r="BN4" i="54"/>
  <c r="Q30" i="44"/>
  <c r="BY6" i="6"/>
  <c r="AI44" i="44"/>
  <c r="BH5" i="8"/>
  <c r="AM6" i="11"/>
  <c r="BG4" i="54"/>
  <c r="BN6" i="12"/>
  <c r="BL6" i="12"/>
  <c r="W5" i="15"/>
  <c r="L6" i="12"/>
  <c r="AI17" i="44"/>
  <c r="BK5" i="40"/>
  <c r="BK41" i="40" s="1"/>
  <c r="Q17" i="44"/>
  <c r="CG6" i="12"/>
  <c r="S4" i="54"/>
  <c r="Z9" i="44"/>
  <c r="I6" i="61" s="1"/>
  <c r="I4" i="52"/>
  <c r="O20" i="61" s="1"/>
  <c r="Y6" i="6"/>
  <c r="O5" i="13"/>
  <c r="S4" i="52"/>
  <c r="I20" i="61" s="1"/>
  <c r="O5" i="4"/>
  <c r="BJ5" i="4"/>
  <c r="BZ6" i="7"/>
  <c r="BV6" i="7"/>
  <c r="CD5" i="4"/>
  <c r="I41" i="53"/>
  <c r="AM6" i="6"/>
  <c r="BZ6" i="6"/>
  <c r="AX5" i="15"/>
  <c r="O5" i="5"/>
  <c r="CD5" i="8"/>
  <c r="BZ6" i="11"/>
  <c r="I32" i="53"/>
  <c r="Q9" i="44"/>
  <c r="I4" i="54"/>
  <c r="CM5" i="4"/>
  <c r="CM5" i="9"/>
  <c r="BG5" i="4"/>
  <c r="X5" i="40"/>
  <c r="O5" i="55"/>
  <c r="CM5" i="8"/>
  <c r="BV6" i="11"/>
  <c r="BF5" i="9"/>
  <c r="Z30" i="44"/>
  <c r="BK6" i="12"/>
  <c r="S32" i="53"/>
  <c r="BI5" i="8"/>
  <c r="AY45" i="40"/>
  <c r="CT42" i="40"/>
  <c r="CT45" i="40" s="1"/>
  <c r="AY37" i="47"/>
  <c r="AV39" i="6"/>
  <c r="AZ8" i="9"/>
  <c r="AZ6" i="9"/>
  <c r="AZ9" i="9"/>
  <c r="AZ7" i="9"/>
  <c r="BC6" i="8"/>
  <c r="BC8" i="8"/>
  <c r="BC11" i="8"/>
  <c r="BC9" i="8"/>
  <c r="BC14" i="8"/>
  <c r="BC13" i="8"/>
  <c r="BC7" i="8"/>
  <c r="BC15" i="8"/>
  <c r="BC12" i="8"/>
  <c r="BA29" i="47"/>
  <c r="BA28" i="47"/>
  <c r="BA24" i="47"/>
  <c r="BA21" i="47"/>
  <c r="BA26" i="47"/>
  <c r="BA23" i="47"/>
  <c r="BA27" i="47"/>
  <c r="BA12" i="47"/>
  <c r="BA13" i="47"/>
  <c r="BA25" i="47"/>
  <c r="BA20" i="47"/>
  <c r="BA17" i="47"/>
  <c r="BA8" i="47"/>
  <c r="BA15" i="47"/>
  <c r="BA10" i="47"/>
  <c r="BA18" i="47"/>
  <c r="BA11" i="47"/>
  <c r="BA9" i="47"/>
  <c r="BA16" i="47"/>
  <c r="BA19" i="47"/>
  <c r="L83" i="19"/>
  <c r="L106" i="19"/>
  <c r="V41" i="52"/>
  <c r="Q41" i="52"/>
  <c r="BB41" i="40"/>
  <c r="BB6" i="40"/>
  <c r="BB42" i="40"/>
  <c r="BB45" i="40" s="1"/>
  <c r="BB10" i="40"/>
  <c r="BB8" i="40"/>
  <c r="BB9" i="40"/>
  <c r="BB7" i="40"/>
  <c r="BH38" i="11"/>
  <c r="BC27" i="47"/>
  <c r="BC12" i="47"/>
  <c r="BC24" i="47"/>
  <c r="BC13" i="47"/>
  <c r="BC29" i="47"/>
  <c r="BC23" i="47"/>
  <c r="BC21" i="47"/>
  <c r="BC28" i="47"/>
  <c r="BC20" i="47"/>
  <c r="BC26" i="47"/>
  <c r="BC25" i="47"/>
  <c r="BC9" i="47"/>
  <c r="BC10" i="47"/>
  <c r="BC8" i="47"/>
  <c r="BC11" i="47"/>
  <c r="BC16" i="47"/>
  <c r="BC15" i="47"/>
  <c r="BC18" i="47"/>
  <c r="BC19" i="47"/>
  <c r="BC17" i="47"/>
  <c r="BB12" i="8"/>
  <c r="BB8" i="8"/>
  <c r="BB15" i="8"/>
  <c r="BB6" i="8"/>
  <c r="BB13" i="8"/>
  <c r="BB7" i="8"/>
  <c r="BB9" i="8"/>
  <c r="BB14" i="8"/>
  <c r="BB11" i="8"/>
  <c r="BD6" i="9"/>
  <c r="BD7" i="9"/>
  <c r="BD8" i="9"/>
  <c r="BD9" i="9"/>
  <c r="G7" i="62"/>
  <c r="S6" i="28"/>
  <c r="T11" i="28"/>
  <c r="T15" i="28" s="1"/>
  <c r="S17" i="28"/>
  <c r="DF38" i="11"/>
  <c r="DF39" i="11" s="1"/>
  <c r="CR10" i="5"/>
  <c r="CR8" i="9"/>
  <c r="D30" i="53"/>
  <c r="D35" i="53" s="1"/>
  <c r="D20" i="58"/>
  <c r="AS37" i="8"/>
  <c r="AY37" i="4"/>
  <c r="AM37" i="5"/>
  <c r="BC28" i="4"/>
  <c r="BC31" i="4"/>
  <c r="BC29" i="4"/>
  <c r="BC24" i="4"/>
  <c r="BC25" i="4"/>
  <c r="BC23" i="4"/>
  <c r="BC10" i="4"/>
  <c r="BC21" i="4"/>
  <c r="BC19" i="4"/>
  <c r="BC20" i="4"/>
  <c r="BC18" i="4"/>
  <c r="BC17" i="4"/>
  <c r="BC14" i="4"/>
  <c r="BC22" i="4"/>
  <c r="BC9" i="4"/>
  <c r="BC15" i="4"/>
  <c r="BC13" i="4"/>
  <c r="BC8" i="4"/>
  <c r="BC27" i="4"/>
  <c r="BC6" i="4"/>
  <c r="BC26" i="4"/>
  <c r="BC7" i="4"/>
  <c r="BC11" i="4"/>
  <c r="AZ13" i="47"/>
  <c r="AZ27" i="47"/>
  <c r="AZ25" i="47"/>
  <c r="BE25" i="47" s="1"/>
  <c r="AZ28" i="47"/>
  <c r="BE28" i="47" s="1"/>
  <c r="AZ21" i="47"/>
  <c r="AZ26" i="47"/>
  <c r="AZ20" i="47"/>
  <c r="BE20" i="47" s="1"/>
  <c r="AZ29" i="47"/>
  <c r="AZ24" i="47"/>
  <c r="AZ23" i="47"/>
  <c r="BE23" i="47" s="1"/>
  <c r="AZ12" i="47"/>
  <c r="AZ16" i="47"/>
  <c r="BE16" i="47" s="1"/>
  <c r="AZ10" i="47"/>
  <c r="AZ11" i="47"/>
  <c r="AZ9" i="47"/>
  <c r="BE9" i="47" s="1"/>
  <c r="AZ8" i="47"/>
  <c r="AZ17" i="47"/>
  <c r="AZ19" i="47"/>
  <c r="AZ18" i="47"/>
  <c r="AZ15" i="47"/>
  <c r="AG37" i="5"/>
  <c r="AS37" i="5"/>
  <c r="BA41" i="40"/>
  <c r="BA42" i="40"/>
  <c r="BA45" i="40" s="1"/>
  <c r="BA10" i="40"/>
  <c r="BA9" i="40"/>
  <c r="BA7" i="40"/>
  <c r="BA8" i="40"/>
  <c r="BA6" i="40"/>
  <c r="AA22" i="23"/>
  <c r="H46" i="61"/>
  <c r="BA7" i="8"/>
  <c r="BA14" i="8"/>
  <c r="BA15" i="8"/>
  <c r="BA6" i="8"/>
  <c r="BA12" i="8"/>
  <c r="BA11" i="8"/>
  <c r="BA13" i="8"/>
  <c r="BA9" i="8"/>
  <c r="BA8" i="8"/>
  <c r="BD9" i="5"/>
  <c r="BD15" i="5"/>
  <c r="BD12" i="5"/>
  <c r="BD17" i="5"/>
  <c r="BD10" i="5"/>
  <c r="BD11" i="5"/>
  <c r="BD13" i="5"/>
  <c r="BD14" i="5"/>
  <c r="BD6" i="5"/>
  <c r="BD7" i="5"/>
  <c r="BD16" i="5"/>
  <c r="BD8" i="5"/>
  <c r="AZ11" i="8"/>
  <c r="AZ9" i="8"/>
  <c r="AZ12" i="8"/>
  <c r="AZ13" i="8"/>
  <c r="AZ15" i="8"/>
  <c r="AZ6" i="8"/>
  <c r="AZ7" i="8"/>
  <c r="AZ14" i="8"/>
  <c r="AZ8" i="8"/>
  <c r="BD28" i="4"/>
  <c r="BD6" i="4"/>
  <c r="BD23" i="4"/>
  <c r="BD19" i="4"/>
  <c r="BD15" i="4"/>
  <c r="BD31" i="4"/>
  <c r="BD22" i="4"/>
  <c r="BD13" i="4"/>
  <c r="BD24" i="4"/>
  <c r="BD25" i="4"/>
  <c r="BD21" i="4"/>
  <c r="BD14" i="4"/>
  <c r="BD18" i="4"/>
  <c r="BD20" i="4"/>
  <c r="BD27" i="4"/>
  <c r="BD7" i="4"/>
  <c r="BD17" i="4"/>
  <c r="BD11" i="4"/>
  <c r="BD10" i="4"/>
  <c r="BD26" i="4"/>
  <c r="BD29" i="4"/>
  <c r="BD9" i="4"/>
  <c r="BD8" i="4"/>
  <c r="CR10" i="47"/>
  <c r="E29" i="53" s="1"/>
  <c r="CR28" i="47"/>
  <c r="CR10" i="4"/>
  <c r="AG37" i="4"/>
  <c r="BD12" i="8"/>
  <c r="BD7" i="8"/>
  <c r="BD14" i="8"/>
  <c r="BD11" i="8"/>
  <c r="BD15" i="8"/>
  <c r="BD8" i="8"/>
  <c r="BD13" i="8"/>
  <c r="BD9" i="8"/>
  <c r="BD6" i="8"/>
  <c r="BB14" i="5"/>
  <c r="BB16" i="5"/>
  <c r="BB6" i="5"/>
  <c r="BB11" i="5"/>
  <c r="BB10" i="5"/>
  <c r="BB7" i="5"/>
  <c r="BB15" i="5"/>
  <c r="BB9" i="5"/>
  <c r="BB17" i="5"/>
  <c r="BB13" i="5"/>
  <c r="BB12" i="5"/>
  <c r="BB8" i="5"/>
  <c r="BA6" i="9"/>
  <c r="BA9" i="9"/>
  <c r="BA7" i="9"/>
  <c r="BA8" i="9"/>
  <c r="D18" i="58"/>
  <c r="E15" i="20"/>
  <c r="E18" i="20" s="1"/>
  <c r="F15" i="20"/>
  <c r="E43" i="20"/>
  <c r="E44" i="20" s="1"/>
  <c r="K16" i="28"/>
  <c r="D17" i="58"/>
  <c r="D11" i="58"/>
  <c r="D12" i="58" s="1"/>
  <c r="O4" i="44"/>
  <c r="R14" i="28"/>
  <c r="E21" i="58"/>
  <c r="D21" i="58"/>
  <c r="F16" i="20"/>
  <c r="P15" i="23"/>
  <c r="P39" i="23" s="1"/>
  <c r="O15" i="23"/>
  <c r="Q15" i="23"/>
  <c r="Q39" i="23" s="1"/>
  <c r="R15" i="23"/>
  <c r="R39" i="23" s="1"/>
  <c r="N5" i="44"/>
  <c r="W4" i="44"/>
  <c r="G41" i="20"/>
  <c r="E8" i="58" s="1"/>
  <c r="E19" i="58" s="1"/>
  <c r="G40" i="20"/>
  <c r="E7" i="58" s="1"/>
  <c r="E18" i="58" s="1"/>
  <c r="G39" i="20"/>
  <c r="G42" i="20"/>
  <c r="E9" i="58" s="1"/>
  <c r="E20" i="58" s="1"/>
  <c r="BP17" i="54"/>
  <c r="BL17" i="54"/>
  <c r="BM17" i="54"/>
  <c r="BO17" i="54"/>
  <c r="BN37" i="54"/>
  <c r="M17" i="60" s="1"/>
  <c r="BP37" i="54"/>
  <c r="O17" i="60" s="1"/>
  <c r="BN17" i="54"/>
  <c r="BM37" i="54"/>
  <c r="L17" i="60" s="1"/>
  <c r="BL37" i="54"/>
  <c r="BO37" i="54"/>
  <c r="N17" i="60" s="1"/>
  <c r="D16" i="52"/>
  <c r="X16" i="52" s="1"/>
  <c r="D42" i="53"/>
  <c r="N35" i="53"/>
  <c r="Q9" i="17"/>
  <c r="Q30" i="17"/>
  <c r="D7" i="52"/>
  <c r="D29" i="54"/>
  <c r="N29" i="53"/>
  <c r="CQ37" i="5"/>
  <c r="Q16" i="17" s="1"/>
  <c r="CR13" i="8"/>
  <c r="D30" i="54"/>
  <c r="D29" i="53"/>
  <c r="X29" i="53" s="1"/>
  <c r="N25" i="53"/>
  <c r="CO38" i="11"/>
  <c r="CR11" i="8"/>
  <c r="CR17" i="4"/>
  <c r="CR11" i="5"/>
  <c r="D21" i="52"/>
  <c r="X21" i="52" s="1"/>
  <c r="BZ37" i="47"/>
  <c r="D11" i="59"/>
  <c r="D12" i="59" s="1"/>
  <c r="AK37" i="15"/>
  <c r="AL37" i="13"/>
  <c r="BZ37" i="9"/>
  <c r="CQ37" i="40"/>
  <c r="CQ38" i="40" s="1"/>
  <c r="CR6" i="5"/>
  <c r="D8" i="54"/>
  <c r="X9" i="53" s="1"/>
  <c r="BC37" i="13"/>
  <c r="BC38" i="13" s="1"/>
  <c r="BD17" i="55"/>
  <c r="CR26" i="47"/>
  <c r="CR14" i="8"/>
  <c r="CR24" i="47"/>
  <c r="CR8" i="5"/>
  <c r="CR7" i="4"/>
  <c r="D36" i="52"/>
  <c r="AL37" i="55"/>
  <c r="CR21" i="4"/>
  <c r="CR6" i="8"/>
  <c r="CO39" i="6"/>
  <c r="BZ37" i="4"/>
  <c r="BZ37" i="40"/>
  <c r="AM10" i="13"/>
  <c r="CA19" i="4"/>
  <c r="CA13" i="8"/>
  <c r="CA12" i="47"/>
  <c r="CA15" i="8"/>
  <c r="CA9" i="5"/>
  <c r="Q30" i="28"/>
  <c r="CB6" i="5" s="1"/>
  <c r="BB40" i="54"/>
  <c r="BB39" i="54" s="1"/>
  <c r="CQ37" i="9"/>
  <c r="CQ38" i="9" s="1"/>
  <c r="CR9" i="5"/>
  <c r="CR25" i="4"/>
  <c r="CR18" i="47"/>
  <c r="CR23" i="4"/>
  <c r="CR11" i="4"/>
  <c r="CR8" i="4"/>
  <c r="CR29" i="47"/>
  <c r="CQ37" i="4"/>
  <c r="CQ38" i="4" s="1"/>
  <c r="BZ37" i="5"/>
  <c r="CR15" i="5"/>
  <c r="D21" i="54"/>
  <c r="X22" i="53" s="1"/>
  <c r="BD6" i="13"/>
  <c r="CR27" i="47"/>
  <c r="E30" i="53" s="1"/>
  <c r="E35" i="53" s="1"/>
  <c r="O24" i="53"/>
  <c r="BB37" i="15"/>
  <c r="D23" i="52"/>
  <c r="AM13" i="55"/>
  <c r="AM11" i="13"/>
  <c r="CA11" i="47"/>
  <c r="AM17" i="55"/>
  <c r="CA24" i="47"/>
  <c r="CA26" i="47"/>
  <c r="CA8" i="8"/>
  <c r="AM18" i="55"/>
  <c r="CA7" i="4"/>
  <c r="AM11" i="55"/>
  <c r="AL11" i="15"/>
  <c r="AL7" i="15"/>
  <c r="CA9" i="4"/>
  <c r="CA12" i="5"/>
  <c r="D17" i="52"/>
  <c r="D11" i="52"/>
  <c r="X11" i="52" s="1"/>
  <c r="X31" i="52" s="1"/>
  <c r="D7" i="54"/>
  <c r="CR24" i="4"/>
  <c r="E42" i="53"/>
  <c r="CR16" i="5"/>
  <c r="BC8" i="15"/>
  <c r="CR6" i="9"/>
  <c r="BC9" i="15"/>
  <c r="CR15" i="8"/>
  <c r="CA29" i="47"/>
  <c r="CA8" i="4"/>
  <c r="CA20" i="4"/>
  <c r="AL6" i="15"/>
  <c r="CA7" i="40"/>
  <c r="CA27" i="4"/>
  <c r="CA13" i="5"/>
  <c r="AL10" i="15"/>
  <c r="CA9" i="47"/>
  <c r="CA6" i="4"/>
  <c r="CA31" i="4"/>
  <c r="CA17" i="47"/>
  <c r="CA8" i="47"/>
  <c r="AL8" i="15"/>
  <c r="CA15" i="5"/>
  <c r="CA14" i="8"/>
  <c r="CA18" i="4"/>
  <c r="AM9" i="13"/>
  <c r="CA13" i="4"/>
  <c r="CA6" i="8"/>
  <c r="AM14" i="55"/>
  <c r="AL9" i="15"/>
  <c r="AL12" i="15"/>
  <c r="CA23" i="47"/>
  <c r="CA21" i="4"/>
  <c r="CA8" i="40"/>
  <c r="AM6" i="13"/>
  <c r="CA24" i="4"/>
  <c r="CA10" i="47"/>
  <c r="CA25" i="4"/>
  <c r="CA6" i="40"/>
  <c r="CA7" i="9"/>
  <c r="CA6" i="9"/>
  <c r="DF39" i="7"/>
  <c r="D25" i="52"/>
  <c r="X25" i="52" s="1"/>
  <c r="CQ37" i="47"/>
  <c r="CQ38" i="47" s="1"/>
  <c r="D32" i="54"/>
  <c r="D27" i="54" s="1"/>
  <c r="AM7" i="13"/>
  <c r="AM10" i="55"/>
  <c r="CA12" i="8"/>
  <c r="CA19" i="47"/>
  <c r="CA14" i="4"/>
  <c r="CA18" i="47"/>
  <c r="CA11" i="5"/>
  <c r="CA10" i="5"/>
  <c r="CA27" i="47"/>
  <c r="CA16" i="5"/>
  <c r="CA16" i="47"/>
  <c r="CA11" i="8"/>
  <c r="CA15" i="47"/>
  <c r="CA9" i="9"/>
  <c r="CA6" i="5"/>
  <c r="CA7" i="5"/>
  <c r="CA15" i="4"/>
  <c r="CA21" i="47"/>
  <c r="CA10" i="4"/>
  <c r="CA8" i="9"/>
  <c r="CA20" i="47"/>
  <c r="CA26" i="4"/>
  <c r="CA14" i="5"/>
  <c r="CA23" i="4"/>
  <c r="CA17" i="4"/>
  <c r="CA9" i="8"/>
  <c r="BZ37" i="8"/>
  <c r="CQ37" i="8"/>
  <c r="CQ38" i="8" s="1"/>
  <c r="D20" i="54"/>
  <c r="X21" i="53" s="1"/>
  <c r="BD14" i="55"/>
  <c r="BD9" i="13"/>
  <c r="CR7" i="8"/>
  <c r="CR13" i="4"/>
  <c r="BD8" i="13"/>
  <c r="F10" i="26" s="1"/>
  <c r="F38" i="26" s="1"/>
  <c r="F41" i="26" s="1"/>
  <c r="CR9" i="40"/>
  <c r="CR9" i="8"/>
  <c r="BD7" i="13"/>
  <c r="CR9" i="9"/>
  <c r="CR13" i="5"/>
  <c r="CR10" i="40"/>
  <c r="BD11" i="55"/>
  <c r="CR29" i="4"/>
  <c r="AI40" i="54"/>
  <c r="Q36" i="17"/>
  <c r="D34" i="54" s="1"/>
  <c r="O25" i="53"/>
  <c r="T37" i="47"/>
  <c r="AI39" i="6"/>
  <c r="D19" i="54"/>
  <c r="D43" i="54" s="1"/>
  <c r="DF39" i="6"/>
  <c r="Q17" i="17" s="1"/>
  <c r="S37" i="15"/>
  <c r="BC6" i="15"/>
  <c r="AI38" i="11"/>
  <c r="T37" i="9"/>
  <c r="T37" i="4"/>
  <c r="CR6" i="40"/>
  <c r="T37" i="40"/>
  <c r="U14" i="55"/>
  <c r="U23" i="47"/>
  <c r="U27" i="47"/>
  <c r="U6" i="4"/>
  <c r="U8" i="40"/>
  <c r="U26" i="47"/>
  <c r="U25" i="4"/>
  <c r="U18" i="4"/>
  <c r="U7" i="8"/>
  <c r="CS7" i="8" s="1"/>
  <c r="U16" i="5"/>
  <c r="U13" i="5"/>
  <c r="U14" i="8"/>
  <c r="U7" i="13"/>
  <c r="U8" i="13"/>
  <c r="BE8" i="13" s="1"/>
  <c r="U6" i="5"/>
  <c r="U13" i="8"/>
  <c r="U19" i="47"/>
  <c r="U7" i="5"/>
  <c r="U16" i="47"/>
  <c r="U10" i="40"/>
  <c r="CS10" i="40" s="1"/>
  <c r="T6" i="15"/>
  <c r="U11" i="4"/>
  <c r="CS11" i="4" s="1"/>
  <c r="T11" i="15"/>
  <c r="T8" i="15"/>
  <c r="U15" i="8"/>
  <c r="U11" i="8"/>
  <c r="U7" i="4"/>
  <c r="U8" i="9"/>
  <c r="U6" i="13"/>
  <c r="U28" i="4"/>
  <c r="CS28" i="4" s="1"/>
  <c r="U10" i="13"/>
  <c r="U9" i="47"/>
  <c r="U6" i="9"/>
  <c r="U6" i="8"/>
  <c r="Q27" i="28"/>
  <c r="U25" i="47"/>
  <c r="CS25" i="47" s="1"/>
  <c r="U11" i="5"/>
  <c r="U14" i="5"/>
  <c r="U9" i="9"/>
  <c r="U22" i="4"/>
  <c r="CS22" i="4" s="1"/>
  <c r="U7" i="9"/>
  <c r="U12" i="47"/>
  <c r="U8" i="47"/>
  <c r="U15" i="47"/>
  <c r="U7" i="40"/>
  <c r="U10" i="5"/>
  <c r="U18" i="55"/>
  <c r="BE18" i="55" s="1"/>
  <c r="U20" i="4"/>
  <c r="U9" i="13"/>
  <c r="U12" i="8"/>
  <c r="U9" i="8"/>
  <c r="U15" i="4"/>
  <c r="U8" i="5"/>
  <c r="CS8" i="5" s="1"/>
  <c r="U13" i="47"/>
  <c r="CS13" i="47" s="1"/>
  <c r="U24" i="4"/>
  <c r="U10" i="4"/>
  <c r="U31" i="4"/>
  <c r="T9" i="15"/>
  <c r="U17" i="5"/>
  <c r="CS17" i="5" s="1"/>
  <c r="U11" i="13"/>
  <c r="U6" i="40"/>
  <c r="U23" i="4"/>
  <c r="U12" i="5"/>
  <c r="U8" i="4"/>
  <c r="U20" i="47"/>
  <c r="U27" i="4"/>
  <c r="U29" i="47"/>
  <c r="U19" i="4"/>
  <c r="U14" i="4"/>
  <c r="U8" i="8"/>
  <c r="U21" i="47"/>
  <c r="U29" i="4"/>
  <c r="CS29" i="4" s="1"/>
  <c r="U26" i="4"/>
  <c r="U17" i="4"/>
  <c r="U12" i="55"/>
  <c r="BE12" i="55" s="1"/>
  <c r="U9" i="4"/>
  <c r="U13" i="4"/>
  <c r="U24" i="47"/>
  <c r="U21" i="4"/>
  <c r="U17" i="55"/>
  <c r="U13" i="55"/>
  <c r="U18" i="47"/>
  <c r="T7" i="15"/>
  <c r="U10" i="55"/>
  <c r="U9" i="5"/>
  <c r="T12" i="15"/>
  <c r="U11" i="55"/>
  <c r="U28" i="47"/>
  <c r="CS28" i="47" s="1"/>
  <c r="T10" i="15"/>
  <c r="U17" i="47"/>
  <c r="U15" i="5"/>
  <c r="U11" i="47"/>
  <c r="U10" i="47"/>
  <c r="U9" i="40"/>
  <c r="CS9" i="40" s="1"/>
  <c r="T37" i="5"/>
  <c r="T37" i="8"/>
  <c r="T37" i="55"/>
  <c r="BD10" i="55"/>
  <c r="T37" i="13"/>
  <c r="N36" i="53"/>
  <c r="X7" i="53"/>
  <c r="X10" i="53"/>
  <c r="X36" i="53" s="1"/>
  <c r="O28" i="53"/>
  <c r="X28" i="53"/>
  <c r="CB16" i="47"/>
  <c r="CB13" i="4"/>
  <c r="CB10" i="47"/>
  <c r="CB24" i="4"/>
  <c r="CB15" i="5"/>
  <c r="AN14" i="55"/>
  <c r="AN10" i="13"/>
  <c r="CB7" i="40"/>
  <c r="CB16" i="5"/>
  <c r="CB20" i="47"/>
  <c r="CB9" i="47"/>
  <c r="Q18" i="17"/>
  <c r="D9" i="52" l="1"/>
  <c r="X7" i="52"/>
  <c r="BL23" i="52"/>
  <c r="X23" i="52"/>
  <c r="X26" i="52" s="1"/>
  <c r="X34" i="52" s="1"/>
  <c r="D19" i="52"/>
  <c r="X17" i="52"/>
  <c r="X19" i="52" s="1"/>
  <c r="X20" i="53"/>
  <c r="X33" i="53" s="1"/>
  <c r="BE26" i="47"/>
  <c r="BA37" i="4"/>
  <c r="BB37" i="9"/>
  <c r="BA37" i="9"/>
  <c r="BE15" i="47"/>
  <c r="Q29" i="17"/>
  <c r="Q28" i="17" s="1"/>
  <c r="BD12" i="15"/>
  <c r="F40" i="54" s="1"/>
  <c r="CS29" i="47"/>
  <c r="CS15" i="4"/>
  <c r="E8" i="56" s="1"/>
  <c r="E16" i="56" s="1"/>
  <c r="CS6" i="8"/>
  <c r="BE12" i="47"/>
  <c r="BE8" i="40"/>
  <c r="BE25" i="4"/>
  <c r="BE15" i="4"/>
  <c r="BE14" i="5"/>
  <c r="BE13" i="4"/>
  <c r="BE29" i="4"/>
  <c r="BE26" i="4"/>
  <c r="BE13" i="8"/>
  <c r="BD37" i="5"/>
  <c r="CS9" i="5"/>
  <c r="D22" i="58"/>
  <c r="D23" i="58" s="1"/>
  <c r="BP38" i="11"/>
  <c r="BE8" i="9"/>
  <c r="D9" i="57"/>
  <c r="D19" i="57" s="1"/>
  <c r="D21" i="57" s="1"/>
  <c r="D22" i="57" s="1"/>
  <c r="BE18" i="47"/>
  <c r="BD37" i="9"/>
  <c r="BI6" i="9"/>
  <c r="BI7" i="9"/>
  <c r="BI9" i="9"/>
  <c r="BI8" i="9"/>
  <c r="BF31" i="4"/>
  <c r="BF13" i="4"/>
  <c r="BF6" i="4"/>
  <c r="BF18" i="4"/>
  <c r="BF24" i="4"/>
  <c r="BF9" i="4"/>
  <c r="BF15" i="4"/>
  <c r="BF7" i="4"/>
  <c r="BF19" i="4"/>
  <c r="BF22" i="4"/>
  <c r="BF17" i="4"/>
  <c r="BF25" i="4"/>
  <c r="BF14" i="4"/>
  <c r="BF10" i="4"/>
  <c r="BF29" i="4"/>
  <c r="BF26" i="4"/>
  <c r="BF28" i="4"/>
  <c r="BF8" i="4"/>
  <c r="BF11" i="4"/>
  <c r="BF27" i="4"/>
  <c r="BF23" i="4"/>
  <c r="BF21" i="4"/>
  <c r="BF20" i="4"/>
  <c r="BD37" i="47"/>
  <c r="BE16" i="5"/>
  <c r="BQ38" i="11"/>
  <c r="BE19" i="47"/>
  <c r="BE27" i="47"/>
  <c r="BC37" i="47"/>
  <c r="BR38" i="11"/>
  <c r="Z26" i="17"/>
  <c r="Z25" i="17"/>
  <c r="BF8" i="9"/>
  <c r="BF7" i="9"/>
  <c r="BK7" i="9" s="1"/>
  <c r="BF6" i="9"/>
  <c r="BF9" i="9"/>
  <c r="BJ10" i="5"/>
  <c r="BJ13" i="5"/>
  <c r="BJ17" i="5"/>
  <c r="BJ16" i="5"/>
  <c r="BJ8" i="5"/>
  <c r="BJ9" i="5"/>
  <c r="BJ7" i="5"/>
  <c r="BJ11" i="5"/>
  <c r="BJ15" i="5"/>
  <c r="BJ12" i="5"/>
  <c r="BJ14" i="5"/>
  <c r="BJ6" i="5"/>
  <c r="BJ6" i="9"/>
  <c r="BJ7" i="9"/>
  <c r="BJ8" i="9"/>
  <c r="BJ9" i="9"/>
  <c r="BI13" i="5"/>
  <c r="BI7" i="5"/>
  <c r="BI14" i="5"/>
  <c r="BI10" i="5"/>
  <c r="BI6" i="5"/>
  <c r="BI17" i="5"/>
  <c r="BI11" i="5"/>
  <c r="BI12" i="5"/>
  <c r="BI16" i="5"/>
  <c r="BI8" i="5"/>
  <c r="BI9" i="5"/>
  <c r="BI15" i="5"/>
  <c r="BF41" i="40"/>
  <c r="BF8" i="40"/>
  <c r="BF10" i="40"/>
  <c r="BF7" i="40"/>
  <c r="BF42" i="40"/>
  <c r="BF6" i="40"/>
  <c r="BF9" i="40"/>
  <c r="BC37" i="40"/>
  <c r="BE7" i="4"/>
  <c r="BE10" i="4"/>
  <c r="BE21" i="4"/>
  <c r="BD37" i="40"/>
  <c r="BE12" i="5"/>
  <c r="BC37" i="9"/>
  <c r="D37" i="52"/>
  <c r="Y24" i="53"/>
  <c r="BE12" i="8"/>
  <c r="BS38" i="11"/>
  <c r="BG12" i="8"/>
  <c r="BG14" i="8"/>
  <c r="BG6" i="8"/>
  <c r="BG13" i="8"/>
  <c r="BG9" i="8"/>
  <c r="BG8" i="8"/>
  <c r="BG11" i="8"/>
  <c r="BG7" i="8"/>
  <c r="BG15" i="8"/>
  <c r="D25" i="53"/>
  <c r="D24" i="54"/>
  <c r="D44" i="54" s="1"/>
  <c r="BE8" i="8"/>
  <c r="BE9" i="8"/>
  <c r="BA37" i="40"/>
  <c r="BE17" i="47"/>
  <c r="BE24" i="47"/>
  <c r="BE13" i="47"/>
  <c r="BO39" i="6"/>
  <c r="BQ39" i="6"/>
  <c r="BC37" i="4"/>
  <c r="U11" i="28"/>
  <c r="U15" i="28" s="1"/>
  <c r="T17" i="28"/>
  <c r="BJ29" i="47"/>
  <c r="BJ8" i="47"/>
  <c r="BJ12" i="47"/>
  <c r="BJ24" i="47"/>
  <c r="BJ21" i="47"/>
  <c r="BJ26" i="47"/>
  <c r="BJ27" i="47"/>
  <c r="BJ15" i="47"/>
  <c r="BJ18" i="47"/>
  <c r="BJ25" i="47"/>
  <c r="BJ11" i="47"/>
  <c r="BJ19" i="47"/>
  <c r="BJ20" i="47"/>
  <c r="BJ28" i="47"/>
  <c r="BJ23" i="47"/>
  <c r="BJ9" i="47"/>
  <c r="BJ13" i="47"/>
  <c r="BJ17" i="47"/>
  <c r="BJ16" i="47"/>
  <c r="BJ10" i="47"/>
  <c r="I14" i="61"/>
  <c r="M106" i="19"/>
  <c r="M83" i="19"/>
  <c r="AZ45" i="40"/>
  <c r="BE42" i="40"/>
  <c r="BE27" i="4"/>
  <c r="AZ37" i="4"/>
  <c r="BE6" i="4"/>
  <c r="BE24" i="4"/>
  <c r="BE10" i="5"/>
  <c r="BE8" i="5"/>
  <c r="BD37" i="4"/>
  <c r="BH8" i="8"/>
  <c r="BH15" i="8"/>
  <c r="BH6" i="8"/>
  <c r="BH14" i="8"/>
  <c r="BH7" i="8"/>
  <c r="BH11" i="8"/>
  <c r="BH13" i="8"/>
  <c r="BH9" i="8"/>
  <c r="BH12" i="8"/>
  <c r="R3" i="42"/>
  <c r="AC35" i="23"/>
  <c r="N19" i="19"/>
  <c r="N60" i="19"/>
  <c r="J39" i="61" s="1"/>
  <c r="J47" i="53"/>
  <c r="N31" i="19"/>
  <c r="K13" i="48"/>
  <c r="I5" i="56"/>
  <c r="T43" i="28"/>
  <c r="N25" i="19"/>
  <c r="I3" i="42"/>
  <c r="T35" i="28"/>
  <c r="N14" i="19"/>
  <c r="AN4" i="52"/>
  <c r="T25" i="28"/>
  <c r="I12" i="62" s="1"/>
  <c r="N54" i="19"/>
  <c r="AD42" i="54"/>
  <c r="AD4" i="54"/>
  <c r="CW41" i="40"/>
  <c r="AD32" i="53"/>
  <c r="DL6" i="6"/>
  <c r="BI5" i="55"/>
  <c r="BQ5" i="47"/>
  <c r="BL5" i="4"/>
  <c r="AA44" i="44"/>
  <c r="Y5" i="8"/>
  <c r="X5" i="15"/>
  <c r="CE6" i="7"/>
  <c r="AN6" i="7"/>
  <c r="P5" i="8"/>
  <c r="CN5" i="47"/>
  <c r="BR4" i="52"/>
  <c r="BM5" i="4"/>
  <c r="P6" i="6"/>
  <c r="J6" i="53"/>
  <c r="BN5" i="4"/>
  <c r="AZ5" i="55"/>
  <c r="CE5" i="8"/>
  <c r="CB6" i="7"/>
  <c r="AQ5" i="13"/>
  <c r="AA9" i="44"/>
  <c r="J6" i="61" s="1"/>
  <c r="P41" i="40"/>
  <c r="CE41" i="40"/>
  <c r="BO42" i="54"/>
  <c r="P5" i="40"/>
  <c r="CD6" i="7"/>
  <c r="Y5" i="9"/>
  <c r="BO5" i="5"/>
  <c r="AZ5" i="13"/>
  <c r="I44" i="44"/>
  <c r="CN41" i="40"/>
  <c r="P5" i="55"/>
  <c r="CW5" i="5"/>
  <c r="AN42" i="54"/>
  <c r="BU6" i="12"/>
  <c r="CN5" i="5"/>
  <c r="I30" i="44"/>
  <c r="BQ5" i="40"/>
  <c r="BQ41" i="40" s="1"/>
  <c r="R19" i="23"/>
  <c r="DL6" i="7"/>
  <c r="CE5" i="9"/>
  <c r="Y41" i="40"/>
  <c r="BN5" i="5"/>
  <c r="P6" i="7"/>
  <c r="T4" i="52"/>
  <c r="J20" i="61" s="1"/>
  <c r="T4" i="54"/>
  <c r="R9" i="44"/>
  <c r="CB6" i="11"/>
  <c r="CX6" i="12"/>
  <c r="BO5" i="4"/>
  <c r="BH5" i="15"/>
  <c r="CA6" i="6"/>
  <c r="AA17" i="44"/>
  <c r="V45" i="12"/>
  <c r="BP6" i="12"/>
  <c r="O5" i="15"/>
  <c r="CW5" i="9"/>
  <c r="DC6" i="7"/>
  <c r="T6" i="53"/>
  <c r="M6" i="12"/>
  <c r="Y5" i="47"/>
  <c r="CW5" i="47"/>
  <c r="AY5" i="15"/>
  <c r="BQ6" i="12"/>
  <c r="AN4" i="54"/>
  <c r="BQ5" i="9"/>
  <c r="CC6" i="7"/>
  <c r="CN5" i="40"/>
  <c r="CT6" i="11"/>
  <c r="CN5" i="8"/>
  <c r="DC6" i="6"/>
  <c r="BN5" i="9"/>
  <c r="CX45" i="12"/>
  <c r="Y5" i="5"/>
  <c r="BQ5" i="4"/>
  <c r="BN5" i="8"/>
  <c r="BM5" i="40"/>
  <c r="K8" i="26"/>
  <c r="BL5" i="40"/>
  <c r="CH6" i="12"/>
  <c r="P5" i="5"/>
  <c r="P6" i="11"/>
  <c r="CT6" i="6"/>
  <c r="BQ5" i="8"/>
  <c r="J42" i="54"/>
  <c r="P5" i="4"/>
  <c r="I9" i="44"/>
  <c r="Y5" i="40"/>
  <c r="BP5" i="5"/>
  <c r="BM5" i="9"/>
  <c r="R44" i="44"/>
  <c r="BO4" i="54"/>
  <c r="AD6" i="53"/>
  <c r="AQ5" i="55"/>
  <c r="AN6" i="11"/>
  <c r="BH42" i="54"/>
  <c r="CT6" i="7"/>
  <c r="BO5" i="47"/>
  <c r="CC6" i="6"/>
  <c r="R7" i="23"/>
  <c r="AC7" i="23" s="1"/>
  <c r="BL5" i="8"/>
  <c r="BH4" i="54"/>
  <c r="T42" i="54"/>
  <c r="AJ30" i="44"/>
  <c r="BP5" i="8"/>
  <c r="CB6" i="6"/>
  <c r="P5" i="47"/>
  <c r="BL5" i="47"/>
  <c r="CE6" i="6"/>
  <c r="CC6" i="11"/>
  <c r="Y5" i="4"/>
  <c r="BT6" i="12"/>
  <c r="J4" i="54"/>
  <c r="AN6" i="6"/>
  <c r="V6" i="12"/>
  <c r="CA6" i="7"/>
  <c r="Z6" i="11"/>
  <c r="AG5" i="15"/>
  <c r="CN5" i="9"/>
  <c r="BM5" i="8"/>
  <c r="J4" i="52"/>
  <c r="P20" i="61" s="1"/>
  <c r="BM5" i="47"/>
  <c r="AJ17" i="44"/>
  <c r="R17" i="44"/>
  <c r="K5" i="17"/>
  <c r="W5" i="17"/>
  <c r="P14" i="61" s="1"/>
  <c r="CE5" i="4"/>
  <c r="CA6" i="11"/>
  <c r="BO5" i="9"/>
  <c r="N40" i="19"/>
  <c r="P5" i="13"/>
  <c r="CN5" i="4"/>
  <c r="AP5" i="15"/>
  <c r="CW5" i="8"/>
  <c r="BI5" i="13"/>
  <c r="BP5" i="40"/>
  <c r="AH5" i="13"/>
  <c r="AD4" i="52"/>
  <c r="BN5" i="40"/>
  <c r="DL6" i="11"/>
  <c r="AH5" i="55"/>
  <c r="BH4" i="52"/>
  <c r="R2" i="44"/>
  <c r="I17" i="62" s="1"/>
  <c r="BN5" i="47"/>
  <c r="CE6" i="11"/>
  <c r="BL5" i="9"/>
  <c r="AA30" i="44"/>
  <c r="Y5" i="55"/>
  <c r="CD6" i="11"/>
  <c r="BQ5" i="5"/>
  <c r="BH36" i="52"/>
  <c r="R30" i="44"/>
  <c r="CE5" i="47"/>
  <c r="J8" i="20"/>
  <c r="J41" i="53"/>
  <c r="AI6" i="12"/>
  <c r="CF6" i="6"/>
  <c r="AJ44" i="44"/>
  <c r="Y5" i="13"/>
  <c r="CF6" i="11"/>
  <c r="BM5" i="5"/>
  <c r="Z6" i="7"/>
  <c r="CD6" i="6"/>
  <c r="R31" i="23"/>
  <c r="BP5" i="9"/>
  <c r="BP5" i="47"/>
  <c r="CF6" i="7"/>
  <c r="BO5" i="40"/>
  <c r="T32" i="53"/>
  <c r="CP6" i="12"/>
  <c r="BS6" i="12"/>
  <c r="CW5" i="40"/>
  <c r="DC6" i="11"/>
  <c r="J32" i="53"/>
  <c r="BR6" i="12"/>
  <c r="CW5" i="4"/>
  <c r="I17" i="44"/>
  <c r="P5" i="9"/>
  <c r="CE5" i="5"/>
  <c r="BP5" i="4"/>
  <c r="CE5" i="40"/>
  <c r="BL5" i="5"/>
  <c r="BO5" i="8"/>
  <c r="Z6" i="6"/>
  <c r="AJ9" i="44"/>
  <c r="AX4" i="52"/>
  <c r="BO38" i="11"/>
  <c r="Q8" i="17"/>
  <c r="Q7" i="17" s="1"/>
  <c r="BE14" i="8"/>
  <c r="BE11" i="8"/>
  <c r="AZ37" i="47"/>
  <c r="BE8" i="47"/>
  <c r="BE29" i="47"/>
  <c r="H7" i="62"/>
  <c r="T6" i="28"/>
  <c r="BB37" i="40"/>
  <c r="BA37" i="47"/>
  <c r="BG41" i="40"/>
  <c r="BG8" i="40"/>
  <c r="BG6" i="40"/>
  <c r="BG10" i="40"/>
  <c r="BG7" i="40"/>
  <c r="BG9" i="40"/>
  <c r="BG42" i="40"/>
  <c r="BG45" i="40" s="1"/>
  <c r="BF15" i="5"/>
  <c r="BF6" i="5"/>
  <c r="BF8" i="5"/>
  <c r="BF10" i="5"/>
  <c r="BF12" i="5"/>
  <c r="BF7" i="5"/>
  <c r="BF9" i="5"/>
  <c r="BF11" i="5"/>
  <c r="BF16" i="5"/>
  <c r="BF14" i="5"/>
  <c r="BF13" i="5"/>
  <c r="BF17" i="5"/>
  <c r="BG13" i="5"/>
  <c r="BG6" i="5"/>
  <c r="BG15" i="5"/>
  <c r="BG9" i="5"/>
  <c r="BG14" i="5"/>
  <c r="BG7" i="5"/>
  <c r="BG8" i="5"/>
  <c r="BG12" i="5"/>
  <c r="BG16" i="5"/>
  <c r="BG17" i="5"/>
  <c r="BG11" i="5"/>
  <c r="BG10" i="5"/>
  <c r="BH9" i="5"/>
  <c r="BH10" i="5"/>
  <c r="BH15" i="5"/>
  <c r="BH7" i="5"/>
  <c r="BH12" i="5"/>
  <c r="BH6" i="5"/>
  <c r="BH11" i="5"/>
  <c r="BH14" i="5"/>
  <c r="BH8" i="5"/>
  <c r="BH17" i="5"/>
  <c r="BH13" i="5"/>
  <c r="BH16" i="5"/>
  <c r="BH27" i="47"/>
  <c r="BH21" i="47"/>
  <c r="BH11" i="47"/>
  <c r="BH25" i="47"/>
  <c r="BH26" i="47"/>
  <c r="BH24" i="47"/>
  <c r="BH29" i="47"/>
  <c r="BH8" i="47"/>
  <c r="BH12" i="47"/>
  <c r="BH28" i="47"/>
  <c r="BH15" i="47"/>
  <c r="BH23" i="47"/>
  <c r="BH18" i="47"/>
  <c r="BH20" i="47"/>
  <c r="BH19" i="47"/>
  <c r="BH9" i="47"/>
  <c r="BH10" i="47"/>
  <c r="BH17" i="47"/>
  <c r="BH16" i="47"/>
  <c r="BH13" i="47"/>
  <c r="BE10" i="40"/>
  <c r="BE22" i="4"/>
  <c r="BE18" i="4"/>
  <c r="BE23" i="4"/>
  <c r="BB37" i="4"/>
  <c r="BE15" i="5"/>
  <c r="BE13" i="5"/>
  <c r="BA37" i="5"/>
  <c r="BE11" i="4"/>
  <c r="BE7" i="8"/>
  <c r="BP39" i="6"/>
  <c r="BE7" i="9"/>
  <c r="AB22" i="23"/>
  <c r="I46" i="61"/>
  <c r="BH7" i="40"/>
  <c r="BH41" i="40"/>
  <c r="BH6" i="40"/>
  <c r="BH8" i="40"/>
  <c r="BH10" i="40"/>
  <c r="BH42" i="40"/>
  <c r="BH45" i="40" s="1"/>
  <c r="BH9" i="40"/>
  <c r="BF29" i="47"/>
  <c r="BF26" i="47"/>
  <c r="BF23" i="47"/>
  <c r="BF19" i="47"/>
  <c r="BF28" i="47"/>
  <c r="BF27" i="47"/>
  <c r="BF21" i="47"/>
  <c r="BF11" i="47"/>
  <c r="BF8" i="47"/>
  <c r="BF25" i="47"/>
  <c r="BF15" i="47"/>
  <c r="BF12" i="47"/>
  <c r="BF18" i="47"/>
  <c r="BF20" i="47"/>
  <c r="BF24" i="47"/>
  <c r="BF13" i="47"/>
  <c r="BF10" i="47"/>
  <c r="BK10" i="47" s="1"/>
  <c r="BF16" i="47"/>
  <c r="BF17" i="47"/>
  <c r="BF9" i="47"/>
  <c r="BE9" i="40"/>
  <c r="BE17" i="4"/>
  <c r="BE9" i="4"/>
  <c r="BE28" i="4"/>
  <c r="BE17" i="5"/>
  <c r="BE6" i="5"/>
  <c r="AZ37" i="5"/>
  <c r="BJ6" i="8"/>
  <c r="BJ12" i="8"/>
  <c r="BJ15" i="8"/>
  <c r="BJ7" i="8"/>
  <c r="BJ9" i="8"/>
  <c r="BJ8" i="8"/>
  <c r="BJ13" i="8"/>
  <c r="BJ11" i="8"/>
  <c r="BJ14" i="8"/>
  <c r="BF15" i="8"/>
  <c r="BK15" i="8" s="1"/>
  <c r="BF13" i="8"/>
  <c r="BF9" i="8"/>
  <c r="BF7" i="8"/>
  <c r="BF14" i="8"/>
  <c r="BF11" i="8"/>
  <c r="BF12" i="8"/>
  <c r="BF6" i="8"/>
  <c r="BF8" i="8"/>
  <c r="BG21" i="47"/>
  <c r="BG11" i="47"/>
  <c r="BG28" i="47"/>
  <c r="BG26" i="47"/>
  <c r="BG23" i="47"/>
  <c r="BG19" i="47"/>
  <c r="BG25" i="47"/>
  <c r="BG27" i="47"/>
  <c r="BG15" i="47"/>
  <c r="BG18" i="47"/>
  <c r="BG8" i="47"/>
  <c r="BG12" i="47"/>
  <c r="BG29" i="47"/>
  <c r="BG24" i="47"/>
  <c r="BG20" i="47"/>
  <c r="BG9" i="47"/>
  <c r="BG10" i="47"/>
  <c r="BG13" i="47"/>
  <c r="BG16" i="47"/>
  <c r="BG17" i="47"/>
  <c r="AZ37" i="8"/>
  <c r="BE6" i="8"/>
  <c r="BE11" i="47"/>
  <c r="BE9" i="9"/>
  <c r="BI9" i="8"/>
  <c r="BI14" i="8"/>
  <c r="BI6" i="8"/>
  <c r="BI8" i="8"/>
  <c r="BI13" i="8"/>
  <c r="BI15" i="8"/>
  <c r="BI12" i="8"/>
  <c r="BI11" i="8"/>
  <c r="BI7" i="8"/>
  <c r="BI28" i="4"/>
  <c r="BI31" i="4"/>
  <c r="BI10" i="4"/>
  <c r="BI23" i="4"/>
  <c r="BI11" i="4"/>
  <c r="BI29" i="4"/>
  <c r="BI15" i="4"/>
  <c r="BI21" i="4"/>
  <c r="BI17" i="4"/>
  <c r="BI19" i="4"/>
  <c r="BI14" i="4"/>
  <c r="BI22" i="4"/>
  <c r="BI18" i="4"/>
  <c r="BI20" i="4"/>
  <c r="BI6" i="4"/>
  <c r="BI13" i="4"/>
  <c r="BI25" i="4"/>
  <c r="BI24" i="4"/>
  <c r="BI7" i="4"/>
  <c r="BI9" i="4"/>
  <c r="BI26" i="4"/>
  <c r="BI8" i="4"/>
  <c r="BI27" i="4"/>
  <c r="BH28" i="4"/>
  <c r="BH31" i="4"/>
  <c r="BH23" i="4"/>
  <c r="BH20" i="4"/>
  <c r="BH29" i="4"/>
  <c r="BH22" i="4"/>
  <c r="BH6" i="4"/>
  <c r="BH14" i="4"/>
  <c r="BH9" i="4"/>
  <c r="BH19" i="4"/>
  <c r="BH13" i="4"/>
  <c r="BH25" i="4"/>
  <c r="BH15" i="4"/>
  <c r="BH17" i="4"/>
  <c r="BH21" i="4"/>
  <c r="BH10" i="4"/>
  <c r="BH26" i="4"/>
  <c r="BH27" i="4"/>
  <c r="BH8" i="4"/>
  <c r="BH11" i="4"/>
  <c r="BH7" i="4"/>
  <c r="BH24" i="4"/>
  <c r="BH18" i="4"/>
  <c r="BC37" i="5"/>
  <c r="BE7" i="40"/>
  <c r="BE19" i="4"/>
  <c r="BE20" i="4"/>
  <c r="BE31" i="4"/>
  <c r="BB37" i="47"/>
  <c r="BE9" i="5"/>
  <c r="BE11" i="5"/>
  <c r="D12" i="52"/>
  <c r="X12" i="52" s="1"/>
  <c r="X14" i="52" s="1"/>
  <c r="BB37" i="5"/>
  <c r="BD37" i="8"/>
  <c r="BE15" i="8"/>
  <c r="BA37" i="8"/>
  <c r="BE10" i="47"/>
  <c r="BE21" i="47"/>
  <c r="BB37" i="8"/>
  <c r="BC37" i="8"/>
  <c r="AZ37" i="9"/>
  <c r="BE6" i="9"/>
  <c r="BG28" i="4"/>
  <c r="BG31" i="4"/>
  <c r="BG23" i="4"/>
  <c r="BG29" i="4"/>
  <c r="BG14" i="4"/>
  <c r="BG27" i="4"/>
  <c r="BG6" i="4"/>
  <c r="BG26" i="4"/>
  <c r="BG11" i="4"/>
  <c r="BG21" i="4"/>
  <c r="BG13" i="4"/>
  <c r="BG15" i="4"/>
  <c r="BG9" i="4"/>
  <c r="BG19" i="4"/>
  <c r="BG10" i="4"/>
  <c r="BG7" i="4"/>
  <c r="BG17" i="4"/>
  <c r="BG25" i="4"/>
  <c r="BG22" i="4"/>
  <c r="BG8" i="4"/>
  <c r="BG20" i="4"/>
  <c r="BG18" i="4"/>
  <c r="BG24" i="4"/>
  <c r="BJ28" i="4"/>
  <c r="BJ26" i="4"/>
  <c r="BJ21" i="4"/>
  <c r="BJ31" i="4"/>
  <c r="BJ10" i="4"/>
  <c r="BJ11" i="4"/>
  <c r="BJ27" i="4"/>
  <c r="BJ8" i="4"/>
  <c r="BJ18" i="4"/>
  <c r="BJ20" i="4"/>
  <c r="BJ7" i="4"/>
  <c r="BJ9" i="4"/>
  <c r="BJ19" i="4"/>
  <c r="BJ22" i="4"/>
  <c r="BJ17" i="4"/>
  <c r="BJ29" i="4"/>
  <c r="BJ15" i="4"/>
  <c r="BJ6" i="4"/>
  <c r="BJ13" i="4"/>
  <c r="BJ25" i="4"/>
  <c r="BJ23" i="4"/>
  <c r="BJ24" i="4"/>
  <c r="BJ14" i="4"/>
  <c r="X45" i="19"/>
  <c r="I33" i="61"/>
  <c r="BI41" i="40"/>
  <c r="BI7" i="40"/>
  <c r="BI6" i="40"/>
  <c r="BI8" i="40"/>
  <c r="BI9" i="40"/>
  <c r="BI42" i="40"/>
  <c r="BI45" i="40" s="1"/>
  <c r="BI10" i="40"/>
  <c r="BH9" i="9"/>
  <c r="BH8" i="9"/>
  <c r="BH7" i="9"/>
  <c r="BH6" i="9"/>
  <c r="BJ41" i="40"/>
  <c r="BJ7" i="40"/>
  <c r="BJ42" i="40"/>
  <c r="BJ45" i="40" s="1"/>
  <c r="BJ8" i="40"/>
  <c r="BJ9" i="40"/>
  <c r="BJ6" i="40"/>
  <c r="BJ10" i="40"/>
  <c r="BG9" i="9"/>
  <c r="BG6" i="9"/>
  <c r="BG8" i="9"/>
  <c r="BG7" i="9"/>
  <c r="BI8" i="47"/>
  <c r="BI12" i="47"/>
  <c r="BI25" i="47"/>
  <c r="BI21" i="47"/>
  <c r="BI11" i="47"/>
  <c r="BI26" i="47"/>
  <c r="BI23" i="47"/>
  <c r="BI19" i="47"/>
  <c r="BI15" i="47"/>
  <c r="BI18" i="47"/>
  <c r="BI28" i="47"/>
  <c r="BI29" i="47"/>
  <c r="BI27" i="47"/>
  <c r="BI16" i="47"/>
  <c r="BI24" i="47"/>
  <c r="BI20" i="47"/>
  <c r="BI17" i="47"/>
  <c r="BI13" i="47"/>
  <c r="BI10" i="47"/>
  <c r="BI9" i="47"/>
  <c r="BS39" i="6"/>
  <c r="BR39" i="6"/>
  <c r="AZ37" i="40"/>
  <c r="BE6" i="40"/>
  <c r="BE8" i="4"/>
  <c r="BE14" i="4"/>
  <c r="BE7" i="5"/>
  <c r="BQ17" i="54"/>
  <c r="BQ37" i="54"/>
  <c r="K17" i="60"/>
  <c r="O39" i="23"/>
  <c r="Z14" i="23"/>
  <c r="AE14" i="23" s="1"/>
  <c r="S14" i="28"/>
  <c r="P4" i="44"/>
  <c r="J16" i="28"/>
  <c r="I16" i="28" s="1"/>
  <c r="H16" i="28" s="1"/>
  <c r="G16" i="28" s="1"/>
  <c r="F16" i="28" s="1"/>
  <c r="E16" i="28" s="1"/>
  <c r="D16" i="28" s="1"/>
  <c r="O5" i="44"/>
  <c r="X4" i="44"/>
  <c r="E6" i="58"/>
  <c r="G43" i="20"/>
  <c r="G44" i="20" s="1"/>
  <c r="F18" i="20"/>
  <c r="CS7" i="40"/>
  <c r="CS14" i="8"/>
  <c r="D45" i="54"/>
  <c r="CS8" i="40"/>
  <c r="CQ38" i="5"/>
  <c r="BD7" i="15"/>
  <c r="BE17" i="55"/>
  <c r="CS8" i="47"/>
  <c r="BD11" i="15"/>
  <c r="D31" i="52"/>
  <c r="D41" i="52" s="1"/>
  <c r="O33" i="53"/>
  <c r="N34" i="53"/>
  <c r="CS15" i="8"/>
  <c r="BC31" i="54"/>
  <c r="BE13" i="55"/>
  <c r="X30" i="53"/>
  <c r="X35" i="53" s="1"/>
  <c r="Q19" i="17"/>
  <c r="Q15" i="17" s="1"/>
  <c r="BD6" i="15"/>
  <c r="BC40" i="54"/>
  <c r="BC39" i="54" s="1"/>
  <c r="CS19" i="4"/>
  <c r="AM37" i="13"/>
  <c r="CA37" i="8"/>
  <c r="O30" i="53"/>
  <c r="O35" i="53" s="1"/>
  <c r="CB29" i="4"/>
  <c r="CB20" i="4"/>
  <c r="CB23" i="47"/>
  <c r="BD10" i="15"/>
  <c r="CS24" i="47"/>
  <c r="CS13" i="4"/>
  <c r="E6" i="56" s="1"/>
  <c r="E14" i="56" s="1"/>
  <c r="CS31" i="4"/>
  <c r="CS24" i="4"/>
  <c r="CS12" i="47"/>
  <c r="CS9" i="9"/>
  <c r="BE7" i="13"/>
  <c r="N37" i="53"/>
  <c r="E36" i="52"/>
  <c r="AN13" i="55"/>
  <c r="CB24" i="47"/>
  <c r="AN7" i="13"/>
  <c r="CB25" i="47"/>
  <c r="CS23" i="4"/>
  <c r="BE6" i="13"/>
  <c r="CS18" i="4"/>
  <c r="CR37" i="40"/>
  <c r="CR38" i="40" s="1"/>
  <c r="Y9" i="53"/>
  <c r="BE11" i="13"/>
  <c r="CS10" i="4"/>
  <c r="CS20" i="4"/>
  <c r="CS23" i="47"/>
  <c r="CA37" i="9"/>
  <c r="DG39" i="6"/>
  <c r="Q23" i="17"/>
  <c r="CR37" i="9"/>
  <c r="CS8" i="8"/>
  <c r="CS20" i="47"/>
  <c r="CS14" i="5"/>
  <c r="CS16" i="47"/>
  <c r="CB8" i="5"/>
  <c r="CB8" i="8"/>
  <c r="CB23" i="4"/>
  <c r="CB12" i="5"/>
  <c r="CB12" i="47"/>
  <c r="CB31" i="4"/>
  <c r="CB11" i="47"/>
  <c r="CB10" i="5"/>
  <c r="CR37" i="47"/>
  <c r="AS35" i="54"/>
  <c r="BC35" i="54" s="1"/>
  <c r="O29" i="53"/>
  <c r="O34" i="53" s="1"/>
  <c r="AM12" i="15"/>
  <c r="CB28" i="4"/>
  <c r="CB17" i="47"/>
  <c r="CB13" i="47"/>
  <c r="CB9" i="5"/>
  <c r="CB18" i="4"/>
  <c r="CB15" i="47"/>
  <c r="CB6" i="8"/>
  <c r="CB7" i="5"/>
  <c r="AN12" i="55"/>
  <c r="CB8" i="47"/>
  <c r="AM11" i="15"/>
  <c r="CB21" i="4"/>
  <c r="AN11" i="55"/>
  <c r="CB8" i="9"/>
  <c r="CB7" i="8"/>
  <c r="BE9" i="13"/>
  <c r="E9" i="56" s="1"/>
  <c r="E17" i="56" s="1"/>
  <c r="CS16" i="5"/>
  <c r="CS6" i="4"/>
  <c r="CA37" i="5"/>
  <c r="AL37" i="15"/>
  <c r="X8" i="53"/>
  <c r="CA37" i="4"/>
  <c r="CP39" i="6"/>
  <c r="CB14" i="5"/>
  <c r="CB15" i="8"/>
  <c r="CB10" i="40"/>
  <c r="CB21" i="47"/>
  <c r="CB6" i="4"/>
  <c r="CB25" i="4"/>
  <c r="AM7" i="15"/>
  <c r="CB9" i="8"/>
  <c r="CB19" i="47"/>
  <c r="CB27" i="4"/>
  <c r="AM9" i="15"/>
  <c r="CB14" i="8"/>
  <c r="CB7" i="9"/>
  <c r="CB8" i="4"/>
  <c r="CB26" i="4"/>
  <c r="CB17" i="5"/>
  <c r="CB13" i="8"/>
  <c r="CB9" i="9"/>
  <c r="CB9" i="4"/>
  <c r="AM10" i="15"/>
  <c r="AN10" i="55"/>
  <c r="CB28" i="47"/>
  <c r="CB14" i="4"/>
  <c r="CB19" i="4"/>
  <c r="CB9" i="40"/>
  <c r="AN18" i="55"/>
  <c r="CB18" i="47"/>
  <c r="CB26" i="47"/>
  <c r="CB15" i="4"/>
  <c r="CB12" i="8"/>
  <c r="CB13" i="5"/>
  <c r="AN17" i="55"/>
  <c r="CB11" i="8"/>
  <c r="AM6" i="15"/>
  <c r="CB10" i="4"/>
  <c r="AN9" i="13"/>
  <c r="AN6" i="13"/>
  <c r="CB7" i="4"/>
  <c r="CB11" i="5"/>
  <c r="CB22" i="4"/>
  <c r="CB6" i="9"/>
  <c r="AM8" i="15"/>
  <c r="CB11" i="4"/>
  <c r="AN8" i="13"/>
  <c r="CB29" i="47"/>
  <c r="CB8" i="40"/>
  <c r="AN11" i="13"/>
  <c r="CB17" i="4"/>
  <c r="CB27" i="47"/>
  <c r="CB6" i="40"/>
  <c r="R30" i="28"/>
  <c r="CC6" i="5" s="1"/>
  <c r="CS18" i="47"/>
  <c r="CS27" i="4"/>
  <c r="CS13" i="8"/>
  <c r="CS27" i="47"/>
  <c r="CS11" i="47"/>
  <c r="BE11" i="55"/>
  <c r="BE10" i="55"/>
  <c r="CS9" i="4"/>
  <c r="CS17" i="4"/>
  <c r="CS21" i="47"/>
  <c r="CS12" i="5"/>
  <c r="CS6" i="40"/>
  <c r="CS12" i="8"/>
  <c r="CS15" i="47"/>
  <c r="CS7" i="9"/>
  <c r="BE10" i="13"/>
  <c r="CS8" i="9"/>
  <c r="BD8" i="15"/>
  <c r="CS19" i="47"/>
  <c r="CS6" i="5"/>
  <c r="G10" i="26"/>
  <c r="G38" i="26" s="1"/>
  <c r="G41" i="26" s="1"/>
  <c r="CS13" i="5"/>
  <c r="CS26" i="47"/>
  <c r="AM37" i="55"/>
  <c r="CA37" i="47"/>
  <c r="CA37" i="40"/>
  <c r="CP38" i="11"/>
  <c r="Q38" i="17"/>
  <c r="D36" i="54" s="1"/>
  <c r="BB36" i="54" s="1"/>
  <c r="BB38" i="15"/>
  <c r="DF40" i="6"/>
  <c r="CR37" i="5"/>
  <c r="CR38" i="5" s="1"/>
  <c r="DG38" i="11"/>
  <c r="D5" i="54"/>
  <c r="CS7" i="4"/>
  <c r="CS25" i="4"/>
  <c r="D38" i="54"/>
  <c r="BB38" i="54" s="1"/>
  <c r="BL25" i="52"/>
  <c r="E37" i="52"/>
  <c r="CR37" i="4"/>
  <c r="CR38" i="4" s="1"/>
  <c r="D14" i="52"/>
  <c r="Q24" i="17"/>
  <c r="CS15" i="5"/>
  <c r="CS21" i="4"/>
  <c r="CS26" i="4"/>
  <c r="CS14" i="4"/>
  <c r="E7" i="56" s="1"/>
  <c r="E15" i="56" s="1"/>
  <c r="CS9" i="8"/>
  <c r="CS11" i="5"/>
  <c r="CS11" i="8"/>
  <c r="BE14" i="55"/>
  <c r="BC37" i="15"/>
  <c r="Q35" i="17"/>
  <c r="D39" i="52" s="1"/>
  <c r="O10" i="53"/>
  <c r="E11" i="59"/>
  <c r="BD9" i="15"/>
  <c r="CS7" i="5"/>
  <c r="E25" i="53"/>
  <c r="E34" i="53" s="1"/>
  <c r="E37" i="53" s="1"/>
  <c r="CR37" i="8"/>
  <c r="CR38" i="8" s="1"/>
  <c r="D26" i="52"/>
  <c r="D34" i="52" s="1"/>
  <c r="BD37" i="13"/>
  <c r="CS10" i="47"/>
  <c r="CS17" i="47"/>
  <c r="CS10" i="5"/>
  <c r="CS9" i="47"/>
  <c r="D43" i="53"/>
  <c r="D44" i="53" s="1"/>
  <c r="BB32" i="54"/>
  <c r="AJ40" i="54"/>
  <c r="BD40" i="54" s="1"/>
  <c r="BD39" i="54" s="1"/>
  <c r="BB9" i="54"/>
  <c r="F11" i="59"/>
  <c r="F12" i="59" s="1"/>
  <c r="D18" i="54"/>
  <c r="AJ38" i="11"/>
  <c r="U37" i="4"/>
  <c r="U37" i="13"/>
  <c r="T37" i="15"/>
  <c r="BD37" i="55"/>
  <c r="BD38" i="55" s="1"/>
  <c r="U37" i="9"/>
  <c r="U37" i="55"/>
  <c r="U37" i="40"/>
  <c r="R27" i="28"/>
  <c r="V6" i="8"/>
  <c r="V15" i="47"/>
  <c r="V14" i="55"/>
  <c r="BF14" i="55" s="1"/>
  <c r="V22" i="4"/>
  <c r="U9" i="15"/>
  <c r="V17" i="5"/>
  <c r="V7" i="8"/>
  <c r="V9" i="40"/>
  <c r="V21" i="47"/>
  <c r="CT21" i="47" s="1"/>
  <c r="V8" i="4"/>
  <c r="CT8" i="4" s="1"/>
  <c r="V23" i="4"/>
  <c r="CT23" i="4" s="1"/>
  <c r="U10" i="15"/>
  <c r="V18" i="47"/>
  <c r="V25" i="4"/>
  <c r="V10" i="47"/>
  <c r="CT10" i="47" s="1"/>
  <c r="V8" i="47"/>
  <c r="V10" i="4"/>
  <c r="V15" i="5"/>
  <c r="CT15" i="5" s="1"/>
  <c r="U8" i="15"/>
  <c r="V10" i="40"/>
  <c r="V6" i="9"/>
  <c r="V6" i="5"/>
  <c r="CT6" i="5" s="1"/>
  <c r="V17" i="47"/>
  <c r="V13" i="55"/>
  <c r="V8" i="5"/>
  <c r="V8" i="40"/>
  <c r="CT8" i="40" s="1"/>
  <c r="V20" i="47"/>
  <c r="CT20" i="47" s="1"/>
  <c r="V7" i="4"/>
  <c r="CT7" i="4" s="1"/>
  <c r="V26" i="4"/>
  <c r="U12" i="15"/>
  <c r="V11" i="8"/>
  <c r="V8" i="9"/>
  <c r="CT8" i="9" s="1"/>
  <c r="V27" i="47"/>
  <c r="V9" i="4"/>
  <c r="V28" i="4"/>
  <c r="CT28" i="4" s="1"/>
  <c r="V10" i="5"/>
  <c r="CT10" i="5" s="1"/>
  <c r="V28" i="47"/>
  <c r="V9" i="13"/>
  <c r="V19" i="47"/>
  <c r="V20" i="4"/>
  <c r="V12" i="47"/>
  <c r="V27" i="4"/>
  <c r="V24" i="47"/>
  <c r="CT24" i="47" s="1"/>
  <c r="V13" i="4"/>
  <c r="CT13" i="4" s="1"/>
  <c r="F6" i="56" s="1"/>
  <c r="F14" i="56" s="1"/>
  <c r="V16" i="5"/>
  <c r="CT16" i="5" s="1"/>
  <c r="V25" i="47"/>
  <c r="V9" i="47"/>
  <c r="CT9" i="47" s="1"/>
  <c r="V18" i="4"/>
  <c r="V13" i="5"/>
  <c r="V16" i="47"/>
  <c r="CT16" i="47" s="1"/>
  <c r="V19" i="4"/>
  <c r="V17" i="4"/>
  <c r="V7" i="40"/>
  <c r="CT7" i="40" s="1"/>
  <c r="U6" i="15"/>
  <c r="V24" i="4"/>
  <c r="CT24" i="4" s="1"/>
  <c r="V14" i="5"/>
  <c r="U7" i="15"/>
  <c r="V13" i="47"/>
  <c r="V8" i="13"/>
  <c r="V12" i="5"/>
  <c r="V7" i="9"/>
  <c r="V15" i="8"/>
  <c r="V13" i="8"/>
  <c r="V12" i="55"/>
  <c r="V26" i="47"/>
  <c r="V6" i="13"/>
  <c r="V11" i="55"/>
  <c r="V7" i="13"/>
  <c r="V6" i="40"/>
  <c r="U11" i="15"/>
  <c r="V29" i="47"/>
  <c r="V9" i="8"/>
  <c r="V31" i="4"/>
  <c r="V14" i="8"/>
  <c r="V14" i="4"/>
  <c r="V9" i="5"/>
  <c r="V11" i="4"/>
  <c r="V18" i="55"/>
  <c r="V29" i="4"/>
  <c r="V21" i="4"/>
  <c r="V23" i="47"/>
  <c r="V10" i="55"/>
  <c r="BF10" i="55" s="1"/>
  <c r="V10" i="13"/>
  <c r="BF10" i="13" s="1"/>
  <c r="V17" i="55"/>
  <c r="V11" i="13"/>
  <c r="BF11" i="13" s="1"/>
  <c r="V9" i="9"/>
  <c r="V11" i="5"/>
  <c r="V8" i="8"/>
  <c r="V6" i="4"/>
  <c r="V12" i="8"/>
  <c r="V7" i="5"/>
  <c r="V11" i="47"/>
  <c r="V15" i="4"/>
  <c r="AJ39" i="6"/>
  <c r="U37" i="5"/>
  <c r="E43" i="53"/>
  <c r="E44" i="53" s="1"/>
  <c r="BC32" i="54"/>
  <c r="CS8" i="4"/>
  <c r="CT15" i="47"/>
  <c r="CS6" i="9"/>
  <c r="U37" i="47"/>
  <c r="U37" i="8"/>
  <c r="BB26" i="54"/>
  <c r="Y28" i="53"/>
  <c r="CC8" i="5"/>
  <c r="CC12" i="5"/>
  <c r="CC13" i="8"/>
  <c r="CC10" i="47"/>
  <c r="CC6" i="9"/>
  <c r="CC8" i="47"/>
  <c r="CC19" i="47"/>
  <c r="CC24" i="47"/>
  <c r="CC29" i="47"/>
  <c r="CC7" i="4"/>
  <c r="CC14" i="4"/>
  <c r="CC7" i="5"/>
  <c r="CC11" i="5"/>
  <c r="CC15" i="5"/>
  <c r="CC12" i="8"/>
  <c r="CC7" i="40"/>
  <c r="CC12" i="47"/>
  <c r="CC18" i="47"/>
  <c r="CC23" i="47"/>
  <c r="AO12" i="55"/>
  <c r="AO18" i="55"/>
  <c r="CC13" i="5"/>
  <c r="CC17" i="5"/>
  <c r="CC6" i="8"/>
  <c r="CC14" i="8"/>
  <c r="CC8" i="4"/>
  <c r="CC13" i="4"/>
  <c r="CC21" i="4"/>
  <c r="AN9" i="15"/>
  <c r="AN12" i="15"/>
  <c r="CC25" i="47"/>
  <c r="CC11" i="47"/>
  <c r="CC16" i="47"/>
  <c r="CC21" i="47"/>
  <c r="AO11" i="55"/>
  <c r="AO17" i="55"/>
  <c r="CC10" i="5"/>
  <c r="CC11" i="8"/>
  <c r="CC15" i="8"/>
  <c r="CC6" i="40"/>
  <c r="CC27" i="4"/>
  <c r="CC17" i="4"/>
  <c r="CC25" i="4"/>
  <c r="AO6" i="13"/>
  <c r="AO10" i="13"/>
  <c r="CC7" i="9"/>
  <c r="CC26" i="47"/>
  <c r="CC15" i="4"/>
  <c r="CC20" i="4"/>
  <c r="CC24" i="4"/>
  <c r="CC29" i="4"/>
  <c r="AO10" i="55"/>
  <c r="AN8" i="15"/>
  <c r="S30" i="28"/>
  <c r="CC23" i="4"/>
  <c r="AO11" i="13"/>
  <c r="CC17" i="47"/>
  <c r="AN7" i="15"/>
  <c r="AN10" i="15"/>
  <c r="CC20" i="47"/>
  <c r="CC9" i="4"/>
  <c r="CC19" i="4"/>
  <c r="AO14" i="55"/>
  <c r="X25" i="53" l="1"/>
  <c r="D32" i="52"/>
  <c r="D42" i="52" s="1"/>
  <c r="BM22" i="52"/>
  <c r="BM23" i="52"/>
  <c r="X32" i="52"/>
  <c r="X9" i="52"/>
  <c r="X28" i="52" s="1"/>
  <c r="D11" i="57"/>
  <c r="D12" i="57" s="1"/>
  <c r="BF12" i="55"/>
  <c r="BF17" i="55"/>
  <c r="BF13" i="55"/>
  <c r="P17" i="60"/>
  <c r="BE37" i="40"/>
  <c r="BI37" i="8"/>
  <c r="X34" i="53"/>
  <c r="D34" i="53"/>
  <c r="D37" i="53" s="1"/>
  <c r="D48" i="53" s="1"/>
  <c r="D51" i="53" s="1"/>
  <c r="BI37" i="40"/>
  <c r="BK29" i="47"/>
  <c r="CT9" i="40"/>
  <c r="BD32" i="54"/>
  <c r="BJ37" i="40"/>
  <c r="BK13" i="8"/>
  <c r="BK7" i="4"/>
  <c r="V43" i="52"/>
  <c r="BE37" i="5"/>
  <c r="BK13" i="47"/>
  <c r="BK11" i="47"/>
  <c r="BK12" i="5"/>
  <c r="BO11" i="8"/>
  <c r="BO6" i="8"/>
  <c r="BO7" i="8"/>
  <c r="BO14" i="8"/>
  <c r="BO15" i="8"/>
  <c r="BO12" i="8"/>
  <c r="BO8" i="8"/>
  <c r="BO13" i="8"/>
  <c r="BO9" i="8"/>
  <c r="BO8" i="40"/>
  <c r="BO9" i="40"/>
  <c r="BO7" i="40"/>
  <c r="BO41" i="40"/>
  <c r="BO6" i="40"/>
  <c r="BO10" i="40"/>
  <c r="BO42" i="40"/>
  <c r="BO45" i="40" s="1"/>
  <c r="BO8" i="9"/>
  <c r="BO9" i="9"/>
  <c r="BO6" i="9"/>
  <c r="BO37" i="9" s="1"/>
  <c r="BO7" i="9"/>
  <c r="BP13" i="8"/>
  <c r="BP9" i="8"/>
  <c r="BP15" i="8"/>
  <c r="BP8" i="8"/>
  <c r="BP12" i="8"/>
  <c r="BP14" i="8"/>
  <c r="BP11" i="8"/>
  <c r="BP7" i="8"/>
  <c r="BP6" i="8"/>
  <c r="BP13" i="5"/>
  <c r="BP6" i="5"/>
  <c r="BP17" i="5"/>
  <c r="BP15" i="5"/>
  <c r="BP16" i="5"/>
  <c r="BP10" i="5"/>
  <c r="BP12" i="5"/>
  <c r="BP8" i="5"/>
  <c r="BP9" i="5"/>
  <c r="BP14" i="5"/>
  <c r="BP11" i="5"/>
  <c r="BP7" i="5"/>
  <c r="N83" i="19"/>
  <c r="N106" i="19"/>
  <c r="BE37" i="4"/>
  <c r="BX39" i="6"/>
  <c r="BK7" i="40"/>
  <c r="BK8" i="9"/>
  <c r="BK20" i="4"/>
  <c r="BK29" i="4"/>
  <c r="BK15" i="4"/>
  <c r="BF37" i="47"/>
  <c r="BK8" i="47"/>
  <c r="BE45" i="40"/>
  <c r="CU42" i="40"/>
  <c r="CU45" i="40" s="1"/>
  <c r="BJ37" i="47"/>
  <c r="BK26" i="4"/>
  <c r="BE37" i="9"/>
  <c r="Y20" i="53"/>
  <c r="AT35" i="54"/>
  <c r="BD35" i="54" s="1"/>
  <c r="BG37" i="4"/>
  <c r="BX38" i="11"/>
  <c r="BK12" i="8"/>
  <c r="BJ37" i="8"/>
  <c r="BK24" i="47"/>
  <c r="BK21" i="47"/>
  <c r="BK17" i="5"/>
  <c r="BK10" i="5"/>
  <c r="BG37" i="40"/>
  <c r="BL14" i="5"/>
  <c r="BL11" i="5"/>
  <c r="BL13" i="5"/>
  <c r="BL16" i="5"/>
  <c r="BL6" i="5"/>
  <c r="BL15" i="5"/>
  <c r="BL7" i="5"/>
  <c r="BL9" i="5"/>
  <c r="BL17" i="5"/>
  <c r="BL12" i="5"/>
  <c r="BL10" i="5"/>
  <c r="BL8" i="5"/>
  <c r="BN21" i="47"/>
  <c r="BN26" i="47"/>
  <c r="BN23" i="47"/>
  <c r="BN19" i="47"/>
  <c r="BN27" i="47"/>
  <c r="BN28" i="47"/>
  <c r="BN15" i="47"/>
  <c r="BN18" i="47"/>
  <c r="BN29" i="47"/>
  <c r="BN25" i="47"/>
  <c r="BN11" i="47"/>
  <c r="BN24" i="47"/>
  <c r="BN12" i="47"/>
  <c r="BN8" i="47"/>
  <c r="BN9" i="47"/>
  <c r="BN10" i="47"/>
  <c r="BN20" i="47"/>
  <c r="BN17" i="47"/>
  <c r="BN16" i="47"/>
  <c r="BN13" i="47"/>
  <c r="BP41" i="40"/>
  <c r="BP7" i="40"/>
  <c r="BP9" i="40"/>
  <c r="BP6" i="40"/>
  <c r="BP8" i="40"/>
  <c r="BP42" i="40"/>
  <c r="BP45" i="40" s="1"/>
  <c r="BP10" i="40"/>
  <c r="BM9" i="8"/>
  <c r="BM12" i="8"/>
  <c r="BM14" i="8"/>
  <c r="BM7" i="8"/>
  <c r="BM15" i="8"/>
  <c r="BM6" i="8"/>
  <c r="BM8" i="8"/>
  <c r="BM13" i="8"/>
  <c r="BM11" i="8"/>
  <c r="BN6" i="9"/>
  <c r="BN7" i="9"/>
  <c r="BN8" i="9"/>
  <c r="BN9" i="9"/>
  <c r="BN31" i="4"/>
  <c r="BN28" i="4"/>
  <c r="BN27" i="4"/>
  <c r="BN24" i="4"/>
  <c r="BN7" i="4"/>
  <c r="BN14" i="4"/>
  <c r="BN18" i="4"/>
  <c r="BN13" i="4"/>
  <c r="BN26" i="4"/>
  <c r="BN22" i="4"/>
  <c r="BN8" i="4"/>
  <c r="BN15" i="4"/>
  <c r="BN21" i="4"/>
  <c r="BN6" i="4"/>
  <c r="BN10" i="4"/>
  <c r="BN9" i="4"/>
  <c r="BN17" i="4"/>
  <c r="BN29" i="4"/>
  <c r="BN25" i="4"/>
  <c r="BN20" i="4"/>
  <c r="BN11" i="4"/>
  <c r="BN19" i="4"/>
  <c r="BN23" i="4"/>
  <c r="BK10" i="40"/>
  <c r="BJ37" i="5"/>
  <c r="BK21" i="4"/>
  <c r="BK10" i="4"/>
  <c r="BK9" i="4"/>
  <c r="BO31" i="4"/>
  <c r="BO10" i="4"/>
  <c r="BO8" i="4"/>
  <c r="BO14" i="4"/>
  <c r="BO28" i="4"/>
  <c r="BO23" i="4"/>
  <c r="BO6" i="4"/>
  <c r="BO7" i="4"/>
  <c r="BO9" i="4"/>
  <c r="BO21" i="4"/>
  <c r="BO18" i="4"/>
  <c r="BO20" i="4"/>
  <c r="BO13" i="4"/>
  <c r="BO22" i="4"/>
  <c r="BO17" i="4"/>
  <c r="BO15" i="4"/>
  <c r="BO19" i="4"/>
  <c r="BO26" i="4"/>
  <c r="BO27" i="4"/>
  <c r="BO24" i="4"/>
  <c r="BO11" i="4"/>
  <c r="BO25" i="4"/>
  <c r="BO29" i="4"/>
  <c r="BI37" i="4"/>
  <c r="BK11" i="8"/>
  <c r="BK20" i="47"/>
  <c r="BK27" i="47"/>
  <c r="BW39" i="6"/>
  <c r="BK13" i="5"/>
  <c r="BK8" i="5"/>
  <c r="BP29" i="47"/>
  <c r="BP27" i="47"/>
  <c r="BP21" i="47"/>
  <c r="BP28" i="47"/>
  <c r="BP26" i="47"/>
  <c r="BP11" i="47"/>
  <c r="BP25" i="47"/>
  <c r="BP23" i="47"/>
  <c r="BP8" i="47"/>
  <c r="BP12" i="47"/>
  <c r="BP24" i="47"/>
  <c r="BP18" i="47"/>
  <c r="BP15" i="47"/>
  <c r="BP19" i="47"/>
  <c r="BP20" i="47"/>
  <c r="BP17" i="47"/>
  <c r="BP16" i="47"/>
  <c r="BP13" i="47"/>
  <c r="BP10" i="47"/>
  <c r="BP9" i="47"/>
  <c r="BL41" i="40"/>
  <c r="BL10" i="40"/>
  <c r="BL7" i="40"/>
  <c r="BL6" i="40"/>
  <c r="BL42" i="40"/>
  <c r="BL8" i="40"/>
  <c r="BL9" i="40"/>
  <c r="AC22" i="23"/>
  <c r="J46" i="61"/>
  <c r="U17" i="28"/>
  <c r="BK8" i="40"/>
  <c r="BK23" i="4"/>
  <c r="BK14" i="4"/>
  <c r="BK24" i="4"/>
  <c r="BI37" i="9"/>
  <c r="BJ37" i="4"/>
  <c r="BM23" i="47"/>
  <c r="BM19" i="47"/>
  <c r="BM24" i="47"/>
  <c r="BM27" i="47"/>
  <c r="BM15" i="47"/>
  <c r="BM18" i="47"/>
  <c r="BM29" i="47"/>
  <c r="BM8" i="47"/>
  <c r="BM12" i="47"/>
  <c r="BM21" i="47"/>
  <c r="BM11" i="47"/>
  <c r="BM26" i="47"/>
  <c r="BM28" i="47"/>
  <c r="BM25" i="47"/>
  <c r="BM16" i="47"/>
  <c r="BM13" i="47"/>
  <c r="BM17" i="47"/>
  <c r="BM10" i="47"/>
  <c r="BM20" i="47"/>
  <c r="BM9" i="47"/>
  <c r="BO26" i="47"/>
  <c r="BO11" i="47"/>
  <c r="BO28" i="47"/>
  <c r="BO23" i="47"/>
  <c r="BO19" i="47"/>
  <c r="BO27" i="47"/>
  <c r="BO15" i="47"/>
  <c r="BO18" i="47"/>
  <c r="BO8" i="47"/>
  <c r="BO12" i="47"/>
  <c r="BO21" i="47"/>
  <c r="BO24" i="47"/>
  <c r="BO25" i="47"/>
  <c r="BO29" i="47"/>
  <c r="BO20" i="47"/>
  <c r="BO17" i="47"/>
  <c r="BO16" i="47"/>
  <c r="BO10" i="47"/>
  <c r="BO13" i="47"/>
  <c r="BO9" i="47"/>
  <c r="BF45" i="40"/>
  <c r="BK42" i="40"/>
  <c r="AN6" i="15"/>
  <c r="AO9" i="13"/>
  <c r="AN11" i="15"/>
  <c r="AO8" i="13"/>
  <c r="CC6" i="4"/>
  <c r="CC18" i="4"/>
  <c r="CC8" i="40"/>
  <c r="CC16" i="5"/>
  <c r="D46" i="54"/>
  <c r="D47" i="54" s="1"/>
  <c r="CR38" i="9"/>
  <c r="BH37" i="4"/>
  <c r="BG37" i="47"/>
  <c r="BK14" i="8"/>
  <c r="BK18" i="47"/>
  <c r="BK28" i="47"/>
  <c r="BK14" i="5"/>
  <c r="BF37" i="5"/>
  <c r="BK6" i="5"/>
  <c r="BT38" i="11"/>
  <c r="BP31" i="4"/>
  <c r="BP10" i="4"/>
  <c r="BP13" i="4"/>
  <c r="BP15" i="4"/>
  <c r="BP28" i="4"/>
  <c r="BP23" i="4"/>
  <c r="BP6" i="4"/>
  <c r="BP25" i="4"/>
  <c r="BP7" i="4"/>
  <c r="BP22" i="4"/>
  <c r="BP18" i="4"/>
  <c r="BP14" i="4"/>
  <c r="BP8" i="4"/>
  <c r="BP9" i="4"/>
  <c r="BP19" i="4"/>
  <c r="BP11" i="4"/>
  <c r="BP21" i="4"/>
  <c r="BP26" i="4"/>
  <c r="BP20" i="4"/>
  <c r="BP24" i="4"/>
  <c r="BP29" i="4"/>
  <c r="BP27" i="4"/>
  <c r="BP17" i="4"/>
  <c r="BP6" i="9"/>
  <c r="BP9" i="9"/>
  <c r="BP7" i="9"/>
  <c r="BP8" i="9"/>
  <c r="BY39" i="6"/>
  <c r="BV38" i="11"/>
  <c r="BI37" i="5"/>
  <c r="BJ37" i="9"/>
  <c r="BK27" i="4"/>
  <c r="BK25" i="4"/>
  <c r="BK18" i="4"/>
  <c r="BF37" i="8"/>
  <c r="BK6" i="8"/>
  <c r="BL9" i="9"/>
  <c r="BL7" i="9"/>
  <c r="BL6" i="9"/>
  <c r="BL8" i="9"/>
  <c r="BI37" i="47"/>
  <c r="BG37" i="9"/>
  <c r="BV39" i="6"/>
  <c r="BY38" i="11"/>
  <c r="BK7" i="8"/>
  <c r="BK9" i="47"/>
  <c r="BK12" i="47"/>
  <c r="BK19" i="47"/>
  <c r="BH37" i="40"/>
  <c r="BK16" i="5"/>
  <c r="BK15" i="5"/>
  <c r="J14" i="61"/>
  <c r="BL7" i="8"/>
  <c r="BL8" i="8"/>
  <c r="BL9" i="8"/>
  <c r="BL15" i="8"/>
  <c r="BL13" i="8"/>
  <c r="BL12" i="8"/>
  <c r="BL14" i="8"/>
  <c r="BL11" i="8"/>
  <c r="BL6" i="8"/>
  <c r="BM10" i="40"/>
  <c r="BM41" i="40"/>
  <c r="BM8" i="40"/>
  <c r="BM9" i="40"/>
  <c r="BM42" i="40"/>
  <c r="BM45" i="40" s="1"/>
  <c r="BM6" i="40"/>
  <c r="BM7" i="40"/>
  <c r="BM31" i="4"/>
  <c r="BM22" i="4"/>
  <c r="BM10" i="4"/>
  <c r="BM7" i="4"/>
  <c r="BM8" i="4"/>
  <c r="BM17" i="4"/>
  <c r="BM24" i="4"/>
  <c r="BM18" i="4"/>
  <c r="BM11" i="4"/>
  <c r="BM13" i="4"/>
  <c r="BM28" i="4"/>
  <c r="BM25" i="4"/>
  <c r="BM20" i="4"/>
  <c r="BM26" i="4"/>
  <c r="BM15" i="4"/>
  <c r="BM19" i="4"/>
  <c r="BM29" i="4"/>
  <c r="BM27" i="4"/>
  <c r="BM21" i="4"/>
  <c r="BM23" i="4"/>
  <c r="BM6" i="4"/>
  <c r="BM14" i="4"/>
  <c r="BM9" i="4"/>
  <c r="BW38" i="11"/>
  <c r="BK11" i="4"/>
  <c r="BK17" i="4"/>
  <c r="BK6" i="4"/>
  <c r="BF37" i="4"/>
  <c r="BK7" i="5"/>
  <c r="CT8" i="5"/>
  <c r="BH37" i="9"/>
  <c r="BK9" i="8"/>
  <c r="BK17" i="47"/>
  <c r="BK15" i="47"/>
  <c r="BK23" i="47"/>
  <c r="BH37" i="5"/>
  <c r="BG37" i="5"/>
  <c r="BU39" i="6"/>
  <c r="BK11" i="5"/>
  <c r="BE37" i="47"/>
  <c r="BL27" i="47"/>
  <c r="BQ27" i="47" s="1"/>
  <c r="BL15" i="47"/>
  <c r="BL18" i="47"/>
  <c r="BL24" i="47"/>
  <c r="BL29" i="47"/>
  <c r="BL8" i="47"/>
  <c r="BL12" i="47"/>
  <c r="BL28" i="47"/>
  <c r="BQ28" i="47" s="1"/>
  <c r="BL26" i="47"/>
  <c r="BQ26" i="47" s="1"/>
  <c r="BL23" i="47"/>
  <c r="BL19" i="47"/>
  <c r="BQ19" i="47" s="1"/>
  <c r="BL11" i="47"/>
  <c r="BL25" i="47"/>
  <c r="BL21" i="47"/>
  <c r="BQ21" i="47" s="1"/>
  <c r="BL16" i="47"/>
  <c r="BQ16" i="47" s="1"/>
  <c r="BL13" i="47"/>
  <c r="BQ13" i="47" s="1"/>
  <c r="BL9" i="47"/>
  <c r="BQ9" i="47" s="1"/>
  <c r="BL20" i="47"/>
  <c r="BL10" i="47"/>
  <c r="BL17" i="47"/>
  <c r="BN12" i="8"/>
  <c r="BN7" i="8"/>
  <c r="BN11" i="8"/>
  <c r="BN15" i="8"/>
  <c r="BN8" i="8"/>
  <c r="BN14" i="8"/>
  <c r="BN9" i="8"/>
  <c r="BN6" i="8"/>
  <c r="BN13" i="8"/>
  <c r="BO17" i="5"/>
  <c r="BO14" i="5"/>
  <c r="BO13" i="5"/>
  <c r="BO8" i="5"/>
  <c r="BO10" i="5"/>
  <c r="BO7" i="5"/>
  <c r="BO16" i="5"/>
  <c r="BO11" i="5"/>
  <c r="BO6" i="5"/>
  <c r="BO12" i="5"/>
  <c r="BO9" i="5"/>
  <c r="BO15" i="5"/>
  <c r="BL31" i="4"/>
  <c r="BQ31" i="4" s="1"/>
  <c r="BL9" i="4"/>
  <c r="BL11" i="4"/>
  <c r="BL6" i="4"/>
  <c r="BL15" i="4"/>
  <c r="BL22" i="4"/>
  <c r="BQ22" i="4" s="1"/>
  <c r="BL21" i="4"/>
  <c r="BL28" i="4"/>
  <c r="BL18" i="4"/>
  <c r="BL10" i="4"/>
  <c r="BQ10" i="4" s="1"/>
  <c r="BL25" i="4"/>
  <c r="BL8" i="4"/>
  <c r="BL14" i="4"/>
  <c r="BL26" i="4"/>
  <c r="BQ26" i="4" s="1"/>
  <c r="BL27" i="4"/>
  <c r="BQ27" i="4" s="1"/>
  <c r="BL7" i="4"/>
  <c r="BL19" i="4"/>
  <c r="BL17" i="4"/>
  <c r="BQ17" i="4" s="1"/>
  <c r="BL13" i="4"/>
  <c r="BQ13" i="4" s="1"/>
  <c r="BL23" i="4"/>
  <c r="BQ23" i="4" s="1"/>
  <c r="BL20" i="4"/>
  <c r="BQ20" i="4" s="1"/>
  <c r="BL24" i="4"/>
  <c r="BQ24" i="4" s="1"/>
  <c r="BL29" i="4"/>
  <c r="BQ29" i="4" s="1"/>
  <c r="BH37" i="8"/>
  <c r="D22" i="54"/>
  <c r="BK9" i="40"/>
  <c r="BK9" i="9"/>
  <c r="BS24" i="52"/>
  <c r="BK8" i="4"/>
  <c r="BK22" i="4"/>
  <c r="BK13" i="4"/>
  <c r="BH37" i="47"/>
  <c r="BM14" i="5"/>
  <c r="BM9" i="5"/>
  <c r="BM17" i="5"/>
  <c r="BM16" i="5"/>
  <c r="BM7" i="5"/>
  <c r="BM10" i="5"/>
  <c r="BM12" i="5"/>
  <c r="BM11" i="5"/>
  <c r="BM13" i="5"/>
  <c r="BM15" i="5"/>
  <c r="BM6" i="5"/>
  <c r="BM8" i="5"/>
  <c r="Y45" i="19"/>
  <c r="J33" i="61"/>
  <c r="BM6" i="9"/>
  <c r="BM7" i="9"/>
  <c r="BM8" i="9"/>
  <c r="BM9" i="9"/>
  <c r="Y7" i="53"/>
  <c r="BU38" i="11"/>
  <c r="BE37" i="8"/>
  <c r="BK8" i="8"/>
  <c r="BK16" i="47"/>
  <c r="BK25" i="47"/>
  <c r="BK26" i="47"/>
  <c r="BK9" i="5"/>
  <c r="I7" i="62"/>
  <c r="U6" i="28"/>
  <c r="Q43" i="52"/>
  <c r="BN42" i="40"/>
  <c r="BN45" i="40" s="1"/>
  <c r="BN6" i="40"/>
  <c r="BN8" i="40"/>
  <c r="BN41" i="40"/>
  <c r="BN7" i="40"/>
  <c r="BN10" i="40"/>
  <c r="BN9" i="40"/>
  <c r="BN11" i="5"/>
  <c r="BN9" i="5"/>
  <c r="BN15" i="5"/>
  <c r="BN17" i="5"/>
  <c r="BN10" i="5"/>
  <c r="BN8" i="5"/>
  <c r="BN14" i="5"/>
  <c r="BN7" i="5"/>
  <c r="BN13" i="5"/>
  <c r="BN12" i="5"/>
  <c r="BN6" i="5"/>
  <c r="BN16" i="5"/>
  <c r="AD35" i="23"/>
  <c r="O19" i="19"/>
  <c r="O60" i="19"/>
  <c r="K39" i="61" s="1"/>
  <c r="O14" i="19"/>
  <c r="S3" i="42"/>
  <c r="O25" i="19"/>
  <c r="J3" i="42"/>
  <c r="AO4" i="52"/>
  <c r="AE32" i="53"/>
  <c r="O54" i="19"/>
  <c r="O31" i="19"/>
  <c r="CX41" i="40"/>
  <c r="K47" i="53"/>
  <c r="AE42" i="54"/>
  <c r="AE4" i="54"/>
  <c r="U35" i="28"/>
  <c r="J5" i="56"/>
  <c r="U25" i="28"/>
  <c r="J12" i="62" s="1"/>
  <c r="U43" i="28"/>
  <c r="U42" i="54"/>
  <c r="DM6" i="11"/>
  <c r="Q6" i="6"/>
  <c r="CX5" i="5"/>
  <c r="CO5" i="47"/>
  <c r="Q41" i="40"/>
  <c r="BV5" i="9"/>
  <c r="BU5" i="47"/>
  <c r="CF5" i="5"/>
  <c r="AH5" i="15"/>
  <c r="CF5" i="4"/>
  <c r="DM6" i="6"/>
  <c r="AB17" i="44"/>
  <c r="Q5" i="47"/>
  <c r="X5" i="17"/>
  <c r="Q14" i="61" s="1"/>
  <c r="K32" i="53"/>
  <c r="BS5" i="47"/>
  <c r="BT5" i="40"/>
  <c r="AK17" i="44"/>
  <c r="AY4" i="52"/>
  <c r="BV5" i="47"/>
  <c r="S9" i="44"/>
  <c r="BP4" i="54"/>
  <c r="CX5" i="9"/>
  <c r="DD6" i="6"/>
  <c r="CJ6" i="7"/>
  <c r="Q6" i="7"/>
  <c r="CX5" i="47"/>
  <c r="DM6" i="7"/>
  <c r="Z5" i="8"/>
  <c r="Z5" i="55"/>
  <c r="BU5" i="9"/>
  <c r="BA5" i="13"/>
  <c r="AO6" i="11"/>
  <c r="S30" i="44"/>
  <c r="AQ5" i="15"/>
  <c r="BJ5" i="13"/>
  <c r="Z41" i="40"/>
  <c r="AO6" i="6"/>
  <c r="DD6" i="7"/>
  <c r="L8" i="26"/>
  <c r="AZ5" i="15"/>
  <c r="U32" i="53"/>
  <c r="BW5" i="4"/>
  <c r="U4" i="54"/>
  <c r="CG6" i="7"/>
  <c r="CO5" i="5"/>
  <c r="BR5" i="5"/>
  <c r="J9" i="44"/>
  <c r="AJ6" i="12"/>
  <c r="BS5" i="4"/>
  <c r="Q5" i="40"/>
  <c r="AO42" i="54"/>
  <c r="CY6" i="12"/>
  <c r="CK6" i="7"/>
  <c r="AK30" i="44"/>
  <c r="CO5" i="40"/>
  <c r="CI6" i="12"/>
  <c r="AB9" i="44"/>
  <c r="K6" i="61" s="1"/>
  <c r="CU6" i="6"/>
  <c r="BV5" i="5"/>
  <c r="N6" i="12"/>
  <c r="CO5" i="4"/>
  <c r="Z5" i="13"/>
  <c r="Q6" i="11"/>
  <c r="BI42" i="54"/>
  <c r="BT5" i="5"/>
  <c r="BS4" i="52"/>
  <c r="CF5" i="40"/>
  <c r="AR5" i="13"/>
  <c r="BV5" i="4"/>
  <c r="CX5" i="40"/>
  <c r="CL6" i="7"/>
  <c r="BW5" i="5"/>
  <c r="W6" i="12"/>
  <c r="BR5" i="4"/>
  <c r="BU5" i="5"/>
  <c r="CX5" i="8"/>
  <c r="CG6" i="11"/>
  <c r="CO5" i="9"/>
  <c r="CK6" i="6"/>
  <c r="CI6" i="11"/>
  <c r="BU5" i="40"/>
  <c r="CL6" i="11"/>
  <c r="CI6" i="6"/>
  <c r="AR5" i="55"/>
  <c r="BU5" i="4"/>
  <c r="O40" i="19"/>
  <c r="BV6" i="12"/>
  <c r="BI4" i="52"/>
  <c r="BR5" i="40"/>
  <c r="BA5" i="55"/>
  <c r="S2" i="44"/>
  <c r="J17" i="62" s="1"/>
  <c r="AO4" i="54"/>
  <c r="CH6" i="11"/>
  <c r="CO5" i="8"/>
  <c r="BT5" i="4"/>
  <c r="Z5" i="40"/>
  <c r="Z5" i="9"/>
  <c r="BW5" i="9"/>
  <c r="Q5" i="5"/>
  <c r="AA6" i="7"/>
  <c r="CA6" i="12"/>
  <c r="J44" i="44"/>
  <c r="S19" i="23"/>
  <c r="CJ6" i="6"/>
  <c r="Q5" i="8"/>
  <c r="CO41" i="40"/>
  <c r="BV5" i="8"/>
  <c r="BP42" i="54"/>
  <c r="J30" i="44"/>
  <c r="AE4" i="52"/>
  <c r="BX6" i="12"/>
  <c r="K4" i="52"/>
  <c r="Q20" i="61" s="1"/>
  <c r="Y5" i="15"/>
  <c r="K6" i="53"/>
  <c r="AE6" i="53"/>
  <c r="Z5" i="5"/>
  <c r="CF41" i="40"/>
  <c r="J17" i="44"/>
  <c r="CQ6" i="12"/>
  <c r="AK9" i="44"/>
  <c r="S31" i="23"/>
  <c r="BV5" i="40"/>
  <c r="CU6" i="11"/>
  <c r="BW5" i="8"/>
  <c r="AO6" i="7"/>
  <c r="Q5" i="13"/>
  <c r="AK44" i="44"/>
  <c r="CL6" i="6"/>
  <c r="BI4" i="54"/>
  <c r="BT5" i="9"/>
  <c r="BI5" i="15"/>
  <c r="BW5" i="47"/>
  <c r="L5" i="17"/>
  <c r="BY6" i="12"/>
  <c r="BS5" i="5"/>
  <c r="BW5" i="40"/>
  <c r="BW41" i="40" s="1"/>
  <c r="U6" i="53"/>
  <c r="CH6" i="6"/>
  <c r="BJ5" i="55"/>
  <c r="AA6" i="11"/>
  <c r="AI5" i="13"/>
  <c r="CK6" i="11"/>
  <c r="BS5" i="40"/>
  <c r="CY45" i="12"/>
  <c r="S7" i="23"/>
  <c r="AD7" i="23" s="1"/>
  <c r="BR5" i="47"/>
  <c r="CX5" i="4"/>
  <c r="CG6" i="6"/>
  <c r="BR5" i="8"/>
  <c r="S17" i="44"/>
  <c r="Q5" i="9"/>
  <c r="K41" i="53"/>
  <c r="S44" i="44"/>
  <c r="BT5" i="47"/>
  <c r="BU5" i="8"/>
  <c r="CF5" i="9"/>
  <c r="Z5" i="47"/>
  <c r="CF5" i="47"/>
  <c r="Q5" i="4"/>
  <c r="DD6" i="11"/>
  <c r="Z5" i="4"/>
  <c r="AB44" i="44"/>
  <c r="BI36" i="52"/>
  <c r="CJ6" i="11"/>
  <c r="Q5" i="55"/>
  <c r="BS5" i="8"/>
  <c r="BW6" i="12"/>
  <c r="AB30" i="44"/>
  <c r="W45" i="12"/>
  <c r="P5" i="15"/>
  <c r="CF5" i="8"/>
  <c r="BS5" i="9"/>
  <c r="K4" i="54"/>
  <c r="K42" i="54"/>
  <c r="BZ6" i="12"/>
  <c r="CH6" i="7"/>
  <c r="CU6" i="7"/>
  <c r="AI5" i="55"/>
  <c r="K8" i="20"/>
  <c r="BT5" i="8"/>
  <c r="CI6" i="7"/>
  <c r="U4" i="52"/>
  <c r="K20" i="61" s="1"/>
  <c r="BR5" i="9"/>
  <c r="AA6" i="6"/>
  <c r="BT39" i="6"/>
  <c r="BG37" i="8"/>
  <c r="BF37" i="40"/>
  <c r="BK6" i="40"/>
  <c r="BK37" i="40" s="1"/>
  <c r="BF37" i="9"/>
  <c r="BK6" i="9"/>
  <c r="BK37" i="9" s="1"/>
  <c r="BK28" i="4"/>
  <c r="BK19" i="4"/>
  <c r="BK31" i="4"/>
  <c r="E9" i="57"/>
  <c r="Q4" i="44"/>
  <c r="T14" i="28"/>
  <c r="E11" i="58"/>
  <c r="E12" i="58" s="1"/>
  <c r="E17" i="58"/>
  <c r="E22" i="58" s="1"/>
  <c r="Y4" i="44"/>
  <c r="P5" i="44"/>
  <c r="CT29" i="4"/>
  <c r="CT31" i="4"/>
  <c r="CT23" i="47"/>
  <c r="BF7" i="13"/>
  <c r="Q22" i="17"/>
  <c r="CS37" i="40"/>
  <c r="CS38" i="40" s="1"/>
  <c r="CB37" i="40"/>
  <c r="AN37" i="13"/>
  <c r="CT25" i="47"/>
  <c r="Y30" i="53"/>
  <c r="D33" i="54"/>
  <c r="CT20" i="4"/>
  <c r="BF11" i="55"/>
  <c r="Y22" i="53"/>
  <c r="CT29" i="47"/>
  <c r="CT19" i="4"/>
  <c r="CT13" i="5"/>
  <c r="BD37" i="15"/>
  <c r="BD36" i="54" s="1"/>
  <c r="CT7" i="5"/>
  <c r="CT9" i="9"/>
  <c r="CT18" i="4"/>
  <c r="CT10" i="40"/>
  <c r="CT10" i="4"/>
  <c r="BE9" i="15"/>
  <c r="Y10" i="53"/>
  <c r="Y36" i="53" s="1"/>
  <c r="DG40" i="6"/>
  <c r="CB37" i="9"/>
  <c r="CB37" i="5"/>
  <c r="AN37" i="55"/>
  <c r="CB37" i="4"/>
  <c r="BE37" i="13"/>
  <c r="BF6" i="13"/>
  <c r="CT22" i="4"/>
  <c r="CT8" i="8"/>
  <c r="CT6" i="40"/>
  <c r="CT7" i="9"/>
  <c r="BE7" i="15"/>
  <c r="L40" i="15" s="1"/>
  <c r="CB37" i="8"/>
  <c r="CS37" i="47"/>
  <c r="D44" i="52"/>
  <c r="DH39" i="6"/>
  <c r="CB37" i="47"/>
  <c r="CR38" i="47"/>
  <c r="CT15" i="4"/>
  <c r="F8" i="56" s="1"/>
  <c r="F16" i="56" s="1"/>
  <c r="CT15" i="8"/>
  <c r="CT17" i="4"/>
  <c r="CT19" i="47"/>
  <c r="CT26" i="4"/>
  <c r="CT17" i="47"/>
  <c r="P35" i="53"/>
  <c r="AM37" i="15"/>
  <c r="CS37" i="8"/>
  <c r="CS38" i="8" s="1"/>
  <c r="P34" i="53"/>
  <c r="CQ38" i="11"/>
  <c r="CT12" i="8"/>
  <c r="CT14" i="8"/>
  <c r="CT9" i="8"/>
  <c r="BF8" i="13"/>
  <c r="H10" i="26" s="1"/>
  <c r="BF9" i="13"/>
  <c r="F9" i="56" s="1"/>
  <c r="F17" i="56" s="1"/>
  <c r="CT27" i="47"/>
  <c r="CT7" i="8"/>
  <c r="CS37" i="5"/>
  <c r="DG39" i="11"/>
  <c r="CQ39" i="6"/>
  <c r="Y8" i="53"/>
  <c r="CT6" i="4"/>
  <c r="CT21" i="4"/>
  <c r="CT11" i="4"/>
  <c r="BE11" i="15"/>
  <c r="CT13" i="47"/>
  <c r="BE6" i="15"/>
  <c r="H18" i="26" s="1"/>
  <c r="CT12" i="47"/>
  <c r="CT28" i="47"/>
  <c r="BE8" i="15"/>
  <c r="Z16" i="23" s="1"/>
  <c r="CT8" i="47"/>
  <c r="CT25" i="4"/>
  <c r="E42" i="52"/>
  <c r="DG39" i="7"/>
  <c r="F37" i="52"/>
  <c r="CT9" i="5"/>
  <c r="CT26" i="47"/>
  <c r="CT18" i="47"/>
  <c r="BE10" i="15"/>
  <c r="E21" i="59"/>
  <c r="E52" i="59" s="1"/>
  <c r="AO7" i="13"/>
  <c r="AO37" i="13" s="1"/>
  <c r="CC15" i="47"/>
  <c r="CC11" i="4"/>
  <c r="CC9" i="47"/>
  <c r="CC26" i="4"/>
  <c r="CC10" i="4"/>
  <c r="CC31" i="4"/>
  <c r="CC10" i="40"/>
  <c r="CC7" i="8"/>
  <c r="CC14" i="5"/>
  <c r="CC27" i="47"/>
  <c r="CC8" i="9"/>
  <c r="CC28" i="4"/>
  <c r="CC9" i="40"/>
  <c r="CC9" i="5"/>
  <c r="CC28" i="47"/>
  <c r="CC9" i="9"/>
  <c r="CC8" i="8"/>
  <c r="CC22" i="4"/>
  <c r="AO13" i="55"/>
  <c r="CC13" i="47"/>
  <c r="CC9" i="8"/>
  <c r="CS37" i="9"/>
  <c r="CT11" i="47"/>
  <c r="CT11" i="5"/>
  <c r="BF18" i="55"/>
  <c r="CT14" i="4"/>
  <c r="F7" i="56" s="1"/>
  <c r="F15" i="56" s="1"/>
  <c r="CT13" i="8"/>
  <c r="CT12" i="5"/>
  <c r="CT14" i="5"/>
  <c r="CT27" i="4"/>
  <c r="F47" i="59" s="1"/>
  <c r="CT9" i="4"/>
  <c r="CT11" i="8"/>
  <c r="BE12" i="15"/>
  <c r="CT17" i="5"/>
  <c r="Y29" i="53"/>
  <c r="Y25" i="53"/>
  <c r="F36" i="52"/>
  <c r="BM25" i="52"/>
  <c r="BC38" i="54"/>
  <c r="BD38" i="13"/>
  <c r="E18" i="56"/>
  <c r="E12" i="59"/>
  <c r="D21" i="59"/>
  <c r="BE37" i="55"/>
  <c r="BE38" i="55" s="1"/>
  <c r="DH38" i="11"/>
  <c r="P33" i="53"/>
  <c r="D50" i="54"/>
  <c r="D28" i="52"/>
  <c r="E10" i="56"/>
  <c r="Y21" i="53"/>
  <c r="O36" i="53"/>
  <c r="O37" i="53" s="1"/>
  <c r="E48" i="53" s="1"/>
  <c r="E51" i="53" s="1"/>
  <c r="BC38" i="15"/>
  <c r="BC36" i="54"/>
  <c r="P36" i="53"/>
  <c r="V37" i="40"/>
  <c r="CS37" i="4"/>
  <c r="CS38" i="4" s="1"/>
  <c r="V37" i="9"/>
  <c r="CT6" i="9"/>
  <c r="V37" i="8"/>
  <c r="CT6" i="8"/>
  <c r="W8" i="8"/>
  <c r="CU8" i="8" s="1"/>
  <c r="W8" i="40"/>
  <c r="CU8" i="40" s="1"/>
  <c r="W20" i="47"/>
  <c r="CU20" i="47" s="1"/>
  <c r="W7" i="4"/>
  <c r="CU7" i="4" s="1"/>
  <c r="W26" i="4"/>
  <c r="V12" i="15"/>
  <c r="BF12" i="15" s="1"/>
  <c r="W9" i="8"/>
  <c r="W16" i="47"/>
  <c r="CU16" i="47" s="1"/>
  <c r="W17" i="55"/>
  <c r="BG17" i="55" s="1"/>
  <c r="W19" i="4"/>
  <c r="CU19" i="4" s="1"/>
  <c r="W11" i="13"/>
  <c r="BG11" i="13" s="1"/>
  <c r="W19" i="47"/>
  <c r="CU19" i="47" s="1"/>
  <c r="W20" i="4"/>
  <c r="CU20" i="4" s="1"/>
  <c r="W12" i="47"/>
  <c r="CU12" i="47" s="1"/>
  <c r="W13" i="4"/>
  <c r="CU13" i="4" s="1"/>
  <c r="G6" i="56" s="1"/>
  <c r="S27" i="28"/>
  <c r="W24" i="47"/>
  <c r="CU24" i="47" s="1"/>
  <c r="W25" i="47"/>
  <c r="CU25" i="47" s="1"/>
  <c r="W25" i="4"/>
  <c r="CU25" i="4" s="1"/>
  <c r="W9" i="13"/>
  <c r="BG9" i="13" s="1"/>
  <c r="G9" i="56" s="1"/>
  <c r="G17" i="56" s="1"/>
  <c r="W17" i="5"/>
  <c r="CU17" i="5" s="1"/>
  <c r="W13" i="47"/>
  <c r="W7" i="5"/>
  <c r="CU7" i="5" s="1"/>
  <c r="W12" i="8"/>
  <c r="CU12" i="8" s="1"/>
  <c r="W7" i="9"/>
  <c r="CU7" i="9" s="1"/>
  <c r="W26" i="47"/>
  <c r="CU26" i="47" s="1"/>
  <c r="W14" i="4"/>
  <c r="CU14" i="4" s="1"/>
  <c r="G7" i="56" s="1"/>
  <c r="G15" i="56" s="1"/>
  <c r="W6" i="13"/>
  <c r="BG6" i="13" s="1"/>
  <c r="W8" i="5"/>
  <c r="CU8" i="5" s="1"/>
  <c r="W13" i="8"/>
  <c r="CU13" i="8" s="1"/>
  <c r="W9" i="40"/>
  <c r="W21" i="47"/>
  <c r="CU21" i="47" s="1"/>
  <c r="W8" i="4"/>
  <c r="CU8" i="4" s="1"/>
  <c r="W23" i="4"/>
  <c r="CU23" i="4" s="1"/>
  <c r="V10" i="15"/>
  <c r="BF10" i="15" s="1"/>
  <c r="W29" i="47"/>
  <c r="CU29" i="47" s="1"/>
  <c r="W29" i="4"/>
  <c r="CU29" i="4" s="1"/>
  <c r="W23" i="47"/>
  <c r="CU23" i="47" s="1"/>
  <c r="W21" i="4"/>
  <c r="CU21" i="4" s="1"/>
  <c r="W15" i="8"/>
  <c r="CU15" i="8" s="1"/>
  <c r="W24" i="4"/>
  <c r="CU24" i="4" s="1"/>
  <c r="V11" i="15"/>
  <c r="BF11" i="15" s="1"/>
  <c r="W10" i="5"/>
  <c r="CU10" i="5" s="1"/>
  <c r="W13" i="55"/>
  <c r="W17" i="4"/>
  <c r="CU17" i="4" s="1"/>
  <c r="W14" i="55"/>
  <c r="BG14" i="55" s="1"/>
  <c r="V9" i="15"/>
  <c r="BF9" i="15" s="1"/>
  <c r="W11" i="47"/>
  <c r="CU11" i="47" s="1"/>
  <c r="W11" i="4"/>
  <c r="W7" i="13"/>
  <c r="W10" i="4"/>
  <c r="W14" i="8"/>
  <c r="CU14" i="8" s="1"/>
  <c r="W27" i="4"/>
  <c r="CU27" i="4" s="1"/>
  <c r="W9" i="5"/>
  <c r="W18" i="47"/>
  <c r="CU18" i="47" s="1"/>
  <c r="W7" i="8"/>
  <c r="CU7" i="8" s="1"/>
  <c r="W6" i="40"/>
  <c r="CU6" i="40" s="1"/>
  <c r="W11" i="5"/>
  <c r="CU11" i="5" s="1"/>
  <c r="W10" i="47"/>
  <c r="CU10" i="47" s="1"/>
  <c r="W9" i="47"/>
  <c r="W10" i="55"/>
  <c r="BG10" i="55" s="1"/>
  <c r="W18" i="4"/>
  <c r="CU18" i="4" s="1"/>
  <c r="W10" i="13"/>
  <c r="BG10" i="13" s="1"/>
  <c r="W12" i="5"/>
  <c r="CU12" i="5" s="1"/>
  <c r="W17" i="47"/>
  <c r="CU17" i="47" s="1"/>
  <c r="W8" i="9"/>
  <c r="W27" i="47"/>
  <c r="W9" i="4"/>
  <c r="CU9" i="4" s="1"/>
  <c r="W28" i="4"/>
  <c r="W6" i="5"/>
  <c r="W11" i="8"/>
  <c r="CU11" i="8" s="1"/>
  <c r="W7" i="40"/>
  <c r="CU7" i="40" s="1"/>
  <c r="W6" i="4"/>
  <c r="V6" i="15"/>
  <c r="BF6" i="15" s="1"/>
  <c r="W6" i="8"/>
  <c r="CU6" i="8" s="1"/>
  <c r="W12" i="55"/>
  <c r="BG12" i="55" s="1"/>
  <c r="W31" i="4"/>
  <c r="V8" i="15"/>
  <c r="BF8" i="15" s="1"/>
  <c r="W9" i="9"/>
  <c r="CU9" i="9" s="1"/>
  <c r="W15" i="4"/>
  <c r="CU15" i="4" s="1"/>
  <c r="G8" i="56" s="1"/>
  <c r="G16" i="56" s="1"/>
  <c r="W18" i="55"/>
  <c r="BG18" i="55" s="1"/>
  <c r="W15" i="5"/>
  <c r="CU15" i="5" s="1"/>
  <c r="W15" i="47"/>
  <c r="W22" i="4"/>
  <c r="W16" i="5"/>
  <c r="CU16" i="5" s="1"/>
  <c r="W11" i="55"/>
  <c r="BG11" i="55" s="1"/>
  <c r="W13" i="5"/>
  <c r="CU13" i="5" s="1"/>
  <c r="W8" i="47"/>
  <c r="CU8" i="47" s="1"/>
  <c r="W14" i="5"/>
  <c r="CU14" i="5" s="1"/>
  <c r="W10" i="40"/>
  <c r="V7" i="15"/>
  <c r="BF7" i="15" s="1"/>
  <c r="W6" i="9"/>
  <c r="CU6" i="9" s="1"/>
  <c r="W28" i="47"/>
  <c r="W8" i="13"/>
  <c r="BG8" i="13" s="1"/>
  <c r="I10" i="26" s="1"/>
  <c r="V37" i="55"/>
  <c r="AK39" i="6"/>
  <c r="V37" i="4"/>
  <c r="V37" i="13"/>
  <c r="U37" i="15"/>
  <c r="AK38" i="11"/>
  <c r="V37" i="5"/>
  <c r="V37" i="47"/>
  <c r="X37" i="53"/>
  <c r="Q32" i="17"/>
  <c r="Q42" i="17" s="1"/>
  <c r="DH39" i="7"/>
  <c r="AR34" i="54"/>
  <c r="AN37" i="15"/>
  <c r="CD9" i="5"/>
  <c r="CD13" i="5"/>
  <c r="CD17" i="5"/>
  <c r="CD7" i="5"/>
  <c r="CD10" i="5"/>
  <c r="CD15" i="5"/>
  <c r="CD6" i="8"/>
  <c r="CD14" i="8"/>
  <c r="CD17" i="47"/>
  <c r="CD9" i="40"/>
  <c r="CD7" i="9"/>
  <c r="CD9" i="47"/>
  <c r="CD15" i="47"/>
  <c r="CD20" i="47"/>
  <c r="CD26" i="47"/>
  <c r="AP10" i="55"/>
  <c r="AP14" i="55"/>
  <c r="CD8" i="4"/>
  <c r="CD12" i="5"/>
  <c r="CD9" i="8"/>
  <c r="CD13" i="8"/>
  <c r="CD10" i="47"/>
  <c r="CD8" i="40"/>
  <c r="CD6" i="9"/>
  <c r="CD8" i="47"/>
  <c r="CD13" i="47"/>
  <c r="CD16" i="5"/>
  <c r="CD25" i="47"/>
  <c r="CD8" i="9"/>
  <c r="CD11" i="47"/>
  <c r="CD24" i="47"/>
  <c r="AP13" i="55"/>
  <c r="CD7" i="4"/>
  <c r="CD13" i="4"/>
  <c r="CD17" i="4"/>
  <c r="CD21" i="4"/>
  <c r="CD25" i="4"/>
  <c r="CD31" i="4"/>
  <c r="AP6" i="13"/>
  <c r="AP10" i="13"/>
  <c r="AO6" i="15"/>
  <c r="AO8" i="15"/>
  <c r="T30" i="28"/>
  <c r="CD14" i="5"/>
  <c r="CD7" i="8"/>
  <c r="CD11" i="8"/>
  <c r="CD15" i="8"/>
  <c r="CD6" i="40"/>
  <c r="CD10" i="40"/>
  <c r="CD16" i="47"/>
  <c r="CD23" i="47"/>
  <c r="CD27" i="47"/>
  <c r="AP12" i="55"/>
  <c r="AP17" i="55"/>
  <c r="CD6" i="4"/>
  <c r="CD27" i="4"/>
  <c r="CD10" i="4"/>
  <c r="CD15" i="4"/>
  <c r="CD20" i="4"/>
  <c r="CD24" i="4"/>
  <c r="CD29" i="4"/>
  <c r="AP9" i="13"/>
  <c r="CD8" i="5"/>
  <c r="CD9" i="9"/>
  <c r="CD12" i="47"/>
  <c r="CD19" i="47"/>
  <c r="CD29" i="47"/>
  <c r="CD9" i="4"/>
  <c r="CD11" i="4"/>
  <c r="CD19" i="4"/>
  <c r="CD23" i="4"/>
  <c r="CD28" i="4"/>
  <c r="CD11" i="5"/>
  <c r="CD18" i="4"/>
  <c r="CD26" i="4"/>
  <c r="AP8" i="13"/>
  <c r="AO9" i="15"/>
  <c r="AO11" i="15"/>
  <c r="CD8" i="8"/>
  <c r="CD6" i="5"/>
  <c r="CD12" i="8"/>
  <c r="CD28" i="47"/>
  <c r="AP11" i="55"/>
  <c r="AP7" i="13"/>
  <c r="CD18" i="47"/>
  <c r="CD21" i="47"/>
  <c r="CD14" i="4"/>
  <c r="AO10" i="15"/>
  <c r="AO12" i="15"/>
  <c r="AP11" i="13"/>
  <c r="AO7" i="15"/>
  <c r="AP18" i="55"/>
  <c r="CD22" i="4"/>
  <c r="CD7" i="40"/>
  <c r="E41" i="52"/>
  <c r="Y33" i="53" l="1"/>
  <c r="X29" i="52"/>
  <c r="BN22" i="52"/>
  <c r="BN25" i="52"/>
  <c r="BN23" i="52"/>
  <c r="BQ19" i="4"/>
  <c r="BQ18" i="4"/>
  <c r="BQ25" i="47"/>
  <c r="BQ29" i="47"/>
  <c r="BQ7" i="4"/>
  <c r="BQ28" i="4"/>
  <c r="BQ17" i="47"/>
  <c r="BQ11" i="47"/>
  <c r="BQ24" i="47"/>
  <c r="BM37" i="8"/>
  <c r="BN37" i="47"/>
  <c r="BQ10" i="47"/>
  <c r="BQ20" i="47"/>
  <c r="BQ23" i="47"/>
  <c r="BQ15" i="47"/>
  <c r="BM37" i="40"/>
  <c r="BQ18" i="47"/>
  <c r="BZ38" i="11"/>
  <c r="BQ14" i="4"/>
  <c r="BQ15" i="4"/>
  <c r="CC38" i="11"/>
  <c r="CD38" i="11"/>
  <c r="J7" i="62"/>
  <c r="BQ8" i="4"/>
  <c r="BQ21" i="4"/>
  <c r="BQ25" i="4"/>
  <c r="BQ11" i="4"/>
  <c r="BQ12" i="47"/>
  <c r="BO37" i="40"/>
  <c r="BT29" i="47"/>
  <c r="BT15" i="47"/>
  <c r="BT18" i="47"/>
  <c r="BT24" i="47"/>
  <c r="BT8" i="47"/>
  <c r="BT12" i="47"/>
  <c r="BT21" i="47"/>
  <c r="BT27" i="47"/>
  <c r="BT23" i="47"/>
  <c r="BT19" i="47"/>
  <c r="BT25" i="47"/>
  <c r="BT28" i="47"/>
  <c r="BT11" i="47"/>
  <c r="BT26" i="47"/>
  <c r="BT16" i="47"/>
  <c r="BT20" i="47"/>
  <c r="BT17" i="47"/>
  <c r="BT10" i="47"/>
  <c r="BT9" i="47"/>
  <c r="BT13" i="47"/>
  <c r="BR29" i="47"/>
  <c r="BR8" i="47"/>
  <c r="BR12" i="47"/>
  <c r="BR25" i="47"/>
  <c r="BR21" i="47"/>
  <c r="BR26" i="47"/>
  <c r="BR11" i="47"/>
  <c r="BR24" i="47"/>
  <c r="BR15" i="47"/>
  <c r="BR18" i="47"/>
  <c r="BR28" i="47"/>
  <c r="BR19" i="47"/>
  <c r="BR23" i="47"/>
  <c r="BR27" i="47"/>
  <c r="BR17" i="47"/>
  <c r="BR20" i="47"/>
  <c r="BR16" i="47"/>
  <c r="BR10" i="47"/>
  <c r="BR9" i="47"/>
  <c r="BR13" i="47"/>
  <c r="BT7" i="9"/>
  <c r="BT9" i="9"/>
  <c r="BT6" i="9"/>
  <c r="BT8" i="9"/>
  <c r="BV41" i="40"/>
  <c r="BV6" i="40"/>
  <c r="BV8" i="40"/>
  <c r="BV7" i="40"/>
  <c r="BV9" i="40"/>
  <c r="BV42" i="40"/>
  <c r="BV45" i="40" s="1"/>
  <c r="BV10" i="40"/>
  <c r="BV8" i="8"/>
  <c r="BV6" i="8"/>
  <c r="BV7" i="8"/>
  <c r="BV14" i="8"/>
  <c r="BV12" i="8"/>
  <c r="BV9" i="8"/>
  <c r="BV11" i="8"/>
  <c r="BV13" i="8"/>
  <c r="BV15" i="8"/>
  <c r="BU10" i="5"/>
  <c r="BU8" i="5"/>
  <c r="BU14" i="5"/>
  <c r="BU12" i="5"/>
  <c r="BU13" i="5"/>
  <c r="BU7" i="5"/>
  <c r="BU15" i="5"/>
  <c r="BU17" i="5"/>
  <c r="BU16" i="5"/>
  <c r="BU6" i="5"/>
  <c r="BU9" i="5"/>
  <c r="BU11" i="5"/>
  <c r="BQ13" i="8"/>
  <c r="CE39" i="6"/>
  <c r="BQ8" i="9"/>
  <c r="BP37" i="9"/>
  <c r="BM37" i="47"/>
  <c r="BQ9" i="40"/>
  <c r="BQ9" i="5"/>
  <c r="BR28" i="4"/>
  <c r="BR31" i="4"/>
  <c r="BR6" i="4"/>
  <c r="BR29" i="4"/>
  <c r="BR25" i="4"/>
  <c r="BR10" i="4"/>
  <c r="BR8" i="4"/>
  <c r="BR24" i="4"/>
  <c r="BR15" i="4"/>
  <c r="BR26" i="4"/>
  <c r="BR22" i="4"/>
  <c r="BR21" i="4"/>
  <c r="BR14" i="4"/>
  <c r="BR7" i="4"/>
  <c r="BR18" i="4"/>
  <c r="BR17" i="4"/>
  <c r="BR9" i="4"/>
  <c r="BR23" i="4"/>
  <c r="BR19" i="4"/>
  <c r="BR20" i="4"/>
  <c r="BR27" i="4"/>
  <c r="BR13" i="4"/>
  <c r="BR11" i="4"/>
  <c r="BV9" i="5"/>
  <c r="BV8" i="5"/>
  <c r="BV17" i="5"/>
  <c r="BV14" i="5"/>
  <c r="BV12" i="5"/>
  <c r="BV10" i="5"/>
  <c r="BV7" i="5"/>
  <c r="BV6" i="5"/>
  <c r="BV16" i="5"/>
  <c r="BV11" i="5"/>
  <c r="BV13" i="5"/>
  <c r="BV15" i="5"/>
  <c r="BV26" i="47"/>
  <c r="BV24" i="47"/>
  <c r="BV27" i="47"/>
  <c r="BV23" i="47"/>
  <c r="BV19" i="47"/>
  <c r="BV29" i="47"/>
  <c r="BV15" i="47"/>
  <c r="BV18" i="47"/>
  <c r="BV21" i="47"/>
  <c r="BV11" i="47"/>
  <c r="BV28" i="47"/>
  <c r="BV25" i="47"/>
  <c r="BV12" i="47"/>
  <c r="BV8" i="47"/>
  <c r="BV13" i="47"/>
  <c r="BV10" i="47"/>
  <c r="BV17" i="47"/>
  <c r="BV16" i="47"/>
  <c r="BV20" i="47"/>
  <c r="BV9" i="47"/>
  <c r="BN37" i="5"/>
  <c r="BN37" i="40"/>
  <c r="BM37" i="5"/>
  <c r="BT24" i="52"/>
  <c r="S15" i="23"/>
  <c r="BQ9" i="4"/>
  <c r="BL37" i="47"/>
  <c r="BQ8" i="47"/>
  <c r="CD39" i="6"/>
  <c r="BQ15" i="8"/>
  <c r="BQ6" i="9"/>
  <c r="BL37" i="9"/>
  <c r="BP37" i="4"/>
  <c r="BK37" i="5"/>
  <c r="BQ8" i="40"/>
  <c r="CB38" i="11"/>
  <c r="BN37" i="9"/>
  <c r="BQ7" i="5"/>
  <c r="BP37" i="5"/>
  <c r="BR41" i="40"/>
  <c r="BR10" i="40"/>
  <c r="BR8" i="40"/>
  <c r="BR6" i="40"/>
  <c r="BR42" i="40"/>
  <c r="BR7" i="40"/>
  <c r="BR9" i="40"/>
  <c r="BU41" i="40"/>
  <c r="BU10" i="40"/>
  <c r="BU7" i="40"/>
  <c r="BU9" i="40"/>
  <c r="BU6" i="40"/>
  <c r="BU42" i="40"/>
  <c r="BU45" i="40" s="1"/>
  <c r="BU8" i="40"/>
  <c r="BT6" i="5"/>
  <c r="BT11" i="5"/>
  <c r="BT9" i="5"/>
  <c r="BT16" i="5"/>
  <c r="BT17" i="5"/>
  <c r="BT7" i="5"/>
  <c r="BT8" i="5"/>
  <c r="BT14" i="5"/>
  <c r="BT10" i="5"/>
  <c r="BT13" i="5"/>
  <c r="BT12" i="5"/>
  <c r="BT15" i="5"/>
  <c r="CA39" i="6"/>
  <c r="BN37" i="8"/>
  <c r="BZ39" i="6"/>
  <c r="BQ9" i="8"/>
  <c r="BQ7" i="9"/>
  <c r="BL45" i="40"/>
  <c r="BQ42" i="40"/>
  <c r="BP37" i="47"/>
  <c r="BQ15" i="5"/>
  <c r="AA26" i="17"/>
  <c r="AA25" i="17"/>
  <c r="CE38" i="11"/>
  <c r="CU10" i="40"/>
  <c r="BR7" i="9"/>
  <c r="BR8" i="9"/>
  <c r="BR6" i="9"/>
  <c r="BR9" i="9"/>
  <c r="BS41" i="40"/>
  <c r="BS42" i="40"/>
  <c r="BS45" i="40" s="1"/>
  <c r="BS9" i="40"/>
  <c r="BS6" i="40"/>
  <c r="BS7" i="40"/>
  <c r="BS10" i="40"/>
  <c r="BS8" i="40"/>
  <c r="BS10" i="5"/>
  <c r="BS14" i="5"/>
  <c r="BS6" i="5"/>
  <c r="BS8" i="5"/>
  <c r="BS11" i="5"/>
  <c r="BS12" i="5"/>
  <c r="BS7" i="5"/>
  <c r="BS16" i="5"/>
  <c r="BS15" i="5"/>
  <c r="BS9" i="5"/>
  <c r="BS17" i="5"/>
  <c r="BS13" i="5"/>
  <c r="BS28" i="4"/>
  <c r="BS29" i="4"/>
  <c r="BS26" i="4"/>
  <c r="BS19" i="4"/>
  <c r="BS24" i="4"/>
  <c r="BS22" i="4"/>
  <c r="BS15" i="4"/>
  <c r="BS8" i="4"/>
  <c r="BS21" i="4"/>
  <c r="BS13" i="4"/>
  <c r="BS17" i="4"/>
  <c r="BS14" i="4"/>
  <c r="BS7" i="4"/>
  <c r="BS18" i="4"/>
  <c r="BS31" i="4"/>
  <c r="BS20" i="4"/>
  <c r="BS11" i="4"/>
  <c r="BS10" i="4"/>
  <c r="BS9" i="4"/>
  <c r="BS25" i="4"/>
  <c r="BS6" i="4"/>
  <c r="BS23" i="4"/>
  <c r="BS27" i="4"/>
  <c r="BM37" i="9"/>
  <c r="CB39" i="6"/>
  <c r="BQ6" i="8"/>
  <c r="BL37" i="8"/>
  <c r="BQ8" i="8"/>
  <c r="BQ9" i="9"/>
  <c r="BO37" i="47"/>
  <c r="BL37" i="40"/>
  <c r="BQ6" i="40"/>
  <c r="BN37" i="4"/>
  <c r="BL37" i="5"/>
  <c r="BQ6" i="5"/>
  <c r="BP37" i="8"/>
  <c r="E23" i="58"/>
  <c r="BS15" i="8"/>
  <c r="BS8" i="8"/>
  <c r="BS14" i="8"/>
  <c r="BS13" i="8"/>
  <c r="BS9" i="8"/>
  <c r="BS11" i="8"/>
  <c r="BS7" i="8"/>
  <c r="BS12" i="8"/>
  <c r="BS6" i="8"/>
  <c r="AD22" i="23"/>
  <c r="K46" i="61"/>
  <c r="BT31" i="4"/>
  <c r="BT11" i="4"/>
  <c r="BT19" i="4"/>
  <c r="BT24" i="4"/>
  <c r="BT21" i="4"/>
  <c r="BT22" i="4"/>
  <c r="BT18" i="4"/>
  <c r="BT13" i="4"/>
  <c r="BT23" i="4"/>
  <c r="BT14" i="4"/>
  <c r="BT17" i="4"/>
  <c r="BT25" i="4"/>
  <c r="BT28" i="4"/>
  <c r="BT15" i="4"/>
  <c r="BT7" i="4"/>
  <c r="BT29" i="4"/>
  <c r="BT27" i="4"/>
  <c r="BT9" i="4"/>
  <c r="BT10" i="4"/>
  <c r="BT6" i="4"/>
  <c r="BT20" i="4"/>
  <c r="BT8" i="4"/>
  <c r="BT26" i="4"/>
  <c r="BT41" i="40"/>
  <c r="BT9" i="40"/>
  <c r="BT6" i="40"/>
  <c r="BT10" i="40"/>
  <c r="BT7" i="40"/>
  <c r="BT8" i="40"/>
  <c r="BT42" i="40"/>
  <c r="BT45" i="40" s="1"/>
  <c r="BQ11" i="8"/>
  <c r="BQ7" i="8"/>
  <c r="BK37" i="8"/>
  <c r="BQ7" i="40"/>
  <c r="BO37" i="4"/>
  <c r="BP37" i="40"/>
  <c r="BQ8" i="5"/>
  <c r="BQ16" i="5"/>
  <c r="BK37" i="47"/>
  <c r="BR12" i="8"/>
  <c r="BR7" i="8"/>
  <c r="BR13" i="8"/>
  <c r="BR15" i="8"/>
  <c r="BR8" i="8"/>
  <c r="BR6" i="8"/>
  <c r="BR14" i="8"/>
  <c r="BR9" i="8"/>
  <c r="BW9" i="8" s="1"/>
  <c r="BR11" i="8"/>
  <c r="K14" i="61"/>
  <c r="Z45" i="19"/>
  <c r="K33" i="61"/>
  <c r="BS29" i="47"/>
  <c r="BS15" i="47"/>
  <c r="BS18" i="47"/>
  <c r="BS25" i="47"/>
  <c r="BS8" i="47"/>
  <c r="BS12" i="47"/>
  <c r="BS21" i="47"/>
  <c r="BS26" i="47"/>
  <c r="BS11" i="47"/>
  <c r="BS27" i="47"/>
  <c r="BS23" i="47"/>
  <c r="BS19" i="47"/>
  <c r="BS28" i="47"/>
  <c r="BS24" i="47"/>
  <c r="BS17" i="47"/>
  <c r="BS20" i="47"/>
  <c r="BS16" i="47"/>
  <c r="BS9" i="47"/>
  <c r="BS10" i="47"/>
  <c r="BS13" i="47"/>
  <c r="O83" i="19"/>
  <c r="O106" i="19"/>
  <c r="BK37" i="4"/>
  <c r="BQ14" i="8"/>
  <c r="BQ10" i="40"/>
  <c r="CA38" i="11"/>
  <c r="BQ10" i="5"/>
  <c r="BQ13" i="5"/>
  <c r="BO37" i="8"/>
  <c r="BT7" i="8"/>
  <c r="BT8" i="8"/>
  <c r="BT9" i="8"/>
  <c r="BT11" i="8"/>
  <c r="BT12" i="8"/>
  <c r="BT6" i="8"/>
  <c r="BT15" i="8"/>
  <c r="BT14" i="8"/>
  <c r="BT13" i="8"/>
  <c r="BS6" i="9"/>
  <c r="BS9" i="9"/>
  <c r="BS7" i="9"/>
  <c r="BS8" i="9"/>
  <c r="BU28" i="4"/>
  <c r="BU31" i="4"/>
  <c r="BU15" i="4"/>
  <c r="BU23" i="4"/>
  <c r="BU22" i="4"/>
  <c r="BU29" i="4"/>
  <c r="BU20" i="4"/>
  <c r="BU21" i="4"/>
  <c r="BU11" i="4"/>
  <c r="BU18" i="4"/>
  <c r="BU27" i="4"/>
  <c r="BU25" i="4"/>
  <c r="BU17" i="4"/>
  <c r="BU10" i="4"/>
  <c r="BU14" i="4"/>
  <c r="BU7" i="4"/>
  <c r="BU8" i="4"/>
  <c r="BU6" i="4"/>
  <c r="BU19" i="4"/>
  <c r="BU24" i="4"/>
  <c r="BU9" i="4"/>
  <c r="BU26" i="4"/>
  <c r="BU13" i="4"/>
  <c r="BV28" i="4"/>
  <c r="BV31" i="4"/>
  <c r="BV20" i="4"/>
  <c r="BV19" i="4"/>
  <c r="BV8" i="4"/>
  <c r="BV13" i="4"/>
  <c r="BV10" i="4"/>
  <c r="BV23" i="4"/>
  <c r="BV21" i="4"/>
  <c r="BV11" i="4"/>
  <c r="BV18" i="4"/>
  <c r="BV15" i="4"/>
  <c r="BV17" i="4"/>
  <c r="BV24" i="4"/>
  <c r="BV9" i="4"/>
  <c r="BV14" i="4"/>
  <c r="BV7" i="4"/>
  <c r="BV25" i="4"/>
  <c r="BV27" i="4"/>
  <c r="BV22" i="4"/>
  <c r="BV26" i="4"/>
  <c r="BV6" i="4"/>
  <c r="BV29" i="4"/>
  <c r="BR7" i="5"/>
  <c r="BW7" i="5" s="1"/>
  <c r="BR6" i="5"/>
  <c r="BR13" i="5"/>
  <c r="BR12" i="5"/>
  <c r="BR11" i="5"/>
  <c r="BR16" i="5"/>
  <c r="BR9" i="5"/>
  <c r="BR8" i="5"/>
  <c r="BR17" i="5"/>
  <c r="BR14" i="5"/>
  <c r="BR15" i="5"/>
  <c r="BR10" i="5"/>
  <c r="BW10" i="5" s="1"/>
  <c r="BU9" i="9"/>
  <c r="BU7" i="9"/>
  <c r="BU6" i="9"/>
  <c r="BU8" i="9"/>
  <c r="BU27" i="47"/>
  <c r="BU23" i="47"/>
  <c r="BU19" i="47"/>
  <c r="BU24" i="47"/>
  <c r="BU29" i="47"/>
  <c r="BU15" i="47"/>
  <c r="BU18" i="47"/>
  <c r="BU8" i="47"/>
  <c r="BU12" i="47"/>
  <c r="BU28" i="47"/>
  <c r="BU26" i="47"/>
  <c r="BU11" i="47"/>
  <c r="BU21" i="47"/>
  <c r="BU25" i="47"/>
  <c r="BU17" i="47"/>
  <c r="BU20" i="47"/>
  <c r="BU16" i="47"/>
  <c r="BU10" i="47"/>
  <c r="BU9" i="47"/>
  <c r="BU13" i="47"/>
  <c r="BO37" i="5"/>
  <c r="BK45" i="40"/>
  <c r="CV42" i="40"/>
  <c r="CV45" i="40" s="1"/>
  <c r="BQ12" i="5"/>
  <c r="BQ11" i="5"/>
  <c r="Y35" i="53"/>
  <c r="BU14" i="8"/>
  <c r="BU12" i="8"/>
  <c r="BU15" i="8"/>
  <c r="BU8" i="8"/>
  <c r="BU11" i="8"/>
  <c r="BU7" i="8"/>
  <c r="BU6" i="8"/>
  <c r="BU9" i="8"/>
  <c r="BU13" i="8"/>
  <c r="BV7" i="9"/>
  <c r="BV9" i="9"/>
  <c r="BV8" i="9"/>
  <c r="BV6" i="9"/>
  <c r="CC39" i="6"/>
  <c r="BQ6" i="4"/>
  <c r="BQ37" i="4" s="1"/>
  <c r="BL37" i="4"/>
  <c r="BM37" i="4"/>
  <c r="BQ12" i="8"/>
  <c r="BQ17" i="5"/>
  <c r="BQ14" i="5"/>
  <c r="R4" i="44"/>
  <c r="U14" i="28"/>
  <c r="S4" i="44" s="1"/>
  <c r="Z4" i="44"/>
  <c r="Q5" i="44"/>
  <c r="E11" i="57"/>
  <c r="E12" i="57" s="1"/>
  <c r="E19" i="57"/>
  <c r="E21" i="57" s="1"/>
  <c r="E22" i="57" s="1"/>
  <c r="Z12" i="23"/>
  <c r="BD38" i="15"/>
  <c r="H30" i="26"/>
  <c r="CT37" i="40"/>
  <c r="CT38" i="40" s="1"/>
  <c r="CS38" i="47"/>
  <c r="F50" i="59"/>
  <c r="F51" i="59" s="1"/>
  <c r="CT37" i="9"/>
  <c r="CT38" i="9" s="1"/>
  <c r="DH40" i="6"/>
  <c r="G8" i="59"/>
  <c r="F18" i="59" s="1"/>
  <c r="D49" i="53"/>
  <c r="CU22" i="4"/>
  <c r="CU8" i="9"/>
  <c r="CU37" i="9" s="1"/>
  <c r="CU9" i="5"/>
  <c r="CU9" i="40"/>
  <c r="CU37" i="40" s="1"/>
  <c r="CU38" i="40" s="1"/>
  <c r="BE38" i="13"/>
  <c r="H20" i="26"/>
  <c r="BD26" i="54"/>
  <c r="Z9" i="17"/>
  <c r="CU28" i="4"/>
  <c r="CU10" i="4"/>
  <c r="CU13" i="47"/>
  <c r="CU26" i="4"/>
  <c r="CC37" i="5"/>
  <c r="CC37" i="40"/>
  <c r="CT37" i="5"/>
  <c r="DI38" i="11"/>
  <c r="DI39" i="11" s="1"/>
  <c r="H12" i="26"/>
  <c r="CS38" i="5"/>
  <c r="BF40" i="55"/>
  <c r="CU11" i="4"/>
  <c r="E39" i="52"/>
  <c r="E44" i="52" s="1"/>
  <c r="H11" i="41"/>
  <c r="H25" i="41" s="1"/>
  <c r="CC37" i="9"/>
  <c r="E22" i="59"/>
  <c r="Q36" i="53"/>
  <c r="DI39" i="7"/>
  <c r="BF37" i="55"/>
  <c r="BF38" i="55" s="1"/>
  <c r="H26" i="26"/>
  <c r="BD38" i="54"/>
  <c r="F18" i="56"/>
  <c r="CC37" i="8"/>
  <c r="BG13" i="55"/>
  <c r="CC37" i="4"/>
  <c r="G7" i="59"/>
  <c r="G28" i="59"/>
  <c r="F38" i="59" s="1"/>
  <c r="CT37" i="8"/>
  <c r="Z19" i="17" s="1"/>
  <c r="AO37" i="55"/>
  <c r="CU31" i="4"/>
  <c r="CU9" i="47"/>
  <c r="H7" i="59" s="1"/>
  <c r="CT37" i="4"/>
  <c r="CT38" i="4" s="1"/>
  <c r="F41" i="52"/>
  <c r="DH39" i="11"/>
  <c r="P37" i="53"/>
  <c r="CR39" i="6"/>
  <c r="CU27" i="47"/>
  <c r="CR38" i="11"/>
  <c r="G9" i="59"/>
  <c r="F19" i="59" s="1"/>
  <c r="I10" i="41" s="1"/>
  <c r="CU28" i="47"/>
  <c r="BP23" i="52" s="1"/>
  <c r="P14" i="23" s="1"/>
  <c r="P38" i="23" s="1"/>
  <c r="W37" i="5"/>
  <c r="BG7" i="13"/>
  <c r="I14" i="26" s="1"/>
  <c r="CU9" i="8"/>
  <c r="CC37" i="47"/>
  <c r="DI39" i="6"/>
  <c r="DI40" i="6" s="1"/>
  <c r="F37" i="53"/>
  <c r="F44" i="53"/>
  <c r="BD31" i="54"/>
  <c r="H22" i="26"/>
  <c r="BE32" i="54"/>
  <c r="CU15" i="47"/>
  <c r="G11" i="59"/>
  <c r="F21" i="59" s="1"/>
  <c r="I11" i="41" s="1"/>
  <c r="H28" i="26"/>
  <c r="BE37" i="15"/>
  <c r="BE38" i="15" s="1"/>
  <c r="H24" i="26"/>
  <c r="G44" i="53"/>
  <c r="CS38" i="9"/>
  <c r="DJ39" i="6"/>
  <c r="Q35" i="53"/>
  <c r="H16" i="26"/>
  <c r="BF37" i="13"/>
  <c r="BF38" i="13" s="1"/>
  <c r="CT37" i="47"/>
  <c r="Z24" i="17" s="1"/>
  <c r="H14" i="26"/>
  <c r="Y34" i="53"/>
  <c r="F42" i="52"/>
  <c r="D29" i="52"/>
  <c r="D22" i="59"/>
  <c r="D52" i="59"/>
  <c r="G11" i="41"/>
  <c r="G25" i="41" s="1"/>
  <c r="I30" i="26"/>
  <c r="Q34" i="53"/>
  <c r="AA16" i="23"/>
  <c r="I26" i="26"/>
  <c r="R36" i="53"/>
  <c r="G10" i="56"/>
  <c r="G14" i="56"/>
  <c r="G18" i="56" s="1"/>
  <c r="AA37" i="17"/>
  <c r="AA40" i="17"/>
  <c r="I28" i="26"/>
  <c r="W37" i="4"/>
  <c r="W37" i="8"/>
  <c r="W37" i="55"/>
  <c r="W37" i="40"/>
  <c r="AL39" i="6"/>
  <c r="W37" i="9"/>
  <c r="W37" i="47"/>
  <c r="AL38" i="11"/>
  <c r="CU6" i="4"/>
  <c r="CU6" i="5"/>
  <c r="F10" i="56"/>
  <c r="V37" i="15"/>
  <c r="W37" i="13"/>
  <c r="X7" i="5"/>
  <c r="CV7" i="5" s="1"/>
  <c r="X12" i="8"/>
  <c r="CV12" i="8" s="1"/>
  <c r="X10" i="40"/>
  <c r="CV10" i="40" s="1"/>
  <c r="X23" i="47"/>
  <c r="CV23" i="47" s="1"/>
  <c r="X27" i="4"/>
  <c r="CV27" i="4" s="1"/>
  <c r="X24" i="4"/>
  <c r="CV24" i="4" s="1"/>
  <c r="X8" i="5"/>
  <c r="CV8" i="5" s="1"/>
  <c r="X6" i="8"/>
  <c r="CV6" i="8" s="1"/>
  <c r="X8" i="47"/>
  <c r="CV8" i="47" s="1"/>
  <c r="X14" i="55"/>
  <c r="BH14" i="55" s="1"/>
  <c r="X23" i="4"/>
  <c r="CV23" i="4" s="1"/>
  <c r="X13" i="5"/>
  <c r="CV13" i="5" s="1"/>
  <c r="X13" i="8"/>
  <c r="CV13" i="8" s="1"/>
  <c r="X24" i="47"/>
  <c r="CV24" i="47" s="1"/>
  <c r="X19" i="4"/>
  <c r="CV19" i="4" s="1"/>
  <c r="W8" i="15"/>
  <c r="BG8" i="15" s="1"/>
  <c r="X6" i="4"/>
  <c r="CV6" i="4" s="1"/>
  <c r="W12" i="15"/>
  <c r="BG12" i="15" s="1"/>
  <c r="X14" i="8"/>
  <c r="CV14" i="8" s="1"/>
  <c r="X13" i="47"/>
  <c r="CV13" i="47" s="1"/>
  <c r="X26" i="4"/>
  <c r="CV26" i="4" s="1"/>
  <c r="X15" i="8"/>
  <c r="CV15" i="8" s="1"/>
  <c r="T27" i="28"/>
  <c r="X7" i="9"/>
  <c r="CV7" i="9" s="1"/>
  <c r="X28" i="4"/>
  <c r="CV28" i="4" s="1"/>
  <c r="X11" i="5"/>
  <c r="CV11" i="5" s="1"/>
  <c r="X10" i="47"/>
  <c r="CV10" i="47" s="1"/>
  <c r="X9" i="9"/>
  <c r="CV9" i="9" s="1"/>
  <c r="X28" i="47"/>
  <c r="CV28" i="47" s="1"/>
  <c r="X10" i="4"/>
  <c r="CV10" i="4" s="1"/>
  <c r="X29" i="4"/>
  <c r="CV29" i="4" s="1"/>
  <c r="X12" i="5"/>
  <c r="CV12" i="5" s="1"/>
  <c r="X11" i="8"/>
  <c r="CV11" i="8" s="1"/>
  <c r="X15" i="47"/>
  <c r="CV15" i="47" s="1"/>
  <c r="X8" i="4"/>
  <c r="CV8" i="4" s="1"/>
  <c r="X31" i="4"/>
  <c r="CV31" i="4" s="1"/>
  <c r="X25" i="47"/>
  <c r="CV25" i="47" s="1"/>
  <c r="X6" i="9"/>
  <c r="CV6" i="9" s="1"/>
  <c r="X10" i="55"/>
  <c r="BH10" i="55" s="1"/>
  <c r="X25" i="4"/>
  <c r="CV25" i="4" s="1"/>
  <c r="X9" i="5"/>
  <c r="CV9" i="5" s="1"/>
  <c r="X7" i="40"/>
  <c r="CV7" i="40" s="1"/>
  <c r="X9" i="4"/>
  <c r="CV9" i="4" s="1"/>
  <c r="X14" i="5"/>
  <c r="CV14" i="5" s="1"/>
  <c r="X27" i="47"/>
  <c r="CV27" i="47" s="1"/>
  <c r="W7" i="15"/>
  <c r="BG7" i="15" s="1"/>
  <c r="X11" i="55"/>
  <c r="BH11" i="55" s="1"/>
  <c r="W11" i="15"/>
  <c r="BG11" i="15" s="1"/>
  <c r="X21" i="4"/>
  <c r="CV21" i="4" s="1"/>
  <c r="X6" i="5"/>
  <c r="CV6" i="5" s="1"/>
  <c r="X8" i="9"/>
  <c r="CV8" i="9" s="1"/>
  <c r="X15" i="5"/>
  <c r="CV15" i="5" s="1"/>
  <c r="X12" i="47"/>
  <c r="CV12" i="47" s="1"/>
  <c r="X12" i="55"/>
  <c r="BH12" i="55" s="1"/>
  <c r="X15" i="4"/>
  <c r="CV15" i="4" s="1"/>
  <c r="H8" i="56" s="1"/>
  <c r="H16" i="56" s="1"/>
  <c r="X8" i="13"/>
  <c r="BH8" i="13" s="1"/>
  <c r="J10" i="26" s="1"/>
  <c r="X10" i="5"/>
  <c r="CV10" i="5" s="1"/>
  <c r="X17" i="47"/>
  <c r="CV17" i="47" s="1"/>
  <c r="X21" i="47"/>
  <c r="CV21" i="47" s="1"/>
  <c r="X13" i="4"/>
  <c r="CV13" i="4" s="1"/>
  <c r="H6" i="56" s="1"/>
  <c r="X10" i="13"/>
  <c r="BH10" i="13" s="1"/>
  <c r="X9" i="47"/>
  <c r="CV9" i="47" s="1"/>
  <c r="X17" i="55"/>
  <c r="BH17" i="55" s="1"/>
  <c r="X6" i="13"/>
  <c r="BH6" i="13" s="1"/>
  <c r="X11" i="47"/>
  <c r="CV11" i="47" s="1"/>
  <c r="X22" i="4"/>
  <c r="CV22" i="4" s="1"/>
  <c r="X7" i="4"/>
  <c r="CV7" i="4" s="1"/>
  <c r="X8" i="8"/>
  <c r="CV8" i="8" s="1"/>
  <c r="X18" i="55"/>
  <c r="BH18" i="55" s="1"/>
  <c r="X29" i="47"/>
  <c r="CV29" i="47" s="1"/>
  <c r="X14" i="4"/>
  <c r="CV14" i="4" s="1"/>
  <c r="H7" i="56" s="1"/>
  <c r="H15" i="56" s="1"/>
  <c r="X26" i="47"/>
  <c r="CV26" i="47" s="1"/>
  <c r="X8" i="40"/>
  <c r="CV8" i="40" s="1"/>
  <c r="X20" i="47"/>
  <c r="CV20" i="47" s="1"/>
  <c r="X17" i="4"/>
  <c r="CV17" i="4" s="1"/>
  <c r="X9" i="8"/>
  <c r="CV9" i="8" s="1"/>
  <c r="X16" i="5"/>
  <c r="CV16" i="5" s="1"/>
  <c r="X20" i="4"/>
  <c r="CV20" i="4" s="1"/>
  <c r="X18" i="4"/>
  <c r="CV18" i="4" s="1"/>
  <c r="X11" i="13"/>
  <c r="BH11" i="13" s="1"/>
  <c r="X9" i="13"/>
  <c r="BH9" i="13" s="1"/>
  <c r="H9" i="56" s="1"/>
  <c r="H17" i="56" s="1"/>
  <c r="X7" i="13"/>
  <c r="BH7" i="13" s="1"/>
  <c r="W9" i="15"/>
  <c r="BG9" i="15" s="1"/>
  <c r="X19" i="47"/>
  <c r="CV19" i="47" s="1"/>
  <c r="X18" i="47"/>
  <c r="CV18" i="47" s="1"/>
  <c r="X9" i="40"/>
  <c r="CV9" i="40" s="1"/>
  <c r="X16" i="47"/>
  <c r="CV16" i="47" s="1"/>
  <c r="X7" i="8"/>
  <c r="CV7" i="8" s="1"/>
  <c r="X11" i="4"/>
  <c r="CV11" i="4" s="1"/>
  <c r="X13" i="55"/>
  <c r="BH13" i="55" s="1"/>
  <c r="X17" i="5"/>
  <c r="CV17" i="5" s="1"/>
  <c r="X6" i="40"/>
  <c r="CV6" i="40" s="1"/>
  <c r="W6" i="15"/>
  <c r="BG6" i="15" s="1"/>
  <c r="W10" i="15"/>
  <c r="BG10" i="15" s="1"/>
  <c r="Q33" i="17"/>
  <c r="Q43" i="17" s="1"/>
  <c r="CD37" i="4"/>
  <c r="Z18" i="17"/>
  <c r="AR33" i="54"/>
  <c r="AR49" i="54"/>
  <c r="BB34" i="54"/>
  <c r="E47" i="54"/>
  <c r="CS38" i="11"/>
  <c r="CE7" i="5"/>
  <c r="CE11" i="5"/>
  <c r="CE15" i="5"/>
  <c r="CE8" i="8"/>
  <c r="CE12" i="8"/>
  <c r="CE7" i="40"/>
  <c r="CE9" i="9"/>
  <c r="CE12" i="47"/>
  <c r="CE18" i="47"/>
  <c r="CE23" i="47"/>
  <c r="CE28" i="47"/>
  <c r="AQ12" i="55"/>
  <c r="AQ18" i="55"/>
  <c r="CE6" i="4"/>
  <c r="CE13" i="4"/>
  <c r="CE6" i="5"/>
  <c r="CE14" i="5"/>
  <c r="CE11" i="8"/>
  <c r="CE25" i="47"/>
  <c r="CE8" i="40"/>
  <c r="CE7" i="9"/>
  <c r="CE8" i="47"/>
  <c r="CE15" i="47"/>
  <c r="CE19" i="47"/>
  <c r="CE26" i="47"/>
  <c r="CE29" i="47"/>
  <c r="AQ14" i="55"/>
  <c r="CE8" i="4"/>
  <c r="CE11" i="4"/>
  <c r="CE19" i="4"/>
  <c r="CE23" i="4"/>
  <c r="CE28" i="4"/>
  <c r="CE8" i="5"/>
  <c r="CE13" i="5"/>
  <c r="CE16" i="5"/>
  <c r="CE13" i="8"/>
  <c r="CE17" i="47"/>
  <c r="CE10" i="40"/>
  <c r="CE11" i="47"/>
  <c r="CE21" i="47"/>
  <c r="AQ11" i="55"/>
  <c r="CE10" i="4"/>
  <c r="CE18" i="4"/>
  <c r="CE22" i="4"/>
  <c r="CE26" i="4"/>
  <c r="AQ7" i="13"/>
  <c r="AQ11" i="13"/>
  <c r="AP7" i="15"/>
  <c r="AP11" i="15"/>
  <c r="CE9" i="5"/>
  <c r="CE6" i="8"/>
  <c r="CE15" i="8"/>
  <c r="CE8" i="9"/>
  <c r="CE27" i="47"/>
  <c r="CE27" i="4"/>
  <c r="CE9" i="4"/>
  <c r="AQ10" i="13"/>
  <c r="AP8" i="15"/>
  <c r="CE6" i="9"/>
  <c r="CE9" i="47"/>
  <c r="CE24" i="47"/>
  <c r="AQ10" i="55"/>
  <c r="CE7" i="4"/>
  <c r="CE15" i="4"/>
  <c r="CE20" i="4"/>
  <c r="CE24" i="4"/>
  <c r="CE29" i="4"/>
  <c r="AQ9" i="13"/>
  <c r="AP10" i="15"/>
  <c r="AP12" i="15"/>
  <c r="U30" i="28"/>
  <c r="CE10" i="47"/>
  <c r="CE16" i="47"/>
  <c r="CE20" i="47"/>
  <c r="CE21" i="4"/>
  <c r="CE31" i="4"/>
  <c r="AQ6" i="13"/>
  <c r="AQ8" i="13"/>
  <c r="CE17" i="5"/>
  <c r="CE14" i="8"/>
  <c r="CE13" i="47"/>
  <c r="AP6" i="15"/>
  <c r="AP9" i="15"/>
  <c r="CE10" i="5"/>
  <c r="CE12" i="5"/>
  <c r="CE7" i="8"/>
  <c r="CE9" i="8"/>
  <c r="CE6" i="40"/>
  <c r="CE9" i="40"/>
  <c r="AQ17" i="55"/>
  <c r="CE14" i="4"/>
  <c r="CE17" i="4"/>
  <c r="CE25" i="4"/>
  <c r="AQ13" i="55"/>
  <c r="AP37" i="13"/>
  <c r="G30" i="59"/>
  <c r="F40" i="59" s="1"/>
  <c r="CD37" i="47"/>
  <c r="CD37" i="8"/>
  <c r="AA12" i="23"/>
  <c r="I24" i="26"/>
  <c r="I18" i="26"/>
  <c r="I22" i="26"/>
  <c r="I16" i="26"/>
  <c r="I20" i="26"/>
  <c r="BF37" i="15"/>
  <c r="F17" i="59"/>
  <c r="Z30" i="17"/>
  <c r="BL21" i="52"/>
  <c r="BL26" i="52" s="1"/>
  <c r="BL34" i="52" s="1"/>
  <c r="CT38" i="5"/>
  <c r="F39" i="52"/>
  <c r="E50" i="54"/>
  <c r="CD37" i="5"/>
  <c r="CD37" i="40"/>
  <c r="AO37" i="15"/>
  <c r="CD37" i="9"/>
  <c r="AP37" i="55"/>
  <c r="CS39" i="6"/>
  <c r="Q33" i="53"/>
  <c r="BD9" i="54"/>
  <c r="I12" i="26"/>
  <c r="Y37" i="53" l="1"/>
  <c r="BT37" i="8"/>
  <c r="BW12" i="8"/>
  <c r="BW17" i="5"/>
  <c r="BE38" i="54"/>
  <c r="R34" i="53"/>
  <c r="BU37" i="5"/>
  <c r="BW17" i="47"/>
  <c r="BW11" i="47"/>
  <c r="BQ37" i="40"/>
  <c r="G29" i="59"/>
  <c r="F39" i="59" s="1"/>
  <c r="BV37" i="9"/>
  <c r="BU37" i="9"/>
  <c r="BW9" i="5"/>
  <c r="BW16" i="5"/>
  <c r="BW11" i="5"/>
  <c r="BW8" i="40"/>
  <c r="BW19" i="4"/>
  <c r="BW22" i="4"/>
  <c r="BG37" i="55"/>
  <c r="BG38" i="55" s="1"/>
  <c r="BW12" i="5"/>
  <c r="BW13" i="5"/>
  <c r="BQ37" i="47"/>
  <c r="BS37" i="5"/>
  <c r="BR37" i="4"/>
  <c r="BW6" i="4"/>
  <c r="BU37" i="47"/>
  <c r="BW8" i="5"/>
  <c r="BW14" i="8"/>
  <c r="CK39" i="6"/>
  <c r="BW10" i="40"/>
  <c r="BW23" i="4"/>
  <c r="BW26" i="4"/>
  <c r="BW31" i="4"/>
  <c r="CH39" i="6"/>
  <c r="BW27" i="47"/>
  <c r="BW26" i="47"/>
  <c r="AB25" i="17"/>
  <c r="AB26" i="17"/>
  <c r="BV37" i="4"/>
  <c r="BU37" i="4"/>
  <c r="CI38" i="11"/>
  <c r="BW9" i="9"/>
  <c r="BQ45" i="40"/>
  <c r="CW42" i="40"/>
  <c r="CW45" i="40" s="1"/>
  <c r="BV37" i="47"/>
  <c r="BW9" i="4"/>
  <c r="BW15" i="4"/>
  <c r="BW28" i="4"/>
  <c r="BW23" i="47"/>
  <c r="BW21" i="47"/>
  <c r="BS37" i="9"/>
  <c r="CF38" i="11"/>
  <c r="BW6" i="8"/>
  <c r="BR37" i="8"/>
  <c r="BQ37" i="5"/>
  <c r="BS37" i="4"/>
  <c r="BR37" i="9"/>
  <c r="BW6" i="9"/>
  <c r="BQ37" i="9"/>
  <c r="BW17" i="4"/>
  <c r="BW24" i="4"/>
  <c r="BV37" i="40"/>
  <c r="BW13" i="47"/>
  <c r="BW19" i="47"/>
  <c r="BW25" i="47"/>
  <c r="BU37" i="8"/>
  <c r="CG38" i="11"/>
  <c r="BW8" i="8"/>
  <c r="BT37" i="4"/>
  <c r="BW8" i="9"/>
  <c r="BT37" i="5"/>
  <c r="BW9" i="40"/>
  <c r="BV37" i="5"/>
  <c r="BW11" i="4"/>
  <c r="BW18" i="4"/>
  <c r="BW8" i="4"/>
  <c r="BV37" i="8"/>
  <c r="BW9" i="47"/>
  <c r="BW28" i="47"/>
  <c r="BW12" i="47"/>
  <c r="CJ38" i="11"/>
  <c r="BW15" i="8"/>
  <c r="CJ39" i="6"/>
  <c r="BW7" i="9"/>
  <c r="BW7" i="40"/>
  <c r="BW13" i="4"/>
  <c r="BW7" i="4"/>
  <c r="BW10" i="4"/>
  <c r="BW10" i="47"/>
  <c r="BW18" i="47"/>
  <c r="BR37" i="47"/>
  <c r="BW8" i="47"/>
  <c r="BW15" i="5"/>
  <c r="CH38" i="11"/>
  <c r="CG39" i="6"/>
  <c r="BW13" i="8"/>
  <c r="BT37" i="40"/>
  <c r="CK38" i="11"/>
  <c r="BS37" i="40"/>
  <c r="BR45" i="40"/>
  <c r="BW42" i="40"/>
  <c r="BW27" i="4"/>
  <c r="BW14" i="4"/>
  <c r="BW25" i="4"/>
  <c r="BT37" i="9"/>
  <c r="BW16" i="47"/>
  <c r="BW15" i="47"/>
  <c r="BW29" i="47"/>
  <c r="BT37" i="47"/>
  <c r="BW14" i="5"/>
  <c r="BW6" i="5"/>
  <c r="BR37" i="5"/>
  <c r="BS37" i="47"/>
  <c r="BW11" i="8"/>
  <c r="BW7" i="8"/>
  <c r="BS37" i="8"/>
  <c r="BQ37" i="8"/>
  <c r="CF39" i="6"/>
  <c r="BU37" i="40"/>
  <c r="BR37" i="40"/>
  <c r="BW6" i="40"/>
  <c r="T15" i="23"/>
  <c r="AD15" i="23"/>
  <c r="AE15" i="23" s="1"/>
  <c r="S39" i="23"/>
  <c r="T39" i="23" s="1"/>
  <c r="BW20" i="4"/>
  <c r="BW21" i="4"/>
  <c r="BW29" i="4"/>
  <c r="CI39" i="6"/>
  <c r="BW20" i="47"/>
  <c r="BW24" i="47"/>
  <c r="R5" i="44"/>
  <c r="AA4" i="44"/>
  <c r="S5" i="44"/>
  <c r="AB4" i="44"/>
  <c r="F44" i="52"/>
  <c r="BG40" i="55"/>
  <c r="AA9" i="17"/>
  <c r="Z29" i="17"/>
  <c r="CU37" i="5"/>
  <c r="G42" i="52"/>
  <c r="H11" i="59"/>
  <c r="G21" i="59" s="1"/>
  <c r="J11" i="41" s="1"/>
  <c r="CT38" i="8"/>
  <c r="H40" i="54"/>
  <c r="CU37" i="8"/>
  <c r="AA19" i="17" s="1"/>
  <c r="R35" i="53"/>
  <c r="F48" i="53"/>
  <c r="F51" i="53" s="1"/>
  <c r="G10" i="59"/>
  <c r="G12" i="59" s="1"/>
  <c r="G47" i="59"/>
  <c r="H8" i="59"/>
  <c r="G18" i="59" s="1"/>
  <c r="I25" i="41"/>
  <c r="Z37" i="17"/>
  <c r="BG37" i="13"/>
  <c r="BG39" i="13" s="1"/>
  <c r="CU38" i="9"/>
  <c r="CT38" i="47"/>
  <c r="H9" i="59"/>
  <c r="G19" i="59" s="1"/>
  <c r="J10" i="41" s="1"/>
  <c r="J25" i="41" s="1"/>
  <c r="DJ39" i="7"/>
  <c r="G37" i="53"/>
  <c r="CU37" i="4"/>
  <c r="CU38" i="4" s="1"/>
  <c r="H28" i="59"/>
  <c r="G38" i="59" s="1"/>
  <c r="AA17" i="17"/>
  <c r="DJ40" i="6"/>
  <c r="BF39" i="13"/>
  <c r="H43" i="26"/>
  <c r="BF9" i="54"/>
  <c r="F52" i="59"/>
  <c r="CU37" i="47"/>
  <c r="AA24" i="17" s="1"/>
  <c r="G50" i="59"/>
  <c r="F47" i="54"/>
  <c r="H27" i="59"/>
  <c r="G37" i="59" s="1"/>
  <c r="Z17" i="17"/>
  <c r="G27" i="59"/>
  <c r="F37" i="59" s="1"/>
  <c r="DJ38" i="11"/>
  <c r="Z40" i="17"/>
  <c r="G40" i="54"/>
  <c r="BF38" i="54"/>
  <c r="BM38" i="54" s="1"/>
  <c r="BE31" i="54"/>
  <c r="BC9" i="54"/>
  <c r="J30" i="26"/>
  <c r="AM38" i="11"/>
  <c r="X37" i="40"/>
  <c r="BG32" i="54"/>
  <c r="BN32" i="54" s="1"/>
  <c r="J14" i="26"/>
  <c r="BH40" i="55"/>
  <c r="I8" i="59"/>
  <c r="H18" i="59" s="1"/>
  <c r="H10" i="56"/>
  <c r="H14" i="56"/>
  <c r="H18" i="56" s="1"/>
  <c r="I9" i="59"/>
  <c r="H19" i="59" s="1"/>
  <c r="K10" i="41" s="1"/>
  <c r="H50" i="59"/>
  <c r="S35" i="53"/>
  <c r="AB40" i="17"/>
  <c r="J28" i="26"/>
  <c r="AB16" i="23"/>
  <c r="J26" i="26"/>
  <c r="I11" i="59"/>
  <c r="H21" i="59" s="1"/>
  <c r="K11" i="41" s="1"/>
  <c r="AB9" i="17"/>
  <c r="H47" i="59"/>
  <c r="CV37" i="9"/>
  <c r="CV38" i="9" s="1"/>
  <c r="X37" i="5"/>
  <c r="X37" i="55"/>
  <c r="X37" i="4"/>
  <c r="BF32" i="54"/>
  <c r="BM32" i="54" s="1"/>
  <c r="H30" i="59"/>
  <c r="G40" i="59" s="1"/>
  <c r="CV37" i="40"/>
  <c r="CV38" i="40" s="1"/>
  <c r="X37" i="8"/>
  <c r="X37" i="9"/>
  <c r="AM39" i="6"/>
  <c r="Y12" i="5"/>
  <c r="CW12" i="5" s="1"/>
  <c r="Y25" i="47"/>
  <c r="CW25" i="47" s="1"/>
  <c r="Y8" i="9"/>
  <c r="CW8" i="9" s="1"/>
  <c r="Y10" i="40"/>
  <c r="CW10" i="40" s="1"/>
  <c r="Y26" i="47"/>
  <c r="CW26" i="47" s="1"/>
  <c r="Y14" i="4"/>
  <c r="CW14" i="4" s="1"/>
  <c r="I7" i="56" s="1"/>
  <c r="I15" i="56" s="1"/>
  <c r="Y6" i="13"/>
  <c r="BI6" i="13" s="1"/>
  <c r="Y9" i="5"/>
  <c r="CW9" i="5" s="1"/>
  <c r="Y11" i="8"/>
  <c r="CW11" i="8" s="1"/>
  <c r="Y9" i="47"/>
  <c r="CW9" i="47" s="1"/>
  <c r="Y11" i="55"/>
  <c r="BI11" i="55" s="1"/>
  <c r="Y11" i="4"/>
  <c r="CW11" i="4" s="1"/>
  <c r="Y7" i="13"/>
  <c r="BI7" i="13" s="1"/>
  <c r="Y8" i="8"/>
  <c r="CW8" i="8" s="1"/>
  <c r="Y9" i="9"/>
  <c r="CW9" i="9" s="1"/>
  <c r="Y10" i="4"/>
  <c r="CW10" i="4" s="1"/>
  <c r="Y6" i="5"/>
  <c r="CW6" i="5" s="1"/>
  <c r="Y12" i="55"/>
  <c r="BI12" i="55" s="1"/>
  <c r="Y31" i="4"/>
  <c r="CW31" i="4" s="1"/>
  <c r="X11" i="15"/>
  <c r="BH11" i="15" s="1"/>
  <c r="Y24" i="47"/>
  <c r="CW24" i="47" s="1"/>
  <c r="Y13" i="55"/>
  <c r="BI13" i="55" s="1"/>
  <c r="Y8" i="5"/>
  <c r="CW8" i="5" s="1"/>
  <c r="Y9" i="40"/>
  <c r="Y7" i="4"/>
  <c r="CW7" i="4" s="1"/>
  <c r="X12" i="15"/>
  <c r="BH12" i="15" s="1"/>
  <c r="Y9" i="4"/>
  <c r="CW9" i="4" s="1"/>
  <c r="Y15" i="5"/>
  <c r="CW15" i="5" s="1"/>
  <c r="X6" i="15"/>
  <c r="Y23" i="47"/>
  <c r="CW23" i="47" s="1"/>
  <c r="Y13" i="8"/>
  <c r="CW13" i="8" s="1"/>
  <c r="Y11" i="5"/>
  <c r="CW11" i="5" s="1"/>
  <c r="Y13" i="47"/>
  <c r="CW13" i="47" s="1"/>
  <c r="Y16" i="5"/>
  <c r="CW16" i="5" s="1"/>
  <c r="Y6" i="8"/>
  <c r="CW6" i="8" s="1"/>
  <c r="Y11" i="47"/>
  <c r="CW11" i="47" s="1"/>
  <c r="Y8" i="47"/>
  <c r="CW8" i="47" s="1"/>
  <c r="Y10" i="55"/>
  <c r="BI10" i="55" s="1"/>
  <c r="Y18" i="4"/>
  <c r="CW18" i="4" s="1"/>
  <c r="Y10" i="13"/>
  <c r="BI10" i="13" s="1"/>
  <c r="Y14" i="5"/>
  <c r="CW14" i="5" s="1"/>
  <c r="Y10" i="47"/>
  <c r="CW10" i="47" s="1"/>
  <c r="Y16" i="47"/>
  <c r="CW16" i="47" s="1"/>
  <c r="Y17" i="55"/>
  <c r="BI17" i="55" s="1"/>
  <c r="Y19" i="4"/>
  <c r="CW19" i="4" s="1"/>
  <c r="Y11" i="13"/>
  <c r="BI11" i="13" s="1"/>
  <c r="Y19" i="47"/>
  <c r="CW19" i="47" s="1"/>
  <c r="Y20" i="4"/>
  <c r="CW20" i="4" s="1"/>
  <c r="Y17" i="5"/>
  <c r="CW17" i="5" s="1"/>
  <c r="Y7" i="40"/>
  <c r="CW7" i="40" s="1"/>
  <c r="Y27" i="4"/>
  <c r="CW27" i="4" s="1"/>
  <c r="X7" i="15"/>
  <c r="BH7" i="15" s="1"/>
  <c r="Y7" i="9"/>
  <c r="CW7" i="9" s="1"/>
  <c r="Y18" i="47"/>
  <c r="CW18" i="47" s="1"/>
  <c r="Y24" i="4"/>
  <c r="CW24" i="4" s="1"/>
  <c r="Y17" i="47"/>
  <c r="CW17" i="47" s="1"/>
  <c r="Y15" i="4"/>
  <c r="CW15" i="4" s="1"/>
  <c r="I8" i="56" s="1"/>
  <c r="I16" i="56" s="1"/>
  <c r="Y18" i="55"/>
  <c r="BI18" i="55" s="1"/>
  <c r="Y13" i="5"/>
  <c r="CW13" i="5" s="1"/>
  <c r="Y15" i="8"/>
  <c r="CW15" i="8" s="1"/>
  <c r="Y26" i="4"/>
  <c r="CW26" i="4" s="1"/>
  <c r="Y6" i="9"/>
  <c r="CW6" i="9" s="1"/>
  <c r="Y28" i="4"/>
  <c r="CW28" i="4" s="1"/>
  <c r="U27" i="28"/>
  <c r="Y7" i="5"/>
  <c r="CW7" i="5" s="1"/>
  <c r="Y9" i="8"/>
  <c r="CW9" i="8" s="1"/>
  <c r="Y15" i="47"/>
  <c r="CW15" i="47" s="1"/>
  <c r="Y14" i="55"/>
  <c r="BI14" i="55" s="1"/>
  <c r="Y22" i="4"/>
  <c r="CW22" i="4" s="1"/>
  <c r="X9" i="15"/>
  <c r="BH9" i="15" s="1"/>
  <c r="Y6" i="40"/>
  <c r="CW6" i="40" s="1"/>
  <c r="Y21" i="47"/>
  <c r="CW21" i="47" s="1"/>
  <c r="Y8" i="4"/>
  <c r="CW8" i="4" s="1"/>
  <c r="Y23" i="4"/>
  <c r="CW23" i="4" s="1"/>
  <c r="X10" i="15"/>
  <c r="BH10" i="15" s="1"/>
  <c r="Y29" i="47"/>
  <c r="CW29" i="47" s="1"/>
  <c r="Y29" i="4"/>
  <c r="CW29" i="4" s="1"/>
  <c r="Y12" i="47"/>
  <c r="CW12" i="47" s="1"/>
  <c r="Y13" i="4"/>
  <c r="CW13" i="4" s="1"/>
  <c r="I6" i="56" s="1"/>
  <c r="Y28" i="47"/>
  <c r="CW28" i="47" s="1"/>
  <c r="Y17" i="4"/>
  <c r="CW17" i="4" s="1"/>
  <c r="Y7" i="8"/>
  <c r="CW7" i="8" s="1"/>
  <c r="X8" i="15"/>
  <c r="BH8" i="15" s="1"/>
  <c r="Y8" i="13"/>
  <c r="BI8" i="13" s="1"/>
  <c r="K10" i="26" s="1"/>
  <c r="Y9" i="13"/>
  <c r="BI9" i="13" s="1"/>
  <c r="Y14" i="8"/>
  <c r="CW14" i="8" s="1"/>
  <c r="Y20" i="47"/>
  <c r="CW20" i="47" s="1"/>
  <c r="Y27" i="47"/>
  <c r="CW27" i="47" s="1"/>
  <c r="Y6" i="4"/>
  <c r="CW6" i="4" s="1"/>
  <c r="Y12" i="8"/>
  <c r="CW12" i="8" s="1"/>
  <c r="Y21" i="4"/>
  <c r="CW21" i="4" s="1"/>
  <c r="Y25" i="4"/>
  <c r="CW25" i="4" s="1"/>
  <c r="Y8" i="40"/>
  <c r="CW8" i="40" s="1"/>
  <c r="Y10" i="5"/>
  <c r="CW10" i="5" s="1"/>
  <c r="X37" i="47"/>
  <c r="DK39" i="6"/>
  <c r="AB17" i="17" s="1"/>
  <c r="CW9" i="40"/>
  <c r="W37" i="15"/>
  <c r="X37" i="13"/>
  <c r="BM21" i="52"/>
  <c r="BM26" i="52" s="1"/>
  <c r="BM34" i="52" s="1"/>
  <c r="BH37" i="55"/>
  <c r="BH38" i="55" s="1"/>
  <c r="AB12" i="23"/>
  <c r="J24" i="26"/>
  <c r="J22" i="26"/>
  <c r="J18" i="26"/>
  <c r="BG37" i="15"/>
  <c r="J20" i="26"/>
  <c r="J16" i="26"/>
  <c r="Z38" i="17"/>
  <c r="I43" i="26"/>
  <c r="AQ37" i="13"/>
  <c r="Z23" i="17"/>
  <c r="DJ39" i="11"/>
  <c r="F20" i="59"/>
  <c r="F22" i="59" s="1"/>
  <c r="CV37" i="47"/>
  <c r="I7" i="59"/>
  <c r="CT39" i="6"/>
  <c r="CE37" i="4"/>
  <c r="CV37" i="4"/>
  <c r="CV38" i="4" s="1"/>
  <c r="I32" i="26"/>
  <c r="I38" i="26" s="1"/>
  <c r="BP25" i="52"/>
  <c r="P16" i="23" s="1"/>
  <c r="Q37" i="53"/>
  <c r="AS34" i="54"/>
  <c r="AA28" i="17"/>
  <c r="AA29" i="17"/>
  <c r="Z16" i="17"/>
  <c r="Z15" i="17"/>
  <c r="BF38" i="15"/>
  <c r="G17" i="59"/>
  <c r="BO23" i="52"/>
  <c r="BE9" i="54"/>
  <c r="BH37" i="13"/>
  <c r="J12" i="26"/>
  <c r="CF8" i="5"/>
  <c r="CF12" i="5"/>
  <c r="CF16" i="5"/>
  <c r="CF9" i="8"/>
  <c r="CF13" i="8"/>
  <c r="CF10" i="47"/>
  <c r="CF10" i="5"/>
  <c r="CF13" i="5"/>
  <c r="CF7" i="8"/>
  <c r="CF15" i="8"/>
  <c r="CF8" i="40"/>
  <c r="CF6" i="9"/>
  <c r="CF8" i="47"/>
  <c r="CF13" i="47"/>
  <c r="CF19" i="47"/>
  <c r="CF24" i="47"/>
  <c r="CF29" i="47"/>
  <c r="AR13" i="55"/>
  <c r="CF7" i="4"/>
  <c r="CF14" i="4"/>
  <c r="CF18" i="4"/>
  <c r="CF22" i="4"/>
  <c r="CF26" i="4"/>
  <c r="AR7" i="13"/>
  <c r="AR11" i="13"/>
  <c r="AQ7" i="15"/>
  <c r="AQ11" i="15"/>
  <c r="CF7" i="5"/>
  <c r="CF15" i="5"/>
  <c r="CF11" i="8"/>
  <c r="CF7" i="9"/>
  <c r="CF11" i="47"/>
  <c r="CF15" i="47"/>
  <c r="CF21" i="47"/>
  <c r="CF26" i="47"/>
  <c r="AR11" i="55"/>
  <c r="AR14" i="55"/>
  <c r="CF6" i="4"/>
  <c r="CF10" i="4"/>
  <c r="CF11" i="4"/>
  <c r="CF20" i="4"/>
  <c r="CF23" i="4"/>
  <c r="CF29" i="4"/>
  <c r="AR9" i="13"/>
  <c r="AQ10" i="15"/>
  <c r="AQ12" i="15"/>
  <c r="CF6" i="5"/>
  <c r="CF17" i="5"/>
  <c r="CF25" i="47"/>
  <c r="CF10" i="40"/>
  <c r="CF9" i="9"/>
  <c r="CF18" i="47"/>
  <c r="CF28" i="47"/>
  <c r="AR18" i="55"/>
  <c r="CF8" i="4"/>
  <c r="CF17" i="4"/>
  <c r="CF25" i="4"/>
  <c r="AR6" i="13"/>
  <c r="AQ6" i="15"/>
  <c r="CF11" i="5"/>
  <c r="CF7" i="40"/>
  <c r="CF8" i="9"/>
  <c r="CF9" i="47"/>
  <c r="CF16" i="47"/>
  <c r="CF20" i="47"/>
  <c r="CF27" i="47"/>
  <c r="AR10" i="55"/>
  <c r="AR17" i="55"/>
  <c r="CF9" i="4"/>
  <c r="CF15" i="4"/>
  <c r="CF19" i="4"/>
  <c r="CF24" i="4"/>
  <c r="CF28" i="4"/>
  <c r="AR8" i="13"/>
  <c r="AQ9" i="15"/>
  <c r="CF6" i="40"/>
  <c r="CF14" i="5"/>
  <c r="CF8" i="8"/>
  <c r="CF14" i="8"/>
  <c r="CF9" i="40"/>
  <c r="CF12" i="47"/>
  <c r="AR12" i="55"/>
  <c r="CF27" i="4"/>
  <c r="CF13" i="4"/>
  <c r="CF31" i="4"/>
  <c r="AR10" i="13"/>
  <c r="CF6" i="8"/>
  <c r="CF12" i="8"/>
  <c r="CF17" i="47"/>
  <c r="AQ8" i="15"/>
  <c r="CF9" i="5"/>
  <c r="CF23" i="47"/>
  <c r="CF21" i="4"/>
  <c r="CE37" i="9"/>
  <c r="CE37" i="47"/>
  <c r="CT38" i="11"/>
  <c r="AA30" i="17"/>
  <c r="BB33" i="54"/>
  <c r="BB49" i="54"/>
  <c r="BL31" i="54"/>
  <c r="CV37" i="5"/>
  <c r="BL32" i="54"/>
  <c r="CU38" i="5"/>
  <c r="G41" i="52"/>
  <c r="CV37" i="8"/>
  <c r="AL40" i="54"/>
  <c r="CE37" i="40"/>
  <c r="BH6" i="15"/>
  <c r="AP37" i="15"/>
  <c r="AQ37" i="55"/>
  <c r="CE37" i="8"/>
  <c r="CE37" i="5"/>
  <c r="BO25" i="52"/>
  <c r="H32" i="26"/>
  <c r="H38" i="26" s="1"/>
  <c r="F49" i="53" l="1"/>
  <c r="BW37" i="5"/>
  <c r="BW37" i="40"/>
  <c r="BW37" i="9"/>
  <c r="BW37" i="47"/>
  <c r="BW45" i="40"/>
  <c r="CX42" i="40"/>
  <c r="CX45" i="40" s="1"/>
  <c r="CL39" i="6"/>
  <c r="BW37" i="4"/>
  <c r="CL38" i="11"/>
  <c r="BW37" i="8"/>
  <c r="AC26" i="17"/>
  <c r="AC25" i="17"/>
  <c r="G51" i="59"/>
  <c r="G52" i="59" s="1"/>
  <c r="AB37" i="17"/>
  <c r="S36" i="53"/>
  <c r="I30" i="59"/>
  <c r="H40" i="59" s="1"/>
  <c r="Z28" i="17"/>
  <c r="BG38" i="13"/>
  <c r="G44" i="52"/>
  <c r="G20" i="59"/>
  <c r="G22" i="59" s="1"/>
  <c r="AA18" i="17"/>
  <c r="H10" i="59"/>
  <c r="H12" i="59" s="1"/>
  <c r="CU38" i="8"/>
  <c r="K25" i="41"/>
  <c r="G31" i="59"/>
  <c r="G32" i="59" s="1"/>
  <c r="R33" i="53"/>
  <c r="R37" i="53" s="1"/>
  <c r="S34" i="53"/>
  <c r="Z7" i="17"/>
  <c r="Z8" i="17"/>
  <c r="I40" i="54"/>
  <c r="AM40" i="54" s="1"/>
  <c r="BF26" i="54"/>
  <c r="BM26" i="54" s="1"/>
  <c r="DK38" i="11"/>
  <c r="DK39" i="11" s="1"/>
  <c r="Z36" i="17"/>
  <c r="CU38" i="47"/>
  <c r="DK40" i="6"/>
  <c r="BF31" i="54"/>
  <c r="BM31" i="54" s="1"/>
  <c r="H37" i="53"/>
  <c r="BG38" i="54"/>
  <c r="BN38" i="54" s="1"/>
  <c r="I28" i="59"/>
  <c r="H38" i="59" s="1"/>
  <c r="H41" i="52"/>
  <c r="AK40" i="54"/>
  <c r="T36" i="53"/>
  <c r="BC26" i="54"/>
  <c r="E49" i="53"/>
  <c r="Y37" i="9"/>
  <c r="K30" i="26"/>
  <c r="J30" i="59"/>
  <c r="I40" i="59" s="1"/>
  <c r="I14" i="56"/>
  <c r="J8" i="59"/>
  <c r="I18" i="59" s="1"/>
  <c r="I47" i="59"/>
  <c r="J11" i="59"/>
  <c r="I21" i="59" s="1"/>
  <c r="L11" i="41" s="1"/>
  <c r="BI40" i="55"/>
  <c r="AC16" i="23"/>
  <c r="K26" i="26"/>
  <c r="T35" i="53"/>
  <c r="K28" i="26"/>
  <c r="AC40" i="17"/>
  <c r="I9" i="56"/>
  <c r="I17" i="56" s="1"/>
  <c r="K14" i="26"/>
  <c r="J9" i="59"/>
  <c r="I19" i="59" s="1"/>
  <c r="L10" i="41" s="1"/>
  <c r="X37" i="15"/>
  <c r="Y37" i="13"/>
  <c r="CW37" i="40"/>
  <c r="CW38" i="40" s="1"/>
  <c r="CW37" i="9"/>
  <c r="AB8" i="17"/>
  <c r="Y37" i="4"/>
  <c r="AN38" i="11"/>
  <c r="Y37" i="55"/>
  <c r="Y37" i="5"/>
  <c r="DL39" i="6"/>
  <c r="DL40" i="6" s="1"/>
  <c r="Y37" i="40"/>
  <c r="Z6" i="5"/>
  <c r="CX6" i="5" s="1"/>
  <c r="Z9" i="8"/>
  <c r="CX9" i="8" s="1"/>
  <c r="Z8" i="40"/>
  <c r="CX8" i="40" s="1"/>
  <c r="Z20" i="47"/>
  <c r="CX20" i="47" s="1"/>
  <c r="Z7" i="4"/>
  <c r="CX7" i="4" s="1"/>
  <c r="Z26" i="4"/>
  <c r="CX26" i="4" s="1"/>
  <c r="Y12" i="15"/>
  <c r="BI12" i="15" s="1"/>
  <c r="Z25" i="47"/>
  <c r="CX25" i="47" s="1"/>
  <c r="Z8" i="9"/>
  <c r="CX8" i="9" s="1"/>
  <c r="Z27" i="47"/>
  <c r="CX27" i="47" s="1"/>
  <c r="Z9" i="4"/>
  <c r="CX9" i="4" s="1"/>
  <c r="Z28" i="4"/>
  <c r="CX28" i="4" s="1"/>
  <c r="Z9" i="5"/>
  <c r="CX9" i="5" s="1"/>
  <c r="DA9" i="5" s="1"/>
  <c r="DB9" i="5" s="1"/>
  <c r="Z8" i="8"/>
  <c r="CX8" i="8" s="1"/>
  <c r="Z6" i="40"/>
  <c r="CX6" i="40" s="1"/>
  <c r="Z18" i="55"/>
  <c r="BJ18" i="55" s="1"/>
  <c r="Y11" i="15"/>
  <c r="BI11" i="15" s="1"/>
  <c r="Z8" i="47"/>
  <c r="CX8" i="47" s="1"/>
  <c r="Z10" i="4"/>
  <c r="CX10" i="4" s="1"/>
  <c r="Z8" i="5"/>
  <c r="CX8" i="5" s="1"/>
  <c r="DA8" i="5" s="1"/>
  <c r="DB8" i="5" s="1"/>
  <c r="Z13" i="55"/>
  <c r="BJ13" i="55" s="1"/>
  <c r="Y7" i="15"/>
  <c r="BI7" i="15" s="1"/>
  <c r="Z15" i="8"/>
  <c r="CX15" i="8" s="1"/>
  <c r="Z24" i="4"/>
  <c r="CX24" i="4" s="1"/>
  <c r="Z23" i="47"/>
  <c r="CX23" i="47" s="1"/>
  <c r="Z10" i="5"/>
  <c r="CX10" i="5" s="1"/>
  <c r="DA10" i="5" s="1"/>
  <c r="DB10" i="5" s="1"/>
  <c r="Z13" i="8"/>
  <c r="CX13" i="8" s="1"/>
  <c r="Z7" i="9"/>
  <c r="CX7" i="9" s="1"/>
  <c r="Z26" i="47"/>
  <c r="CX26" i="47" s="1"/>
  <c r="Z14" i="4"/>
  <c r="CX14" i="4" s="1"/>
  <c r="J7" i="56" s="1"/>
  <c r="Z6" i="13"/>
  <c r="BJ6" i="13" s="1"/>
  <c r="Z7" i="5"/>
  <c r="CX7" i="5" s="1"/>
  <c r="DA7" i="5" s="1"/>
  <c r="DB7" i="5" s="1"/>
  <c r="Z6" i="8"/>
  <c r="CX6" i="8" s="1"/>
  <c r="Z11" i="47"/>
  <c r="CX11" i="47" s="1"/>
  <c r="Z11" i="55"/>
  <c r="BJ11" i="55" s="1"/>
  <c r="Z11" i="4"/>
  <c r="CX11" i="4" s="1"/>
  <c r="Z7" i="13"/>
  <c r="BJ7" i="13" s="1"/>
  <c r="Z17" i="5"/>
  <c r="CX17" i="5" s="1"/>
  <c r="DA17" i="5" s="1"/>
  <c r="DB17" i="5" s="1"/>
  <c r="Z10" i="47"/>
  <c r="CX10" i="47" s="1"/>
  <c r="Z9" i="9"/>
  <c r="CX9" i="9" s="1"/>
  <c r="Z17" i="4"/>
  <c r="CX17" i="4" s="1"/>
  <c r="Z12" i="5"/>
  <c r="CX12" i="5" s="1"/>
  <c r="DA12" i="5" s="1"/>
  <c r="DB12" i="5" s="1"/>
  <c r="Z19" i="47"/>
  <c r="CX19" i="47" s="1"/>
  <c r="Z20" i="4"/>
  <c r="CX20" i="4" s="1"/>
  <c r="Z13" i="4"/>
  <c r="CX13" i="4" s="1"/>
  <c r="J6" i="56" s="1"/>
  <c r="Y8" i="15"/>
  <c r="BI8" i="15" s="1"/>
  <c r="Z7" i="8"/>
  <c r="CX7" i="8" s="1"/>
  <c r="Z27" i="4"/>
  <c r="CX27" i="4" s="1"/>
  <c r="Z12" i="8"/>
  <c r="CX12" i="8" s="1"/>
  <c r="Z14" i="5"/>
  <c r="CX14" i="5" s="1"/>
  <c r="DA14" i="5" s="1"/>
  <c r="DB14" i="5" s="1"/>
  <c r="Z17" i="47"/>
  <c r="CX17" i="47" s="1"/>
  <c r="Z9" i="47"/>
  <c r="CX9" i="47" s="1"/>
  <c r="Z10" i="55"/>
  <c r="Z18" i="4"/>
  <c r="CX18" i="4" s="1"/>
  <c r="Z10" i="13"/>
  <c r="BJ10" i="13" s="1"/>
  <c r="Z11" i="5"/>
  <c r="CX11" i="5" s="1"/>
  <c r="DA11" i="5" s="1"/>
  <c r="DB11" i="5" s="1"/>
  <c r="Z16" i="47"/>
  <c r="CX16" i="47" s="1"/>
  <c r="Z17" i="55"/>
  <c r="BJ17" i="55" s="1"/>
  <c r="Z19" i="4"/>
  <c r="CX19" i="4" s="1"/>
  <c r="Z11" i="13"/>
  <c r="BJ11" i="13" s="1"/>
  <c r="Z18" i="47"/>
  <c r="CX18" i="47" s="1"/>
  <c r="Z25" i="4"/>
  <c r="CX25" i="4" s="1"/>
  <c r="Z29" i="47"/>
  <c r="CX29" i="47" s="1"/>
  <c r="Z29" i="4"/>
  <c r="CX29" i="4" s="1"/>
  <c r="Z31" i="4"/>
  <c r="CX31" i="4" s="1"/>
  <c r="Z6" i="9"/>
  <c r="CX6" i="9" s="1"/>
  <c r="Z12" i="47"/>
  <c r="CX12" i="47" s="1"/>
  <c r="Z13" i="5"/>
  <c r="CX13" i="5" s="1"/>
  <c r="DA13" i="5" s="1"/>
  <c r="DB13" i="5" s="1"/>
  <c r="Z15" i="4"/>
  <c r="CX15" i="4" s="1"/>
  <c r="J8" i="56" s="1"/>
  <c r="Z24" i="47"/>
  <c r="CX24" i="47" s="1"/>
  <c r="Z15" i="47"/>
  <c r="CX15" i="47" s="1"/>
  <c r="Z22" i="4"/>
  <c r="CX22" i="4" s="1"/>
  <c r="Z15" i="5"/>
  <c r="CX15" i="5" s="1"/>
  <c r="DA15" i="5" s="1"/>
  <c r="DB15" i="5" s="1"/>
  <c r="Z14" i="8"/>
  <c r="CX14" i="8" s="1"/>
  <c r="Z21" i="47"/>
  <c r="CX21" i="47" s="1"/>
  <c r="Z23" i="4"/>
  <c r="CX23" i="4" s="1"/>
  <c r="Z28" i="47"/>
  <c r="CX28" i="47" s="1"/>
  <c r="Z7" i="40"/>
  <c r="CX7" i="40" s="1"/>
  <c r="Y6" i="15"/>
  <c r="BI6" i="15" s="1"/>
  <c r="Z13" i="47"/>
  <c r="CX13" i="47" s="1"/>
  <c r="Z21" i="4"/>
  <c r="CX21" i="4" s="1"/>
  <c r="Z10" i="40"/>
  <c r="CX10" i="40" s="1"/>
  <c r="Z14" i="55"/>
  <c r="BJ14" i="55" s="1"/>
  <c r="Y9" i="15"/>
  <c r="BI9" i="15" s="1"/>
  <c r="Z9" i="40"/>
  <c r="CX9" i="40" s="1"/>
  <c r="Z8" i="4"/>
  <c r="CX8" i="4" s="1"/>
  <c r="Y10" i="15"/>
  <c r="BI10" i="15" s="1"/>
  <c r="Z9" i="13"/>
  <c r="BJ9" i="13" s="1"/>
  <c r="J9" i="56" s="1"/>
  <c r="Z11" i="8"/>
  <c r="CX11" i="8" s="1"/>
  <c r="Z6" i="4"/>
  <c r="CX6" i="4" s="1"/>
  <c r="Z16" i="5"/>
  <c r="CX16" i="5" s="1"/>
  <c r="DA16" i="5" s="1"/>
  <c r="DB16" i="5" s="1"/>
  <c r="Z12" i="55"/>
  <c r="BJ12" i="55" s="1"/>
  <c r="Z8" i="13"/>
  <c r="BJ8" i="13" s="1"/>
  <c r="L10" i="26" s="1"/>
  <c r="Y37" i="47"/>
  <c r="Y37" i="8"/>
  <c r="AN39" i="6"/>
  <c r="BH32" i="54"/>
  <c r="CW37" i="5"/>
  <c r="CW37" i="8"/>
  <c r="AB19" i="17"/>
  <c r="CV38" i="8"/>
  <c r="AA16" i="17"/>
  <c r="CU38" i="11"/>
  <c r="O16" i="23"/>
  <c r="BI37" i="55"/>
  <c r="BI38" i="55" s="1"/>
  <c r="BF40" i="54"/>
  <c r="AB29" i="17"/>
  <c r="AB28" i="17"/>
  <c r="DL38" i="11"/>
  <c r="CW38" i="9"/>
  <c r="CF37" i="40"/>
  <c r="CF37" i="5"/>
  <c r="AC9" i="17"/>
  <c r="K108" i="19"/>
  <c r="K112" i="19" s="1"/>
  <c r="K110" i="19" s="1"/>
  <c r="AA23" i="17"/>
  <c r="BN21" i="52"/>
  <c r="BN26" i="52" s="1"/>
  <c r="BN34" i="52" s="1"/>
  <c r="BG31" i="54"/>
  <c r="J43" i="26"/>
  <c r="AR37" i="13"/>
  <c r="CU39" i="6"/>
  <c r="BG9" i="54"/>
  <c r="CV38" i="5"/>
  <c r="H44" i="52"/>
  <c r="AA36" i="17"/>
  <c r="CF37" i="4"/>
  <c r="CF37" i="47"/>
  <c r="O14" i="23"/>
  <c r="BL38" i="54"/>
  <c r="CW37" i="4"/>
  <c r="CW38" i="4" s="1"/>
  <c r="I27" i="59"/>
  <c r="F50" i="54"/>
  <c r="BI37" i="13"/>
  <c r="K12" i="26"/>
  <c r="AC12" i="23"/>
  <c r="K16" i="26"/>
  <c r="K18" i="26"/>
  <c r="BH37" i="15"/>
  <c r="K20" i="26"/>
  <c r="K22" i="26"/>
  <c r="K24" i="26"/>
  <c r="F41" i="59"/>
  <c r="F42" i="59" s="1"/>
  <c r="J27" i="59"/>
  <c r="CW37" i="47"/>
  <c r="J7" i="59"/>
  <c r="CF37" i="8"/>
  <c r="AR37" i="55"/>
  <c r="BJ10" i="55"/>
  <c r="AQ37" i="15"/>
  <c r="CF37" i="9"/>
  <c r="BM9" i="54"/>
  <c r="BC34" i="54"/>
  <c r="AS33" i="54"/>
  <c r="AS49" i="54"/>
  <c r="AA13" i="23"/>
  <c r="P40" i="23"/>
  <c r="AC37" i="17"/>
  <c r="I10" i="59"/>
  <c r="I12" i="59" s="1"/>
  <c r="H17" i="59"/>
  <c r="H20" i="59" s="1"/>
  <c r="H22" i="59" s="1"/>
  <c r="G48" i="53"/>
  <c r="S33" i="53"/>
  <c r="BG38" i="15"/>
  <c r="BH39" i="13"/>
  <c r="BH38" i="13"/>
  <c r="BE26" i="54"/>
  <c r="BL9" i="54"/>
  <c r="AA38" i="17"/>
  <c r="BF36" i="54"/>
  <c r="BM36" i="54" s="1"/>
  <c r="L15" i="60" s="1"/>
  <c r="BQ25" i="52"/>
  <c r="Q16" i="23" s="1"/>
  <c r="J32" i="26"/>
  <c r="J38" i="26" s="1"/>
  <c r="CV38" i="47"/>
  <c r="AB24" i="17"/>
  <c r="DK39" i="7"/>
  <c r="AB18" i="17"/>
  <c r="AT34" i="54"/>
  <c r="BR23" i="52"/>
  <c r="R14" i="23" s="1"/>
  <c r="R38" i="23" s="1"/>
  <c r="H51" i="59"/>
  <c r="H52" i="59" s="1"/>
  <c r="AB30" i="17"/>
  <c r="AA15" i="17" l="1"/>
  <c r="I44" i="53"/>
  <c r="I18" i="56"/>
  <c r="AD26" i="17"/>
  <c r="AD25" i="17"/>
  <c r="I37" i="53"/>
  <c r="T34" i="53"/>
  <c r="H42" i="52"/>
  <c r="AC17" i="17"/>
  <c r="AB7" i="17"/>
  <c r="J40" i="54"/>
  <c r="L25" i="41"/>
  <c r="BH38" i="54"/>
  <c r="BO38" i="54" s="1"/>
  <c r="AA8" i="17"/>
  <c r="I42" i="52"/>
  <c r="H29" i="59"/>
  <c r="H44" i="53"/>
  <c r="H48" i="53" s="1"/>
  <c r="H51" i="53" s="1"/>
  <c r="BH31" i="54"/>
  <c r="BO31" i="54" s="1"/>
  <c r="I50" i="59"/>
  <c r="I51" i="59" s="1"/>
  <c r="I52" i="59" s="1"/>
  <c r="BE40" i="54"/>
  <c r="K40" i="54"/>
  <c r="L40" i="54" s="1"/>
  <c r="L28" i="26"/>
  <c r="Z37" i="9"/>
  <c r="J14" i="56"/>
  <c r="K14" i="56" s="1"/>
  <c r="K6" i="56"/>
  <c r="J17" i="56"/>
  <c r="K17" i="56" s="1"/>
  <c r="K9" i="56"/>
  <c r="K9" i="59"/>
  <c r="J19" i="59" s="1"/>
  <c r="M10" i="41" s="1"/>
  <c r="L30" i="26"/>
  <c r="K8" i="59"/>
  <c r="J18" i="59" s="1"/>
  <c r="K18" i="59" s="1"/>
  <c r="L26" i="26"/>
  <c r="AD16" i="23"/>
  <c r="AE16" i="23" s="1"/>
  <c r="L14" i="26"/>
  <c r="J15" i="56"/>
  <c r="K15" i="56" s="1"/>
  <c r="K7" i="56"/>
  <c r="J10" i="56"/>
  <c r="BJ40" i="55"/>
  <c r="J16" i="56"/>
  <c r="K16" i="56" s="1"/>
  <c r="K8" i="56"/>
  <c r="K11" i="59"/>
  <c r="J21" i="59" s="1"/>
  <c r="M11" i="41" s="1"/>
  <c r="AD9" i="17"/>
  <c r="CX37" i="9"/>
  <c r="AO39" i="6"/>
  <c r="Z37" i="13"/>
  <c r="I10" i="56"/>
  <c r="Z37" i="4"/>
  <c r="Y37" i="15"/>
  <c r="Z37" i="55"/>
  <c r="Z37" i="47"/>
  <c r="DM39" i="6"/>
  <c r="AD17" i="17" s="1"/>
  <c r="CX37" i="40"/>
  <c r="CX38" i="40" s="1"/>
  <c r="AO38" i="11"/>
  <c r="Z37" i="40"/>
  <c r="Z37" i="5"/>
  <c r="Z37" i="8"/>
  <c r="J28" i="59"/>
  <c r="I38" i="59" s="1"/>
  <c r="T33" i="53"/>
  <c r="Q40" i="23"/>
  <c r="AB13" i="23"/>
  <c r="G9" i="20"/>
  <c r="BL26" i="54"/>
  <c r="BD34" i="54"/>
  <c r="AT49" i="54"/>
  <c r="AT33" i="54"/>
  <c r="BE36" i="54"/>
  <c r="J44" i="53"/>
  <c r="BC33" i="54"/>
  <c r="BC49" i="54"/>
  <c r="AD12" i="23"/>
  <c r="AE12" i="23" s="1"/>
  <c r="L22" i="26"/>
  <c r="L20" i="26"/>
  <c r="L16" i="26"/>
  <c r="L24" i="26"/>
  <c r="L18" i="26"/>
  <c r="BI37" i="15"/>
  <c r="CX37" i="8"/>
  <c r="CW38" i="47"/>
  <c r="AC24" i="17"/>
  <c r="I41" i="52"/>
  <c r="BJ37" i="13"/>
  <c r="L12" i="26"/>
  <c r="BN31" i="54"/>
  <c r="AC18" i="17"/>
  <c r="DL39" i="7"/>
  <c r="U36" i="53"/>
  <c r="V36" i="53" s="1"/>
  <c r="J50" i="59"/>
  <c r="CX37" i="5"/>
  <c r="AC29" i="17"/>
  <c r="AC28" i="17"/>
  <c r="DL39" i="11"/>
  <c r="BF39" i="54"/>
  <c r="BM39" i="54" s="1"/>
  <c r="L16" i="60" s="1"/>
  <c r="BM40" i="54"/>
  <c r="BG36" i="54"/>
  <c r="BN36" i="54" s="1"/>
  <c r="M15" i="60" s="1"/>
  <c r="AB38" i="17"/>
  <c r="BH9" i="54"/>
  <c r="I37" i="59"/>
  <c r="BG40" i="54"/>
  <c r="K43" i="26"/>
  <c r="J47" i="59"/>
  <c r="BI39" i="13"/>
  <c r="BI38" i="13"/>
  <c r="I31" i="59"/>
  <c r="I32" i="59" s="1"/>
  <c r="H37" i="59"/>
  <c r="O38" i="23"/>
  <c r="H50" i="54"/>
  <c r="BS23" i="52"/>
  <c r="S14" i="23" s="1"/>
  <c r="S38" i="23" s="1"/>
  <c r="AA7" i="17"/>
  <c r="DM38" i="11"/>
  <c r="CW38" i="8"/>
  <c r="AC19" i="17"/>
  <c r="K7" i="59"/>
  <c r="CX37" i="47"/>
  <c r="CW38" i="5"/>
  <c r="S37" i="53"/>
  <c r="BO32" i="54"/>
  <c r="H9" i="20"/>
  <c r="AB36" i="17"/>
  <c r="I44" i="52"/>
  <c r="G49" i="53"/>
  <c r="G51" i="53"/>
  <c r="BJ37" i="55"/>
  <c r="BJ38" i="55" s="1"/>
  <c r="I17" i="59"/>
  <c r="I20" i="59" s="1"/>
  <c r="I22" i="59" s="1"/>
  <c r="J10" i="59"/>
  <c r="J12" i="59" s="1"/>
  <c r="AB23" i="17"/>
  <c r="BH38" i="15"/>
  <c r="AN40" i="54"/>
  <c r="CX37" i="4"/>
  <c r="CX38" i="4" s="1"/>
  <c r="AB16" i="17"/>
  <c r="AB15" i="17"/>
  <c r="BN9" i="54"/>
  <c r="G50" i="54"/>
  <c r="L108" i="19"/>
  <c r="L112" i="19" s="1"/>
  <c r="L110" i="19" s="1"/>
  <c r="H12" i="20"/>
  <c r="G12" i="20"/>
  <c r="AC30" i="17"/>
  <c r="Z13" i="23"/>
  <c r="O40" i="23"/>
  <c r="DA6" i="5"/>
  <c r="I48" i="53" l="1"/>
  <c r="D36" i="61"/>
  <c r="G34" i="61"/>
  <c r="Z12" i="17"/>
  <c r="G43" i="52"/>
  <c r="K50" i="59"/>
  <c r="T37" i="53"/>
  <c r="K28" i="59"/>
  <c r="J38" i="59" s="1"/>
  <c r="K38" i="59" s="1"/>
  <c r="U35" i="53"/>
  <c r="V35" i="53" s="1"/>
  <c r="J37" i="53"/>
  <c r="U34" i="53"/>
  <c r="V34" i="53" s="1"/>
  <c r="BI31" i="54"/>
  <c r="BP31" i="54" s="1"/>
  <c r="BQ31" i="54" s="1"/>
  <c r="K27" i="59"/>
  <c r="BH26" i="54"/>
  <c r="BO26" i="54" s="1"/>
  <c r="AD40" i="17"/>
  <c r="CX38" i="9"/>
  <c r="K18" i="56"/>
  <c r="M25" i="41"/>
  <c r="H49" i="53"/>
  <c r="AD37" i="17"/>
  <c r="G39" i="59"/>
  <c r="H31" i="59"/>
  <c r="H32" i="59" s="1"/>
  <c r="BS25" i="52"/>
  <c r="S16" i="23" s="1"/>
  <c r="J31" i="59"/>
  <c r="J32" i="59" s="1"/>
  <c r="J18" i="56"/>
  <c r="K10" i="56"/>
  <c r="BE39" i="54"/>
  <c r="BL39" i="54" s="1"/>
  <c r="K16" i="60" s="1"/>
  <c r="BL40" i="54"/>
  <c r="DM40" i="6"/>
  <c r="K19" i="59"/>
  <c r="I41" i="59"/>
  <c r="I42" i="59" s="1"/>
  <c r="K21" i="59"/>
  <c r="I51" i="53"/>
  <c r="J17" i="59"/>
  <c r="J20" i="59" s="1"/>
  <c r="J22" i="59" s="1"/>
  <c r="K10" i="59"/>
  <c r="K12" i="59" s="1"/>
  <c r="DM39" i="7"/>
  <c r="AD18" i="17"/>
  <c r="BE34" i="54"/>
  <c r="AU49" i="54"/>
  <c r="J41" i="52"/>
  <c r="U33" i="53"/>
  <c r="BN40" i="54"/>
  <c r="BG39" i="54"/>
  <c r="BN39" i="54" s="1"/>
  <c r="M16" i="60" s="1"/>
  <c r="BO9" i="54"/>
  <c r="AC23" i="17"/>
  <c r="O9" i="20"/>
  <c r="AC16" i="17"/>
  <c r="AC15" i="17"/>
  <c r="DB6" i="5"/>
  <c r="DB37" i="5" s="1"/>
  <c r="DA37" i="5"/>
  <c r="H40" i="26"/>
  <c r="O12" i="20"/>
  <c r="I40" i="26"/>
  <c r="I41" i="26" s="1"/>
  <c r="P12" i="20"/>
  <c r="P9" i="20"/>
  <c r="J37" i="59"/>
  <c r="M108" i="19"/>
  <c r="M112" i="19" s="1"/>
  <c r="M110" i="19" s="1"/>
  <c r="BG26" i="54"/>
  <c r="H41" i="59"/>
  <c r="H42" i="59" s="1"/>
  <c r="AC36" i="17"/>
  <c r="CX38" i="5"/>
  <c r="AC8" i="17"/>
  <c r="BQ23" i="52"/>
  <c r="BH40" i="54"/>
  <c r="AD30" i="17"/>
  <c r="CX38" i="47"/>
  <c r="AD24" i="17"/>
  <c r="DM39" i="11"/>
  <c r="AO40" i="54"/>
  <c r="AP40" i="54" s="1"/>
  <c r="J51" i="59"/>
  <c r="J52" i="59" s="1"/>
  <c r="K47" i="59"/>
  <c r="BE35" i="54"/>
  <c r="CX38" i="8"/>
  <c r="AD19" i="17"/>
  <c r="L43" i="26"/>
  <c r="BD33" i="54"/>
  <c r="BD49" i="54"/>
  <c r="BF35" i="54"/>
  <c r="BM35" i="54" s="1"/>
  <c r="L13" i="60" s="1"/>
  <c r="J42" i="52"/>
  <c r="BR25" i="52"/>
  <c r="K32" i="26"/>
  <c r="K38" i="26" s="1"/>
  <c r="AC38" i="17"/>
  <c r="AD29" i="17"/>
  <c r="AD28" i="17"/>
  <c r="BJ39" i="13"/>
  <c r="BJ38" i="13"/>
  <c r="BI38" i="15"/>
  <c r="BL36" i="54"/>
  <c r="J48" i="53" l="1"/>
  <c r="J51" i="53" s="1"/>
  <c r="BJ31" i="54"/>
  <c r="F36" i="61"/>
  <c r="E36" i="61"/>
  <c r="G35" i="61"/>
  <c r="G47" i="54"/>
  <c r="K51" i="59"/>
  <c r="K52" i="59" s="1"/>
  <c r="K44" i="53"/>
  <c r="H43" i="52"/>
  <c r="AA12" i="17"/>
  <c r="K17" i="59"/>
  <c r="K20" i="59" s="1"/>
  <c r="K22" i="59" s="1"/>
  <c r="I9" i="20"/>
  <c r="Q9" i="20" s="1"/>
  <c r="L32" i="26"/>
  <c r="L38" i="26" s="1"/>
  <c r="M38" i="26" s="1"/>
  <c r="BI9" i="54"/>
  <c r="BP9" i="54" s="1"/>
  <c r="K39" i="59"/>
  <c r="G41" i="59"/>
  <c r="G42" i="59" s="1"/>
  <c r="K30" i="59"/>
  <c r="L44" i="53"/>
  <c r="BI32" i="54"/>
  <c r="K37" i="59"/>
  <c r="AD8" i="17"/>
  <c r="AD36" i="17"/>
  <c r="K42" i="52"/>
  <c r="K37" i="53"/>
  <c r="L37" i="53"/>
  <c r="R16" i="23"/>
  <c r="BT25" i="52"/>
  <c r="BL35" i="54"/>
  <c r="AC7" i="17"/>
  <c r="AD13" i="23"/>
  <c r="S40" i="23"/>
  <c r="BO21" i="52"/>
  <c r="BO22" i="52"/>
  <c r="AD23" i="17"/>
  <c r="I50" i="54"/>
  <c r="BO40" i="54"/>
  <c r="BH39" i="54"/>
  <c r="AD16" i="17"/>
  <c r="AD15" i="17"/>
  <c r="I12" i="20"/>
  <c r="H41" i="26"/>
  <c r="AD38" i="17"/>
  <c r="BI36" i="54"/>
  <c r="BP36" i="54" s="1"/>
  <c r="O15" i="60" s="1"/>
  <c r="Q14" i="23"/>
  <c r="BT23" i="52"/>
  <c r="BF34" i="54"/>
  <c r="AV49" i="54"/>
  <c r="BN26" i="54"/>
  <c r="BG35" i="54"/>
  <c r="BN35" i="54" s="1"/>
  <c r="M13" i="60" s="1"/>
  <c r="H11" i="20"/>
  <c r="J44" i="52"/>
  <c r="BE33" i="54"/>
  <c r="BL34" i="54"/>
  <c r="BE49" i="54"/>
  <c r="K15" i="60"/>
  <c r="BI38" i="54"/>
  <c r="BI40" i="54"/>
  <c r="N108" i="19"/>
  <c r="N112" i="19" s="1"/>
  <c r="N110" i="19" s="1"/>
  <c r="J12" i="20"/>
  <c r="K41" i="52"/>
  <c r="G11" i="20"/>
  <c r="J49" i="53"/>
  <c r="L41" i="52"/>
  <c r="U37" i="53"/>
  <c r="V33" i="53"/>
  <c r="V37" i="53" s="1"/>
  <c r="L42" i="52"/>
  <c r="I49" i="53"/>
  <c r="H47" i="54" l="1"/>
  <c r="G36" i="61"/>
  <c r="BJ9" i="54"/>
  <c r="J40" i="59"/>
  <c r="K31" i="59"/>
  <c r="K32" i="59" s="1"/>
  <c r="BP32" i="54"/>
  <c r="BQ32" i="54" s="1"/>
  <c r="BJ32" i="54"/>
  <c r="K44" i="52"/>
  <c r="O11" i="20"/>
  <c r="AW49" i="54"/>
  <c r="BG34" i="54"/>
  <c r="K9" i="20"/>
  <c r="P11" i="20"/>
  <c r="Z11" i="23"/>
  <c r="BO26" i="52"/>
  <c r="BO34" i="52" s="1"/>
  <c r="O12" i="23"/>
  <c r="J50" i="54"/>
  <c r="K40" i="26"/>
  <c r="K41" i="26" s="1"/>
  <c r="R12" i="20"/>
  <c r="K12" i="60"/>
  <c r="BL49" i="54"/>
  <c r="BH36" i="54"/>
  <c r="J40" i="26"/>
  <c r="Q12" i="20"/>
  <c r="AD7" i="17"/>
  <c r="BQ9" i="54"/>
  <c r="BP38" i="54"/>
  <c r="BQ38" i="54" s="1"/>
  <c r="BJ38" i="54"/>
  <c r="BL33" i="54"/>
  <c r="Q38" i="23"/>
  <c r="T38" i="23" s="1"/>
  <c r="T14" i="23"/>
  <c r="BO39" i="54"/>
  <c r="K13" i="60"/>
  <c r="K48" i="53"/>
  <c r="L44" i="52"/>
  <c r="G9" i="58"/>
  <c r="G20" i="58" s="1"/>
  <c r="BP21" i="52"/>
  <c r="J9" i="20"/>
  <c r="BP40" i="54"/>
  <c r="BQ40" i="54" s="1"/>
  <c r="BI39" i="54"/>
  <c r="BP39" i="54" s="1"/>
  <c r="O16" i="60" s="1"/>
  <c r="BF33" i="54"/>
  <c r="BM33" i="54" s="1"/>
  <c r="BM34" i="54"/>
  <c r="BF49" i="54"/>
  <c r="BP22" i="52"/>
  <c r="P13" i="23" s="1"/>
  <c r="I11" i="20"/>
  <c r="O108" i="19"/>
  <c r="O112" i="19" s="1"/>
  <c r="O110" i="19" s="1"/>
  <c r="K12" i="20"/>
  <c r="L12" i="20" s="1"/>
  <c r="O13" i="23"/>
  <c r="F9" i="58"/>
  <c r="F20" i="58" s="1"/>
  <c r="BI26" i="54"/>
  <c r="R40" i="23"/>
  <c r="T40" i="23" s="1"/>
  <c r="AC13" i="23"/>
  <c r="AE13" i="23" s="1"/>
  <c r="T16" i="23"/>
  <c r="BJ40" i="54"/>
  <c r="Z17" i="23" l="1"/>
  <c r="P37" i="23"/>
  <c r="H36" i="61"/>
  <c r="K40" i="59"/>
  <c r="K41" i="59" s="1"/>
  <c r="K42" i="59" s="1"/>
  <c r="J41" i="59"/>
  <c r="J42" i="59" s="1"/>
  <c r="BP26" i="54"/>
  <c r="BJ26" i="54"/>
  <c r="R9" i="20"/>
  <c r="L9" i="20"/>
  <c r="AX49" i="54"/>
  <c r="BH34" i="54"/>
  <c r="K51" i="53"/>
  <c r="L51" i="53" s="1"/>
  <c r="K49" i="53"/>
  <c r="L48" i="53"/>
  <c r="L49" i="53" s="1"/>
  <c r="N16" i="60"/>
  <c r="BQ39" i="54"/>
  <c r="BH35" i="54"/>
  <c r="K50" i="54"/>
  <c r="BQ22" i="52"/>
  <c r="Q13" i="23" s="1"/>
  <c r="O36" i="23"/>
  <c r="S9" i="20"/>
  <c r="Q11" i="20"/>
  <c r="L12" i="60"/>
  <c r="BM49" i="54"/>
  <c r="AA11" i="23"/>
  <c r="BP26" i="52"/>
  <c r="BP34" i="52" s="1"/>
  <c r="P12" i="23"/>
  <c r="L40" i="26"/>
  <c r="L41" i="26" s="1"/>
  <c r="S12" i="20"/>
  <c r="J11" i="20"/>
  <c r="R11" i="20" s="1"/>
  <c r="BO36" i="54"/>
  <c r="BJ36" i="54"/>
  <c r="BN34" i="54"/>
  <c r="BG33" i="54"/>
  <c r="BN33" i="54" s="1"/>
  <c r="BG49" i="54"/>
  <c r="O37" i="23"/>
  <c r="BI35" i="54"/>
  <c r="BP35" i="54" s="1"/>
  <c r="O13" i="60" s="1"/>
  <c r="BJ39" i="54"/>
  <c r="J41" i="26"/>
  <c r="BQ21" i="52"/>
  <c r="AA17" i="23" l="1"/>
  <c r="Q37" i="23"/>
  <c r="P36" i="23"/>
  <c r="P16" i="60"/>
  <c r="M40" i="26"/>
  <c r="I43" i="52"/>
  <c r="AB12" i="17"/>
  <c r="K117" i="19"/>
  <c r="M41" i="26"/>
  <c r="AB11" i="23"/>
  <c r="BQ26" i="52"/>
  <c r="BQ34" i="52" s="1"/>
  <c r="Q12" i="23"/>
  <c r="H9" i="58"/>
  <c r="H20" i="58" s="1"/>
  <c r="BR22" i="52"/>
  <c r="R13" i="23" s="1"/>
  <c r="BQ26" i="54"/>
  <c r="M12" i="60"/>
  <c r="BN49" i="54"/>
  <c r="N15" i="60"/>
  <c r="BQ36" i="54"/>
  <c r="AY49" i="54"/>
  <c r="AZ49" i="54" s="1"/>
  <c r="BI34" i="54"/>
  <c r="L50" i="54"/>
  <c r="BO35" i="54"/>
  <c r="BJ35" i="54"/>
  <c r="BH33" i="54"/>
  <c r="BO33" i="54" s="1"/>
  <c r="BO34" i="54"/>
  <c r="BH49" i="54"/>
  <c r="I9" i="58"/>
  <c r="I20" i="58" s="1"/>
  <c r="BR21" i="52"/>
  <c r="K11" i="20"/>
  <c r="Q36" i="23" l="1"/>
  <c r="P15" i="60"/>
  <c r="I36" i="61"/>
  <c r="L117" i="19"/>
  <c r="I47" i="54"/>
  <c r="K17" i="19"/>
  <c r="H58" i="19"/>
  <c r="AR6" i="54"/>
  <c r="AR20" i="54"/>
  <c r="BB20" i="54" s="1"/>
  <c r="AR21" i="54"/>
  <c r="BB21" i="54" s="1"/>
  <c r="AR29" i="54"/>
  <c r="BB29" i="54" s="1"/>
  <c r="AR12" i="54"/>
  <c r="BB12" i="54" s="1"/>
  <c r="AR30" i="54"/>
  <c r="BB30" i="54" s="1"/>
  <c r="AR23" i="54"/>
  <c r="AR25" i="54"/>
  <c r="BB25" i="54" s="1"/>
  <c r="AR13" i="54"/>
  <c r="BB13" i="54" s="1"/>
  <c r="AR11" i="54"/>
  <c r="AR28" i="54"/>
  <c r="AR19" i="54"/>
  <c r="AR7" i="54"/>
  <c r="AR8" i="54"/>
  <c r="AR24" i="54"/>
  <c r="BB24" i="54" s="1"/>
  <c r="P21" i="23"/>
  <c r="AC12" i="17"/>
  <c r="J43" i="52"/>
  <c r="BL18" i="52"/>
  <c r="BL33" i="52" s="1"/>
  <c r="G47" i="61"/>
  <c r="R37" i="23"/>
  <c r="J9" i="58"/>
  <c r="J20" i="58" s="1"/>
  <c r="BS21" i="52"/>
  <c r="BP34" i="54"/>
  <c r="BQ34" i="54" s="1"/>
  <c r="BI33" i="54"/>
  <c r="BP33" i="54" s="1"/>
  <c r="BQ33" i="54" s="1"/>
  <c r="BI49" i="54"/>
  <c r="BJ49" i="54" s="1"/>
  <c r="BJ34" i="54"/>
  <c r="BS22" i="52"/>
  <c r="N12" i="60"/>
  <c r="BO49" i="54"/>
  <c r="N13" i="60"/>
  <c r="BQ35" i="54"/>
  <c r="AB17" i="23"/>
  <c r="S11" i="20"/>
  <c r="L11" i="20"/>
  <c r="AC11" i="23"/>
  <c r="R12" i="23"/>
  <c r="BR26" i="52"/>
  <c r="BR34" i="52" s="1"/>
  <c r="AC17" i="23" l="1"/>
  <c r="Y8" i="19"/>
  <c r="P13" i="60"/>
  <c r="K43" i="52"/>
  <c r="AD12" i="17"/>
  <c r="O21" i="23"/>
  <c r="BB23" i="54"/>
  <c r="BB22" i="54" s="1"/>
  <c r="AR22" i="54"/>
  <c r="AR5" i="54"/>
  <c r="BB6" i="54"/>
  <c r="AR43" i="54"/>
  <c r="K26" i="19"/>
  <c r="K27" i="19"/>
  <c r="K33" i="19" s="1"/>
  <c r="G14" i="20" s="1"/>
  <c r="P16" i="19"/>
  <c r="L17" i="19"/>
  <c r="AA23" i="23"/>
  <c r="AR45" i="54"/>
  <c r="BB8" i="54"/>
  <c r="BB45" i="54" s="1"/>
  <c r="AR44" i="54"/>
  <c r="BB7" i="54"/>
  <c r="BB44" i="54" s="1"/>
  <c r="BL12" i="52"/>
  <c r="BL17" i="52"/>
  <c r="G10" i="20"/>
  <c r="AR10" i="54"/>
  <c r="BB11" i="54"/>
  <c r="BB10" i="54" s="1"/>
  <c r="BB19" i="54"/>
  <c r="BB18" i="54" s="1"/>
  <c r="AR18" i="54"/>
  <c r="J36" i="61"/>
  <c r="AR27" i="54"/>
  <c r="BB28" i="54"/>
  <c r="BB27" i="54" s="1"/>
  <c r="J47" i="54"/>
  <c r="BJ33" i="54"/>
  <c r="R36" i="23"/>
  <c r="O12" i="60"/>
  <c r="BP49" i="54"/>
  <c r="BQ49" i="54" s="1"/>
  <c r="BS26" i="52"/>
  <c r="BS34" i="52" s="1"/>
  <c r="BT34" i="52" s="1"/>
  <c r="AD11" i="23"/>
  <c r="S12" i="23"/>
  <c r="S13" i="23"/>
  <c r="BT22" i="52"/>
  <c r="BT21" i="52"/>
  <c r="I58" i="19" l="1"/>
  <c r="L43" i="52"/>
  <c r="O14" i="20"/>
  <c r="Z8" i="19"/>
  <c r="S36" i="23"/>
  <c r="K58" i="19"/>
  <c r="AE11" i="23"/>
  <c r="P12" i="60"/>
  <c r="H10" i="20"/>
  <c r="K36" i="61"/>
  <c r="O10" i="20"/>
  <c r="BM18" i="52"/>
  <c r="BM33" i="52" s="1"/>
  <c r="BB5" i="54"/>
  <c r="BB43" i="54"/>
  <c r="BB46" i="54" s="1"/>
  <c r="BB51" i="54" s="1"/>
  <c r="BL7" i="52"/>
  <c r="BL32" i="52" s="1"/>
  <c r="AS29" i="54"/>
  <c r="BC29" i="54" s="1"/>
  <c r="AS7" i="54"/>
  <c r="AS30" i="54"/>
  <c r="BC30" i="54" s="1"/>
  <c r="AS23" i="54"/>
  <c r="AS24" i="54"/>
  <c r="BC24" i="54" s="1"/>
  <c r="AS11" i="54"/>
  <c r="AS21" i="54"/>
  <c r="BC21" i="54" s="1"/>
  <c r="AS8" i="54"/>
  <c r="AS28" i="54"/>
  <c r="AS20" i="54"/>
  <c r="BC20" i="54" s="1"/>
  <c r="AS19" i="54"/>
  <c r="AS13" i="54"/>
  <c r="BC13" i="54" s="1"/>
  <c r="AS25" i="54"/>
  <c r="BC25" i="54" s="1"/>
  <c r="AS6" i="54"/>
  <c r="AS12" i="54"/>
  <c r="BC12" i="54" s="1"/>
  <c r="K32" i="19"/>
  <c r="K28" i="19"/>
  <c r="BL6" i="52"/>
  <c r="BL11" i="52"/>
  <c r="BL14" i="52" s="1"/>
  <c r="J58" i="19"/>
  <c r="M117" i="19"/>
  <c r="L27" i="19"/>
  <c r="L33" i="19" s="1"/>
  <c r="H14" i="20" s="1"/>
  <c r="L26" i="19"/>
  <c r="BL16" i="52"/>
  <c r="BL19" i="52" s="1"/>
  <c r="BN18" i="52"/>
  <c r="BN33" i="52" s="1"/>
  <c r="BE16" i="54"/>
  <c r="BL16" i="54" s="1"/>
  <c r="Z23" i="23"/>
  <c r="AT30" i="54"/>
  <c r="BD30" i="54" s="1"/>
  <c r="AT24" i="54"/>
  <c r="BD24" i="54" s="1"/>
  <c r="AT23" i="54"/>
  <c r="AT12" i="54"/>
  <c r="BD12" i="54" s="1"/>
  <c r="AT21" i="54"/>
  <c r="BD21" i="54" s="1"/>
  <c r="AT28" i="54"/>
  <c r="AT13" i="54"/>
  <c r="BD13" i="54" s="1"/>
  <c r="AT29" i="54"/>
  <c r="BD29" i="54" s="1"/>
  <c r="AT8" i="54"/>
  <c r="AT11" i="54"/>
  <c r="AT19" i="54"/>
  <c r="AT25" i="54"/>
  <c r="BD25" i="54" s="1"/>
  <c r="AT6" i="54"/>
  <c r="AT7" i="54"/>
  <c r="AT20" i="54"/>
  <c r="BD20" i="54" s="1"/>
  <c r="AR46" i="54"/>
  <c r="AR51" i="54" s="1"/>
  <c r="AR52" i="54" s="1"/>
  <c r="BT26" i="52"/>
  <c r="S37" i="23"/>
  <c r="T37" i="23" s="1"/>
  <c r="T13" i="23"/>
  <c r="AD17" i="23"/>
  <c r="T12" i="23"/>
  <c r="T36" i="23"/>
  <c r="BE21" i="54" l="1"/>
  <c r="BL21" i="54" s="1"/>
  <c r="BE30" i="54"/>
  <c r="BL30" i="54" s="1"/>
  <c r="K10" i="60"/>
  <c r="BE7" i="54"/>
  <c r="BL7" i="54" s="1"/>
  <c r="BE12" i="54"/>
  <c r="BL12" i="54" s="1"/>
  <c r="BE13" i="54"/>
  <c r="BL13" i="54" s="1"/>
  <c r="BE29" i="54"/>
  <c r="BL29" i="54" s="1"/>
  <c r="BE25" i="54"/>
  <c r="BL25" i="54" s="1"/>
  <c r="BE24" i="54"/>
  <c r="BL24" i="54" s="1"/>
  <c r="BE20" i="54"/>
  <c r="BL20" i="54" s="1"/>
  <c r="K14" i="60"/>
  <c r="P14" i="20"/>
  <c r="AE17" i="23"/>
  <c r="L58" i="19"/>
  <c r="AT43" i="54"/>
  <c r="BD6" i="54"/>
  <c r="AT5" i="54"/>
  <c r="BC7" i="54"/>
  <c r="BC44" i="54" s="1"/>
  <c r="AS44" i="54"/>
  <c r="I10" i="20"/>
  <c r="BD19" i="54"/>
  <c r="BD18" i="54" s="1"/>
  <c r="AT18" i="54"/>
  <c r="M17" i="19"/>
  <c r="G48" i="61"/>
  <c r="AS45" i="54"/>
  <c r="BC8" i="54"/>
  <c r="BC45" i="54" s="1"/>
  <c r="P10" i="20"/>
  <c r="F21" i="58"/>
  <c r="BC28" i="54"/>
  <c r="BC27" i="54" s="1"/>
  <c r="AS27" i="54"/>
  <c r="AT10" i="54"/>
  <c r="BD11" i="54"/>
  <c r="BD10" i="54" s="1"/>
  <c r="BD8" i="54"/>
  <c r="BD45" i="54" s="1"/>
  <c r="AT45" i="54"/>
  <c r="BE15" i="54"/>
  <c r="AS5" i="54"/>
  <c r="AS43" i="54"/>
  <c r="BC6" i="54"/>
  <c r="AS10" i="54"/>
  <c r="BC11" i="54"/>
  <c r="BC10" i="54" s="1"/>
  <c r="K47" i="54"/>
  <c r="L47" i="54"/>
  <c r="BD23" i="54"/>
  <c r="BD22" i="54" s="1"/>
  <c r="AT22" i="54"/>
  <c r="BN12" i="52"/>
  <c r="BN17" i="52"/>
  <c r="BO18" i="52"/>
  <c r="BO13" i="52"/>
  <c r="L32" i="19"/>
  <c r="L28" i="19"/>
  <c r="BL9" i="52"/>
  <c r="BL28" i="52" s="1"/>
  <c r="BL31" i="52"/>
  <c r="BM17" i="52"/>
  <c r="BM12" i="52"/>
  <c r="N117" i="19"/>
  <c r="BD7" i="54"/>
  <c r="BD44" i="54" s="1"/>
  <c r="AT44" i="54"/>
  <c r="BD28" i="54"/>
  <c r="BD27" i="54" s="1"/>
  <c r="AT27" i="54"/>
  <c r="BF16" i="54"/>
  <c r="BM16" i="54" s="1"/>
  <c r="K34" i="19"/>
  <c r="G13" i="20"/>
  <c r="AS18" i="54"/>
  <c r="BC19" i="54"/>
  <c r="BC18" i="54" s="1"/>
  <c r="AS22" i="54"/>
  <c r="BC23" i="54"/>
  <c r="BC22" i="54" s="1"/>
  <c r="AS46" i="54" l="1"/>
  <c r="AS51" i="54" s="1"/>
  <c r="AS52" i="54" s="1"/>
  <c r="BL44" i="54"/>
  <c r="BE23" i="54"/>
  <c r="BE44" i="54"/>
  <c r="BO12" i="52"/>
  <c r="BO17" i="52"/>
  <c r="BE19" i="54"/>
  <c r="BE6" i="54"/>
  <c r="BE11" i="54"/>
  <c r="BE8" i="54"/>
  <c r="AA8" i="19"/>
  <c r="BE28" i="54"/>
  <c r="BO11" i="52"/>
  <c r="BO14" i="52" s="1"/>
  <c r="O10" i="23" s="1"/>
  <c r="BO16" i="52"/>
  <c r="BF20" i="54"/>
  <c r="BM20" i="54" s="1"/>
  <c r="BF13" i="54"/>
  <c r="BM13" i="54" s="1"/>
  <c r="BF21" i="54"/>
  <c r="BM21" i="54" s="1"/>
  <c r="BF25" i="54"/>
  <c r="BM25" i="54" s="1"/>
  <c r="L14" i="60"/>
  <c r="BF7" i="54"/>
  <c r="BM7" i="54" s="1"/>
  <c r="L10" i="60"/>
  <c r="BF12" i="54"/>
  <c r="BM12" i="54" s="1"/>
  <c r="BF30" i="54"/>
  <c r="BM30" i="54" s="1"/>
  <c r="BF29" i="54"/>
  <c r="BM29" i="54" s="1"/>
  <c r="BF24" i="54"/>
  <c r="BM24" i="54" s="1"/>
  <c r="BO8" i="52"/>
  <c r="BO33" i="52" s="1"/>
  <c r="F7" i="58"/>
  <c r="BN11" i="52"/>
  <c r="BN14" i="52" s="1"/>
  <c r="R21" i="23"/>
  <c r="BL15" i="54"/>
  <c r="BE14" i="54"/>
  <c r="BL14" i="54" s="1"/>
  <c r="K7" i="60" s="1"/>
  <c r="BM11" i="52"/>
  <c r="BM14" i="52" s="1"/>
  <c r="R22" i="23"/>
  <c r="AC24" i="23" s="1"/>
  <c r="BM6" i="52"/>
  <c r="BF15" i="54"/>
  <c r="BN16" i="52"/>
  <c r="BN19" i="52" s="1"/>
  <c r="BM16" i="52"/>
  <c r="BM19" i="52" s="1"/>
  <c r="O22" i="23"/>
  <c r="G55" i="61"/>
  <c r="BD5" i="54"/>
  <c r="BD43" i="54"/>
  <c r="BD46" i="54" s="1"/>
  <c r="BD51" i="54" s="1"/>
  <c r="BN6" i="52"/>
  <c r="BC43" i="54"/>
  <c r="BC46" i="54" s="1"/>
  <c r="BC51" i="54" s="1"/>
  <c r="BC5" i="54"/>
  <c r="AT46" i="54"/>
  <c r="AT51" i="54" s="1"/>
  <c r="AT52" i="54" s="1"/>
  <c r="O13" i="20"/>
  <c r="O15" i="20" s="1"/>
  <c r="G15" i="20"/>
  <c r="N17" i="19"/>
  <c r="G21" i="58"/>
  <c r="BP18" i="52"/>
  <c r="BP13" i="52"/>
  <c r="BM7" i="52"/>
  <c r="BM32" i="52" s="1"/>
  <c r="S21" i="23"/>
  <c r="BN7" i="52"/>
  <c r="BN32" i="52" s="1"/>
  <c r="L34" i="19"/>
  <c r="H13" i="20"/>
  <c r="O117" i="19"/>
  <c r="Q21" i="23"/>
  <c r="M26" i="19"/>
  <c r="M27" i="19"/>
  <c r="M33" i="19" s="1"/>
  <c r="I14" i="20" s="1"/>
  <c r="Q10" i="20"/>
  <c r="BO19" i="52" l="1"/>
  <c r="O11" i="23" s="1"/>
  <c r="BM44" i="54"/>
  <c r="BE43" i="54"/>
  <c r="M58" i="19"/>
  <c r="Z9" i="23"/>
  <c r="BF28" i="54"/>
  <c r="BL23" i="54"/>
  <c r="BE22" i="54"/>
  <c r="BL22" i="54" s="1"/>
  <c r="K9" i="60" s="1"/>
  <c r="BF6" i="54"/>
  <c r="BF19" i="54"/>
  <c r="F8" i="58"/>
  <c r="F19" i="58" s="1"/>
  <c r="BO6" i="52"/>
  <c r="BO7" i="52"/>
  <c r="BO32" i="52" s="1"/>
  <c r="F6" i="58"/>
  <c r="F17" i="58" s="1"/>
  <c r="BF8" i="54"/>
  <c r="BL6" i="54"/>
  <c r="BE5" i="54"/>
  <c r="BL5" i="54" s="1"/>
  <c r="AU51" i="54"/>
  <c r="AU52" i="54" s="1"/>
  <c r="BE18" i="54"/>
  <c r="BL18" i="54" s="1"/>
  <c r="K8" i="60" s="1"/>
  <c r="BL19" i="54"/>
  <c r="BE45" i="54"/>
  <c r="BL8" i="54"/>
  <c r="BL45" i="54" s="1"/>
  <c r="BP11" i="52"/>
  <c r="BF11" i="54"/>
  <c r="BE27" i="54"/>
  <c r="BL27" i="54" s="1"/>
  <c r="K11" i="60" s="1"/>
  <c r="BL28" i="54"/>
  <c r="AB8" i="19"/>
  <c r="BF44" i="54"/>
  <c r="BP12" i="52"/>
  <c r="BP17" i="52"/>
  <c r="BF23" i="54"/>
  <c r="BE10" i="54"/>
  <c r="BL10" i="54" s="1"/>
  <c r="BL11" i="54"/>
  <c r="Z10" i="23"/>
  <c r="O35" i="23"/>
  <c r="BP8" i="52"/>
  <c r="BP33" i="52" s="1"/>
  <c r="G7" i="58"/>
  <c r="G18" i="58" s="1"/>
  <c r="N26" i="19"/>
  <c r="N27" i="19"/>
  <c r="N33" i="19" s="1"/>
  <c r="J14" i="20" s="1"/>
  <c r="O17" i="19"/>
  <c r="BN31" i="52"/>
  <c r="BN9" i="52"/>
  <c r="BN28" i="52" s="1"/>
  <c r="AB23" i="23"/>
  <c r="T21" i="23"/>
  <c r="P22" i="23"/>
  <c r="H55" i="61"/>
  <c r="Q14" i="20"/>
  <c r="P13" i="20"/>
  <c r="P15" i="20" s="1"/>
  <c r="H15" i="20"/>
  <c r="BM31" i="52"/>
  <c r="BM9" i="52"/>
  <c r="BM28" i="52" s="1"/>
  <c r="J55" i="61"/>
  <c r="F18" i="58"/>
  <c r="K10" i="20"/>
  <c r="BF14" i="54"/>
  <c r="BM14" i="54" s="1"/>
  <c r="L7" i="60" s="1"/>
  <c r="BM15" i="54"/>
  <c r="J10" i="20"/>
  <c r="AC23" i="23"/>
  <c r="AC33" i="23" s="1"/>
  <c r="R29" i="23"/>
  <c r="M28" i="19"/>
  <c r="M32" i="19"/>
  <c r="AD23" i="23"/>
  <c r="Z24" i="23"/>
  <c r="O29" i="23"/>
  <c r="O34" i="23"/>
  <c r="BE46" i="54" l="1"/>
  <c r="BE51" i="54" s="1"/>
  <c r="BP14" i="52"/>
  <c r="P10" i="23" s="1"/>
  <c r="AA9" i="23" s="1"/>
  <c r="BH29" i="54"/>
  <c r="BH13" i="54"/>
  <c r="K6" i="60"/>
  <c r="K18" i="60" s="1"/>
  <c r="BH23" i="54"/>
  <c r="BF43" i="54"/>
  <c r="BH12" i="54"/>
  <c r="BL43" i="54"/>
  <c r="BL46" i="54" s="1"/>
  <c r="BL51" i="54" s="1"/>
  <c r="BH20" i="54"/>
  <c r="BH21" i="54"/>
  <c r="BO21" i="54" s="1"/>
  <c r="BH28" i="54"/>
  <c r="BH8" i="54"/>
  <c r="BH19" i="54"/>
  <c r="F11" i="58"/>
  <c r="F12" i="58" s="1"/>
  <c r="BM23" i="54"/>
  <c r="BF22" i="54"/>
  <c r="BM22" i="54" s="1"/>
  <c r="L9" i="60" s="1"/>
  <c r="BO9" i="52"/>
  <c r="BO31" i="52"/>
  <c r="F22" i="58"/>
  <c r="BG24" i="54"/>
  <c r="BN24" i="54" s="1"/>
  <c r="BG12" i="54"/>
  <c r="BN12" i="54" s="1"/>
  <c r="BG25" i="54"/>
  <c r="BN25" i="54" s="1"/>
  <c r="BG29" i="54"/>
  <c r="BN29" i="54" s="1"/>
  <c r="BG21" i="54"/>
  <c r="BN21" i="54" s="1"/>
  <c r="M10" i="60"/>
  <c r="BG30" i="54"/>
  <c r="BN30" i="54" s="1"/>
  <c r="M14" i="60"/>
  <c r="BG20" i="54"/>
  <c r="BN20" i="54" s="1"/>
  <c r="BG7" i="54"/>
  <c r="BN7" i="54" s="1"/>
  <c r="BG13" i="54"/>
  <c r="BN13" i="54" s="1"/>
  <c r="R14" i="20"/>
  <c r="BM11" i="54"/>
  <c r="BF10" i="54"/>
  <c r="BM10" i="54" s="1"/>
  <c r="BF45" i="54"/>
  <c r="BM8" i="54"/>
  <c r="BM45" i="54" s="1"/>
  <c r="BH24" i="54"/>
  <c r="BH30" i="54"/>
  <c r="BO30" i="54" s="1"/>
  <c r="G6" i="58"/>
  <c r="G17" i="58" s="1"/>
  <c r="BP7" i="52"/>
  <c r="BP32" i="52" s="1"/>
  <c r="BP6" i="52"/>
  <c r="G8" i="58"/>
  <c r="G19" i="58" s="1"/>
  <c r="BF5" i="54"/>
  <c r="BM5" i="54" s="1"/>
  <c r="BM6" i="54"/>
  <c r="BP16" i="52"/>
  <c r="BP19" i="52" s="1"/>
  <c r="P11" i="23" s="1"/>
  <c r="K38" i="60"/>
  <c r="BM28" i="54"/>
  <c r="BF27" i="54"/>
  <c r="BM27" i="54" s="1"/>
  <c r="L11" i="60" s="1"/>
  <c r="BH11" i="54"/>
  <c r="N58" i="19"/>
  <c r="N14" i="60"/>
  <c r="N10" i="60"/>
  <c r="AC8" i="19"/>
  <c r="BM19" i="54"/>
  <c r="BF18" i="54"/>
  <c r="BM18" i="54" s="1"/>
  <c r="L8" i="60" s="1"/>
  <c r="AV51" i="54"/>
  <c r="AV52" i="54" s="1"/>
  <c r="BG16" i="54"/>
  <c r="I13" i="20"/>
  <c r="M34" i="19"/>
  <c r="S10" i="20"/>
  <c r="H21" i="58"/>
  <c r="R10" i="20"/>
  <c r="L10" i="20"/>
  <c r="O26" i="19"/>
  <c r="O27" i="19"/>
  <c r="O33" i="19" s="1"/>
  <c r="K14" i="20" s="1"/>
  <c r="BG15" i="54"/>
  <c r="AA24" i="23"/>
  <c r="AA33" i="23" s="1"/>
  <c r="P29" i="23"/>
  <c r="N32" i="19"/>
  <c r="N28" i="19"/>
  <c r="BH16" i="54"/>
  <c r="BO16" i="54" s="1"/>
  <c r="BH25" i="54"/>
  <c r="BH7" i="54"/>
  <c r="K31" i="60"/>
  <c r="G16" i="20"/>
  <c r="I21" i="58"/>
  <c r="J16" i="20"/>
  <c r="R16" i="20" s="1"/>
  <c r="N31" i="60"/>
  <c r="N34" i="60" s="1"/>
  <c r="N20" i="60" s="1"/>
  <c r="P34" i="23"/>
  <c r="AE23" i="23"/>
  <c r="Z33" i="23"/>
  <c r="BL53" i="54" l="1"/>
  <c r="K37" i="60"/>
  <c r="G22" i="58"/>
  <c r="BR12" i="52"/>
  <c r="BF46" i="54"/>
  <c r="BF51" i="54" s="1"/>
  <c r="K19" i="60"/>
  <c r="F23" i="58"/>
  <c r="BH6" i="54"/>
  <c r="BH5" i="54" s="1"/>
  <c r="BR17" i="52"/>
  <c r="L6" i="60"/>
  <c r="L18" i="60" s="1"/>
  <c r="BG44" i="54"/>
  <c r="G11" i="58"/>
  <c r="G12" i="58" s="1"/>
  <c r="BG23" i="54"/>
  <c r="O9" i="23"/>
  <c r="BO28" i="52"/>
  <c r="BG11" i="54"/>
  <c r="L38" i="60"/>
  <c r="BM43" i="54"/>
  <c r="BM46" i="54" s="1"/>
  <c r="BM51" i="54" s="1"/>
  <c r="P35" i="23"/>
  <c r="AA10" i="23"/>
  <c r="BG6" i="54"/>
  <c r="BP9" i="52"/>
  <c r="BP31" i="52"/>
  <c r="BG19" i="54"/>
  <c r="BG8" i="54"/>
  <c r="BG28" i="54"/>
  <c r="BQ17" i="52"/>
  <c r="BQ12" i="52"/>
  <c r="BO13" i="54"/>
  <c r="K34" i="60"/>
  <c r="K20" i="60" s="1"/>
  <c r="K39" i="60"/>
  <c r="Q13" i="20"/>
  <c r="Q15" i="20" s="1"/>
  <c r="I15" i="20"/>
  <c r="BO28" i="54"/>
  <c r="BH27" i="54"/>
  <c r="BO25" i="54"/>
  <c r="O28" i="19"/>
  <c r="O32" i="19"/>
  <c r="BR7" i="52"/>
  <c r="BO23" i="54"/>
  <c r="BH22" i="54"/>
  <c r="BO22" i="54" s="1"/>
  <c r="N9" i="60" s="1"/>
  <c r="BR6" i="52"/>
  <c r="BQ8" i="52"/>
  <c r="BH15" i="54"/>
  <c r="N34" i="19"/>
  <c r="J13" i="20"/>
  <c r="BH44" i="54"/>
  <c r="BO7" i="54"/>
  <c r="BO20" i="54"/>
  <c r="BQ18" i="52"/>
  <c r="BR18" i="52"/>
  <c r="BR13" i="52"/>
  <c r="H16" i="20"/>
  <c r="L31" i="60"/>
  <c r="BN16" i="54"/>
  <c r="BN44" i="54" s="1"/>
  <c r="BH10" i="54"/>
  <c r="BO10" i="54" s="1"/>
  <c r="BO11" i="54"/>
  <c r="BO19" i="54"/>
  <c r="BH18" i="54"/>
  <c r="BR11" i="52"/>
  <c r="Q22" i="23"/>
  <c r="I55" i="61"/>
  <c r="BQ13" i="52"/>
  <c r="BO8" i="54"/>
  <c r="BH45" i="54"/>
  <c r="O16" i="20"/>
  <c r="O18" i="20" s="1"/>
  <c r="G18" i="20"/>
  <c r="G20" i="20" s="1"/>
  <c r="BO12" i="54"/>
  <c r="BO29" i="54"/>
  <c r="BG14" i="54"/>
  <c r="BN15" i="54"/>
  <c r="S14" i="20"/>
  <c r="L14" i="20"/>
  <c r="BO24" i="54"/>
  <c r="BO6" i="54" l="1"/>
  <c r="BH43" i="54"/>
  <c r="BH46" i="54" s="1"/>
  <c r="BH51" i="54" s="1"/>
  <c r="AX51" i="54"/>
  <c r="AX52" i="54" s="1"/>
  <c r="BR16" i="52"/>
  <c r="BR31" i="52" s="1"/>
  <c r="L37" i="60"/>
  <c r="I6" i="58"/>
  <c r="I17" i="58" s="1"/>
  <c r="AW51" i="54"/>
  <c r="AW52" i="54" s="1"/>
  <c r="G23" i="58"/>
  <c r="BG27" i="54"/>
  <c r="BN27" i="54" s="1"/>
  <c r="M11" i="60" s="1"/>
  <c r="BN28" i="54"/>
  <c r="BG10" i="54"/>
  <c r="BN10" i="54" s="1"/>
  <c r="BN11" i="54"/>
  <c r="BN19" i="54"/>
  <c r="BG18" i="54"/>
  <c r="BN18" i="54" s="1"/>
  <c r="M8" i="60" s="1"/>
  <c r="BG5" i="54"/>
  <c r="BN5" i="54" s="1"/>
  <c r="BG43" i="54"/>
  <c r="BN6" i="54"/>
  <c r="O33" i="23"/>
  <c r="O41" i="23" s="1"/>
  <c r="BL47" i="54"/>
  <c r="O17" i="23"/>
  <c r="O18" i="23" s="1"/>
  <c r="Z8" i="23"/>
  <c r="BN8" i="54"/>
  <c r="BN45" i="54" s="1"/>
  <c r="BG45" i="54"/>
  <c r="BQ6" i="52"/>
  <c r="H8" i="58"/>
  <c r="H19" i="58" s="1"/>
  <c r="BP28" i="52"/>
  <c r="P9" i="23"/>
  <c r="BN23" i="54"/>
  <c r="BG22" i="54"/>
  <c r="BN22" i="54" s="1"/>
  <c r="M9" i="60" s="1"/>
  <c r="H6" i="58"/>
  <c r="H17" i="58" s="1"/>
  <c r="BQ7" i="52"/>
  <c r="BQ32" i="52" s="1"/>
  <c r="L19" i="60"/>
  <c r="BQ16" i="52"/>
  <c r="BQ19" i="52" s="1"/>
  <c r="Q11" i="23" s="1"/>
  <c r="BQ11" i="52"/>
  <c r="BQ14" i="52" s="1"/>
  <c r="Q10" i="23" s="1"/>
  <c r="F9" i="57"/>
  <c r="J21" i="58"/>
  <c r="H7" i="58"/>
  <c r="I8" i="58"/>
  <c r="I19" i="58" s="1"/>
  <c r="BN14" i="54"/>
  <c r="BO18" i="54"/>
  <c r="BQ33" i="52"/>
  <c r="BO5" i="54"/>
  <c r="AB24" i="23"/>
  <c r="Q29" i="23"/>
  <c r="K13" i="20"/>
  <c r="L13" i="20" s="1"/>
  <c r="L15" i="20" s="1"/>
  <c r="O34" i="19"/>
  <c r="P16" i="20"/>
  <c r="P18" i="20" s="1"/>
  <c r="H18" i="20"/>
  <c r="H20" i="20" s="1"/>
  <c r="BO15" i="54"/>
  <c r="BH14" i="54"/>
  <c r="BO14" i="54" s="1"/>
  <c r="N7" i="60" s="1"/>
  <c r="N39" i="60" s="1"/>
  <c r="BR32" i="52"/>
  <c r="BO44" i="54"/>
  <c r="R13" i="20"/>
  <c r="R15" i="20" s="1"/>
  <c r="R18" i="20" s="1"/>
  <c r="J15" i="20"/>
  <c r="K22" i="60"/>
  <c r="I7" i="58"/>
  <c r="I18" i="58" s="1"/>
  <c r="BR8" i="52"/>
  <c r="BR33" i="52" s="1"/>
  <c r="BO27" i="54"/>
  <c r="BR14" i="52"/>
  <c r="R10" i="23" s="1"/>
  <c r="BO45" i="54"/>
  <c r="L34" i="60"/>
  <c r="L20" i="60" s="1"/>
  <c r="L22" i="60" s="1"/>
  <c r="L39" i="60"/>
  <c r="N38" i="60"/>
  <c r="DC6" i="5" l="1"/>
  <c r="BO43" i="54"/>
  <c r="BO46" i="54" s="1"/>
  <c r="O14" i="60"/>
  <c r="P14" i="60" s="1"/>
  <c r="DC21" i="5"/>
  <c r="DD21" i="5" s="1"/>
  <c r="DC17" i="5"/>
  <c r="DD17" i="5" s="1"/>
  <c r="BI21" i="54"/>
  <c r="DC13" i="5"/>
  <c r="DD13" i="5" s="1"/>
  <c r="BI6" i="54"/>
  <c r="BR19" i="52"/>
  <c r="R11" i="23" s="1"/>
  <c r="BQ9" i="52"/>
  <c r="Q9" i="23" s="1"/>
  <c r="DC14" i="5"/>
  <c r="DD14" i="5" s="1"/>
  <c r="DC10" i="5"/>
  <c r="DD10" i="5" s="1"/>
  <c r="BI23" i="54"/>
  <c r="BI30" i="54"/>
  <c r="DC20" i="5"/>
  <c r="DD20" i="5" s="1"/>
  <c r="DC9" i="5"/>
  <c r="DD9" i="5" s="1"/>
  <c r="DC16" i="5"/>
  <c r="DD16" i="5" s="1"/>
  <c r="DC8" i="5"/>
  <c r="DD8" i="5" s="1"/>
  <c r="O10" i="60"/>
  <c r="P10" i="60" s="1"/>
  <c r="BI24" i="54"/>
  <c r="BI19" i="54"/>
  <c r="BI12" i="54"/>
  <c r="DC12" i="5"/>
  <c r="DD12" i="5" s="1"/>
  <c r="DC11" i="5"/>
  <c r="DD11" i="5" s="1"/>
  <c r="DC15" i="5"/>
  <c r="DD15" i="5" s="1"/>
  <c r="DC19" i="5"/>
  <c r="DD19" i="5" s="1"/>
  <c r="DC18" i="5"/>
  <c r="DD18" i="5" s="1"/>
  <c r="DC7" i="5"/>
  <c r="DD7" i="5" s="1"/>
  <c r="BI29" i="54"/>
  <c r="BI20" i="54"/>
  <c r="BN43" i="54"/>
  <c r="BN46" i="54" s="1"/>
  <c r="Q34" i="23"/>
  <c r="AB9" i="23"/>
  <c r="Q35" i="23"/>
  <c r="AB10" i="23"/>
  <c r="I22" i="58"/>
  <c r="BM47" i="54"/>
  <c r="P17" i="23"/>
  <c r="P18" i="23" s="1"/>
  <c r="AA8" i="23"/>
  <c r="P33" i="23"/>
  <c r="P41" i="23" s="1"/>
  <c r="Z18" i="23"/>
  <c r="Z19" i="23" s="1"/>
  <c r="M38" i="60"/>
  <c r="BG46" i="54"/>
  <c r="BG51" i="54" s="1"/>
  <c r="O58" i="19"/>
  <c r="BQ31" i="52"/>
  <c r="M6" i="60"/>
  <c r="AB33" i="23"/>
  <c r="M7" i="60"/>
  <c r="H18" i="58"/>
  <c r="H11" i="58"/>
  <c r="H12" i="58" s="1"/>
  <c r="F11" i="57"/>
  <c r="F12" i="57" s="1"/>
  <c r="F19" i="57"/>
  <c r="F21" i="57" s="1"/>
  <c r="F22" i="57" s="1"/>
  <c r="R34" i="23"/>
  <c r="AC9" i="23"/>
  <c r="S13" i="20"/>
  <c r="S15" i="20" s="1"/>
  <c r="K15" i="20"/>
  <c r="BR9" i="52"/>
  <c r="I11" i="58"/>
  <c r="I12" i="58" s="1"/>
  <c r="BI11" i="54"/>
  <c r="G9" i="57"/>
  <c r="N6" i="60"/>
  <c r="DD6" i="5"/>
  <c r="AC10" i="23"/>
  <c r="R35" i="23"/>
  <c r="BI15" i="54"/>
  <c r="N8" i="60"/>
  <c r="BI16" i="54"/>
  <c r="N11" i="60"/>
  <c r="I16" i="20"/>
  <c r="M31" i="60"/>
  <c r="J18" i="20"/>
  <c r="J20" i="20" s="1"/>
  <c r="S22" i="23"/>
  <c r="K55" i="61"/>
  <c r="BI7" i="54" l="1"/>
  <c r="BJ7" i="54" s="1"/>
  <c r="BI8" i="54"/>
  <c r="BJ8" i="54" s="1"/>
  <c r="BQ28" i="52"/>
  <c r="BI13" i="54"/>
  <c r="BJ13" i="54" s="1"/>
  <c r="BI25" i="54"/>
  <c r="BP25" i="54" s="1"/>
  <c r="BQ25" i="54" s="1"/>
  <c r="DC37" i="5"/>
  <c r="DD37" i="5"/>
  <c r="BI28" i="54"/>
  <c r="BI43" i="54" s="1"/>
  <c r="AA18" i="23"/>
  <c r="AA19" i="23" s="1"/>
  <c r="M37" i="60"/>
  <c r="H22" i="58"/>
  <c r="H23" i="58" s="1"/>
  <c r="AD24" i="23"/>
  <c r="S29" i="23"/>
  <c r="T22" i="23"/>
  <c r="T29" i="23" s="1"/>
  <c r="BP11" i="54"/>
  <c r="BQ11" i="54" s="1"/>
  <c r="BJ11" i="54"/>
  <c r="BS17" i="52"/>
  <c r="BT17" i="52" s="1"/>
  <c r="Q17" i="23"/>
  <c r="Q18" i="23" s="1"/>
  <c r="AB8" i="23"/>
  <c r="Q33" i="23"/>
  <c r="I9" i="57"/>
  <c r="BP6" i="54"/>
  <c r="BJ6" i="54"/>
  <c r="BP20" i="54"/>
  <c r="BQ20" i="54" s="1"/>
  <c r="BJ20" i="54"/>
  <c r="N18" i="60"/>
  <c r="N37" i="60"/>
  <c r="BP29" i="54"/>
  <c r="BQ29" i="54" s="1"/>
  <c r="BJ29" i="54"/>
  <c r="M18" i="60"/>
  <c r="M39" i="60"/>
  <c r="BN51" i="54"/>
  <c r="BN47" i="54"/>
  <c r="BS6" i="52"/>
  <c r="BP30" i="54"/>
  <c r="BQ30" i="54" s="1"/>
  <c r="BJ30" i="54"/>
  <c r="BP12" i="54"/>
  <c r="BQ12" i="54" s="1"/>
  <c r="BJ12" i="54"/>
  <c r="BS11" i="52"/>
  <c r="BI18" i="54"/>
  <c r="BP19" i="54"/>
  <c r="BQ19" i="54" s="1"/>
  <c r="BJ19" i="54"/>
  <c r="BS8" i="52"/>
  <c r="G11" i="57"/>
  <c r="G12" i="57" s="1"/>
  <c r="G19" i="57"/>
  <c r="G21" i="57" s="1"/>
  <c r="G22" i="57" s="1"/>
  <c r="BP24" i="54"/>
  <c r="BQ24" i="54" s="1"/>
  <c r="BJ24" i="54"/>
  <c r="BS7" i="52"/>
  <c r="BS16" i="52"/>
  <c r="BR28" i="52"/>
  <c r="R9" i="23"/>
  <c r="BS18" i="52"/>
  <c r="BT18" i="52" s="1"/>
  <c r="M34" i="60"/>
  <c r="M20" i="60" s="1"/>
  <c r="BI14" i="54"/>
  <c r="BP15" i="54"/>
  <c r="BQ15" i="54" s="1"/>
  <c r="BJ15" i="54"/>
  <c r="Q16" i="20"/>
  <c r="Q18" i="20" s="1"/>
  <c r="I18" i="20"/>
  <c r="I20" i="20" s="1"/>
  <c r="BP21" i="54"/>
  <c r="BQ21" i="54" s="1"/>
  <c r="BJ21" i="54"/>
  <c r="BP16" i="54"/>
  <c r="BQ16" i="54" s="1"/>
  <c r="BJ16" i="54"/>
  <c r="BO51" i="54"/>
  <c r="BS13" i="52"/>
  <c r="BT13" i="52" s="1"/>
  <c r="BP23" i="54"/>
  <c r="BQ23" i="54" s="1"/>
  <c r="BJ23" i="54"/>
  <c r="I23" i="58"/>
  <c r="BP8" i="54" l="1"/>
  <c r="BQ8" i="54" s="1"/>
  <c r="BI5" i="54"/>
  <c r="BJ5" i="54" s="1"/>
  <c r="BI44" i="54"/>
  <c r="BJ44" i="54" s="1"/>
  <c r="BP7" i="54"/>
  <c r="BP44" i="54" s="1"/>
  <c r="BQ44" i="54" s="1"/>
  <c r="BI10" i="54"/>
  <c r="BP10" i="54" s="1"/>
  <c r="BQ10" i="54" s="1"/>
  <c r="BP13" i="54"/>
  <c r="BQ13" i="54" s="1"/>
  <c r="AZ51" i="54"/>
  <c r="BS12" i="52"/>
  <c r="BT12" i="52" s="1"/>
  <c r="BI27" i="54"/>
  <c r="BP27" i="54" s="1"/>
  <c r="AY51" i="54"/>
  <c r="AY52" i="54" s="1"/>
  <c r="BJ28" i="54"/>
  <c r="BI45" i="54"/>
  <c r="BJ45" i="54" s="1"/>
  <c r="BJ25" i="54"/>
  <c r="BP28" i="54"/>
  <c r="BQ28" i="54" s="1"/>
  <c r="BI22" i="54"/>
  <c r="BP22" i="54" s="1"/>
  <c r="AB18" i="23"/>
  <c r="AB19" i="23" s="1"/>
  <c r="BS33" i="52"/>
  <c r="BT33" i="52" s="1"/>
  <c r="BT8" i="52"/>
  <c r="J8" i="58"/>
  <c r="J19" i="58" s="1"/>
  <c r="BQ6" i="54"/>
  <c r="BP18" i="54"/>
  <c r="BJ18" i="54"/>
  <c r="BS9" i="52"/>
  <c r="BS31" i="52"/>
  <c r="BT31" i="52" s="1"/>
  <c r="BT6" i="52"/>
  <c r="J7" i="58"/>
  <c r="J18" i="58" s="1"/>
  <c r="BP5" i="54"/>
  <c r="BP14" i="54"/>
  <c r="BJ14" i="54"/>
  <c r="BJ43" i="54"/>
  <c r="H9" i="57"/>
  <c r="BS19" i="52"/>
  <c r="S11" i="23" s="1"/>
  <c r="BT16" i="52"/>
  <c r="BT19" i="52" s="1"/>
  <c r="M19" i="60"/>
  <c r="M22" i="60"/>
  <c r="N19" i="60"/>
  <c r="N22" i="60"/>
  <c r="I19" i="57"/>
  <c r="I21" i="57" s="1"/>
  <c r="I22" i="57" s="1"/>
  <c r="I11" i="57"/>
  <c r="I12" i="57" s="1"/>
  <c r="AC8" i="23"/>
  <c r="R33" i="23"/>
  <c r="R41" i="23" s="1"/>
  <c r="R17" i="23"/>
  <c r="R18" i="23" s="1"/>
  <c r="BS14" i="52"/>
  <c r="S10" i="23" s="1"/>
  <c r="BT11" i="52"/>
  <c r="BT14" i="52" s="1"/>
  <c r="BO47" i="54"/>
  <c r="BT7" i="52"/>
  <c r="K16" i="20"/>
  <c r="O31" i="60"/>
  <c r="J6" i="58"/>
  <c r="Q41" i="23"/>
  <c r="BJ10" i="54"/>
  <c r="AD33" i="23"/>
  <c r="AE24" i="23"/>
  <c r="AE33" i="23" s="1"/>
  <c r="BQ7" i="54" l="1"/>
  <c r="BP45" i="54"/>
  <c r="BQ45" i="54" s="1"/>
  <c r="BS32" i="52"/>
  <c r="BT32" i="52" s="1"/>
  <c r="BP43" i="54"/>
  <c r="BJ27" i="54"/>
  <c r="BJ22" i="54"/>
  <c r="BJ46" i="54"/>
  <c r="BJ51" i="54" s="1"/>
  <c r="BI46" i="54"/>
  <c r="BI51" i="54" s="1"/>
  <c r="AC18" i="23"/>
  <c r="AC19" i="23" s="1"/>
  <c r="O34" i="60"/>
  <c r="O20" i="60" s="1"/>
  <c r="P20" i="60" s="1"/>
  <c r="P31" i="60"/>
  <c r="P34" i="60" s="1"/>
  <c r="Q34" i="60" s="1"/>
  <c r="S34" i="23"/>
  <c r="T34" i="23" s="1"/>
  <c r="AD9" i="23"/>
  <c r="T10" i="23"/>
  <c r="O8" i="60"/>
  <c r="BQ18" i="54"/>
  <c r="J17" i="58"/>
  <c r="J11" i="58"/>
  <c r="J12" i="58" s="1"/>
  <c r="S9" i="23"/>
  <c r="BS28" i="52"/>
  <c r="S16" i="20"/>
  <c r="S18" i="20" s="1"/>
  <c r="K18" i="20"/>
  <c r="K20" i="20" s="1"/>
  <c r="L20" i="20" s="1"/>
  <c r="L16" i="20"/>
  <c r="S35" i="23"/>
  <c r="T35" i="23" s="1"/>
  <c r="AD10" i="23"/>
  <c r="T11" i="23"/>
  <c r="O7" i="60"/>
  <c r="BQ14" i="54"/>
  <c r="H19" i="57"/>
  <c r="H21" i="57" s="1"/>
  <c r="H22" i="57" s="1"/>
  <c r="H11" i="57"/>
  <c r="H12" i="57" s="1"/>
  <c r="BT9" i="52"/>
  <c r="O11" i="60"/>
  <c r="BQ27" i="54"/>
  <c r="O6" i="60"/>
  <c r="BQ5" i="54"/>
  <c r="O9" i="60"/>
  <c r="BQ22" i="54"/>
  <c r="BP46" i="54" l="1"/>
  <c r="BP51" i="54" s="1"/>
  <c r="BQ43" i="54"/>
  <c r="BQ46" i="54" s="1"/>
  <c r="AE9" i="23"/>
  <c r="BT28" i="52"/>
  <c r="P11" i="60"/>
  <c r="AE10" i="23"/>
  <c r="J22" i="58"/>
  <c r="J23" i="58" s="1"/>
  <c r="P8" i="60"/>
  <c r="BQ51" i="54"/>
  <c r="O38" i="60"/>
  <c r="P9" i="60"/>
  <c r="P38" i="60" s="1"/>
  <c r="O37" i="60"/>
  <c r="O18" i="60"/>
  <c r="P6" i="60"/>
  <c r="AD8" i="23"/>
  <c r="S33" i="23"/>
  <c r="S17" i="23"/>
  <c r="S18" i="23" s="1"/>
  <c r="T9" i="23"/>
  <c r="T17" i="23" s="1"/>
  <c r="M15" i="20" s="1"/>
  <c r="O39" i="60"/>
  <c r="P7" i="60"/>
  <c r="P39" i="60" s="1"/>
  <c r="M16" i="20"/>
  <c r="L18" i="20"/>
  <c r="J9" i="57"/>
  <c r="BP47" i="54" l="1"/>
  <c r="S41" i="23"/>
  <c r="T33" i="23"/>
  <c r="T41" i="23" s="1"/>
  <c r="P18" i="60"/>
  <c r="P37" i="60"/>
  <c r="AD18" i="23"/>
  <c r="AD19" i="23" s="1"/>
  <c r="AE8" i="23"/>
  <c r="AE18" i="23" s="1"/>
  <c r="AE19" i="23" s="1"/>
  <c r="O22" i="60"/>
  <c r="O19" i="60"/>
  <c r="J11" i="57"/>
  <c r="J12" i="57" s="1"/>
  <c r="J19" i="57"/>
  <c r="J21" i="57" s="1"/>
  <c r="J22" i="57" s="1"/>
  <c r="BQ52" i="54"/>
  <c r="Q18" i="60" l="1"/>
  <c r="P22" i="60"/>
  <c r="P19" i="60"/>
  <c r="P23" i="60" l="1"/>
  <c r="P24" i="60" s="1"/>
  <c r="Q22" i="60"/>
</calcChain>
</file>

<file path=xl/comments1.xml><?xml version="1.0" encoding="utf-8"?>
<comments xmlns="http://schemas.openxmlformats.org/spreadsheetml/2006/main">
  <authors>
    <author>Author</author>
  </authors>
  <commentList>
    <comment ref="C20" authorId="0" shapeId="0">
      <text>
        <r>
          <rPr>
            <b/>
            <sz val="9"/>
            <color indexed="81"/>
            <rFont val="Tahoma"/>
            <family val="2"/>
          </rPr>
          <t>AST:</t>
        </r>
        <r>
          <rPr>
            <sz val="9"/>
            <color indexed="81"/>
            <rFont val="Tahoma"/>
            <family val="2"/>
          </rPr>
          <t xml:space="preserve">
Average of Transformers &amp; Switchgear categories</t>
        </r>
      </text>
    </comment>
  </commentList>
</comments>
</file>

<file path=xl/comments2.xml><?xml version="1.0" encoding="utf-8"?>
<comments xmlns="http://schemas.openxmlformats.org/spreadsheetml/2006/main">
  <authors>
    <author>Author</author>
  </authors>
  <commentList>
    <comment ref="N26" authorId="0" shapeId="0">
      <text>
        <r>
          <rPr>
            <b/>
            <sz val="9"/>
            <color indexed="81"/>
            <rFont val="Tahoma"/>
            <family val="2"/>
          </rPr>
          <t>Author:</t>
        </r>
        <r>
          <rPr>
            <sz val="9"/>
            <color indexed="81"/>
            <rFont val="Tahoma"/>
            <family val="2"/>
          </rPr>
          <t xml:space="preserve">
Half of 18/19 and 19/20</t>
        </r>
      </text>
    </comment>
    <comment ref="O26" authorId="0" shapeId="0">
      <text>
        <r>
          <rPr>
            <b/>
            <sz val="9"/>
            <color indexed="81"/>
            <rFont val="Tahoma"/>
            <family val="2"/>
          </rPr>
          <t>Author:</t>
        </r>
        <r>
          <rPr>
            <sz val="9"/>
            <color indexed="81"/>
            <rFont val="Tahoma"/>
            <family val="2"/>
          </rPr>
          <t xml:space="preserve">
half of 19-20 and 20-21</t>
        </r>
      </text>
    </comment>
    <comment ref="P26" authorId="0" shapeId="0">
      <text>
        <r>
          <rPr>
            <b/>
            <sz val="9"/>
            <color indexed="81"/>
            <rFont val="Tahoma"/>
            <family val="2"/>
          </rPr>
          <t>Author:</t>
        </r>
        <r>
          <rPr>
            <sz val="9"/>
            <color indexed="81"/>
            <rFont val="Tahoma"/>
            <family val="2"/>
          </rPr>
          <t xml:space="preserve">
Half of FY2020-21</t>
        </r>
      </text>
    </comment>
  </commentList>
</comments>
</file>

<file path=xl/comments3.xml><?xml version="1.0" encoding="utf-8"?>
<comments xmlns="http://schemas.openxmlformats.org/spreadsheetml/2006/main">
  <authors>
    <author>Author</author>
  </authors>
  <commentList>
    <comment ref="E18" authorId="0" shapeId="0">
      <text>
        <r>
          <rPr>
            <b/>
            <sz val="9"/>
            <color indexed="81"/>
            <rFont val="Tahoma"/>
            <family val="2"/>
          </rPr>
          <t>AST:</t>
        </r>
        <r>
          <rPr>
            <sz val="9"/>
            <color indexed="81"/>
            <rFont val="Tahoma"/>
            <family val="2"/>
          </rPr>
          <t xml:space="preserve">
installing fall arrest systems on subtn towers</t>
        </r>
      </text>
    </comment>
  </commentList>
</comments>
</file>

<file path=xl/comments4.xml><?xml version="1.0" encoding="utf-8"?>
<comments xmlns="http://schemas.openxmlformats.org/spreadsheetml/2006/main">
  <authors>
    <author>Author</author>
  </authors>
  <commentList>
    <comment ref="B48" authorId="0" shapeId="0">
      <text>
        <r>
          <rPr>
            <b/>
            <sz val="9"/>
            <color indexed="81"/>
            <rFont val="Tahoma"/>
            <family val="2"/>
          </rPr>
          <t>AST:</t>
        </r>
        <r>
          <rPr>
            <sz val="9"/>
            <color indexed="81"/>
            <rFont val="Tahoma"/>
            <family val="2"/>
          </rPr>
          <t xml:space="preserve">
For overheads allocaiton purposes Gifted assets are excluded from the direct cost base.</t>
        </r>
      </text>
    </comment>
  </commentList>
</comments>
</file>

<file path=xl/sharedStrings.xml><?xml version="1.0" encoding="utf-8"?>
<sst xmlns="http://schemas.openxmlformats.org/spreadsheetml/2006/main" count="3405" uniqueCount="813">
  <si>
    <t>Outputs</t>
  </si>
  <si>
    <t>Stations</t>
  </si>
  <si>
    <t>Lines</t>
  </si>
  <si>
    <t>Protection, Control &amp; Automation</t>
  </si>
  <si>
    <t>ICT Infrastructure Capex</t>
  </si>
  <si>
    <t>Other</t>
  </si>
  <si>
    <t>Table of Contents</t>
  </si>
  <si>
    <t>Key Assumptions</t>
  </si>
  <si>
    <t>This model only contains information relating to Standard Control Services Capex.  Alternative Control Services are excluded</t>
  </si>
  <si>
    <t>Inputs Section</t>
  </si>
  <si>
    <t>Augmentation</t>
  </si>
  <si>
    <t>Major Rebuilds</t>
  </si>
  <si>
    <t>SCADA &amp; Comms</t>
  </si>
  <si>
    <t>Enviro, Safety &amp; Legal Capex</t>
  </si>
  <si>
    <t>Other Non Network</t>
  </si>
  <si>
    <t>1. Assumptions</t>
  </si>
  <si>
    <t>a.</t>
  </si>
  <si>
    <t>b.</t>
  </si>
  <si>
    <t>c.</t>
  </si>
  <si>
    <t>d.</t>
  </si>
  <si>
    <t>e.</t>
  </si>
  <si>
    <t>Reporting Categories</t>
  </si>
  <si>
    <t>Lookup Tables</t>
  </si>
  <si>
    <t>Project Ref</t>
  </si>
  <si>
    <t>Description</t>
  </si>
  <si>
    <t>Augmentation Capex</t>
  </si>
  <si>
    <t>Customer Connections</t>
  </si>
  <si>
    <t>ICT Infrastructure</t>
  </si>
  <si>
    <t>EDPR RIN Template Outputs</t>
  </si>
  <si>
    <t>2.1 EXPENDITURE SUMMARY &amp; RECONCILIATION</t>
  </si>
  <si>
    <t>TABLE 2.1.1 - STANDARD CONTROL SERVICES CAPEX</t>
  </si>
  <si>
    <t>Replacement expenditure</t>
  </si>
  <si>
    <t>Connections</t>
  </si>
  <si>
    <t>Augmentation Expenditure</t>
  </si>
  <si>
    <t>Non-network</t>
  </si>
  <si>
    <t>Capitalised network overheads</t>
  </si>
  <si>
    <t>Capitalised corporate overheads</t>
  </si>
  <si>
    <t>TOTAL GROSS CAPEX 
(includes capcons)</t>
  </si>
  <si>
    <t>capcons</t>
  </si>
  <si>
    <t>2.1 Expenditure Summary</t>
  </si>
  <si>
    <t>2.6 Non-Network</t>
  </si>
  <si>
    <t>f.</t>
  </si>
  <si>
    <t>Applies to year</t>
  </si>
  <si>
    <t>ASSET CATEGORY</t>
  </si>
  <si>
    <t>Subtransmission</t>
  </si>
  <si>
    <t>Distribution system assets</t>
  </si>
  <si>
    <t>Standard metering</t>
  </si>
  <si>
    <t>Public lighting</t>
  </si>
  <si>
    <t>SCADA/Network control</t>
  </si>
  <si>
    <t>Non-network general assets - IT</t>
  </si>
  <si>
    <t>Non-network general assets - Other</t>
  </si>
  <si>
    <t>Demand related capital expenditure</t>
  </si>
  <si>
    <t>Replacement expenditure (Group 1)</t>
  </si>
  <si>
    <t>Replacement expenditure (Group 2)</t>
  </si>
  <si>
    <t>Replacement expenditure (Group 3)</t>
  </si>
  <si>
    <t>Environment, safety &amp; legal</t>
  </si>
  <si>
    <t>Standard metering (Group 1)</t>
  </si>
  <si>
    <t>Standard metering (Group 2)</t>
  </si>
  <si>
    <t>Safety</t>
  </si>
  <si>
    <t>On</t>
  </si>
  <si>
    <t>Off</t>
  </si>
  <si>
    <t>Reinforcement</t>
  </si>
  <si>
    <t>RQ Maintained</t>
  </si>
  <si>
    <t>RQ Improved</t>
  </si>
  <si>
    <t>ESL</t>
  </si>
  <si>
    <t>SCADA</t>
  </si>
  <si>
    <t>IT Capex</t>
  </si>
  <si>
    <t>Other Non-system</t>
  </si>
  <si>
    <t>System</t>
  </si>
  <si>
    <t>Non-System</t>
  </si>
  <si>
    <t>TAB Categories - PTRM / RFM</t>
  </si>
  <si>
    <t>Category</t>
  </si>
  <si>
    <t>Class</t>
  </si>
  <si>
    <t>Customer Contributions</t>
  </si>
  <si>
    <t>VBRC Capex (direct costs only)</t>
  </si>
  <si>
    <t>Cap Cons</t>
  </si>
  <si>
    <t>RAB Category</t>
  </si>
  <si>
    <t>TAB Category</t>
  </si>
  <si>
    <t>RAB Categories - PTRM / RFM</t>
  </si>
  <si>
    <t>P50 Direct $000's</t>
  </si>
  <si>
    <t>Replacement Capex</t>
  </si>
  <si>
    <t>Non Network Capex</t>
  </si>
  <si>
    <t>Replace roofs, doors, windows &amp; doors</t>
  </si>
  <si>
    <t>Renew roads, drains and other</t>
  </si>
  <si>
    <t>Switchboards</t>
  </si>
  <si>
    <t>NERs &amp; NEDs</t>
  </si>
  <si>
    <t>Surge arresters</t>
  </si>
  <si>
    <t>HV switches, earth switches &amp; isolators</t>
  </si>
  <si>
    <t>Customer Capex (Gross)</t>
  </si>
  <si>
    <t>Contributions</t>
  </si>
  <si>
    <t>Crossarms - HV</t>
  </si>
  <si>
    <t>Crossarms - LV</t>
  </si>
  <si>
    <t>Crossarms - Subtransmission</t>
  </si>
  <si>
    <t>Cables</t>
  </si>
  <si>
    <t>Services</t>
  </si>
  <si>
    <t>Line voltage regulators</t>
  </si>
  <si>
    <t>ZSS - AVE VRR replacement program</t>
  </si>
  <si>
    <t>ZSS - MD1000 RTU replacement program (Stage 2) (15 sites)</t>
  </si>
  <si>
    <t>Program</t>
  </si>
  <si>
    <t>Substation Protection</t>
  </si>
  <si>
    <t>Voltage Regulation</t>
  </si>
  <si>
    <t>Secondary Infrastructure</t>
  </si>
  <si>
    <t>Poles</t>
  </si>
  <si>
    <t>Crossarms</t>
  </si>
  <si>
    <t>Conductor</t>
  </si>
  <si>
    <t>Switches &amp; Other</t>
  </si>
  <si>
    <t>Civil Infrastructure</t>
  </si>
  <si>
    <t>Zone substation major replacement projects</t>
  </si>
  <si>
    <t>Distribution substations &amp; LV</t>
  </si>
  <si>
    <t>Total Network Capex (Gross)</t>
  </si>
  <si>
    <t>Total Network Capex (Net)</t>
  </si>
  <si>
    <t>Grand Total (Net)</t>
  </si>
  <si>
    <t>Network Comms</t>
  </si>
  <si>
    <t>Replacement of buildings due to asbestos</t>
  </si>
  <si>
    <t>Replace battery rooms due to asbestos</t>
  </si>
  <si>
    <t>Full environmental upgrade incl bund</t>
  </si>
  <si>
    <t>Upgrade oil control controls</t>
  </si>
  <si>
    <t>Line voltage regulator fence replacement</t>
  </si>
  <si>
    <t>Ground type distribution sub fence replacement</t>
  </si>
  <si>
    <t>Infrastructure Security</t>
  </si>
  <si>
    <t>Vibration Dampers &amp; Armour Rods</t>
  </si>
  <si>
    <t>Overhang Removals</t>
  </si>
  <si>
    <t>EDO fuses</t>
  </si>
  <si>
    <t>Line clearance</t>
  </si>
  <si>
    <t>Animal / Bird Proofing</t>
  </si>
  <si>
    <t>Fall arrest systems</t>
  </si>
  <si>
    <t>Safety clearances in distribution substations (ground type, indoor type and kiosk)</t>
  </si>
  <si>
    <t>SWER Earths</t>
  </si>
  <si>
    <t>Environmental</t>
  </si>
  <si>
    <t>Govt. Funded Programs</t>
  </si>
  <si>
    <t>Repex - 50% Grp 2, 50% Grp 3</t>
  </si>
  <si>
    <t>Repex - 75% Grp 2, 25% Grp 3</t>
  </si>
  <si>
    <t>SCADA &amp; Network Communications</t>
  </si>
  <si>
    <t>Check</t>
  </si>
  <si>
    <t>Total ESL Volume Based</t>
  </si>
  <si>
    <t>Total ESL Project based</t>
  </si>
  <si>
    <t>Total ESL</t>
  </si>
  <si>
    <t>Sum</t>
  </si>
  <si>
    <t>Customer Connections (Net)</t>
  </si>
  <si>
    <t>Customer Initiated</t>
  </si>
  <si>
    <t>SME</t>
  </si>
  <si>
    <t>Govt. Contribution</t>
  </si>
  <si>
    <t>Enviro, Safety &amp; Legal Capex (Net)</t>
  </si>
  <si>
    <t>Escalators</t>
  </si>
  <si>
    <t>RAB Categories</t>
  </si>
  <si>
    <t>(Excluding escalators)</t>
  </si>
  <si>
    <t>Total</t>
  </si>
  <si>
    <t>Checks - Inputs</t>
  </si>
  <si>
    <t>TAB Categories (stage 2)</t>
  </si>
  <si>
    <t>Base Forecast Summary - Direct Expenditure</t>
  </si>
  <si>
    <t>Replacement</t>
  </si>
  <si>
    <t>Non-Network Expenditure</t>
  </si>
  <si>
    <t>Subtransmission Substations, Switching Stations , Zone Substations</t>
  </si>
  <si>
    <t>Subtransmission Lines</t>
  </si>
  <si>
    <t>Distribution Substations</t>
  </si>
  <si>
    <t>Other Assets</t>
  </si>
  <si>
    <t>Pole Top Structures</t>
  </si>
  <si>
    <t>Overhead Conductors</t>
  </si>
  <si>
    <t>Underground Cables</t>
  </si>
  <si>
    <t>Service Lines</t>
  </si>
  <si>
    <t>Transformers</t>
  </si>
  <si>
    <t>Switchgear</t>
  </si>
  <si>
    <t>Motor Vehicles</t>
  </si>
  <si>
    <t>Buildings And Property</t>
  </si>
  <si>
    <t>HV Feeders</t>
  </si>
  <si>
    <t>LV Feeders</t>
  </si>
  <si>
    <t>IT and Communications</t>
  </si>
  <si>
    <t>Simple and Complex Customer Connections</t>
  </si>
  <si>
    <t>Labour &amp; Non-Labour Category Splits</t>
  </si>
  <si>
    <t>CPI Escalation</t>
  </si>
  <si>
    <t>Labour Escalation</t>
  </si>
  <si>
    <t>Material Escalation</t>
  </si>
  <si>
    <t>Labour Type</t>
  </si>
  <si>
    <t>Direct Material Cost</t>
  </si>
  <si>
    <t>Direct Labour Cost</t>
  </si>
  <si>
    <t>Other Cost</t>
  </si>
  <si>
    <t>Transformers &amp; Switchgear</t>
  </si>
  <si>
    <t>Activity Type</t>
  </si>
  <si>
    <t>Expenditure Type</t>
  </si>
  <si>
    <t>Material Composition</t>
  </si>
  <si>
    <t>Alum</t>
  </si>
  <si>
    <t>Copper</t>
  </si>
  <si>
    <t>Steel</t>
  </si>
  <si>
    <t>Crude Oil</t>
  </si>
  <si>
    <t>Labour &amp; Non Labour Splits</t>
  </si>
  <si>
    <t>Spare</t>
  </si>
  <si>
    <t>Zone Sub Transformers</t>
  </si>
  <si>
    <t>Distribution Transformers</t>
  </si>
  <si>
    <t>Distribution Regulators</t>
  </si>
  <si>
    <t>Pole Top Capacitors</t>
  </si>
  <si>
    <t>Poles replaced</t>
  </si>
  <si>
    <t>Staked Poles</t>
  </si>
  <si>
    <t>Conductors - Steel</t>
  </si>
  <si>
    <t>Conductors - Copper</t>
  </si>
  <si>
    <t>Insulators</t>
  </si>
  <si>
    <t>Services - Unplanned</t>
  </si>
  <si>
    <t>Services - Planned</t>
  </si>
  <si>
    <t>Underground cables (Projects)</t>
  </si>
  <si>
    <t>Dist. Regulators</t>
  </si>
  <si>
    <t>Pole top Switches (Incl Gas)</t>
  </si>
  <si>
    <t>ACRs 3ph</t>
  </si>
  <si>
    <t>OCR 1ph</t>
  </si>
  <si>
    <t>HV Fuses</t>
  </si>
  <si>
    <t>Surge Diverters</t>
  </si>
  <si>
    <t>Protection &amp; Control</t>
  </si>
  <si>
    <t>Internal labour real rate</t>
  </si>
  <si>
    <t>External labour real rate</t>
  </si>
  <si>
    <t>New 66kV lines (kms)</t>
  </si>
  <si>
    <t>Reconductored 66kV lines (kms)</t>
  </si>
  <si>
    <t>Buildings &amp; Civil infrastructure</t>
  </si>
  <si>
    <t>Program Type</t>
  </si>
  <si>
    <t>Material Escalation Index</t>
  </si>
  <si>
    <t>RIN Asset Category</t>
  </si>
  <si>
    <t xml:space="preserve">New Zone Substation </t>
  </si>
  <si>
    <t>66kv Feeders - HV</t>
  </si>
  <si>
    <t>Thermal Upgrade - 22kv LV Feeders</t>
  </si>
  <si>
    <t>Thermal Upgrade Voltage - 22kv LV Feeders</t>
  </si>
  <si>
    <t>2. Lookup Tables</t>
  </si>
  <si>
    <t>3.1. Augmentation Capex</t>
  </si>
  <si>
    <t>3.3. Replacement Capex</t>
  </si>
  <si>
    <t>3.4. Enviro, Safety &amp; Legal Capex</t>
  </si>
  <si>
    <t>3.5. SCADA &amp; Network Control</t>
  </si>
  <si>
    <t>3.6. Non Network Capex</t>
  </si>
  <si>
    <t>5. Outputs</t>
  </si>
  <si>
    <t>5.1 EDPR submission outputs</t>
  </si>
  <si>
    <t>5.3 EDPR RIN outputs</t>
  </si>
  <si>
    <t>3. Inputs (Direct Costs, units &amp; unit rates)</t>
  </si>
  <si>
    <t>(for stage 1 aggregation)</t>
  </si>
  <si>
    <t>POLES</t>
  </si>
  <si>
    <t>POLE TOP STRUCTURES</t>
  </si>
  <si>
    <t>OVERHEAD CONDUCTORS</t>
  </si>
  <si>
    <t>UNDERGROUND CABLES</t>
  </si>
  <si>
    <t>SERVICE LINES</t>
  </si>
  <si>
    <t>TRANSFORMERS</t>
  </si>
  <si>
    <t>SWITCHGEAR</t>
  </si>
  <si>
    <t>PUBLIC LIGHTING</t>
  </si>
  <si>
    <t>OTHER</t>
  </si>
  <si>
    <t>MOTOR VEHICLES</t>
  </si>
  <si>
    <t>BUILDINGS AND PROPERTY</t>
  </si>
  <si>
    <t>Total Direct $000's</t>
  </si>
  <si>
    <t>Other 56M Undergrounding</t>
  </si>
  <si>
    <t>Communication Systems</t>
  </si>
  <si>
    <t>SCADA Remote</t>
  </si>
  <si>
    <t>Material Escalation Rate</t>
  </si>
  <si>
    <t>Circuit Breakers &amp; disconnectors 22 kV</t>
  </si>
  <si>
    <t>Circuit Breakers &amp; disconnectors  66kV</t>
  </si>
  <si>
    <t>Cap Cans</t>
  </si>
  <si>
    <t>NER</t>
  </si>
  <si>
    <t>Bird &amp; Animal proofing</t>
  </si>
  <si>
    <t>Instrument Transformers</t>
  </si>
  <si>
    <t>ZSS Major replacements</t>
  </si>
  <si>
    <t>RMUs (Kiosk Substations)</t>
  </si>
  <si>
    <t>Distribution Sub Transformers (Pole Top &amp; Kiosk upgrades)</t>
  </si>
  <si>
    <t>Dampers &amp; Armour Rods</t>
  </si>
  <si>
    <t>Fall Arrests</t>
  </si>
  <si>
    <t>Environmental, Safety &amp; Legal - Part A</t>
  </si>
  <si>
    <t>Environmental, Safety &amp; Legal - Part B</t>
  </si>
  <si>
    <t>Calculated 'Direct Labour Costs' includes both employee labour and internal labour hire contracts</t>
  </si>
  <si>
    <t>Instrument transformers - VTs</t>
  </si>
  <si>
    <t>Cap banks &amp; reactors</t>
  </si>
  <si>
    <t>Subtransmission poles - complex 147COM</t>
  </si>
  <si>
    <t>Subtransmission poles - simple 147SIM</t>
  </si>
  <si>
    <t>Distribution poles - HV complex 148HVC</t>
  </si>
  <si>
    <t>Distribution poles - HV simple 148HVS</t>
  </si>
  <si>
    <t>Distribution poles - LV 148LVP</t>
  </si>
  <si>
    <t>Distribution poles - street lights 148SIM</t>
  </si>
  <si>
    <t>Pole reinforcement 149FWK</t>
  </si>
  <si>
    <t>Conductor - AAC HV</t>
  </si>
  <si>
    <t>Conductor - ACSR HV</t>
  </si>
  <si>
    <t>Conductor - Steel</t>
  </si>
  <si>
    <t>Fuses</t>
  </si>
  <si>
    <t>Pole top capacitors</t>
  </si>
  <si>
    <t>Conductors - Alum</t>
  </si>
  <si>
    <t>Enhanced Prot &amp; control 1ph &amp; 3ph</t>
  </si>
  <si>
    <t>Conductors - ACSR</t>
  </si>
  <si>
    <t>Conductor - Routine HV &amp; LV (Subtr)</t>
  </si>
  <si>
    <t>Conductor - AAC HV (Subtr)</t>
  </si>
  <si>
    <t>Conductor - ACSR HV (Subtr)</t>
  </si>
  <si>
    <t xml:space="preserve">Completion of HV ABC program </t>
  </si>
  <si>
    <t>Conductor replacement - AAC</t>
  </si>
  <si>
    <t>Conductor replacement - ACSR</t>
  </si>
  <si>
    <t>Conductor replacement - Steel</t>
  </si>
  <si>
    <t>Company Owned Vehicles</t>
  </si>
  <si>
    <t>Property - General Equip &amp; Furniture</t>
  </si>
  <si>
    <t>Tools &amp; Test Equipment</t>
  </si>
  <si>
    <t>Network</t>
  </si>
  <si>
    <t>IT</t>
  </si>
  <si>
    <t>Actual</t>
  </si>
  <si>
    <t>Forecast</t>
  </si>
  <si>
    <t>Table 3.4.1 - Volume Based</t>
  </si>
  <si>
    <t>Table 3.4.2 - Project based</t>
  </si>
  <si>
    <t>Table 3.2.1 - Gross Expenditure</t>
  </si>
  <si>
    <t>Table 3.2.2 - Customer Contributions</t>
  </si>
  <si>
    <t>Total Gross Capex</t>
  </si>
  <si>
    <t>Customer Capex</t>
  </si>
  <si>
    <t>4. Aggregations &amp; Allocations</t>
  </si>
  <si>
    <t>Aggregations &amp; Allocations</t>
  </si>
  <si>
    <t>Millions</t>
  </si>
  <si>
    <t>Thousands</t>
  </si>
  <si>
    <t>Contracts Cost</t>
  </si>
  <si>
    <t>Reset RIN Categories</t>
  </si>
  <si>
    <t>ESC Categories</t>
  </si>
  <si>
    <t>Network overheads</t>
  </si>
  <si>
    <t>Corporate overheads</t>
  </si>
  <si>
    <t>(Including real cost escalators)</t>
  </si>
  <si>
    <t>(including real cost escalators, overheads and CPI)</t>
  </si>
  <si>
    <t>Actual / Historical</t>
  </si>
  <si>
    <t>Index - Nominal to $2014</t>
  </si>
  <si>
    <t>CPI movement - 8 Capital Cities</t>
  </si>
  <si>
    <t>Non Network Other</t>
  </si>
  <si>
    <t>2016-20</t>
  </si>
  <si>
    <t>Net Capex</t>
  </si>
  <si>
    <t>Table 3.4.3 - Government Funded Safety Programs</t>
  </si>
  <si>
    <t>Govt. Funded Safety Programs</t>
  </si>
  <si>
    <t>TABLE 2.17.2 - FORECAST CAPEX STEP CHANGES FOR STANDARD CONTROL SERVICES</t>
  </si>
  <si>
    <t>Current regulatory period</t>
  </si>
  <si>
    <t>Forthcoming regulatory period</t>
  </si>
  <si>
    <t>Step change</t>
  </si>
  <si>
    <t>2.17 Step Changes</t>
  </si>
  <si>
    <t>Escalated values --&gt;</t>
  </si>
  <si>
    <t>Replacement Volume Summary</t>
  </si>
  <si>
    <t>ABC component</t>
  </si>
  <si>
    <t>Assumed zero escalation for materials</t>
  </si>
  <si>
    <t>Net inflation</t>
  </si>
  <si>
    <t>RIN Expenditure Category</t>
  </si>
  <si>
    <t>SCADA network control and protection systems</t>
  </si>
  <si>
    <t>(Capex only)</t>
  </si>
  <si>
    <t>TABLE 2.6.1 NON-NETWORK EXPENDITURE</t>
  </si>
  <si>
    <t>SERVICE SUBCATEGORY</t>
  </si>
  <si>
    <t>ASSET REPORTING 
CATEGORY</t>
  </si>
  <si>
    <t>IT &amp; COMMUNICATIONS</t>
  </si>
  <si>
    <t>Client device expenditure</t>
  </si>
  <si>
    <t xml:space="preserve">Opex </t>
  </si>
  <si>
    <t xml:space="preserve">Capex </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</si>
  <si>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</si>
  <si>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</si>
  <si>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</si>
  <si>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</si>
  <si>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</si>
  <si>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</si>
  <si>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</si>
  <si>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</si>
  <si>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t>Other expenditure</t>
  </si>
  <si>
    <t>RIN Expenditure Summary - Direct Expenditure</t>
  </si>
  <si>
    <t>3.2. Customer Connections (Not Used - See separate model)</t>
  </si>
  <si>
    <t>RIN Exp Categories</t>
  </si>
  <si>
    <t>Subtotal Replacement Capex</t>
  </si>
  <si>
    <t>RIN Expenditure Summary Categories</t>
  </si>
  <si>
    <t>5.4 Other outputs</t>
  </si>
  <si>
    <t>Other Outputs</t>
  </si>
  <si>
    <t>Repex Volumes Analysis</t>
  </si>
  <si>
    <t>Lines Replacement Program &amp; Customer Connections</t>
  </si>
  <si>
    <t>Low service/conductor</t>
  </si>
  <si>
    <t>Table 1 - CPI Indexes</t>
  </si>
  <si>
    <t>CPI - 8 cities - Sept (old base), 1yr lagged</t>
  </si>
  <si>
    <t>CPI - 8 cities - Sept (rebased in Sep-12), 1yr lagged</t>
  </si>
  <si>
    <t>(Direct costs Only)</t>
  </si>
  <si>
    <t>&lt;Spare&gt;</t>
  </si>
  <si>
    <t>Other &lt;spare&gt;</t>
  </si>
  <si>
    <t>Non Network Total</t>
  </si>
  <si>
    <t>OTHER - DNSP nominated</t>
  </si>
  <si>
    <t>Non Network Asset Category</t>
  </si>
  <si>
    <t>Non Network Asset SubCategory</t>
  </si>
  <si>
    <t>General furniture and equipment</t>
  </si>
  <si>
    <t>Other buildings and property</t>
  </si>
  <si>
    <t>Total Motor Veh</t>
  </si>
  <si>
    <t>AusNet Overhead allocations</t>
  </si>
  <si>
    <t>source: SPA Revised EDPR Capex Fcast Model 19 July 2010 (2011-15 EDPR), updated with new additional activity types</t>
  </si>
  <si>
    <t>Copper within ACSR below</t>
  </si>
  <si>
    <t>Total Network</t>
  </si>
  <si>
    <t>Current Reg Period</t>
  </si>
  <si>
    <t>Regulatory Period</t>
  </si>
  <si>
    <t>Next Regulatory Period</t>
  </si>
  <si>
    <t>First year of next period</t>
  </si>
  <si>
    <t>t-2 regulatory year</t>
  </si>
  <si>
    <t>t-1 regulatory year</t>
  </si>
  <si>
    <t>t-2</t>
  </si>
  <si>
    <t>t-1</t>
  </si>
  <si>
    <t>User Input</t>
  </si>
  <si>
    <t>Direct Unit cost ($2018, $000's)</t>
  </si>
  <si>
    <t>P50 Direct Cost Inputs - $000's, real $2018</t>
  </si>
  <si>
    <t>Total Direct Cost, including labour escalation - $000's, real $2018</t>
  </si>
  <si>
    <t>Refer to Connections Capex &amp; Contributions Forecast model</t>
  </si>
  <si>
    <t>Direct Labour Unit Cost ($2018)</t>
  </si>
  <si>
    <t>Direct Material Unit Cost ($2018)</t>
  </si>
  <si>
    <t>Direct Contracts Unit Cost ($2018)</t>
  </si>
  <si>
    <t>Direct Other Unit Cost ($2018)</t>
  </si>
  <si>
    <t>Number of Units Input</t>
  </si>
  <si>
    <t>P50 Direct Cost - $000's, real $2018</t>
  </si>
  <si>
    <t>CPI - $2018 to nominal</t>
  </si>
  <si>
    <t>$2018 to nominal</t>
  </si>
  <si>
    <t>Downer Cost Allocation ($2018) - Lines Portion Only</t>
  </si>
  <si>
    <t>Downer Cost Allocation ($2018) - Customer Portion Only</t>
  </si>
  <si>
    <t>Downer Cost Allocation ($2018) - Total</t>
  </si>
  <si>
    <t>Downer Contract inflation</t>
  </si>
  <si>
    <t>Nominal</t>
  </si>
  <si>
    <t>Gross Capex ($m)</t>
  </si>
  <si>
    <t>Customer Contributions ($m)</t>
  </si>
  <si>
    <t>Net Capex Excluding Disposals ($m)</t>
  </si>
  <si>
    <t>Land</t>
  </si>
  <si>
    <t>Direct Expenditure ($2018) - Excluding Downer Contract Costs</t>
  </si>
  <si>
    <t>Demand driven Augmentation</t>
  </si>
  <si>
    <t>FY22</t>
  </si>
  <si>
    <t>FY23</t>
  </si>
  <si>
    <t>CY19</t>
  </si>
  <si>
    <t>CY20</t>
  </si>
  <si>
    <t>Grand Total (Gross)</t>
  </si>
  <si>
    <t>End $2020 to Nominal</t>
  </si>
  <si>
    <t>Index - Nominal to End $2020</t>
  </si>
  <si>
    <t>REFCL T3</t>
  </si>
  <si>
    <t>REFCL Program</t>
  </si>
  <si>
    <t>REFCL</t>
  </si>
  <si>
    <t>Subtransmission/Augmentation Expenditure</t>
  </si>
  <si>
    <t>Distribution system assets/Augmentation Expenditure</t>
  </si>
  <si>
    <t>Distribution system assets/Replacement expenditure</t>
  </si>
  <si>
    <t>SCADA/Network control/Augmentation Expenditure</t>
  </si>
  <si>
    <t>SCADA/Network control/Replacement expenditure</t>
  </si>
  <si>
    <t>Non-network general assets - Other/Non-network</t>
  </si>
  <si>
    <t>Central Region Feeders</t>
  </si>
  <si>
    <t>Power Quality Monitoring (Meter Installations)</t>
  </si>
  <si>
    <t>Hosting Capacity Development (DER)</t>
  </si>
  <si>
    <t xml:space="preserve">New CLN24 feeder </t>
  </si>
  <si>
    <t>New CLN31 Feeder</t>
  </si>
  <si>
    <t>Reconfigure feeders Ex-CRE</t>
  </si>
  <si>
    <t>Upgrade KLO14 feeder</t>
  </si>
  <si>
    <t>WOTS 22 kV Zone Sub Feeder Reconfiguration  </t>
  </si>
  <si>
    <t>Distribution Network</t>
  </si>
  <si>
    <t>Augex Project</t>
  </si>
  <si>
    <t>Augex Project (NEW)</t>
  </si>
  <si>
    <t>DER</t>
  </si>
  <si>
    <t>Augex Program</t>
  </si>
  <si>
    <t>Maffra Refurbishment</t>
  </si>
  <si>
    <t>Benalla Refurbishment</t>
  </si>
  <si>
    <t>Watsonia Refurbishment</t>
  </si>
  <si>
    <t>Thomastown Refurbishment</t>
  </si>
  <si>
    <t>New</t>
  </si>
  <si>
    <t>Newmeralla Refurbishment</t>
  </si>
  <si>
    <t>Traralgon Stage 2 Refurbishment</t>
  </si>
  <si>
    <t>Bayswater Refurbishment</t>
  </si>
  <si>
    <t>Warragul Refurbishment</t>
  </si>
  <si>
    <t>Security Enhancement</t>
  </si>
  <si>
    <t>Property - Land Acquisition</t>
  </si>
  <si>
    <t>Duplicate 22kV Bus Tie Protection at KLO and CPK</t>
  </si>
  <si>
    <t>DC Supplies Upgrade (2006 Install EOL)</t>
  </si>
  <si>
    <t>ZSS - non-AVE VRR replacement program</t>
  </si>
  <si>
    <t>Gov Funded</t>
  </si>
  <si>
    <t>66kV Circuit breakers</t>
  </si>
  <si>
    <t xml:space="preserve">22kV Circuit breakers </t>
  </si>
  <si>
    <t>66kV Surge arresters</t>
  </si>
  <si>
    <t xml:space="preserve">22 kV Surge Arresters </t>
  </si>
  <si>
    <t>Conductor - Cu HV</t>
  </si>
  <si>
    <t>Conductor replacement - Codified</t>
  </si>
  <si>
    <t>Codified Areas - Proactive insulation/undergrounding</t>
  </si>
  <si>
    <t>Augmentation - Demand related</t>
  </si>
  <si>
    <t>Non-Network Other</t>
  </si>
  <si>
    <t>Capex by Purpose</t>
  </si>
  <si>
    <t>$2015 to nominal</t>
  </si>
  <si>
    <t>Innovation</t>
  </si>
  <si>
    <t>Direct cost composition - New Connections ($2018)</t>
  </si>
  <si>
    <t>Repex / Augex</t>
  </si>
  <si>
    <t>Connections Only</t>
  </si>
  <si>
    <t>Augex</t>
  </si>
  <si>
    <t>Repex</t>
  </si>
  <si>
    <t>Total Overheads - $2018</t>
  </si>
  <si>
    <t>Connections - Gifted</t>
  </si>
  <si>
    <t>Augex / Repex</t>
  </si>
  <si>
    <t>LV Network Capacity and Voltage Management Program (formerly Distribution transformer Upgrades)</t>
  </si>
  <si>
    <t>NERs &amp; NEDs Health Monitoring</t>
  </si>
  <si>
    <t>Distribution subs - ground type</t>
  </si>
  <si>
    <t>Distribution subs - pole top</t>
  </si>
  <si>
    <t>Instrument transformers - CTs - 66kV</t>
  </si>
  <si>
    <t>Instrument transformers - CTs - 22kV</t>
  </si>
  <si>
    <t>Power Transformer Life Extension</t>
  </si>
  <si>
    <t>Power Transformer Risk Mitigation</t>
  </si>
  <si>
    <t>Circuit Breakers &amp; disconnectors</t>
  </si>
  <si>
    <t>Conductors - SWER</t>
  </si>
  <si>
    <t>Power Transformer Replacement 20MVA</t>
  </si>
  <si>
    <t>Power Transformer Replacement 5MVA</t>
  </si>
  <si>
    <t>BDSS - Replace Obsolete Protection Schemes on High Value Assets</t>
  </si>
  <si>
    <t>ZSS - Replace Obsolete 22kV Bus, BUEF and MEF Protection Schemes</t>
  </si>
  <si>
    <t>ZSS - Replace Obsolete and Non-Compliant 22kV Feeder Protection Schemes</t>
  </si>
  <si>
    <t xml:space="preserve">ZSS - Obsolete 66kV Bus Distance Relay replacement </t>
  </si>
  <si>
    <t>Network Overheads Allocation</t>
  </si>
  <si>
    <t>Subtotal</t>
  </si>
  <si>
    <t>Non-Network</t>
  </si>
  <si>
    <t>Control Totals</t>
  </si>
  <si>
    <t>Non-network IT</t>
  </si>
  <si>
    <t>Total Network Classes</t>
  </si>
  <si>
    <t>Grand Totals</t>
  </si>
  <si>
    <t>Safety (excl REFCLs)</t>
  </si>
  <si>
    <t>REFCL (excl Non-network)</t>
  </si>
  <si>
    <t>Capitalised Overheads, $2018</t>
  </si>
  <si>
    <t>Total Expenditure, $2018</t>
  </si>
  <si>
    <t>Safety Expenditure</t>
  </si>
  <si>
    <t>Direct Costs incl Labour escalation, $2018</t>
  </si>
  <si>
    <t>Downer Contractor support costs (previously known as "Tenix overheads") are treated as direct costs inputs in our annual regulatory accounts and are therefore included in forecast Direct expenditures in this model</t>
  </si>
  <si>
    <t>Augmentation - Non-Demand related</t>
  </si>
  <si>
    <t>Non Safety related</t>
  </si>
  <si>
    <t>Safety re-allocations</t>
  </si>
  <si>
    <t>Direct costs incl Labour escalation, $2018</t>
  </si>
  <si>
    <t>Non Network IT</t>
  </si>
  <si>
    <t>Labour escalation, $2018</t>
  </si>
  <si>
    <t>Total Direct Expenditure, $2018</t>
  </si>
  <si>
    <t>Total Non-Network</t>
  </si>
  <si>
    <t>Non-Network (excl REFCL)</t>
  </si>
  <si>
    <t>P50 Direct Expenditure excluding Labour escalation, $2018</t>
  </si>
  <si>
    <t>P50 Direct Expenditure including Labour escalation, $2018</t>
  </si>
  <si>
    <t>Capex by Driver</t>
  </si>
  <si>
    <t>Grand Total</t>
  </si>
  <si>
    <t>Downer Support Costs</t>
  </si>
  <si>
    <t>Overhead rates</t>
  </si>
  <si>
    <t>Connections - Cash Capex</t>
  </si>
  <si>
    <t>Network Capex subject to Overheads (incl Repex, Augex, Connections)</t>
  </si>
  <si>
    <t>For RIN Template population:-</t>
  </si>
  <si>
    <t>Regulatory Forecast Expenditure</t>
  </si>
  <si>
    <t>CPI - 8 cities - Jun Qtr, 1yr lagged</t>
  </si>
  <si>
    <t>Non Network Safety Capex</t>
  </si>
  <si>
    <t>REFCL program</t>
  </si>
  <si>
    <t>CNMS Lifecycle Management</t>
  </si>
  <si>
    <t>Mesh Lifecycle Management - App</t>
  </si>
  <si>
    <t>Mesh Lifecycle Management - Comms</t>
  </si>
  <si>
    <t>Non-network - Metering related IT</t>
  </si>
  <si>
    <t>SCADA &amp; Comms - Metering</t>
  </si>
  <si>
    <t>Metering related IT systems</t>
  </si>
  <si>
    <t>SCADA/Network Control</t>
  </si>
  <si>
    <t>Metering SCS</t>
  </si>
  <si>
    <t>IT systems</t>
  </si>
  <si>
    <t>3G to 4G Comms Upgrade</t>
  </si>
  <si>
    <t>Network / Non Network Asset Category</t>
  </si>
  <si>
    <t>g.</t>
  </si>
  <si>
    <t>End $2015 to Mid Year $2018</t>
  </si>
  <si>
    <t>Total Direct $000's, real $2018</t>
  </si>
  <si>
    <t>P50 Direct $000's, real $2018</t>
  </si>
  <si>
    <t>Internal labour index - applied to labour costs in $2018</t>
  </si>
  <si>
    <t>Internal labour index - applied to labour costs in $2015</t>
  </si>
  <si>
    <t>External labour index - applied to labour costs in $2018</t>
  </si>
  <si>
    <t>External labour index - applied to labour costs in $2015</t>
  </si>
  <si>
    <t>East Region Feeders</t>
  </si>
  <si>
    <t>Conductor - Reactive Replacement LV &amp; MV</t>
  </si>
  <si>
    <t>Conductor - SWER (Non Codified)</t>
  </si>
  <si>
    <t>Electrical Earths</t>
  </si>
  <si>
    <t>Subtransmission Protection</t>
  </si>
  <si>
    <t xml:space="preserve">ZSS - Obsolete 66kV Line Distance Relay replacement </t>
  </si>
  <si>
    <t xml:space="preserve">Distribution feeders </t>
  </si>
  <si>
    <t>End $2015 to End $2020</t>
  </si>
  <si>
    <t>Property - Buildings Acquisition &amp; depot upgrades</t>
  </si>
  <si>
    <t>P50 Direct incl labour escalation, $2018</t>
  </si>
  <si>
    <t>P50 Direct excl labour escalation, $2018</t>
  </si>
  <si>
    <t>Other - Metering Business Communications</t>
  </si>
  <si>
    <t>Other - Metering Comms Battery purchases</t>
  </si>
  <si>
    <t>Nominal Capex, $m</t>
  </si>
  <si>
    <t>CY16</t>
  </si>
  <si>
    <t>CY17</t>
  </si>
  <si>
    <t>CY18</t>
  </si>
  <si>
    <t>Act</t>
  </si>
  <si>
    <t>F'cast</t>
  </si>
  <si>
    <t>REFCL Driven Augmentation  (Safety)</t>
  </si>
  <si>
    <t>Safety (incl REFCL Augm)</t>
  </si>
  <si>
    <t>REFCL Program (Incl Non-network)</t>
  </si>
  <si>
    <t>real $2018</t>
  </si>
  <si>
    <t>P50 Direct Inputs - All Tranches</t>
  </si>
  <si>
    <t>Ntwk Balancing &amp; Isol Subs</t>
  </si>
  <si>
    <t>Feeder asset replacement</t>
  </si>
  <si>
    <t>Live line Equipment</t>
  </si>
  <si>
    <t>Non Ntwk</t>
  </si>
  <si>
    <t>WiMAX Network Asset Maintenance (Purchases)</t>
  </si>
  <si>
    <t>Mesh Network Asset Maintanenance</t>
  </si>
  <si>
    <t xml:space="preserve">North Region Feeders (From WOTS 22kV Zone Sub) </t>
  </si>
  <si>
    <t>Flexible DER - Dist. Transformer Sensing Devices</t>
  </si>
  <si>
    <t>Control Boxes &amp; ACRs</t>
  </si>
  <si>
    <t>MV Switches</t>
  </si>
  <si>
    <t>TRIO Remote and 3G Modem Replacement</t>
  </si>
  <si>
    <t>SDH/PDH and DIC Switch &amp; Serial Server Replacement</t>
  </si>
  <si>
    <t>Telephony Service (POTS to NBN) and TMR Console / Mobile Replacement</t>
  </si>
  <si>
    <t>Zone substation lighting</t>
  </si>
  <si>
    <t>SWER (Codified Areas)</t>
  </si>
  <si>
    <t>Bare conductor (Codified Areas)</t>
  </si>
  <si>
    <t>Arc Suppression Coil</t>
  </si>
  <si>
    <t>5 min meter data settlement and global settlements</t>
  </si>
  <si>
    <t>Non-network general assets - Land</t>
  </si>
  <si>
    <t>Top down adjustment</t>
  </si>
  <si>
    <t>REFCL driven Augmentation</t>
  </si>
  <si>
    <t>Voltage Compliance Program</t>
  </si>
  <si>
    <t xml:space="preserve">Summer Network Readiness Program </t>
  </si>
  <si>
    <t>Customer Supply Compliance Program</t>
  </si>
  <si>
    <t>Eliminating Network Operational Deficiencies Program</t>
  </si>
  <si>
    <t>real $2018 to $Jun 2021</t>
  </si>
  <si>
    <t>Real Jun $2021</t>
  </si>
  <si>
    <t>ZSS fencing upgrade</t>
  </si>
  <si>
    <t>$2018 to Jun $2021</t>
  </si>
  <si>
    <t>REFCL Contingent projects (T1 / T2 / T3)</t>
  </si>
  <si>
    <t>Non-Network Leasehold Land &amp; Buildings</t>
  </si>
  <si>
    <t>Capitalised leases</t>
  </si>
  <si>
    <t>Capitalised Leases</t>
  </si>
  <si>
    <t>2022-26</t>
  </si>
  <si>
    <t>2027-31</t>
  </si>
  <si>
    <t>FY24</t>
  </si>
  <si>
    <t>FY25</t>
  </si>
  <si>
    <t>FY26</t>
  </si>
  <si>
    <t>real Jun $2021</t>
  </si>
  <si>
    <t>REFCL Program labour / non-labour splits</t>
  </si>
  <si>
    <t>Per IT Capex model FY22-26</t>
  </si>
  <si>
    <t>Forecast 
($0's, real June 2021)</t>
  </si>
  <si>
    <t>Index - Nominal to $2021</t>
  </si>
  <si>
    <t>High Level Program split - Recurrent</t>
  </si>
  <si>
    <t>High Level Program split - Non-recurrent</t>
  </si>
  <si>
    <t>High Level Program split - Client device</t>
  </si>
  <si>
    <t>DER - ICT - Non-recurrent</t>
  </si>
  <si>
    <t>ICT</t>
  </si>
  <si>
    <t>Direct P50, including labour escalation ($2018)</t>
  </si>
  <si>
    <t>6 mths</t>
  </si>
  <si>
    <t>Direct P50, including labour escalation ($Jun 2021)</t>
  </si>
  <si>
    <t>Stub</t>
  </si>
  <si>
    <t>Downer Electricity Contract - Support Costs forecast</t>
  </si>
  <si>
    <t>Downer Support costs, $2018</t>
  </si>
  <si>
    <t>before Downer support cost allocation</t>
  </si>
  <si>
    <t>P50 Direct Expenditure Forecast ($2018) - excluding Downer Contracts</t>
  </si>
  <si>
    <t>LV Circuit Breakers</t>
  </si>
  <si>
    <t>T1/T2 forecasts</t>
  </si>
  <si>
    <t>T3 Decision</t>
  </si>
  <si>
    <t>EXPENDITURE
($'0s, real June 2021)</t>
  </si>
  <si>
    <t>Forecast ($0's, real June 2021)</t>
  </si>
  <si>
    <t>Total Capex excl OH</t>
  </si>
  <si>
    <t>2020-21</t>
  </si>
  <si>
    <t>2021-22</t>
  </si>
  <si>
    <t>2022-23</t>
  </si>
  <si>
    <t>2023-24</t>
  </si>
  <si>
    <t>2024-25</t>
  </si>
  <si>
    <t>2025-26</t>
  </si>
  <si>
    <t>2019-20</t>
  </si>
  <si>
    <t xml:space="preserve">Calendar year forecast </t>
  </si>
  <si>
    <t>CY2019</t>
  </si>
  <si>
    <t>CY2020</t>
  </si>
  <si>
    <t>Direct, $Nominal</t>
  </si>
  <si>
    <t>In-house labour expenditure</t>
  </si>
  <si>
    <t>Labour expenditure outsourced to related parties</t>
  </si>
  <si>
    <t>Labour expenditure outsourced to unrelated parties</t>
  </si>
  <si>
    <t>Controllable non-labour expenditure</t>
  </si>
  <si>
    <t>Uncontrollable non-labour expenditure</t>
  </si>
  <si>
    <t>Total Capex incl OHD, net of contributions</t>
  </si>
  <si>
    <t>real $Jun 2021</t>
  </si>
  <si>
    <t>2.11 Labour - Capex</t>
  </si>
  <si>
    <t>2.1.8 - STANDARD CONTROL SERVICES CAPITALISED OVERHEADS</t>
  </si>
  <si>
    <t>capcons (included in the above)</t>
  </si>
  <si>
    <t>Forecast 
($0's, real $2018)</t>
  </si>
  <si>
    <t>6 months</t>
  </si>
  <si>
    <t>Capitalised Overheads, $Nominal</t>
  </si>
  <si>
    <t>This line does not get included in the total</t>
  </si>
  <si>
    <t>3 Year</t>
  </si>
  <si>
    <t>Average</t>
  </si>
  <si>
    <t>June Financial Years:-</t>
  </si>
  <si>
    <t>Buidling Services - Other</t>
  </si>
  <si>
    <t>Land purchases - REFCL</t>
  </si>
  <si>
    <t>Live line equipment</t>
  </si>
  <si>
    <t>REFCL Augmentation</t>
  </si>
  <si>
    <t>REFCL Tranches and REFCL Augmentation</t>
  </si>
  <si>
    <t>Total REFCL Capex</t>
  </si>
  <si>
    <t>DER Capex View</t>
  </si>
  <si>
    <t>Jan-Jun-21</t>
  </si>
  <si>
    <t>source: 2018 Actual Input Table Splits (excluding 'IT &amp; Comms splits' and 'Other Comms' splits).</t>
  </si>
  <si>
    <t>Medium Density Housing</t>
  </si>
  <si>
    <t>U/Ground Service Installation</t>
  </si>
  <si>
    <t>Business Supply Projects</t>
  </si>
  <si>
    <t>Private Electric Line Repl</t>
  </si>
  <si>
    <t>Low Density Housing - Subdivision</t>
  </si>
  <si>
    <t>Meters T/Switches &amp; Services</t>
  </si>
  <si>
    <t>Recoverable &amp; Special Works</t>
  </si>
  <si>
    <t>Cogeneration Projects</t>
  </si>
  <si>
    <t>Public Lighting Projects - Minor</t>
  </si>
  <si>
    <t>Public Lighting Capital - Major</t>
  </si>
  <si>
    <t>Complex residential supply projects</t>
  </si>
  <si>
    <t>Total Capex incl Overheads, $2018</t>
  </si>
  <si>
    <t>Total Capex incl Overheads, $2021</t>
  </si>
  <si>
    <t>P50 Direct incl labour escalation, $2021</t>
  </si>
  <si>
    <t>Forecast
($000's, real)</t>
  </si>
  <si>
    <t>Source: AER Category Analysis Templates 2009-13, 2014 - 2018</t>
  </si>
  <si>
    <t>Capitalised Overheads - Standard Control</t>
  </si>
  <si>
    <t>$Nominal</t>
  </si>
  <si>
    <t>Total Safety Expenditure  (Replacement, Augmentation, Non Network)</t>
  </si>
  <si>
    <t>(before Downer support cost allocation)</t>
  </si>
  <si>
    <t>Total Capitalised Overheads - SCS ($m)</t>
  </si>
  <si>
    <t>Excludes REFCL tranches volumes</t>
  </si>
  <si>
    <t>Capitalised Overheads are applied to Network and IT Capex categories.  Non Network Other (e.g, property, vehicles, tools, etc.) does not include an overheads allocation.</t>
  </si>
  <si>
    <t>Supporting calculation for the Network Overhead rates: -</t>
  </si>
  <si>
    <t>Direct Capex by Purpose (excl. Non Network)</t>
  </si>
  <si>
    <t>Total Connections - Excluding Gifted Assets</t>
  </si>
  <si>
    <t>Total Connections - Including Gifted Assets</t>
  </si>
  <si>
    <t>New Connections Direct costs subject to Overheads (Incl Downer)</t>
  </si>
  <si>
    <t>Lifecycle</t>
  </si>
  <si>
    <t>Metering lifecycle initiatives</t>
  </si>
  <si>
    <t>Forecast Overheads by stream</t>
  </si>
  <si>
    <t>2.1.8 Overheads</t>
  </si>
  <si>
    <t>2.11 Labour</t>
  </si>
  <si>
    <t>5.2 Selected Reporting Views</t>
  </si>
  <si>
    <t>DER related Capex</t>
  </si>
  <si>
    <t>REFCL Capex</t>
  </si>
  <si>
    <t>REFCL T1</t>
  </si>
  <si>
    <t>REFCL T2</t>
  </si>
  <si>
    <t>Overhead Cable</t>
  </si>
  <si>
    <t>Proactive replacement of bare SWER conductor in Codified Areas with HV ABC</t>
  </si>
  <si>
    <t>Tranche 3 REFCL Construction, Testing and Commissioning</t>
  </si>
  <si>
    <t>Augmentation to address the capacitive current seen by REFCL's</t>
  </si>
  <si>
    <t>Table 1A - Direct P50, including labour escalation ($2018)</t>
  </si>
  <si>
    <t>Table 1B - Direct P50, including labour escalation ($Jun 2021)</t>
  </si>
  <si>
    <t>Historical / Actual</t>
  </si>
  <si>
    <t>Jan-Jun21</t>
  </si>
  <si>
    <r>
      <t xml:space="preserve">Safety </t>
    </r>
    <r>
      <rPr>
        <vertAlign val="superscript"/>
        <sz val="9.35"/>
        <color theme="1"/>
        <rFont val="Calibri"/>
        <family val="2"/>
      </rPr>
      <t>3</t>
    </r>
  </si>
  <si>
    <r>
      <t xml:space="preserve">Total Gross Capex (Jun $2021) </t>
    </r>
    <r>
      <rPr>
        <b/>
        <vertAlign val="superscript"/>
        <sz val="9.35"/>
        <color theme="1"/>
        <rFont val="Calibri"/>
        <family val="2"/>
      </rPr>
      <t>1</t>
    </r>
  </si>
  <si>
    <r>
      <t xml:space="preserve">Net Capex - Total (Jun $2021) </t>
    </r>
    <r>
      <rPr>
        <b/>
        <vertAlign val="superscript"/>
        <sz val="9.35"/>
        <color theme="1"/>
        <rFont val="Calibri"/>
        <family val="2"/>
      </rPr>
      <t>2</t>
    </r>
  </si>
  <si>
    <t>1. Excludes equity raising costs</t>
  </si>
  <si>
    <t>2. Net Capex before asset disposals</t>
  </si>
  <si>
    <t>3. Govt funded safety (powerline replacement fund) is included in 2014 and 2015 actual gross capex and contributions.  From 2016 onward these costs and contributions are excluded from SCS capex</t>
  </si>
  <si>
    <t>Table 2: Capital Contributions</t>
  </si>
  <si>
    <t>Contributions by driver</t>
  </si>
  <si>
    <t>Government funded (PRF)</t>
  </si>
  <si>
    <t>Contributions - Total (Jun $2021)</t>
  </si>
  <si>
    <t>Capex net of contributions (Jun $2021)</t>
  </si>
  <si>
    <t>2021-25</t>
  </si>
  <si>
    <t>Demand driven Augex - net of contributions</t>
  </si>
  <si>
    <t>Safety (exc REFCL) - net of contributions</t>
  </si>
  <si>
    <t>Connections - net of contributions</t>
  </si>
  <si>
    <t>Real $Jun-21</t>
  </si>
  <si>
    <t>Table 1: Gross Capex including capcons</t>
  </si>
  <si>
    <t>Total Capital Contributions (Jun $2021)</t>
  </si>
  <si>
    <t>Total 2016-20 Forecast Net Capex</t>
  </si>
  <si>
    <t>% Reduction to 2016-20 period</t>
  </si>
  <si>
    <t>Safety - REFCL driven Augmentation</t>
  </si>
  <si>
    <t>Capex Driver</t>
  </si>
  <si>
    <t>FY22-26 Forecast</t>
  </si>
  <si>
    <t>PTRM output - Standard Control Services</t>
  </si>
  <si>
    <t>Capex Drivers - Standard Control Services</t>
  </si>
  <si>
    <t>$m, Jun $2021</t>
  </si>
  <si>
    <t>REFCL Tranches (incl Non-network)</t>
  </si>
  <si>
    <t>Table 1A - Direct costs including labour escalation, $Jun 2021</t>
  </si>
  <si>
    <t>Table 1B - Direct costs including labour escalation, $Jun 2021 - FY basis</t>
  </si>
  <si>
    <t>(Excluding IT)</t>
  </si>
  <si>
    <t>Replacement Expenditure</t>
  </si>
  <si>
    <t>Table 1D - Direct costs including labour escalation, $Jun 2021 - FY basis</t>
  </si>
  <si>
    <t>Table 1C - Direct costs including labour escalation, $Jun 2021</t>
  </si>
  <si>
    <t>Total T1-T3</t>
  </si>
  <si>
    <t>Subtotal Tranches 1-3</t>
  </si>
  <si>
    <t>REFCL Tranches only (T1-T3), excluding IT</t>
  </si>
  <si>
    <t>Metering related IT systems (SCS)</t>
  </si>
  <si>
    <t>Capex 2016-2026</t>
  </si>
  <si>
    <t>MV capex profile</t>
  </si>
  <si>
    <t>Metering Comms Replacement (SCS)</t>
  </si>
  <si>
    <t xml:space="preserve">Source: ASD - WPI calculation - Public.xls  -  2019-26 forecasts based on an average of forecasts prepared by Deloitte &amp; BIS forecasts. Forecast of EGWWS Victoria real WPI. </t>
  </si>
  <si>
    <t>Source: AusNet Services' 2018 RIN expenditure analysis</t>
  </si>
  <si>
    <t>Table 1E - Direct costs including labour escalation, $Jun 2021 - FY basis</t>
  </si>
  <si>
    <t>Confidential</t>
  </si>
  <si>
    <t>$2018</t>
  </si>
  <si>
    <t>$Jun-21</t>
  </si>
  <si>
    <t>(includes Downer support)</t>
  </si>
  <si>
    <t>Zone Substation Works</t>
  </si>
  <si>
    <t>Capitalised Overheads - Standard Control Services</t>
  </si>
  <si>
    <t>CLN 3rd 20/33MVA Transformer</t>
  </si>
  <si>
    <t>DRN 3rd 20/33MVA Transformer</t>
  </si>
  <si>
    <t>See Connections Capex Forecast model</t>
  </si>
  <si>
    <t>Note: This sheet is left blank intentionally</t>
  </si>
  <si>
    <t>--&gt; source: ASD Connections Capex forecast model 2021-26</t>
  </si>
  <si>
    <t>(source: ASD Connections Capex forecast model 2021-26)</t>
  </si>
  <si>
    <t>Reg_Forecast!G8:U8</t>
  </si>
  <si>
    <t>Reg_Forecast!G13:U13</t>
  </si>
  <si>
    <t>Downer_Contract!U12</t>
  </si>
  <si>
    <t>Downer_Contract!U19:AB19</t>
  </si>
  <si>
    <t>AusNet_Overheads!H62:O62</t>
  </si>
  <si>
    <t>AusNet_Overheads!H46:O46</t>
  </si>
  <si>
    <t>AusNet_Overheads!H47:O47</t>
  </si>
  <si>
    <t>AusNet_Overheads!H41:J41</t>
  </si>
  <si>
    <t>Base_Forecast!H13:X13</t>
  </si>
  <si>
    <t>Proposal</t>
  </si>
  <si>
    <t>Real $2018</t>
  </si>
  <si>
    <t>CPI Forecast</t>
  </si>
  <si>
    <t>CPI Indexes (June Quarter)</t>
  </si>
  <si>
    <t>Escalation!L6:Q6</t>
  </si>
  <si>
    <t>Escalation!J17:Q17</t>
  </si>
  <si>
    <t>Escalation!J19:Q19</t>
  </si>
  <si>
    <t>Downer Support'!H9:I9</t>
  </si>
  <si>
    <t>Downer Support'!H7:O7</t>
  </si>
  <si>
    <t>Location in Connections Model</t>
  </si>
  <si>
    <t>Location in Capex Model</t>
  </si>
  <si>
    <t>RFM_PTRM!O21:S28</t>
  </si>
  <si>
    <t>PTRM Inputs  (Real $2021)</t>
  </si>
  <si>
    <t>Non-network general assets - IT as % of "ICT Infrastructure"</t>
  </si>
  <si>
    <t>PTRM Data Inputs</t>
  </si>
  <si>
    <t>Proposal capex Model</t>
  </si>
  <si>
    <t>Direct Capex</t>
  </si>
  <si>
    <t>Fixed Overheads</t>
  </si>
  <si>
    <t>Variable Overheads</t>
  </si>
  <si>
    <t>Variable Overheads Rate</t>
  </si>
  <si>
    <t>IT Capitalised Overheads</t>
  </si>
  <si>
    <t>Network Capitalised Overheads</t>
  </si>
  <si>
    <t>AER Overheads</t>
  </si>
  <si>
    <t>Direct Capex attracting Overheads</t>
  </si>
  <si>
    <t>Forecast Immediate Expensing of Capital Expenditure ($m)</t>
  </si>
  <si>
    <t>Non- Network Leasehold Land &amp; Buildings - 2021-22</t>
  </si>
  <si>
    <t>Non- Network Leasehold Land &amp; Buildings - 2025-26</t>
  </si>
  <si>
    <t>Buildings</t>
  </si>
  <si>
    <t>in-house software</t>
  </si>
  <si>
    <t>Disposals</t>
  </si>
  <si>
    <t>Disposals ($m) obtained from response to IR#15</t>
  </si>
  <si>
    <t>2021-22 COVID adjustment ratio</t>
  </si>
  <si>
    <t>Jan21-Jun21</t>
  </si>
  <si>
    <t>2021/22</t>
  </si>
  <si>
    <t>2022/23</t>
  </si>
  <si>
    <t>2023/24</t>
  </si>
  <si>
    <t>2024/25</t>
  </si>
  <si>
    <t>2025/26</t>
  </si>
  <si>
    <t>source: actual CPI Jan2021-Jun2021 (Draft Decision RFM) and forecast CPI for FY22-26 (Draft Decision PTRM model - 2022-26)</t>
  </si>
  <si>
    <t>Net capex excluding disposals</t>
  </si>
  <si>
    <t>COGENERATION PROJECTS</t>
  </si>
  <si>
    <t>TURNKEY - GIFTED ASSETS</t>
  </si>
  <si>
    <t>** Public version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</si>
</sst>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64" formatCode="_(* #,##0.00_);_(* \(#,##0.00\);_(* &quot;-&quot;??_);_(@_)"/>
    <numFmt numFmtId="165" formatCode="&quot;$&quot;#,##0_);[Red]\(&quot;$&quot;#,##0\)"/>
    <numFmt numFmtId="166" formatCode="#,##0.0"/>
    <numFmt numFmtId="167" formatCode="0.0%"/>
    <numFmt numFmtId="168" formatCode="0.000"/>
    <numFmt numFmtId="169" formatCode="0.0"/>
    <numFmt numFmtId="170" formatCode="0.0000"/>
    <numFmt numFmtId="171" formatCode="&quot;$&quot;#,##0"/>
    <numFmt numFmtId="172" formatCode="&quot;$&quot;#,##0.0"/>
    <numFmt numFmtId="173" formatCode="#,##0.000"/>
    <numFmt numFmtId="174" formatCode="_-* #,##0_-;\-* #,##0_-;_-* &quot;-&quot;??_-;_-@_-"/>
    <numFmt numFmtId="175" formatCode="#,##0_ ;[Red]\-#,##0\ "/>
    <numFmt numFmtId="176" formatCode="_-* #,##0.0_-;\-* #,##0.0_-;_-* &quot;-&quot;??_-;_-@_-"/>
    <numFmt numFmtId="177" formatCode="0.000000%"/>
    <numFmt numFmtId="178" formatCode="_-* #,##0.000_-;\-* #,##0.000_-;_-* &quot;-&quot;??_-;_-@_-"/>
    <numFmt numFmtId="179" formatCode="#,##0.00000"/>
    <numFmt numFmtId="180" formatCode="#,##0.000000"/>
    <numFmt numFmtId="181" formatCode="#,##0.0000000"/>
    <numFmt numFmtId="182" formatCode="0.0000%"/>
    <numFmt numFmtId="183" formatCode="0.00000000000000%"/>
    <numFmt numFmtId="184" formatCode="0.000000"/>
    <numFmt numFmtId="185" formatCode="0.000%"/>
    <numFmt numFmtId="186" formatCode="0.000000000000000000000%"/>
    <numFmt numFmtId="187" formatCode="_-* #,##0.00000_-;\-* #,##0.00000_-;_-* &quot;-&quot;??_-;_-@_-"/>
    <numFmt numFmtId="188" formatCode="_(* #,##0_);_(* \(#,##0\);_(* &quot;-&quot;??_);_(@_)"/>
  </numFmts>
  <fonts count="62" x14ac:knownFonts="1">
    <font>
      <sz val="11"/>
      <color theme="1"/>
      <name val="Calibri"/>
      <family val="2"/>
      <scheme val="minor"/>
    </font>
    <font>
      <sz val="10"/>
      <color theme="1"/>
      <name val="Arial"/>
      <family val="2"/>
    </font>
    <font>
      <sz val="10"/>
      <color theme="1"/>
      <name val="Arial"/>
      <family val="2"/>
    </font>
    <font>
      <b/>
      <sz val="11"/>
      <color theme="1"/>
      <name val="Calibri"/>
      <family val="2"/>
      <scheme val="minor"/>
    </font>
    <font>
      <u/>
      <sz val="11"/>
      <color theme="10"/>
      <name val="Calibri"/>
      <family val="2"/>
      <scheme val="minor"/>
    </font>
    <font>
      <sz val="11"/>
      <color theme="1"/>
      <name val="Calibri"/>
      <family val="2"/>
      <scheme val="minor"/>
    </font>
    <font>
      <sz val="11"/>
      <color rgb="FFFF0000"/>
      <name val="Calibri"/>
      <family val="2"/>
      <scheme val="minor"/>
    </font>
    <font>
      <b/>
      <sz val="14"/>
      <color rgb="FF002060"/>
      <name val="Calibri"/>
      <family val="2"/>
      <scheme val="minor"/>
    </font>
    <font>
      <b/>
      <sz val="16"/>
      <color rgb="FF002060"/>
      <name val="Calibri"/>
      <family val="2"/>
      <scheme val="minor"/>
    </font>
    <font>
      <b/>
      <sz val="11"/>
      <color rgb="FF002060"/>
      <name val="Calibri"/>
      <family val="2"/>
      <scheme val="minor"/>
    </font>
    <font>
      <u/>
      <sz val="11"/>
      <color rgb="FF002060"/>
      <name val="Calibri"/>
      <family val="2"/>
      <scheme val="minor"/>
    </font>
    <font>
      <sz val="11"/>
      <color rgb="FF002060"/>
      <name val="Calibri"/>
      <family val="2"/>
      <scheme val="minor"/>
    </font>
    <font>
      <sz val="10"/>
      <color theme="1"/>
      <name val="Calibri"/>
      <family val="2"/>
      <scheme val="minor"/>
    </font>
    <font>
      <i/>
      <sz val="11"/>
      <color rgb="FF002060"/>
      <name val="Calibri"/>
      <family val="2"/>
      <scheme val="minor"/>
    </font>
    <font>
      <i/>
      <sz val="11"/>
      <color theme="1"/>
      <name val="Calibri"/>
      <family val="2"/>
      <scheme val="minor"/>
    </font>
    <font>
      <u/>
      <sz val="10"/>
      <color theme="10"/>
      <name val="Calibri"/>
      <family val="2"/>
      <scheme val="minor"/>
    </font>
    <font>
      <u/>
      <sz val="11"/>
      <color theme="1"/>
      <name val="Calibri"/>
      <family val="2"/>
      <scheme val="minor"/>
    </font>
    <font>
      <sz val="11"/>
      <color rgb="FFC00000"/>
      <name val="Calibri"/>
      <family val="2"/>
      <scheme val="minor"/>
    </font>
    <font>
      <sz val="9"/>
      <color indexed="81"/>
      <name val="Tahoma"/>
      <family val="2"/>
    </font>
    <font>
      <b/>
      <sz val="9"/>
      <color indexed="81"/>
      <name val="Tahoma"/>
      <family val="2"/>
    </font>
    <font>
      <sz val="11"/>
      <color theme="0" tint="-0.499984740745262"/>
      <name val="Calibri"/>
      <family val="2"/>
      <scheme val="minor"/>
    </font>
    <font>
      <sz val="11"/>
      <name val="Calibri"/>
      <family val="2"/>
      <scheme val="minor"/>
    </font>
    <font>
      <sz val="11"/>
      <color theme="0"/>
      <name val="Calibri"/>
      <family val="2"/>
      <scheme val="minor"/>
    </font>
    <font>
      <u/>
      <sz val="11"/>
      <color theme="11"/>
      <name val="Calibri"/>
      <family val="2"/>
      <scheme val="minor"/>
    </font>
    <font>
      <sz val="11"/>
      <color rgb="FF800000"/>
      <name val="Calibri"/>
      <family val="2"/>
      <scheme val="minor"/>
    </font>
    <font>
      <sz val="11"/>
      <color rgb="FF0070C0"/>
      <name val="Calibri"/>
      <family val="2"/>
      <scheme val="minor"/>
    </font>
    <font>
      <i/>
      <sz val="11"/>
      <color theme="3"/>
      <name val="Calibri"/>
      <family val="2"/>
      <scheme val="minor"/>
    </font>
    <font>
      <sz val="11"/>
      <color theme="3"/>
      <name val="Calibri"/>
      <family val="2"/>
      <scheme val="minor"/>
    </font>
    <font>
      <b/>
      <sz val="12"/>
      <color theme="0"/>
      <name val="Calibri"/>
      <family val="2"/>
      <scheme val="minor"/>
    </font>
    <font>
      <sz val="16"/>
      <color indexed="51"/>
      <name val="Arial Black"/>
      <family val="2"/>
    </font>
    <font>
      <b/>
      <sz val="10"/>
      <name val="Arial"/>
      <family val="2"/>
    </font>
    <font>
      <sz val="10"/>
      <name val="Arial"/>
      <family val="2"/>
    </font>
    <font>
      <sz val="10"/>
      <color rgb="FFFF0000"/>
      <name val="Arial"/>
      <family val="2"/>
    </font>
    <font>
      <b/>
      <sz val="11"/>
      <name val="Arial Black"/>
      <family val="2"/>
    </font>
    <font>
      <b/>
      <sz val="11"/>
      <color theme="3"/>
      <name val="Calibri"/>
      <family val="2"/>
      <scheme val="minor"/>
    </font>
    <font>
      <b/>
      <u/>
      <sz val="11"/>
      <color theme="1"/>
      <name val="Calibri"/>
      <family val="2"/>
      <scheme val="minor"/>
    </font>
    <font>
      <b/>
      <sz val="14"/>
      <color theme="1"/>
      <name val="Arial"/>
      <family val="2"/>
    </font>
    <font>
      <b/>
      <sz val="11"/>
      <name val="Arial"/>
      <family val="2"/>
    </font>
    <font>
      <b/>
      <sz val="11"/>
      <name val="Calibri"/>
      <family val="2"/>
      <scheme val="minor"/>
    </font>
    <font>
      <sz val="11"/>
      <color theme="1"/>
      <name val="Arial"/>
      <family val="2"/>
    </font>
    <font>
      <sz val="11"/>
      <name val="Arial"/>
      <family val="2"/>
    </font>
    <font>
      <b/>
      <sz val="11"/>
      <color theme="1"/>
      <name val="Arial"/>
      <family val="2"/>
    </font>
    <font>
      <b/>
      <sz val="11"/>
      <color rgb="FFFF0000"/>
      <name val="Calibri"/>
      <family val="2"/>
      <scheme val="minor"/>
    </font>
    <font>
      <b/>
      <sz val="11"/>
      <color rgb="FF0070C0"/>
      <name val="Calibri"/>
      <family val="2"/>
      <scheme val="minor"/>
    </font>
    <font>
      <sz val="11"/>
      <color rgb="FF0000FF"/>
      <name val="Calibri"/>
      <family val="2"/>
      <scheme val="minor"/>
    </font>
    <font>
      <b/>
      <sz val="16"/>
      <color rgb="FFFF0000"/>
      <name val="Calibri"/>
      <family val="2"/>
      <scheme val="minor"/>
    </font>
    <font>
      <b/>
      <sz val="11"/>
      <color theme="0"/>
      <name val="Calibri"/>
      <family val="2"/>
      <scheme val="minor"/>
    </font>
    <font>
      <i/>
      <sz val="10"/>
      <color theme="1"/>
      <name val="Calibri"/>
      <family val="2"/>
      <scheme val="minor"/>
    </font>
    <font>
      <i/>
      <sz val="9"/>
      <color theme="1"/>
      <name val="Calibri"/>
      <family val="2"/>
      <scheme val="minor"/>
    </font>
    <font>
      <sz val="8"/>
      <name val="Calibri"/>
      <family val="2"/>
      <scheme val="minor"/>
    </font>
    <font>
      <vertAlign val="superscript"/>
      <sz val="9.35"/>
      <color theme="1"/>
      <name val="Calibri"/>
      <family val="2"/>
    </font>
    <font>
      <b/>
      <vertAlign val="superscript"/>
      <sz val="9.35"/>
      <color theme="1"/>
      <name val="Calibri"/>
      <family val="2"/>
    </font>
    <font>
      <sz val="12"/>
      <color rgb="FF0070C0"/>
      <name val="Calibri"/>
      <family val="2"/>
      <scheme val="minor"/>
    </font>
    <font>
      <b/>
      <sz val="14"/>
      <color theme="3"/>
      <name val="Calibri"/>
      <family val="2"/>
      <scheme val="minor"/>
    </font>
    <font>
      <b/>
      <sz val="14"/>
      <color rgb="FF0070C0"/>
      <name val="Calibri"/>
      <family val="2"/>
      <scheme val="minor"/>
    </font>
    <font>
      <b/>
      <sz val="11"/>
      <color rgb="FF0000FF"/>
      <name val="Calibri"/>
      <family val="2"/>
      <scheme val="minor"/>
    </font>
    <font>
      <b/>
      <sz val="11"/>
      <color rgb="FF0033CC"/>
      <name val="Calibri"/>
      <family val="2"/>
      <scheme val="minor"/>
    </font>
    <font>
      <b/>
      <i/>
      <sz val="11"/>
      <color rgb="FFFF0000"/>
      <name val="Calibri"/>
      <family val="2"/>
      <scheme val="minor"/>
    </font>
    <font>
      <b/>
      <u/>
      <sz val="11"/>
      <color rgb="FFFF0000"/>
      <name val="Calibri"/>
      <family val="2"/>
      <scheme val="minor"/>
    </font>
    <font>
      <b/>
      <sz val="10"/>
      <color theme="1"/>
      <name val="Arial"/>
      <family val="2"/>
    </font>
    <font>
      <b/>
      <sz val="10"/>
      <color rgb="FF0000FF"/>
      <name val="Arial"/>
      <family val="2"/>
    </font>
    <font>
      <b/>
      <i/>
      <sz val="11"/>
      <color theme="3"/>
      <name val="Calibri"/>
      <family val="2"/>
      <scheme val="minor"/>
    </font>
  </fonts>
  <fills count="3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indexed="26"/>
        <bgColor indexed="64"/>
      </patternFill>
    </fill>
    <fill>
      <patternFill patternType="solid">
        <fgColor indexed="22"/>
        <bgColor indexed="64"/>
      </patternFill>
    </fill>
    <fill>
      <patternFill patternType="solid">
        <fgColor rgb="FFFFFF99"/>
        <bgColor indexed="64"/>
      </patternFill>
    </fill>
    <fill>
      <patternFill patternType="solid">
        <fgColor theme="0" tint="-0.49998474074526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theme="1" tint="0.499984740745262"/>
        <bgColor indexed="64"/>
      </patternFill>
    </fill>
    <fill>
      <patternFill patternType="solid">
        <fgColor rgb="FF00B0F0"/>
        <bgColor indexed="64"/>
      </patternFill>
    </fill>
    <fill>
      <patternFill patternType="solid">
        <fgColor rgb="FFFFFFFF"/>
        <bgColor indexed="64"/>
      </patternFill>
    </fill>
    <fill>
      <patternFill patternType="solid">
        <fgColor rgb="FF0070C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rgb="FFFF00FF"/>
        <bgColor indexed="64"/>
      </patternFill>
    </fill>
    <fill>
      <patternFill patternType="solid">
        <fgColor theme="9" tint="0.59999389629810485"/>
        <bgColor indexed="64"/>
      </patternFill>
    </fill>
    <fill>
      <patternFill patternType="solid">
        <fgColor rgb="FFFFC000"/>
        <bgColor indexed="64"/>
      </patternFill>
    </fill>
  </fills>
  <borders count="8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style="dotted">
        <color auto="1"/>
      </left>
      <right/>
      <top/>
      <bottom/>
      <diagonal/>
    </border>
    <border>
      <left style="dotted">
        <color auto="1"/>
      </left>
      <right/>
      <top/>
      <bottom style="thin">
        <color auto="1"/>
      </bottom>
      <diagonal/>
    </border>
    <border diagonalUp="1">
      <left/>
      <right/>
      <top/>
      <bottom style="thin">
        <color auto="1"/>
      </bottom>
      <diagonal style="thin">
        <color auto="1"/>
      </diagonal>
    </border>
    <border diagonalUp="1">
      <left/>
      <right/>
      <top/>
      <bottom/>
      <diagonal style="thin">
        <color auto="1"/>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diagonal/>
    </border>
    <border>
      <left style="medium">
        <color auto="1"/>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style="medium">
        <color auto="1"/>
      </top>
      <bottom/>
      <diagonal/>
    </border>
    <border>
      <left style="thin">
        <color indexed="64"/>
      </left>
      <right/>
      <top style="thin">
        <color indexed="64"/>
      </top>
      <bottom/>
      <diagonal/>
    </border>
    <border>
      <left style="medium">
        <color indexed="64"/>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auto="1"/>
      </right>
      <top style="medium">
        <color indexed="64"/>
      </top>
      <bottom/>
      <diagonal/>
    </border>
    <border>
      <left style="medium">
        <color indexed="64"/>
      </left>
      <right/>
      <top style="medium">
        <color indexed="64"/>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auto="1"/>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indexed="64"/>
      </left>
      <right/>
      <top style="thin">
        <color theme="0" tint="-0.24994659260841701"/>
      </top>
      <bottom style="medium">
        <color auto="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indexed="64"/>
      </bottom>
      <diagonal/>
    </border>
    <border>
      <left style="medium">
        <color auto="1"/>
      </left>
      <right/>
      <top style="thin">
        <color indexed="64"/>
      </top>
      <bottom style="thin">
        <color theme="0" tint="-0.34998626667073579"/>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auto="1"/>
      </bottom>
      <diagonal/>
    </border>
    <border>
      <left style="medium">
        <color indexed="64"/>
      </left>
      <right style="medium">
        <color indexed="64"/>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right style="medium">
        <color auto="1"/>
      </right>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bottom style="medium">
        <color auto="1"/>
      </bottom>
      <diagonal/>
    </border>
    <border>
      <left style="thin">
        <color theme="0" tint="-0.24994659260841701"/>
      </left>
      <right style="medium">
        <color indexed="64"/>
      </right>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diagonalUp="1">
      <left style="thin">
        <color auto="1"/>
      </left>
      <right/>
      <top/>
      <bottom/>
      <diagonal style="thin">
        <color auto="1"/>
      </diagonal>
    </border>
    <border diagonalUp="1">
      <left style="thin">
        <color indexed="64"/>
      </left>
      <right/>
      <top/>
      <bottom style="thin">
        <color auto="1"/>
      </bottom>
      <diagonal style="thin">
        <color auto="1"/>
      </diagonal>
    </border>
    <border>
      <left/>
      <right style="medium">
        <color indexed="64"/>
      </right>
      <top/>
      <bottom/>
      <diagonal/>
    </border>
    <border>
      <left style="dotted">
        <color auto="1"/>
      </left>
      <right style="dotted">
        <color auto="1"/>
      </right>
      <top/>
      <bottom/>
      <diagonal/>
    </border>
    <border>
      <left style="dotted">
        <color auto="1"/>
      </left>
      <right style="dotted">
        <color auto="1"/>
      </right>
      <top/>
      <bottom style="thin">
        <color auto="1"/>
      </bottom>
      <diagonal/>
    </border>
    <border>
      <left style="medium">
        <color indexed="64"/>
      </left>
      <right/>
      <top style="thin">
        <color theme="0" tint="-0.24994659260841701"/>
      </top>
      <bottom/>
      <diagonal/>
    </border>
    <border>
      <left/>
      <right style="thin">
        <color theme="0" tint="-0.24994659260841701"/>
      </right>
      <top/>
      <bottom style="medium">
        <color indexed="64"/>
      </bottom>
      <diagonal/>
    </border>
    <border>
      <left style="thin">
        <color indexed="64"/>
      </left>
      <right style="thin">
        <color theme="0" tint="-0.24994659260841701"/>
      </right>
      <top style="thin">
        <color auto="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bottom style="medium">
        <color indexed="64"/>
      </bottom>
      <diagonal/>
    </border>
    <border>
      <left style="dotted">
        <color auto="1"/>
      </left>
      <right style="dotted">
        <color auto="1"/>
      </right>
      <top style="thin">
        <color indexed="64"/>
      </top>
      <bottom/>
      <diagonal/>
    </border>
    <border>
      <left style="thin">
        <color theme="0" tint="-0.24994659260841701"/>
      </left>
      <right/>
      <top style="medium">
        <color indexed="64"/>
      </top>
      <bottom/>
      <diagonal/>
    </border>
    <border>
      <left style="medium">
        <color indexed="64"/>
      </left>
      <right style="thin">
        <color theme="0" tint="-0.24994659260841701"/>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right style="medium">
        <color indexed="64"/>
      </right>
      <top/>
      <bottom style="thin">
        <color indexed="64"/>
      </bottom>
      <diagonal/>
    </border>
  </borders>
  <cellStyleXfs count="50">
    <xf numFmtId="0" fontId="0" fillId="0" borderId="0"/>
    <xf numFmtId="0" fontId="4" fillId="0" borderId="0" applyNumberFormat="0" applyFill="0" applyBorder="0" applyAlignment="0" applyProtection="0"/>
    <xf numFmtId="9" fontId="5" fillId="0" borderId="0" applyFon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4" fontId="5" fillId="0" borderId="0" applyFont="0" applyFill="0" applyBorder="0" applyAlignment="0" applyProtection="0"/>
    <xf numFmtId="0" fontId="28" fillId="10" borderId="0">
      <alignment vertical="center"/>
      <protection locked="0"/>
    </xf>
  </cellStyleXfs>
  <cellXfs count="876">
    <xf numFmtId="0" fontId="0" fillId="0" borderId="0" xfId="0"/>
    <xf numFmtId="0" fontId="0" fillId="2" borderId="0" xfId="0" applyFill="1"/>
    <xf numFmtId="0" fontId="3" fillId="2" borderId="0" xfId="0" applyFont="1" applyFill="1"/>
    <xf numFmtId="0" fontId="4" fillId="2" borderId="0" xfId="1" applyFill="1"/>
    <xf numFmtId="0" fontId="0" fillId="2" borderId="1" xfId="0" applyFill="1" applyBorder="1" applyAlignment="1">
      <alignment horizontal="left" vertical="center"/>
    </xf>
    <xf numFmtId="0" fontId="0" fillId="2" borderId="1" xfId="0" applyFill="1" applyBorder="1" applyAlignment="1">
      <alignment vertical="center" wrapText="1"/>
    </xf>
    <xf numFmtId="0" fontId="0" fillId="2" borderId="1" xfId="0" applyFill="1" applyBorder="1"/>
    <xf numFmtId="0" fontId="0" fillId="3" borderId="1" xfId="0" applyFill="1" applyBorder="1"/>
    <xf numFmtId="0" fontId="3" fillId="2" borderId="1" xfId="0" applyFont="1" applyFill="1" applyBorder="1"/>
    <xf numFmtId="0" fontId="3" fillId="2" borderId="1" xfId="0" applyFont="1" applyFill="1" applyBorder="1" applyAlignment="1">
      <alignment horizontal="center" wrapText="1"/>
    </xf>
    <xf numFmtId="0" fontId="7" fillId="2" borderId="0" xfId="0" applyFont="1" applyFill="1"/>
    <xf numFmtId="0" fontId="8" fillId="2" borderId="0" xfId="0" applyFont="1" applyFill="1"/>
    <xf numFmtId="0" fontId="9" fillId="2" borderId="0" xfId="0" applyFont="1" applyFill="1"/>
    <xf numFmtId="0" fontId="11" fillId="2" borderId="0" xfId="0" applyFont="1" applyFill="1" applyAlignment="1">
      <alignment horizontal="center"/>
    </xf>
    <xf numFmtId="0" fontId="11" fillId="2" borderId="0" xfId="0" applyFont="1" applyFill="1" applyAlignment="1">
      <alignment horizontal="right"/>
    </xf>
    <xf numFmtId="0" fontId="11" fillId="2" borderId="0" xfId="0" applyFont="1" applyFill="1"/>
    <xf numFmtId="0" fontId="12" fillId="2" borderId="0" xfId="0" applyFont="1" applyFill="1"/>
    <xf numFmtId="0" fontId="3" fillId="2" borderId="1" xfId="0" applyFont="1" applyFill="1" applyBorder="1" applyAlignment="1">
      <alignment horizontal="center"/>
    </xf>
    <xf numFmtId="0" fontId="3" fillId="2" borderId="1" xfId="0" applyNumberFormat="1" applyFont="1" applyFill="1" applyBorder="1" applyAlignment="1">
      <alignment horizontal="center"/>
    </xf>
    <xf numFmtId="0" fontId="9" fillId="2" borderId="0" xfId="0" applyFont="1" applyFill="1" applyAlignment="1"/>
    <xf numFmtId="0" fontId="10" fillId="2" borderId="0" xfId="1" applyFont="1" applyFill="1"/>
    <xf numFmtId="0" fontId="7" fillId="5" borderId="0" xfId="0" applyFont="1" applyFill="1"/>
    <xf numFmtId="0" fontId="0" fillId="5" borderId="0" xfId="0" applyFill="1"/>
    <xf numFmtId="0" fontId="13" fillId="2" borderId="0" xfId="0" applyFont="1" applyFill="1" applyAlignment="1">
      <alignment horizontal="right"/>
    </xf>
    <xf numFmtId="0" fontId="14" fillId="2" borderId="0" xfId="0" applyFont="1" applyFill="1"/>
    <xf numFmtId="0" fontId="15" fillId="2" borderId="0" xfId="1" applyFont="1" applyFill="1"/>
    <xf numFmtId="0" fontId="15" fillId="5" borderId="0" xfId="1" applyFont="1" applyFill="1"/>
    <xf numFmtId="10" fontId="0" fillId="2" borderId="1" xfId="2" applyNumberFormat="1" applyFont="1" applyFill="1" applyBorder="1"/>
    <xf numFmtId="0" fontId="0" fillId="2" borderId="1" xfId="0" applyFill="1" applyBorder="1" applyAlignment="1">
      <alignment horizontal="center"/>
    </xf>
    <xf numFmtId="17" fontId="0" fillId="2" borderId="1" xfId="0" applyNumberFormat="1" applyFill="1" applyBorder="1" applyAlignment="1">
      <alignment horizontal="center"/>
    </xf>
    <xf numFmtId="0" fontId="0" fillId="0" borderId="0" xfId="0" applyAlignment="1">
      <alignment horizontal="right"/>
    </xf>
    <xf numFmtId="0" fontId="0" fillId="2" borderId="2" xfId="0" applyFill="1" applyBorder="1"/>
    <xf numFmtId="0" fontId="0" fillId="2" borderId="3" xfId="0" applyFill="1" applyBorder="1"/>
    <xf numFmtId="0" fontId="0" fillId="2" borderId="4" xfId="0" applyFill="1" applyBorder="1"/>
    <xf numFmtId="0" fontId="6" fillId="2" borderId="0" xfId="0" applyFont="1" applyFill="1"/>
    <xf numFmtId="0" fontId="16" fillId="2" borderId="0" xfId="0" applyFont="1" applyFill="1"/>
    <xf numFmtId="0" fontId="0" fillId="2" borderId="0" xfId="0" applyFill="1" applyAlignment="1">
      <alignment horizontal="center"/>
    </xf>
    <xf numFmtId="0" fontId="0" fillId="2" borderId="8" xfId="0" applyFill="1" applyBorder="1" applyAlignment="1">
      <alignment horizontal="center"/>
    </xf>
    <xf numFmtId="0" fontId="0" fillId="2" borderId="8" xfId="0" applyFill="1" applyBorder="1"/>
    <xf numFmtId="3" fontId="0" fillId="2" borderId="0" xfId="0" applyNumberFormat="1" applyFill="1"/>
    <xf numFmtId="3" fontId="0" fillId="2" borderId="9" xfId="0" applyNumberFormat="1" applyFill="1" applyBorder="1"/>
    <xf numFmtId="0" fontId="0" fillId="2" borderId="0" xfId="0" applyFill="1" applyBorder="1"/>
    <xf numFmtId="0" fontId="0" fillId="2" borderId="9" xfId="0" applyFill="1" applyBorder="1"/>
    <xf numFmtId="0" fontId="0" fillId="2" borderId="0" xfId="0" applyFont="1" applyFill="1" applyAlignment="1">
      <alignment horizontal="center"/>
    </xf>
    <xf numFmtId="0" fontId="0" fillId="2" borderId="11" xfId="0" applyFill="1" applyBorder="1" applyAlignment="1">
      <alignment horizontal="center"/>
    </xf>
    <xf numFmtId="3" fontId="0" fillId="3" borderId="1" xfId="0" applyNumberFormat="1" applyFill="1" applyBorder="1"/>
    <xf numFmtId="166" fontId="0" fillId="3" borderId="1" xfId="0" applyNumberFormat="1" applyFill="1" applyBorder="1"/>
    <xf numFmtId="3" fontId="0" fillId="2" borderId="1" xfId="0" applyNumberFormat="1" applyFill="1" applyBorder="1"/>
    <xf numFmtId="3" fontId="3" fillId="2" borderId="1" xfId="0" applyNumberFormat="1" applyFont="1" applyFill="1" applyBorder="1"/>
    <xf numFmtId="3" fontId="3" fillId="3" borderId="1" xfId="0" applyNumberFormat="1" applyFont="1" applyFill="1" applyBorder="1"/>
    <xf numFmtId="3" fontId="0" fillId="2" borderId="0" xfId="0" applyNumberFormat="1" applyFill="1" applyBorder="1"/>
    <xf numFmtId="3" fontId="3" fillId="2" borderId="0" xfId="0" applyNumberFormat="1" applyFont="1" applyFill="1"/>
    <xf numFmtId="0" fontId="17" fillId="2" borderId="0" xfId="0" applyFont="1" applyFill="1"/>
    <xf numFmtId="0" fontId="20" fillId="2" borderId="0" xfId="0" applyFont="1" applyFill="1"/>
    <xf numFmtId="0" fontId="21" fillId="2" borderId="0" xfId="0" applyFont="1" applyFill="1"/>
    <xf numFmtId="3" fontId="0" fillId="3" borderId="0" xfId="0" applyNumberFormat="1" applyFill="1"/>
    <xf numFmtId="0" fontId="0" fillId="2" borderId="0" xfId="0" applyFill="1" applyAlignment="1">
      <alignment horizontal="left" indent="1"/>
    </xf>
    <xf numFmtId="0" fontId="0" fillId="2" borderId="0" xfId="0" applyFill="1" applyAlignment="1">
      <alignment horizontal="center" wrapText="1"/>
    </xf>
    <xf numFmtId="0" fontId="0" fillId="2" borderId="2" xfId="0" applyFill="1" applyBorder="1" applyAlignment="1">
      <alignment vertical="top"/>
    </xf>
    <xf numFmtId="167" fontId="0" fillId="2" borderId="1" xfId="2" applyNumberFormat="1" applyFont="1" applyFill="1" applyBorder="1" applyAlignment="1">
      <alignment vertical="center"/>
    </xf>
    <xf numFmtId="0" fontId="22" fillId="2" borderId="3" xfId="0" applyFont="1" applyFill="1" applyBorder="1"/>
    <xf numFmtId="0" fontId="22" fillId="2" borderId="4" xfId="0" applyFont="1" applyFill="1" applyBorder="1"/>
    <xf numFmtId="9" fontId="0" fillId="2" borderId="1" xfId="2" applyFont="1" applyFill="1" applyBorder="1"/>
    <xf numFmtId="168" fontId="0" fillId="2" borderId="1" xfId="0" applyNumberFormat="1" applyFill="1" applyBorder="1"/>
    <xf numFmtId="0" fontId="0" fillId="2" borderId="1" xfId="0" applyFont="1" applyFill="1" applyBorder="1"/>
    <xf numFmtId="9" fontId="0" fillId="2" borderId="1" xfId="2" applyFont="1" applyFill="1" applyBorder="1" applyAlignment="1"/>
    <xf numFmtId="0" fontId="3" fillId="2" borderId="9" xfId="0" applyFont="1" applyFill="1" applyBorder="1" applyAlignment="1"/>
    <xf numFmtId="0" fontId="0" fillId="2" borderId="2" xfId="0" applyFont="1" applyFill="1" applyBorder="1"/>
    <xf numFmtId="0" fontId="3" fillId="2" borderId="3" xfId="0" applyFont="1" applyFill="1" applyBorder="1"/>
    <xf numFmtId="0" fontId="3" fillId="2" borderId="4" xfId="0" applyFont="1" applyFill="1" applyBorder="1"/>
    <xf numFmtId="0" fontId="0" fillId="2" borderId="3" xfId="0" applyFont="1" applyFill="1" applyBorder="1"/>
    <xf numFmtId="0" fontId="0" fillId="2" borderId="1" xfId="0" applyFont="1" applyFill="1" applyBorder="1" applyAlignment="1"/>
    <xf numFmtId="0" fontId="0" fillId="2" borderId="1" xfId="0" applyFont="1" applyFill="1" applyBorder="1" applyAlignment="1">
      <alignment horizontal="center" wrapText="1"/>
    </xf>
    <xf numFmtId="0" fontId="9" fillId="2" borderId="0" xfId="1" applyFont="1" applyFill="1"/>
    <xf numFmtId="167" fontId="0" fillId="2" borderId="1" xfId="2" applyNumberFormat="1" applyFont="1" applyFill="1" applyBorder="1" applyAlignment="1">
      <alignment horizontal="right" vertical="center"/>
    </xf>
    <xf numFmtId="0" fontId="0" fillId="0" borderId="1" xfId="0" applyFill="1" applyBorder="1"/>
    <xf numFmtId="9" fontId="0" fillId="0" borderId="1" xfId="2" applyFont="1" applyFill="1" applyBorder="1"/>
    <xf numFmtId="9" fontId="0" fillId="2" borderId="0" xfId="0" applyNumberFormat="1" applyFill="1" applyAlignment="1"/>
    <xf numFmtId="0" fontId="0" fillId="2" borderId="0" xfId="0" applyFill="1" applyAlignment="1">
      <alignment horizontal="right"/>
    </xf>
    <xf numFmtId="10" fontId="0" fillId="2" borderId="1" xfId="0" applyNumberFormat="1" applyFill="1" applyBorder="1"/>
    <xf numFmtId="0" fontId="3" fillId="2" borderId="9" xfId="0" applyFont="1" applyFill="1" applyBorder="1" applyAlignment="1">
      <alignment horizontal="center"/>
    </xf>
    <xf numFmtId="168" fontId="0" fillId="0" borderId="1" xfId="0" applyNumberFormat="1" applyFill="1" applyBorder="1"/>
    <xf numFmtId="166" fontId="0" fillId="2" borderId="1" xfId="0" applyNumberFormat="1" applyFill="1" applyBorder="1"/>
    <xf numFmtId="0" fontId="0" fillId="3" borderId="0" xfId="0" applyFill="1"/>
    <xf numFmtId="167" fontId="0" fillId="2" borderId="0" xfId="2" applyNumberFormat="1" applyFont="1" applyFill="1"/>
    <xf numFmtId="165" fontId="0" fillId="2" borderId="0" xfId="0" quotePrefix="1" applyNumberFormat="1" applyFill="1" applyBorder="1" applyAlignment="1">
      <alignment horizontal="center"/>
    </xf>
    <xf numFmtId="0" fontId="0" fillId="2" borderId="0" xfId="0" applyFill="1" applyBorder="1" applyAlignment="1">
      <alignment horizontal="center"/>
    </xf>
    <xf numFmtId="167" fontId="0" fillId="2" borderId="0" xfId="2" applyNumberFormat="1" applyFont="1" applyFill="1" applyBorder="1"/>
    <xf numFmtId="0" fontId="24" fillId="2" borderId="0" xfId="0" applyFont="1" applyFill="1"/>
    <xf numFmtId="166" fontId="0" fillId="2" borderId="8" xfId="0" applyNumberFormat="1" applyFill="1" applyBorder="1"/>
    <xf numFmtId="166" fontId="0" fillId="2" borderId="0" xfId="0" applyNumberFormat="1" applyFill="1"/>
    <xf numFmtId="166" fontId="0" fillId="2" borderId="9" xfId="0" applyNumberFormat="1" applyFill="1" applyBorder="1"/>
    <xf numFmtId="169" fontId="0" fillId="2" borderId="0" xfId="0" applyNumberFormat="1" applyFill="1"/>
    <xf numFmtId="0" fontId="3" fillId="2" borderId="9" xfId="0" applyFont="1" applyFill="1" applyBorder="1" applyAlignment="1">
      <alignment horizontal="center"/>
    </xf>
    <xf numFmtId="0" fontId="25" fillId="8" borderId="0" xfId="0" applyFont="1" applyFill="1"/>
    <xf numFmtId="0" fontId="26" fillId="8" borderId="0" xfId="0" applyFont="1" applyFill="1"/>
    <xf numFmtId="0" fontId="26" fillId="2" borderId="0" xfId="0" applyFont="1" applyFill="1"/>
    <xf numFmtId="0" fontId="26" fillId="7" borderId="0" xfId="0" applyFont="1" applyFill="1"/>
    <xf numFmtId="0" fontId="27" fillId="7" borderId="0" xfId="0" applyFont="1" applyFill="1"/>
    <xf numFmtId="169" fontId="0" fillId="2" borderId="1" xfId="0" applyNumberFormat="1" applyFill="1" applyBorder="1" applyAlignment="1"/>
    <xf numFmtId="170" fontId="0" fillId="2" borderId="0" xfId="0" applyNumberFormat="1" applyFill="1"/>
    <xf numFmtId="165" fontId="3" fillId="2" borderId="0" xfId="0" quotePrefix="1" applyNumberFormat="1" applyFont="1" applyFill="1" applyBorder="1" applyAlignment="1">
      <alignment horizontal="center"/>
    </xf>
    <xf numFmtId="0" fontId="0" fillId="2" borderId="0" xfId="0" applyFont="1" applyFill="1"/>
    <xf numFmtId="0" fontId="3" fillId="2" borderId="9" xfId="0" applyFont="1" applyFill="1" applyBorder="1" applyAlignment="1">
      <alignment horizontal="center"/>
    </xf>
    <xf numFmtId="171" fontId="0" fillId="3" borderId="1" xfId="0" applyNumberFormat="1" applyFill="1" applyBorder="1"/>
    <xf numFmtId="172" fontId="0" fillId="3" borderId="1" xfId="0" applyNumberFormat="1" applyFill="1" applyBorder="1"/>
    <xf numFmtId="166" fontId="21" fillId="2" borderId="1" xfId="0" applyNumberFormat="1" applyFont="1" applyFill="1" applyBorder="1"/>
    <xf numFmtId="9" fontId="0" fillId="2" borderId="0" xfId="2" applyFont="1" applyFill="1"/>
    <xf numFmtId="10" fontId="0" fillId="2" borderId="0" xfId="2" applyNumberFormat="1" applyFont="1" applyFill="1"/>
    <xf numFmtId="170" fontId="0" fillId="2" borderId="1" xfId="0" applyNumberFormat="1" applyFill="1" applyBorder="1"/>
    <xf numFmtId="10" fontId="0" fillId="0" borderId="1" xfId="2" applyNumberFormat="1" applyFont="1" applyFill="1" applyBorder="1"/>
    <xf numFmtId="166" fontId="0" fillId="2" borderId="0" xfId="0" applyNumberFormat="1" applyFill="1" applyBorder="1"/>
    <xf numFmtId="3" fontId="3" fillId="2" borderId="0" xfId="0" applyNumberFormat="1" applyFont="1" applyFill="1" applyBorder="1"/>
    <xf numFmtId="0" fontId="28" fillId="10" borderId="0" xfId="49">
      <alignment vertical="center"/>
      <protection locked="0"/>
    </xf>
    <xf numFmtId="0" fontId="0" fillId="2" borderId="0" xfId="0" applyFill="1" applyAlignment="1"/>
    <xf numFmtId="0" fontId="30" fillId="6" borderId="20" xfId="0" applyFont="1" applyFill="1" applyBorder="1" applyAlignment="1">
      <alignment horizontal="left" vertical="center" wrapText="1"/>
    </xf>
    <xf numFmtId="0" fontId="30" fillId="6" borderId="26" xfId="0" applyFont="1" applyFill="1" applyBorder="1" applyAlignment="1">
      <alignment horizontal="left" vertical="center" wrapText="1"/>
    </xf>
    <xf numFmtId="0" fontId="30" fillId="12" borderId="27" xfId="0" applyFont="1" applyFill="1" applyBorder="1" applyAlignment="1">
      <alignment horizontal="center" vertical="center" wrapText="1"/>
    </xf>
    <xf numFmtId="0" fontId="30" fillId="12" borderId="28" xfId="0" applyFont="1" applyFill="1" applyBorder="1" applyAlignment="1">
      <alignment horizontal="center" vertical="center" wrapText="1"/>
    </xf>
    <xf numFmtId="4" fontId="31" fillId="14" borderId="30" xfId="0" applyNumberFormat="1" applyFont="1" applyFill="1" applyBorder="1" applyAlignment="1" applyProtection="1">
      <alignment horizontal="left" vertical="center" wrapText="1"/>
      <protection locked="0"/>
    </xf>
    <xf numFmtId="4" fontId="31" fillId="14" borderId="34" xfId="0" applyNumberFormat="1" applyFont="1" applyFill="1" applyBorder="1" applyAlignment="1" applyProtection="1">
      <alignment horizontal="left" vertical="center" wrapText="1"/>
      <protection locked="0"/>
    </xf>
    <xf numFmtId="4" fontId="32" fillId="14" borderId="38" xfId="0" applyNumberFormat="1" applyFont="1" applyFill="1" applyBorder="1" applyAlignment="1" applyProtection="1">
      <alignment horizontal="left" vertical="center" wrapText="1"/>
      <protection locked="0"/>
    </xf>
    <xf numFmtId="4" fontId="31" fillId="14" borderId="38" xfId="0" applyNumberFormat="1" applyFont="1" applyFill="1" applyBorder="1" applyAlignment="1" applyProtection="1">
      <alignment horizontal="left" vertical="center" wrapText="1"/>
      <protection locked="0"/>
    </xf>
    <xf numFmtId="3" fontId="0" fillId="0" borderId="0" xfId="0" applyNumberFormat="1"/>
    <xf numFmtId="0" fontId="6" fillId="0" borderId="0" xfId="0" applyFont="1"/>
    <xf numFmtId="10" fontId="0" fillId="0" borderId="1" xfId="0" applyNumberFormat="1" applyFill="1" applyBorder="1"/>
    <xf numFmtId="0" fontId="34" fillId="2" borderId="0" xfId="0" applyFont="1" applyFill="1"/>
    <xf numFmtId="0" fontId="35" fillId="2" borderId="0" xfId="0" applyFont="1" applyFill="1"/>
    <xf numFmtId="3" fontId="0" fillId="0" borderId="1" xfId="0" applyNumberFormat="1" applyFill="1" applyBorder="1"/>
    <xf numFmtId="0" fontId="0" fillId="0" borderId="0" xfId="0" applyFill="1"/>
    <xf numFmtId="0" fontId="28" fillId="10" borderId="0" xfId="49" applyProtection="1">
      <alignment vertical="center"/>
    </xf>
    <xf numFmtId="0" fontId="36" fillId="0" borderId="0" xfId="0" applyFont="1" applyFill="1" applyBorder="1" applyProtection="1"/>
    <xf numFmtId="0" fontId="0" fillId="2" borderId="46" xfId="0" applyFill="1" applyBorder="1" applyAlignment="1" applyProtection="1">
      <alignment vertical="center"/>
    </xf>
    <xf numFmtId="0" fontId="0" fillId="2" borderId="0" xfId="0" applyFill="1" applyBorder="1" applyAlignment="1" applyProtection="1">
      <alignment vertical="center"/>
    </xf>
    <xf numFmtId="0" fontId="30" fillId="0" borderId="47" xfId="0" applyFont="1" applyFill="1" applyBorder="1" applyAlignment="1" applyProtection="1">
      <alignment horizontal="left" vertical="center" wrapText="1"/>
    </xf>
    <xf numFmtId="0" fontId="3" fillId="2" borderId="48" xfId="0" applyFont="1" applyFill="1" applyBorder="1" applyAlignment="1" applyProtection="1">
      <alignment vertical="center"/>
    </xf>
    <xf numFmtId="0" fontId="3" fillId="2" borderId="15" xfId="0" applyFont="1" applyFill="1" applyBorder="1" applyAlignment="1" applyProtection="1">
      <alignment horizontal="center" vertical="center" wrapText="1"/>
    </xf>
    <xf numFmtId="0" fontId="39" fillId="2" borderId="15" xfId="0" applyFont="1" applyFill="1" applyBorder="1" applyProtection="1"/>
    <xf numFmtId="0" fontId="40" fillId="2" borderId="49" xfId="0" applyFont="1" applyFill="1" applyBorder="1" applyAlignment="1" applyProtection="1">
      <alignment wrapText="1"/>
    </xf>
    <xf numFmtId="0" fontId="39" fillId="2" borderId="50" xfId="0" applyFont="1" applyFill="1" applyBorder="1" applyAlignment="1" applyProtection="1">
      <alignment horizontal="right"/>
    </xf>
    <xf numFmtId="174" fontId="40" fillId="3" borderId="31" xfId="48" applyNumberFormat="1" applyFont="1" applyFill="1" applyBorder="1" applyAlignment="1" applyProtection="1">
      <alignment horizontal="right" vertical="center" indent="1"/>
      <protection locked="0"/>
    </xf>
    <xf numFmtId="174" fontId="40" fillId="3" borderId="32" xfId="48" applyNumberFormat="1" applyFont="1" applyFill="1" applyBorder="1" applyAlignment="1" applyProtection="1">
      <alignment horizontal="right" vertical="center" indent="1"/>
      <protection locked="0"/>
    </xf>
    <xf numFmtId="174" fontId="40" fillId="3" borderId="33" xfId="48" applyNumberFormat="1" applyFont="1" applyFill="1" applyBorder="1" applyAlignment="1" applyProtection="1">
      <alignment horizontal="right" vertical="center" indent="1"/>
      <protection locked="0"/>
    </xf>
    <xf numFmtId="0" fontId="39" fillId="2" borderId="46" xfId="0" applyFont="1" applyFill="1" applyBorder="1" applyProtection="1"/>
    <xf numFmtId="0" fontId="40" fillId="2" borderId="10" xfId="0" applyFont="1" applyFill="1" applyBorder="1" applyAlignment="1" applyProtection="1">
      <alignment wrapText="1"/>
    </xf>
    <xf numFmtId="0" fontId="39" fillId="2" borderId="51" xfId="0" applyFont="1" applyFill="1" applyBorder="1" applyAlignment="1" applyProtection="1">
      <alignment horizontal="right"/>
    </xf>
    <xf numFmtId="174" fontId="40" fillId="16" borderId="35" xfId="48" applyNumberFormat="1" applyFont="1" applyFill="1" applyBorder="1" applyAlignment="1" applyProtection="1">
      <alignment horizontal="right" vertical="center" indent="1"/>
      <protection locked="0"/>
    </xf>
    <xf numFmtId="174" fontId="40" fillId="16" borderId="36" xfId="48" applyNumberFormat="1" applyFont="1" applyFill="1" applyBorder="1" applyAlignment="1" applyProtection="1">
      <alignment horizontal="right" vertical="center" indent="1"/>
      <protection locked="0"/>
    </xf>
    <xf numFmtId="174" fontId="40" fillId="16" borderId="37" xfId="48" applyNumberFormat="1" applyFont="1" applyFill="1" applyBorder="1" applyAlignment="1" applyProtection="1">
      <alignment horizontal="right" vertical="center" indent="1"/>
      <protection locked="0"/>
    </xf>
    <xf numFmtId="0" fontId="40" fillId="2" borderId="26" xfId="0" applyFont="1" applyFill="1" applyBorder="1" applyAlignment="1" applyProtection="1"/>
    <xf numFmtId="0" fontId="39" fillId="2" borderId="52" xfId="0" applyFont="1" applyFill="1" applyBorder="1" applyAlignment="1" applyProtection="1">
      <alignment horizontal="right"/>
    </xf>
    <xf numFmtId="174" fontId="40" fillId="3" borderId="35" xfId="48" applyNumberFormat="1" applyFont="1" applyFill="1" applyBorder="1" applyAlignment="1" applyProtection="1">
      <alignment horizontal="right" vertical="center" indent="1"/>
      <protection locked="0"/>
    </xf>
    <xf numFmtId="174" fontId="40" fillId="3" borderId="36" xfId="48" applyNumberFormat="1" applyFont="1" applyFill="1" applyBorder="1" applyAlignment="1" applyProtection="1">
      <alignment horizontal="right" vertical="center" indent="1"/>
      <protection locked="0"/>
    </xf>
    <xf numFmtId="174" fontId="40" fillId="3" borderId="37" xfId="48" applyNumberFormat="1" applyFont="1" applyFill="1" applyBorder="1" applyAlignment="1" applyProtection="1">
      <alignment horizontal="right" vertical="center" indent="1"/>
      <protection locked="0"/>
    </xf>
    <xf numFmtId="0" fontId="40" fillId="2" borderId="10" xfId="0" applyFont="1" applyFill="1" applyBorder="1" applyAlignment="1" applyProtection="1"/>
    <xf numFmtId="0" fontId="39" fillId="2" borderId="23" xfId="0" applyFont="1" applyFill="1" applyBorder="1" applyProtection="1"/>
    <xf numFmtId="0" fontId="40" fillId="2" borderId="8" xfId="0" applyFont="1" applyFill="1" applyBorder="1" applyAlignment="1" applyProtection="1"/>
    <xf numFmtId="174" fontId="0" fillId="2" borderId="0" xfId="48" applyNumberFormat="1" applyFont="1" applyFill="1"/>
    <xf numFmtId="174" fontId="0" fillId="2" borderId="0" xfId="0" applyNumberFormat="1" applyFill="1"/>
    <xf numFmtId="174" fontId="3" fillId="2" borderId="0" xfId="48" applyNumberFormat="1" applyFont="1" applyFill="1"/>
    <xf numFmtId="1" fontId="0" fillId="2" borderId="0" xfId="0" applyNumberFormat="1" applyFill="1"/>
    <xf numFmtId="0" fontId="41" fillId="0" borderId="46" xfId="0" applyFont="1" applyFill="1" applyBorder="1" applyProtection="1"/>
    <xf numFmtId="0" fontId="27" fillId="2" borderId="0" xfId="0" applyFont="1" applyFill="1"/>
    <xf numFmtId="0" fontId="0" fillId="2" borderId="14" xfId="0" applyFill="1" applyBorder="1"/>
    <xf numFmtId="0" fontId="0" fillId="2" borderId="13" xfId="0" applyFill="1" applyBorder="1"/>
    <xf numFmtId="0" fontId="31" fillId="0" borderId="30" xfId="0" applyFont="1" applyFill="1" applyBorder="1" applyAlignment="1" applyProtection="1">
      <alignment horizontal="right" vertical="top"/>
    </xf>
    <xf numFmtId="175" fontId="0" fillId="3" borderId="57" xfId="48" applyNumberFormat="1" applyFont="1" applyFill="1" applyBorder="1" applyAlignment="1" applyProtection="1">
      <alignment horizontal="right" vertical="top" wrapText="1"/>
      <protection locked="0"/>
    </xf>
    <xf numFmtId="175" fontId="0" fillId="3" borderId="58" xfId="48" applyNumberFormat="1" applyFont="1" applyFill="1" applyBorder="1" applyAlignment="1" applyProtection="1">
      <alignment horizontal="right" vertical="top" wrapText="1"/>
      <protection locked="0"/>
    </xf>
    <xf numFmtId="0" fontId="31" fillId="0" borderId="34" xfId="0" applyFont="1" applyFill="1" applyBorder="1" applyAlignment="1" applyProtection="1">
      <alignment horizontal="right" vertical="top"/>
    </xf>
    <xf numFmtId="175" fontId="0" fillId="3" borderId="36" xfId="48" applyNumberFormat="1" applyFont="1" applyFill="1" applyBorder="1" applyAlignment="1" applyProtection="1">
      <alignment horizontal="right" vertical="top" wrapText="1"/>
      <protection locked="0"/>
    </xf>
    <xf numFmtId="175" fontId="0" fillId="3" borderId="37" xfId="48" applyNumberFormat="1" applyFont="1" applyFill="1" applyBorder="1" applyAlignment="1" applyProtection="1">
      <alignment horizontal="right" vertical="top" wrapText="1"/>
      <protection locked="0"/>
    </xf>
    <xf numFmtId="175" fontId="0" fillId="6" borderId="60" xfId="48" applyNumberFormat="1" applyFont="1" applyFill="1" applyBorder="1" applyAlignment="1" applyProtection="1">
      <alignment horizontal="right" vertical="center"/>
    </xf>
    <xf numFmtId="175" fontId="0" fillId="6" borderId="61" xfId="48" applyNumberFormat="1" applyFont="1" applyFill="1" applyBorder="1" applyAlignment="1" applyProtection="1">
      <alignment horizontal="right" vertical="center"/>
    </xf>
    <xf numFmtId="0" fontId="31" fillId="0" borderId="5" xfId="0" applyFont="1" applyFill="1" applyBorder="1" applyAlignment="1" applyProtection="1">
      <alignment horizontal="right" vertical="top"/>
    </xf>
    <xf numFmtId="3" fontId="3" fillId="4" borderId="1" xfId="0" applyNumberFormat="1" applyFont="1" applyFill="1" applyBorder="1" applyAlignment="1">
      <alignment vertical="center"/>
    </xf>
    <xf numFmtId="175" fontId="5" fillId="3" borderId="62" xfId="48" applyNumberFormat="1" applyFont="1" applyFill="1" applyBorder="1" applyAlignment="1" applyProtection="1">
      <alignment horizontal="right" vertical="top"/>
      <protection locked="0"/>
    </xf>
    <xf numFmtId="175" fontId="5" fillId="3" borderId="63" xfId="48" applyNumberFormat="1" applyFont="1" applyFill="1" applyBorder="1" applyAlignment="1" applyProtection="1">
      <alignment horizontal="right" vertical="top"/>
      <protection locked="0"/>
    </xf>
    <xf numFmtId="167" fontId="0" fillId="6" borderId="1" xfId="2" applyNumberFormat="1" applyFont="1" applyFill="1" applyBorder="1" applyAlignment="1">
      <alignment vertical="center"/>
    </xf>
    <xf numFmtId="0" fontId="0" fillId="2" borderId="0" xfId="0" applyFill="1" applyAlignment="1">
      <alignment horizontal="center"/>
    </xf>
    <xf numFmtId="167" fontId="0" fillId="2" borderId="0" xfId="0" applyNumberFormat="1" applyFill="1"/>
    <xf numFmtId="167" fontId="0" fillId="0" borderId="1" xfId="2" applyNumberFormat="1" applyFont="1" applyFill="1" applyBorder="1" applyAlignment="1">
      <alignment vertical="center"/>
    </xf>
    <xf numFmtId="166" fontId="0" fillId="5" borderId="8" xfId="0" applyNumberFormat="1" applyFill="1" applyBorder="1"/>
    <xf numFmtId="166" fontId="0" fillId="5" borderId="10" xfId="0" applyNumberFormat="1" applyFill="1" applyBorder="1"/>
    <xf numFmtId="0" fontId="0" fillId="2" borderId="0" xfId="0" quotePrefix="1" applyFill="1"/>
    <xf numFmtId="0" fontId="14" fillId="17" borderId="1" xfId="0" applyFont="1" applyFill="1" applyBorder="1" applyAlignment="1">
      <alignment horizontal="center"/>
    </xf>
    <xf numFmtId="169" fontId="0" fillId="17" borderId="1" xfId="0" applyNumberFormat="1" applyFill="1" applyBorder="1" applyAlignment="1"/>
    <xf numFmtId="168" fontId="0" fillId="2" borderId="1" xfId="0" applyNumberFormat="1" applyFill="1" applyBorder="1" applyAlignment="1"/>
    <xf numFmtId="0" fontId="0" fillId="2" borderId="1" xfId="0" applyFont="1" applyFill="1" applyBorder="1" applyAlignment="1">
      <alignment horizontal="center"/>
    </xf>
    <xf numFmtId="175" fontId="31" fillId="3" borderId="32" xfId="48" applyNumberFormat="1" applyFont="1" applyFill="1" applyBorder="1" applyAlignment="1" applyProtection="1">
      <alignment horizontal="right" vertical="center"/>
      <protection locked="0"/>
    </xf>
    <xf numFmtId="175" fontId="31" fillId="3" borderId="31" xfId="48" applyNumberFormat="1" applyFont="1" applyFill="1" applyBorder="1" applyAlignment="1" applyProtection="1">
      <alignment horizontal="right" vertical="center"/>
      <protection locked="0"/>
    </xf>
    <xf numFmtId="175" fontId="31" fillId="3" borderId="33" xfId="48" applyNumberFormat="1" applyFont="1" applyFill="1" applyBorder="1" applyAlignment="1" applyProtection="1">
      <alignment horizontal="right" vertical="center"/>
      <protection locked="0"/>
    </xf>
    <xf numFmtId="175" fontId="31" fillId="3" borderId="35" xfId="48" applyNumberFormat="1" applyFont="1" applyFill="1" applyBorder="1" applyAlignment="1" applyProtection="1">
      <alignment horizontal="right" vertical="center"/>
      <protection locked="0"/>
    </xf>
    <xf numFmtId="175" fontId="31" fillId="3" borderId="36" xfId="48" applyNumberFormat="1" applyFont="1" applyFill="1" applyBorder="1" applyAlignment="1" applyProtection="1">
      <alignment horizontal="right" vertical="center"/>
      <protection locked="0"/>
    </xf>
    <xf numFmtId="175" fontId="31" fillId="3" borderId="37" xfId="48" applyNumberFormat="1" applyFont="1" applyFill="1" applyBorder="1" applyAlignment="1" applyProtection="1">
      <alignment horizontal="right" vertical="center"/>
      <protection locked="0"/>
    </xf>
    <xf numFmtId="175" fontId="31" fillId="3" borderId="39" xfId="48" applyNumberFormat="1" applyFont="1" applyFill="1" applyBorder="1" applyAlignment="1" applyProtection="1">
      <alignment horizontal="right" vertical="center"/>
      <protection locked="0"/>
    </xf>
    <xf numFmtId="175" fontId="31" fillId="3" borderId="40" xfId="48" applyNumberFormat="1" applyFont="1" applyFill="1" applyBorder="1" applyAlignment="1" applyProtection="1">
      <alignment horizontal="right" vertical="center"/>
      <protection locked="0"/>
    </xf>
    <xf numFmtId="175" fontId="31" fillId="3" borderId="41" xfId="48" applyNumberFormat="1" applyFont="1" applyFill="1" applyBorder="1" applyAlignment="1" applyProtection="1">
      <alignment horizontal="right" vertical="center"/>
      <protection locked="0"/>
    </xf>
    <xf numFmtId="175" fontId="31" fillId="15" borderId="43" xfId="48" applyNumberFormat="1" applyFont="1" applyFill="1" applyBorder="1" applyAlignment="1" applyProtection="1">
      <alignment horizontal="right" vertical="center"/>
    </xf>
    <xf numFmtId="175" fontId="31" fillId="15" borderId="44" xfId="48" applyNumberFormat="1" applyFont="1" applyFill="1" applyBorder="1" applyAlignment="1" applyProtection="1">
      <alignment horizontal="right" vertical="center"/>
    </xf>
    <xf numFmtId="175" fontId="31" fillId="15" borderId="45" xfId="48" applyNumberFormat="1" applyFont="1" applyFill="1" applyBorder="1" applyAlignment="1" applyProtection="1">
      <alignment horizontal="right" vertical="center"/>
    </xf>
    <xf numFmtId="0" fontId="27" fillId="0" borderId="0" xfId="0" applyFont="1"/>
    <xf numFmtId="174" fontId="3" fillId="2" borderId="0" xfId="0" applyNumberFormat="1" applyFont="1" applyFill="1"/>
    <xf numFmtId="0" fontId="0" fillId="2" borderId="0" xfId="0" applyFill="1" applyAlignment="1">
      <alignment horizontal="center"/>
    </xf>
    <xf numFmtId="167" fontId="5" fillId="2" borderId="0" xfId="2" applyNumberFormat="1" applyFont="1" applyFill="1" applyBorder="1"/>
    <xf numFmtId="0" fontId="0" fillId="2" borderId="0" xfId="0" applyFill="1" applyAlignment="1">
      <alignment horizontal="center"/>
    </xf>
    <xf numFmtId="0" fontId="0" fillId="2" borderId="0" xfId="0" applyFill="1" applyAlignment="1">
      <alignment horizontal="center" vertical="center" wrapText="1"/>
    </xf>
    <xf numFmtId="0" fontId="39" fillId="2" borderId="0" xfId="0" applyFont="1" applyFill="1" applyBorder="1" applyProtection="1"/>
    <xf numFmtId="0" fontId="40" fillId="2" borderId="0" xfId="0" applyFont="1" applyFill="1" applyBorder="1" applyAlignment="1" applyProtection="1"/>
    <xf numFmtId="0" fontId="39" fillId="2" borderId="0" xfId="0" applyFont="1" applyFill="1" applyBorder="1" applyAlignment="1" applyProtection="1">
      <alignment horizontal="right"/>
    </xf>
    <xf numFmtId="0" fontId="0" fillId="2" borderId="56" xfId="0" applyFill="1" applyBorder="1" applyProtection="1"/>
    <xf numFmtId="0" fontId="40" fillId="2" borderId="46" xfId="0" applyFont="1" applyFill="1" applyBorder="1" applyAlignment="1" applyProtection="1">
      <protection locked="0"/>
    </xf>
    <xf numFmtId="0" fontId="40" fillId="2" borderId="64" xfId="0" applyFont="1" applyFill="1" applyBorder="1" applyAlignment="1" applyProtection="1">
      <protection locked="0"/>
    </xf>
    <xf numFmtId="174" fontId="40" fillId="2" borderId="0" xfId="48" applyNumberFormat="1" applyFont="1" applyFill="1" applyBorder="1" applyAlignment="1" applyProtection="1">
      <alignment horizontal="right" vertical="center" indent="1"/>
      <protection locked="0"/>
    </xf>
    <xf numFmtId="0" fontId="0" fillId="2" borderId="0" xfId="0" applyFill="1" applyAlignment="1">
      <alignment horizontal="center"/>
    </xf>
    <xf numFmtId="0" fontId="0" fillId="2" borderId="0" xfId="0" applyFill="1" applyAlignment="1">
      <alignment horizontal="center" vertical="center"/>
    </xf>
    <xf numFmtId="167" fontId="0" fillId="2" borderId="0" xfId="2" applyNumberFormat="1" applyFont="1" applyFill="1" applyAlignment="1">
      <alignment horizontal="center"/>
    </xf>
    <xf numFmtId="164" fontId="0" fillId="2" borderId="0" xfId="48" applyFont="1" applyFill="1"/>
    <xf numFmtId="168" fontId="0" fillId="0" borderId="1" xfId="0" applyNumberFormat="1" applyFill="1" applyBorder="1" applyAlignment="1"/>
    <xf numFmtId="3" fontId="0" fillId="0" borderId="0" xfId="0" applyNumberFormat="1" applyFill="1"/>
    <xf numFmtId="0" fontId="21" fillId="0" borderId="0" xfId="0" applyFont="1"/>
    <xf numFmtId="174" fontId="0" fillId="2" borderId="9" xfId="48" applyNumberFormat="1" applyFont="1" applyFill="1" applyBorder="1"/>
    <xf numFmtId="0" fontId="3" fillId="2" borderId="9" xfId="0" applyFont="1" applyFill="1" applyBorder="1" applyAlignment="1">
      <alignment horizontal="center"/>
    </xf>
    <xf numFmtId="0" fontId="0" fillId="2" borderId="0" xfId="0" applyFill="1" applyAlignment="1">
      <alignment horizontal="center"/>
    </xf>
    <xf numFmtId="17" fontId="0" fillId="2" borderId="0" xfId="0" applyNumberFormat="1" applyFill="1" applyAlignment="1">
      <alignment horizontal="center"/>
    </xf>
    <xf numFmtId="0" fontId="25" fillId="3" borderId="1" xfId="0" applyFont="1" applyFill="1" applyBorder="1"/>
    <xf numFmtId="0" fontId="3" fillId="3" borderId="65" xfId="0" applyFont="1" applyFill="1" applyBorder="1" applyAlignment="1">
      <alignment horizontal="center"/>
    </xf>
    <xf numFmtId="0" fontId="34" fillId="2" borderId="0" xfId="0" applyFont="1" applyFill="1" applyAlignment="1">
      <alignment horizontal="left" indent="1"/>
    </xf>
    <xf numFmtId="0" fontId="0" fillId="2" borderId="5" xfId="0" applyFill="1" applyBorder="1" applyAlignment="1">
      <alignment horizontal="center"/>
    </xf>
    <xf numFmtId="0" fontId="0" fillId="2" borderId="6" xfId="0" applyFill="1" applyBorder="1" applyAlignment="1">
      <alignment horizontal="center"/>
    </xf>
    <xf numFmtId="0" fontId="0" fillId="2" borderId="0" xfId="0" applyFill="1" applyAlignment="1">
      <alignment horizontal="center"/>
    </xf>
    <xf numFmtId="0" fontId="0" fillId="2" borderId="66" xfId="0" applyFill="1" applyBorder="1" applyAlignment="1">
      <alignment horizontal="center"/>
    </xf>
    <xf numFmtId="169" fontId="0" fillId="0" borderId="1" xfId="0" applyNumberFormat="1" applyFill="1" applyBorder="1" applyAlignment="1"/>
    <xf numFmtId="10" fontId="0" fillId="2" borderId="0" xfId="0" applyNumberFormat="1" applyFill="1"/>
    <xf numFmtId="169" fontId="0" fillId="2" borderId="9" xfId="0" applyNumberFormat="1" applyFill="1" applyBorder="1"/>
    <xf numFmtId="0" fontId="0" fillId="2" borderId="8" xfId="0" applyFont="1" applyFill="1" applyBorder="1" applyAlignment="1">
      <alignment horizontal="center"/>
    </xf>
    <xf numFmtId="169" fontId="0" fillId="2" borderId="0" xfId="0" applyNumberFormat="1" applyFill="1" applyBorder="1"/>
    <xf numFmtId="0" fontId="0" fillId="2" borderId="0" xfId="0" applyFont="1" applyFill="1" applyBorder="1" applyAlignment="1">
      <alignment horizontal="center"/>
    </xf>
    <xf numFmtId="166" fontId="0" fillId="2" borderId="10" xfId="0" applyNumberFormat="1" applyFill="1" applyBorder="1"/>
    <xf numFmtId="0" fontId="0" fillId="2" borderId="5" xfId="0" applyFont="1" applyFill="1" applyBorder="1" applyAlignment="1">
      <alignment horizontal="center"/>
    </xf>
    <xf numFmtId="0" fontId="0" fillId="2" borderId="6" xfId="0" applyFont="1" applyFill="1" applyBorder="1" applyAlignment="1">
      <alignment horizontal="center"/>
    </xf>
    <xf numFmtId="0" fontId="0" fillId="2" borderId="7" xfId="0" applyFont="1" applyFill="1" applyBorder="1" applyAlignment="1">
      <alignment horizontal="center"/>
    </xf>
    <xf numFmtId="0" fontId="0" fillId="18" borderId="0" xfId="0" applyFill="1"/>
    <xf numFmtId="3" fontId="0" fillId="18" borderId="0" xfId="0" applyNumberFormat="1" applyFill="1" applyBorder="1"/>
    <xf numFmtId="168" fontId="0" fillId="2" borderId="0" xfId="0" applyNumberFormat="1" applyFill="1"/>
    <xf numFmtId="0" fontId="20" fillId="2" borderId="0" xfId="0" applyFont="1" applyFill="1" applyBorder="1"/>
    <xf numFmtId="164" fontId="20" fillId="2" borderId="0" xfId="48" applyFont="1" applyFill="1"/>
    <xf numFmtId="166" fontId="0" fillId="5" borderId="0" xfId="0" applyNumberFormat="1" applyFill="1"/>
    <xf numFmtId="166" fontId="0" fillId="5" borderId="9" xfId="0" applyNumberFormat="1" applyFill="1" applyBorder="1"/>
    <xf numFmtId="3" fontId="0" fillId="2" borderId="0" xfId="0" applyNumberFormat="1" applyFill="1" applyAlignment="1">
      <alignment vertical="center"/>
    </xf>
    <xf numFmtId="0" fontId="43" fillId="2" borderId="0" xfId="0" applyFont="1" applyFill="1"/>
    <xf numFmtId="0" fontId="0" fillId="2" borderId="54" xfId="0" applyFill="1" applyBorder="1"/>
    <xf numFmtId="166" fontId="0" fillId="2" borderId="54" xfId="0" applyNumberFormat="1" applyFill="1" applyBorder="1"/>
    <xf numFmtId="166" fontId="0" fillId="2" borderId="24" xfId="0" applyNumberFormat="1" applyFill="1" applyBorder="1"/>
    <xf numFmtId="0" fontId="0" fillId="2" borderId="26" xfId="0" applyFill="1" applyBorder="1"/>
    <xf numFmtId="0" fontId="3" fillId="3" borderId="1" xfId="0" applyFont="1" applyFill="1" applyBorder="1"/>
    <xf numFmtId="0" fontId="0" fillId="18" borderId="1" xfId="0" applyFill="1" applyBorder="1"/>
    <xf numFmtId="0" fontId="0" fillId="3" borderId="1" xfId="0" applyFont="1" applyFill="1" applyBorder="1"/>
    <xf numFmtId="0" fontId="38" fillId="2" borderId="0" xfId="0" applyFont="1" applyFill="1"/>
    <xf numFmtId="167" fontId="0" fillId="6" borderId="1" xfId="2" applyNumberFormat="1" applyFont="1" applyFill="1" applyBorder="1" applyAlignment="1">
      <alignment horizontal="right" vertical="center"/>
    </xf>
    <xf numFmtId="0" fontId="43" fillId="2" borderId="0" xfId="0" applyFont="1" applyFill="1" applyAlignment="1">
      <alignment vertical="center"/>
    </xf>
    <xf numFmtId="0" fontId="0" fillId="2" borderId="0" xfId="0" applyFill="1" applyAlignment="1">
      <alignment horizontal="center"/>
    </xf>
    <xf numFmtId="0" fontId="0" fillId="0" borderId="0" xfId="0" applyAlignment="1">
      <alignment horizontal="center"/>
    </xf>
    <xf numFmtId="176" fontId="3" fillId="2" borderId="0" xfId="0" applyNumberFormat="1" applyFont="1" applyFill="1"/>
    <xf numFmtId="0" fontId="3" fillId="2" borderId="0" xfId="0" quotePrefix="1" applyFont="1" applyFill="1" applyAlignment="1">
      <alignment horizontal="center"/>
    </xf>
    <xf numFmtId="0" fontId="3" fillId="2" borderId="0" xfId="0" applyFont="1" applyFill="1" applyAlignment="1">
      <alignment horizontal="center"/>
    </xf>
    <xf numFmtId="0" fontId="0" fillId="0" borderId="1" xfId="0" applyFill="1" applyBorder="1" applyAlignment="1">
      <alignment vertical="center" wrapText="1"/>
    </xf>
    <xf numFmtId="0" fontId="0" fillId="2" borderId="0" xfId="0" applyFill="1" applyAlignment="1">
      <alignment horizontal="center"/>
    </xf>
    <xf numFmtId="174" fontId="0" fillId="2" borderId="8" xfId="48" applyNumberFormat="1" applyFont="1" applyFill="1" applyBorder="1"/>
    <xf numFmtId="174" fontId="0" fillId="2" borderId="8" xfId="0" applyNumberFormat="1" applyFill="1" applyBorder="1"/>
    <xf numFmtId="174" fontId="0" fillId="2" borderId="0" xfId="0" applyNumberFormat="1" applyFill="1" applyBorder="1"/>
    <xf numFmtId="174" fontId="0" fillId="2" borderId="10" xfId="48" applyNumberFormat="1" applyFont="1" applyFill="1" applyBorder="1"/>
    <xf numFmtId="174" fontId="0" fillId="2" borderId="9" xfId="0" applyNumberFormat="1" applyFill="1" applyBorder="1"/>
    <xf numFmtId="174" fontId="0" fillId="2" borderId="10" xfId="0" applyNumberFormat="1" applyFill="1" applyBorder="1"/>
    <xf numFmtId="174" fontId="0" fillId="2" borderId="0" xfId="48" applyNumberFormat="1" applyFont="1" applyFill="1" applyBorder="1"/>
    <xf numFmtId="164" fontId="0" fillId="2" borderId="9" xfId="48" applyFont="1" applyFill="1" applyBorder="1"/>
    <xf numFmtId="174" fontId="0" fillId="2" borderId="0" xfId="2" applyNumberFormat="1" applyFont="1" applyFill="1"/>
    <xf numFmtId="174" fontId="0" fillId="2" borderId="13" xfId="48" applyNumberFormat="1" applyFont="1" applyFill="1" applyBorder="1"/>
    <xf numFmtId="164" fontId="0" fillId="2" borderId="8" xfId="48" applyFont="1" applyFill="1" applyBorder="1"/>
    <xf numFmtId="164" fontId="0" fillId="2" borderId="0" xfId="0" applyNumberFormat="1" applyFill="1"/>
    <xf numFmtId="174" fontId="21" fillId="2" borderId="0" xfId="48" applyNumberFormat="1" applyFont="1" applyFill="1"/>
    <xf numFmtId="174" fontId="21" fillId="2" borderId="8" xfId="48" applyNumberFormat="1" applyFont="1" applyFill="1" applyBorder="1"/>
    <xf numFmtId="174" fontId="21" fillId="2" borderId="0" xfId="0" applyNumberFormat="1" applyFont="1" applyFill="1"/>
    <xf numFmtId="174" fontId="21" fillId="2" borderId="8" xfId="0" applyNumberFormat="1" applyFont="1" applyFill="1" applyBorder="1"/>
    <xf numFmtId="164" fontId="21" fillId="2" borderId="0" xfId="0" applyNumberFormat="1" applyFont="1" applyFill="1"/>
    <xf numFmtId="0" fontId="3" fillId="2" borderId="8" xfId="0" applyFont="1" applyFill="1" applyBorder="1"/>
    <xf numFmtId="176" fontId="0" fillId="2" borderId="0" xfId="0" applyNumberFormat="1" applyFill="1"/>
    <xf numFmtId="174" fontId="21" fillId="2" borderId="14" xfId="0" applyNumberFormat="1" applyFont="1" applyFill="1" applyBorder="1"/>
    <xf numFmtId="174" fontId="21" fillId="2" borderId="67" xfId="0" applyNumberFormat="1" applyFont="1" applyFill="1" applyBorder="1"/>
    <xf numFmtId="0" fontId="0" fillId="2" borderId="67" xfId="0" applyFill="1" applyBorder="1"/>
    <xf numFmtId="176" fontId="0" fillId="2" borderId="0" xfId="48" applyNumberFormat="1" applyFont="1" applyFill="1"/>
    <xf numFmtId="0" fontId="0" fillId="2" borderId="68" xfId="0" applyFill="1" applyBorder="1"/>
    <xf numFmtId="174" fontId="0" fillId="9" borderId="9" xfId="0" applyNumberFormat="1" applyFill="1" applyBorder="1"/>
    <xf numFmtId="174" fontId="0" fillId="9" borderId="10" xfId="0" applyNumberFormat="1" applyFill="1" applyBorder="1"/>
    <xf numFmtId="0" fontId="0" fillId="2" borderId="25" xfId="0" applyFill="1" applyBorder="1" applyAlignment="1">
      <alignment horizontal="center"/>
    </xf>
    <xf numFmtId="0" fontId="0" fillId="2" borderId="46" xfId="0" applyFill="1" applyBorder="1" applyAlignment="1"/>
    <xf numFmtId="10" fontId="0" fillId="2" borderId="0" xfId="0" applyNumberFormat="1" applyFill="1" applyBorder="1"/>
    <xf numFmtId="10" fontId="0" fillId="2" borderId="69" xfId="0" applyNumberFormat="1" applyFill="1" applyBorder="1"/>
    <xf numFmtId="0" fontId="0" fillId="2" borderId="55" xfId="0" applyFill="1" applyBorder="1" applyAlignment="1"/>
    <xf numFmtId="167" fontId="0" fillId="2" borderId="47" xfId="0" applyNumberFormat="1" applyFill="1" applyBorder="1"/>
    <xf numFmtId="167" fontId="0" fillId="2" borderId="59" xfId="0" applyNumberFormat="1" applyFill="1" applyBorder="1"/>
    <xf numFmtId="0" fontId="42" fillId="2" borderId="0" xfId="0" applyFont="1" applyFill="1"/>
    <xf numFmtId="0" fontId="0" fillId="2" borderId="0" xfId="0" applyFill="1" applyAlignment="1">
      <alignment horizontal="center"/>
    </xf>
    <xf numFmtId="0" fontId="0" fillId="2" borderId="53" xfId="0" applyFill="1" applyBorder="1"/>
    <xf numFmtId="0" fontId="0" fillId="2" borderId="10" xfId="0" applyFill="1" applyBorder="1"/>
    <xf numFmtId="0" fontId="0" fillId="2" borderId="24" xfId="0" applyFill="1" applyBorder="1"/>
    <xf numFmtId="0" fontId="0" fillId="2" borderId="5" xfId="0" applyFill="1" applyBorder="1"/>
    <xf numFmtId="0" fontId="0" fillId="2" borderId="7" xfId="0" applyFill="1" applyBorder="1"/>
    <xf numFmtId="170" fontId="0" fillId="2" borderId="0" xfId="0" applyNumberFormat="1" applyFill="1" applyBorder="1"/>
    <xf numFmtId="0" fontId="3" fillId="2" borderId="0" xfId="0" applyFont="1" applyFill="1" applyBorder="1"/>
    <xf numFmtId="3" fontId="3" fillId="2" borderId="0" xfId="0" applyNumberFormat="1" applyFont="1" applyFill="1" applyBorder="1" applyAlignment="1">
      <alignment vertical="center"/>
    </xf>
    <xf numFmtId="0" fontId="38" fillId="2" borderId="0" xfId="0" applyFont="1" applyFill="1" applyAlignment="1">
      <alignment vertical="center"/>
    </xf>
    <xf numFmtId="0" fontId="0" fillId="22" borderId="1" xfId="0" applyFill="1" applyBorder="1"/>
    <xf numFmtId="169" fontId="0" fillId="22" borderId="1" xfId="0" applyNumberFormat="1" applyFill="1" applyBorder="1" applyAlignment="1"/>
    <xf numFmtId="174" fontId="0" fillId="2" borderId="0" xfId="48" applyNumberFormat="1" applyFont="1" applyFill="1" applyAlignment="1">
      <alignment horizontal="center"/>
    </xf>
    <xf numFmtId="0" fontId="3" fillId="2" borderId="0" xfId="0" applyFont="1" applyFill="1" applyBorder="1" applyAlignment="1">
      <alignment horizontal="center"/>
    </xf>
    <xf numFmtId="168" fontId="0" fillId="22" borderId="1" xfId="0" applyNumberFormat="1" applyFill="1" applyBorder="1"/>
    <xf numFmtId="4" fontId="0" fillId="2" borderId="0" xfId="0" applyNumberFormat="1" applyFill="1"/>
    <xf numFmtId="176" fontId="21" fillId="2" borderId="0" xfId="0" applyNumberFormat="1" applyFont="1" applyFill="1"/>
    <xf numFmtId="0" fontId="14" fillId="2" borderId="0" xfId="0" applyFont="1" applyFill="1" applyAlignment="1">
      <alignment horizontal="right"/>
    </xf>
    <xf numFmtId="3" fontId="14" fillId="2" borderId="0" xfId="0" applyNumberFormat="1" applyFont="1" applyFill="1"/>
    <xf numFmtId="167" fontId="5" fillId="0" borderId="1" xfId="2" applyNumberFormat="1" applyFont="1" applyFill="1" applyBorder="1" applyAlignment="1">
      <alignment vertical="center"/>
    </xf>
    <xf numFmtId="0" fontId="0" fillId="0" borderId="1" xfId="0" applyFont="1" applyFill="1" applyBorder="1"/>
    <xf numFmtId="0" fontId="3" fillId="2" borderId="0" xfId="0" applyFont="1" applyFill="1" applyBorder="1" applyAlignment="1">
      <alignment horizontal="center"/>
    </xf>
    <xf numFmtId="10" fontId="0" fillId="2" borderId="0" xfId="0" applyNumberFormat="1" applyFont="1" applyFill="1" applyBorder="1"/>
    <xf numFmtId="176" fontId="3" fillId="2" borderId="0" xfId="48" applyNumberFormat="1" applyFont="1" applyFill="1" applyBorder="1" applyAlignment="1">
      <alignment vertical="center"/>
    </xf>
    <xf numFmtId="176" fontId="3" fillId="2" borderId="0" xfId="48" applyNumberFormat="1" applyFont="1" applyFill="1"/>
    <xf numFmtId="0" fontId="0" fillId="2" borderId="0" xfId="0" applyFill="1" applyAlignment="1">
      <alignment horizontal="center"/>
    </xf>
    <xf numFmtId="0" fontId="0" fillId="2" borderId="0" xfId="0" applyFill="1" applyAlignment="1">
      <alignment horizontal="left" indent="4"/>
    </xf>
    <xf numFmtId="0" fontId="3" fillId="2" borderId="0" xfId="0" applyFont="1" applyFill="1" applyBorder="1" applyAlignment="1">
      <alignment horizontal="center"/>
    </xf>
    <xf numFmtId="0" fontId="0" fillId="2" borderId="1" xfId="0" applyFill="1" applyBorder="1" applyAlignment="1">
      <alignment horizontal="center" wrapText="1"/>
    </xf>
    <xf numFmtId="174" fontId="0" fillId="2" borderId="0" xfId="48" applyNumberFormat="1" applyFont="1" applyFill="1" applyAlignment="1">
      <alignment horizontal="right"/>
    </xf>
    <xf numFmtId="174" fontId="0" fillId="2" borderId="0" xfId="48" applyNumberFormat="1" applyFont="1" applyFill="1" applyBorder="1" applyAlignment="1">
      <alignment horizontal="right"/>
    </xf>
    <xf numFmtId="0" fontId="0" fillId="23" borderId="1" xfId="0" applyFill="1" applyBorder="1"/>
    <xf numFmtId="0" fontId="3" fillId="2" borderId="9" xfId="0" applyFont="1" applyFill="1" applyBorder="1" applyAlignment="1">
      <alignment horizontal="center"/>
    </xf>
    <xf numFmtId="0" fontId="0" fillId="2" borderId="0" xfId="0" applyFill="1" applyAlignment="1">
      <alignment horizontal="center"/>
    </xf>
    <xf numFmtId="17" fontId="3" fillId="2" borderId="1" xfId="0" applyNumberFormat="1" applyFont="1" applyFill="1" applyBorder="1" applyAlignment="1">
      <alignment horizontal="center"/>
    </xf>
    <xf numFmtId="17" fontId="0" fillId="2" borderId="0" xfId="0" applyNumberFormat="1" applyFill="1"/>
    <xf numFmtId="17" fontId="0" fillId="2" borderId="0" xfId="0" applyNumberFormat="1" applyFont="1" applyFill="1" applyAlignment="1">
      <alignment horizontal="center"/>
    </xf>
    <xf numFmtId="17" fontId="0" fillId="2" borderId="11" xfId="0" applyNumberFormat="1" applyFont="1" applyFill="1" applyBorder="1" applyAlignment="1">
      <alignment horizontal="center"/>
    </xf>
    <xf numFmtId="17" fontId="0" fillId="2" borderId="8" xfId="0" applyNumberFormat="1" applyFill="1" applyBorder="1" applyAlignment="1">
      <alignment horizontal="center"/>
    </xf>
    <xf numFmtId="17" fontId="0" fillId="2" borderId="0" xfId="0" applyNumberFormat="1" applyFill="1" applyBorder="1" applyAlignment="1">
      <alignment horizontal="center"/>
    </xf>
    <xf numFmtId="17" fontId="0" fillId="2" borderId="8" xfId="0" applyNumberFormat="1" applyFont="1" applyFill="1" applyBorder="1" applyAlignment="1">
      <alignment horizontal="center"/>
    </xf>
    <xf numFmtId="17" fontId="0" fillId="2" borderId="6" xfId="0" applyNumberFormat="1" applyFill="1" applyBorder="1" applyAlignment="1">
      <alignment horizontal="center"/>
    </xf>
    <xf numFmtId="17" fontId="0" fillId="2" borderId="7" xfId="0" applyNumberFormat="1" applyFill="1" applyBorder="1" applyAlignment="1">
      <alignment horizontal="center"/>
    </xf>
    <xf numFmtId="17" fontId="0" fillId="2" borderId="5" xfId="0" applyNumberFormat="1" applyFill="1" applyBorder="1" applyAlignment="1">
      <alignment horizontal="center"/>
    </xf>
    <xf numFmtId="17" fontId="0" fillId="2" borderId="54" xfId="0" applyNumberFormat="1" applyFill="1" applyBorder="1" applyAlignment="1">
      <alignment horizontal="center"/>
    </xf>
    <xf numFmtId="166" fontId="0" fillId="2" borderId="3" xfId="0" applyNumberFormat="1" applyFill="1" applyBorder="1"/>
    <xf numFmtId="17" fontId="0" fillId="2" borderId="3" xfId="0" applyNumberFormat="1" applyFill="1" applyBorder="1" applyAlignment="1">
      <alignment horizontal="center"/>
    </xf>
    <xf numFmtId="17" fontId="0" fillId="2" borderId="25" xfId="0" applyNumberFormat="1" applyFill="1" applyBorder="1" applyAlignment="1">
      <alignment horizontal="center"/>
    </xf>
    <xf numFmtId="17" fontId="0" fillId="2" borderId="19" xfId="0" applyNumberFormat="1" applyFill="1" applyBorder="1" applyAlignment="1">
      <alignment horizontal="center"/>
    </xf>
    <xf numFmtId="17" fontId="0" fillId="2" borderId="70" xfId="0" applyNumberFormat="1" applyFill="1" applyBorder="1" applyAlignment="1">
      <alignment horizontal="center"/>
    </xf>
    <xf numFmtId="3" fontId="0" fillId="2" borderId="70" xfId="0" applyNumberFormat="1" applyFill="1" applyBorder="1"/>
    <xf numFmtId="3" fontId="0" fillId="2" borderId="71" xfId="0" applyNumberFormat="1" applyFill="1" applyBorder="1"/>
    <xf numFmtId="0" fontId="0" fillId="2" borderId="70" xfId="0" applyFill="1" applyBorder="1"/>
    <xf numFmtId="174" fontId="0" fillId="2" borderId="70" xfId="48" applyNumberFormat="1" applyFont="1" applyFill="1" applyBorder="1"/>
    <xf numFmtId="174" fontId="0" fillId="2" borderId="71" xfId="48" applyNumberFormat="1" applyFont="1" applyFill="1" applyBorder="1"/>
    <xf numFmtId="2" fontId="0" fillId="3" borderId="1" xfId="0" applyNumberFormat="1" applyFill="1" applyBorder="1"/>
    <xf numFmtId="0" fontId="0" fillId="2" borderId="0" xfId="0" applyFill="1" applyAlignment="1">
      <alignment horizontal="center"/>
    </xf>
    <xf numFmtId="0" fontId="25" fillId="2" borderId="0" xfId="0" applyFont="1" applyFill="1" applyAlignment="1">
      <alignment horizontal="right"/>
    </xf>
    <xf numFmtId="17" fontId="3" fillId="0" borderId="0" xfId="0" applyNumberFormat="1" applyFont="1" applyAlignment="1">
      <alignment horizontal="center"/>
    </xf>
    <xf numFmtId="0" fontId="0" fillId="2" borderId="0" xfId="0" applyFill="1" applyAlignment="1">
      <alignment horizontal="center"/>
    </xf>
    <xf numFmtId="176" fontId="21" fillId="2" borderId="0" xfId="48" applyNumberFormat="1" applyFont="1" applyFill="1"/>
    <xf numFmtId="17" fontId="3" fillId="2" borderId="2" xfId="0" applyNumberFormat="1" applyFont="1" applyFill="1" applyBorder="1" applyAlignment="1">
      <alignment horizontal="center"/>
    </xf>
    <xf numFmtId="0" fontId="0" fillId="2" borderId="0" xfId="0" applyFill="1" applyAlignment="1">
      <alignment horizontal="center"/>
    </xf>
    <xf numFmtId="174" fontId="0" fillId="24" borderId="0" xfId="0" applyNumberFormat="1" applyFill="1"/>
    <xf numFmtId="0" fontId="0" fillId="24" borderId="0" xfId="0" applyNumberFormat="1" applyFill="1"/>
    <xf numFmtId="174" fontId="0" fillId="24" borderId="0" xfId="48" applyNumberFormat="1" applyFont="1" applyFill="1"/>
    <xf numFmtId="0" fontId="0" fillId="20" borderId="0" xfId="0" applyNumberFormat="1" applyFill="1"/>
    <xf numFmtId="166" fontId="0" fillId="24" borderId="0" xfId="0" applyNumberFormat="1" applyFill="1"/>
    <xf numFmtId="166" fontId="0" fillId="24" borderId="9" xfId="0" applyNumberFormat="1" applyFill="1" applyBorder="1"/>
    <xf numFmtId="176" fontId="0" fillId="24" borderId="0" xfId="0" applyNumberFormat="1" applyFill="1"/>
    <xf numFmtId="166" fontId="0" fillId="24" borderId="8" xfId="0" applyNumberFormat="1" applyFill="1" applyBorder="1"/>
    <xf numFmtId="174" fontId="0" fillId="24" borderId="13" xfId="48" applyNumberFormat="1" applyFont="1" applyFill="1" applyBorder="1"/>
    <xf numFmtId="174" fontId="0" fillId="24" borderId="8" xfId="48" applyNumberFormat="1" applyFont="1" applyFill="1" applyBorder="1"/>
    <xf numFmtId="3" fontId="0" fillId="24" borderId="1" xfId="0" applyNumberFormat="1" applyFill="1" applyBorder="1"/>
    <xf numFmtId="176" fontId="21" fillId="24" borderId="0" xfId="0" applyNumberFormat="1" applyFont="1" applyFill="1"/>
    <xf numFmtId="174" fontId="0" fillId="2" borderId="1" xfId="48" applyNumberFormat="1" applyFont="1" applyFill="1" applyBorder="1"/>
    <xf numFmtId="174" fontId="3" fillId="2" borderId="1" xfId="48" applyNumberFormat="1" applyFont="1" applyFill="1" applyBorder="1"/>
    <xf numFmtId="17" fontId="38" fillId="12" borderId="27" xfId="0" applyNumberFormat="1" applyFont="1" applyFill="1" applyBorder="1" applyAlignment="1" applyProtection="1">
      <alignment horizontal="center" vertical="center"/>
    </xf>
    <xf numFmtId="17" fontId="38" fillId="12" borderId="28" xfId="0" applyNumberFormat="1" applyFont="1" applyFill="1" applyBorder="1" applyAlignment="1" applyProtection="1">
      <alignment horizontal="center" vertical="center"/>
    </xf>
    <xf numFmtId="17" fontId="38" fillId="12" borderId="29" xfId="0" applyNumberFormat="1" applyFont="1" applyFill="1" applyBorder="1" applyAlignment="1" applyProtection="1">
      <alignment horizontal="center" vertical="center"/>
    </xf>
    <xf numFmtId="0" fontId="30" fillId="6" borderId="0" xfId="0" applyFont="1" applyFill="1" applyBorder="1" applyAlignment="1" applyProtection="1">
      <alignment horizontal="right" vertical="center" wrapText="1"/>
    </xf>
    <xf numFmtId="0" fontId="31" fillId="0" borderId="72" xfId="0" applyFont="1" applyFill="1" applyBorder="1" applyAlignment="1" applyProtection="1">
      <alignment horizontal="right" vertical="top"/>
    </xf>
    <xf numFmtId="0" fontId="31" fillId="0" borderId="26" xfId="0" applyFont="1" applyFill="1" applyBorder="1" applyAlignment="1" applyProtection="1">
      <alignment horizontal="right" vertical="top"/>
    </xf>
    <xf numFmtId="0" fontId="31" fillId="0" borderId="8" xfId="0" applyFont="1" applyFill="1" applyBorder="1" applyAlignment="1" applyProtection="1">
      <alignment horizontal="right" vertical="top"/>
    </xf>
    <xf numFmtId="0" fontId="31" fillId="0" borderId="10" xfId="0" applyFont="1" applyFill="1" applyBorder="1" applyAlignment="1" applyProtection="1">
      <alignment horizontal="right" vertical="top"/>
    </xf>
    <xf numFmtId="0" fontId="3" fillId="2" borderId="2" xfId="0" applyFont="1" applyFill="1" applyBorder="1" applyAlignment="1">
      <alignment horizontal="center"/>
    </xf>
    <xf numFmtId="0" fontId="30" fillId="6" borderId="1" xfId="0" applyFont="1" applyFill="1" applyBorder="1" applyAlignment="1" applyProtection="1">
      <alignment horizontal="right" vertical="center" wrapText="1"/>
    </xf>
    <xf numFmtId="0" fontId="0" fillId="2" borderId="0" xfId="0" applyFill="1" applyAlignment="1">
      <alignment horizontal="center"/>
    </xf>
    <xf numFmtId="166" fontId="0" fillId="19" borderId="0" xfId="0" applyNumberFormat="1" applyFill="1"/>
    <xf numFmtId="166" fontId="0" fillId="19" borderId="9" xfId="0" applyNumberFormat="1" applyFill="1" applyBorder="1"/>
    <xf numFmtId="0" fontId="0" fillId="2" borderId="0" xfId="0" applyFont="1" applyFill="1" applyAlignment="1">
      <alignment horizontal="left" indent="1"/>
    </xf>
    <xf numFmtId="0" fontId="0" fillId="2" borderId="0" xfId="0" applyFont="1" applyFill="1" applyAlignment="1">
      <alignment horizontal="left"/>
    </xf>
    <xf numFmtId="0" fontId="0" fillId="2" borderId="0" xfId="0" applyFill="1" applyBorder="1" applyAlignment="1">
      <alignment horizontal="left" indent="1"/>
    </xf>
    <xf numFmtId="175" fontId="5" fillId="3" borderId="73" xfId="48" applyNumberFormat="1" applyFont="1" applyFill="1" applyBorder="1" applyAlignment="1" applyProtection="1">
      <alignment horizontal="right" vertical="top"/>
      <protection locked="0"/>
    </xf>
    <xf numFmtId="175" fontId="0" fillId="3" borderId="74" xfId="48" applyNumberFormat="1" applyFont="1" applyFill="1" applyBorder="1" applyAlignment="1" applyProtection="1">
      <alignment horizontal="right" vertical="top" wrapText="1"/>
      <protection locked="0"/>
    </xf>
    <xf numFmtId="175" fontId="0" fillId="3" borderId="75" xfId="48" applyNumberFormat="1" applyFont="1" applyFill="1" applyBorder="1" applyAlignment="1" applyProtection="1">
      <alignment horizontal="right" vertical="top" wrapText="1"/>
      <protection locked="0"/>
    </xf>
    <xf numFmtId="175" fontId="0" fillId="3" borderId="76" xfId="48" applyNumberFormat="1" applyFont="1" applyFill="1" applyBorder="1" applyAlignment="1" applyProtection="1">
      <alignment horizontal="right" vertical="top" wrapText="1"/>
      <protection locked="0"/>
    </xf>
    <xf numFmtId="175" fontId="0" fillId="6" borderId="77" xfId="48" applyNumberFormat="1" applyFont="1" applyFill="1" applyBorder="1" applyAlignment="1" applyProtection="1">
      <alignment horizontal="right" vertical="center"/>
    </xf>
    <xf numFmtId="175" fontId="5" fillId="3" borderId="78" xfId="48" applyNumberFormat="1" applyFont="1" applyFill="1" applyBorder="1" applyAlignment="1" applyProtection="1">
      <alignment horizontal="right" vertical="top"/>
      <protection locked="0"/>
    </xf>
    <xf numFmtId="0" fontId="0" fillId="2" borderId="0" xfId="0" applyFill="1" applyAlignment="1">
      <alignment horizontal="center"/>
    </xf>
    <xf numFmtId="0" fontId="0" fillId="2" borderId="0" xfId="0" applyFont="1" applyFill="1" applyBorder="1" applyAlignment="1">
      <alignment horizontal="left" indent="1"/>
    </xf>
    <xf numFmtId="174" fontId="3" fillId="2" borderId="0" xfId="0" applyNumberFormat="1" applyFont="1" applyFill="1" applyBorder="1"/>
    <xf numFmtId="0" fontId="40" fillId="24" borderId="26" xfId="0" applyFont="1" applyFill="1" applyBorder="1" applyAlignment="1" applyProtection="1"/>
    <xf numFmtId="174" fontId="0" fillId="24" borderId="9" xfId="0" applyNumberFormat="1" applyFill="1" applyBorder="1"/>
    <xf numFmtId="0" fontId="40" fillId="24" borderId="8" xfId="0" applyFont="1" applyFill="1" applyBorder="1" applyAlignment="1" applyProtection="1"/>
    <xf numFmtId="0" fontId="36" fillId="2" borderId="0" xfId="0" applyFont="1" applyFill="1" applyBorder="1" applyAlignment="1" applyProtection="1">
      <alignment horizontal="left"/>
    </xf>
    <xf numFmtId="0" fontId="36" fillId="2" borderId="0" xfId="0" applyFont="1" applyFill="1" applyProtection="1"/>
    <xf numFmtId="169" fontId="3" fillId="2" borderId="0" xfId="0" applyNumberFormat="1" applyFont="1" applyFill="1" applyAlignment="1">
      <alignment horizontal="center"/>
    </xf>
    <xf numFmtId="170" fontId="0" fillId="2" borderId="0" xfId="0" quotePrefix="1" applyNumberFormat="1" applyFill="1"/>
    <xf numFmtId="167" fontId="0" fillId="24" borderId="47" xfId="0" applyNumberFormat="1" applyFill="1" applyBorder="1"/>
    <xf numFmtId="0" fontId="0" fillId="2" borderId="0" xfId="0" applyFill="1" applyAlignment="1">
      <alignment horizontal="center"/>
    </xf>
    <xf numFmtId="177" fontId="0" fillId="2" borderId="0" xfId="0" applyNumberFormat="1" applyFill="1"/>
    <xf numFmtId="0" fontId="14" fillId="0" borderId="1" xfId="0" applyFont="1" applyFill="1" applyBorder="1"/>
    <xf numFmtId="167" fontId="14" fillId="0" borderId="1" xfId="2" applyNumberFormat="1" applyFont="1" applyFill="1" applyBorder="1" applyAlignment="1">
      <alignment vertical="center"/>
    </xf>
    <xf numFmtId="167" fontId="5" fillId="0" borderId="1" xfId="2" applyNumberFormat="1" applyFont="1" applyFill="1" applyBorder="1" applyAlignment="1">
      <alignment horizontal="right" vertical="center"/>
    </xf>
    <xf numFmtId="174" fontId="5" fillId="2" borderId="1" xfId="48" applyNumberFormat="1" applyFont="1" applyFill="1" applyBorder="1"/>
    <xf numFmtId="0" fontId="38" fillId="2" borderId="1" xfId="0" applyFont="1" applyFill="1" applyBorder="1"/>
    <xf numFmtId="174" fontId="0" fillId="2" borderId="1" xfId="0" applyNumberFormat="1" applyFill="1" applyBorder="1"/>
    <xf numFmtId="174" fontId="3" fillId="2" borderId="1" xfId="0" applyNumberFormat="1" applyFont="1" applyFill="1" applyBorder="1"/>
    <xf numFmtId="174" fontId="21" fillId="24" borderId="0" xfId="48" applyNumberFormat="1" applyFont="1" applyFill="1"/>
    <xf numFmtId="174" fontId="21" fillId="24" borderId="70" xfId="48" applyNumberFormat="1" applyFont="1" applyFill="1" applyBorder="1"/>
    <xf numFmtId="0" fontId="3" fillId="2" borderId="5" xfId="0" applyFont="1" applyFill="1" applyBorder="1"/>
    <xf numFmtId="174" fontId="0" fillId="24" borderId="0" xfId="0" applyNumberFormat="1" applyFill="1" applyBorder="1"/>
    <xf numFmtId="0" fontId="16" fillId="2" borderId="15" xfId="0" applyFont="1" applyFill="1" applyBorder="1"/>
    <xf numFmtId="0" fontId="3" fillId="6" borderId="0" xfId="0" applyFont="1" applyFill="1"/>
    <xf numFmtId="3" fontId="0" fillId="6" borderId="0" xfId="0" applyNumberFormat="1" applyFill="1" applyBorder="1"/>
    <xf numFmtId="0" fontId="0" fillId="6" borderId="0" xfId="0" applyFill="1"/>
    <xf numFmtId="0" fontId="3" fillId="2" borderId="0" xfId="0" applyFont="1" applyFill="1" applyAlignment="1">
      <alignment wrapText="1"/>
    </xf>
    <xf numFmtId="167" fontId="0" fillId="2" borderId="21" xfId="2" applyNumberFormat="1" applyFont="1" applyFill="1" applyBorder="1"/>
    <xf numFmtId="17" fontId="0" fillId="2" borderId="21" xfId="0" applyNumberFormat="1" applyFill="1" applyBorder="1" applyAlignment="1">
      <alignment horizontal="center"/>
    </xf>
    <xf numFmtId="17" fontId="0" fillId="2" borderId="79" xfId="0" applyNumberFormat="1" applyFill="1" applyBorder="1" applyAlignment="1">
      <alignment horizontal="center"/>
    </xf>
    <xf numFmtId="17" fontId="0" fillId="2" borderId="53" xfId="0" applyNumberFormat="1" applyFill="1" applyBorder="1" applyAlignment="1">
      <alignment horizontal="center"/>
    </xf>
    <xf numFmtId="174" fontId="0" fillId="2" borderId="54" xfId="48" applyNumberFormat="1" applyFont="1" applyFill="1" applyBorder="1"/>
    <xf numFmtId="174" fontId="0" fillId="2" borderId="24" xfId="48" applyNumberFormat="1" applyFont="1" applyFill="1" applyBorder="1"/>
    <xf numFmtId="174" fontId="0" fillId="2" borderId="71" xfId="0" applyNumberFormat="1" applyFill="1" applyBorder="1"/>
    <xf numFmtId="174" fontId="0" fillId="2" borderId="24" xfId="0" applyNumberFormat="1" applyFill="1" applyBorder="1"/>
    <xf numFmtId="0" fontId="47" fillId="2" borderId="0" xfId="0" quotePrefix="1" applyFont="1" applyFill="1"/>
    <xf numFmtId="0" fontId="14" fillId="2" borderId="0" xfId="0" applyFont="1" applyFill="1" applyAlignment="1">
      <alignment horizontal="left" indent="1"/>
    </xf>
    <xf numFmtId="0" fontId="22" fillId="27" borderId="0" xfId="0" applyFont="1" applyFill="1"/>
    <xf numFmtId="0" fontId="0" fillId="2" borderId="0" xfId="0" applyFill="1" applyBorder="1" applyAlignment="1">
      <alignment horizontal="right"/>
    </xf>
    <xf numFmtId="1" fontId="0" fillId="2" borderId="0" xfId="0" applyNumberFormat="1" applyFill="1" applyBorder="1"/>
    <xf numFmtId="0" fontId="39" fillId="2" borderId="0" xfId="0" applyFont="1" applyFill="1" applyAlignment="1">
      <alignment horizontal="right"/>
    </xf>
    <xf numFmtId="174" fontId="41" fillId="2" borderId="0" xfId="48" applyNumberFormat="1" applyFont="1" applyFill="1"/>
    <xf numFmtId="0" fontId="39" fillId="2" borderId="0" xfId="0" applyFont="1" applyFill="1"/>
    <xf numFmtId="174" fontId="39" fillId="2" borderId="0" xfId="48" applyNumberFormat="1" applyFont="1" applyFill="1"/>
    <xf numFmtId="174" fontId="39" fillId="2" borderId="0" xfId="0" applyNumberFormat="1" applyFont="1" applyFill="1"/>
    <xf numFmtId="0" fontId="39" fillId="2" borderId="0" xfId="0" applyFont="1" applyFill="1" applyAlignment="1">
      <alignment horizontal="center"/>
    </xf>
    <xf numFmtId="174" fontId="41" fillId="2" borderId="0" xfId="0" applyNumberFormat="1" applyFont="1" applyFill="1"/>
    <xf numFmtId="174" fontId="0" fillId="0" borderId="1" xfId="48" applyNumberFormat="1" applyFont="1" applyFill="1" applyBorder="1"/>
    <xf numFmtId="0" fontId="30" fillId="12" borderId="15" xfId="0" applyFont="1" applyFill="1" applyBorder="1" applyAlignment="1">
      <alignment vertical="center" wrapText="1"/>
    </xf>
    <xf numFmtId="0" fontId="30" fillId="12" borderId="25" xfId="0" applyFont="1" applyFill="1" applyBorder="1" applyAlignment="1">
      <alignment vertical="center" wrapText="1"/>
    </xf>
    <xf numFmtId="0" fontId="30" fillId="12" borderId="80" xfId="0" applyFont="1" applyFill="1" applyBorder="1" applyAlignment="1">
      <alignment horizontal="center" vertical="center" wrapText="1"/>
    </xf>
    <xf numFmtId="0" fontId="30" fillId="13" borderId="81" xfId="0" applyFont="1" applyFill="1" applyBorder="1" applyAlignment="1">
      <alignment horizontal="center" vertical="center" wrapText="1"/>
    </xf>
    <xf numFmtId="0" fontId="30" fillId="13" borderId="60" xfId="0" applyFont="1" applyFill="1" applyBorder="1" applyAlignment="1">
      <alignment horizontal="center" vertical="center" wrapText="1"/>
    </xf>
    <xf numFmtId="0" fontId="30" fillId="13" borderId="61" xfId="0" applyFont="1" applyFill="1" applyBorder="1" applyAlignment="1">
      <alignment horizontal="center" vertical="center" wrapText="1"/>
    </xf>
    <xf numFmtId="0" fontId="30" fillId="6" borderId="25" xfId="0" applyFont="1" applyFill="1" applyBorder="1" applyAlignment="1">
      <alignment vertical="center" wrapText="1"/>
    </xf>
    <xf numFmtId="0" fontId="30" fillId="6" borderId="19" xfId="0" applyFont="1" applyFill="1" applyBorder="1" applyAlignment="1">
      <alignment vertical="center" wrapText="1"/>
    </xf>
    <xf numFmtId="174" fontId="0" fillId="24" borderId="1" xfId="48" applyNumberFormat="1" applyFont="1" applyFill="1" applyBorder="1"/>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0" fillId="2" borderId="9" xfId="0" applyFill="1" applyBorder="1" applyAlignment="1">
      <alignment horizontal="center"/>
    </xf>
    <xf numFmtId="0" fontId="3" fillId="0" borderId="0" xfId="0" applyFont="1"/>
    <xf numFmtId="164" fontId="0" fillId="2" borderId="8" xfId="0" applyNumberFormat="1" applyFill="1" applyBorder="1"/>
    <xf numFmtId="164" fontId="0" fillId="2" borderId="54" xfId="0" applyNumberFormat="1" applyFill="1" applyBorder="1"/>
    <xf numFmtId="164" fontId="5" fillId="2" borderId="0" xfId="48" applyFont="1" applyFill="1" applyBorder="1"/>
    <xf numFmtId="164" fontId="0" fillId="2" borderId="0" xfId="48" applyFont="1" applyFill="1" applyBorder="1"/>
    <xf numFmtId="164" fontId="0" fillId="2" borderId="3" xfId="0" applyNumberFormat="1" applyFill="1" applyBorder="1"/>
    <xf numFmtId="176" fontId="3" fillId="2" borderId="0" xfId="0" applyNumberFormat="1" applyFont="1" applyFill="1" applyAlignment="1">
      <alignment horizontal="right"/>
    </xf>
    <xf numFmtId="0" fontId="47" fillId="2" borderId="0" xfId="0" applyFont="1" applyFill="1"/>
    <xf numFmtId="9" fontId="3" fillId="2" borderId="0" xfId="2" applyFont="1" applyFill="1"/>
    <xf numFmtId="164" fontId="47" fillId="2" borderId="0" xfId="0" applyNumberFormat="1" applyFont="1" applyFill="1"/>
    <xf numFmtId="176" fontId="3" fillId="2" borderId="0" xfId="48" applyNumberFormat="1" applyFont="1" applyFill="1" applyAlignment="1">
      <alignment horizontal="center"/>
    </xf>
    <xf numFmtId="0" fontId="0" fillId="2" borderId="10" xfId="0" applyFill="1" applyBorder="1" applyAlignment="1">
      <alignment horizontal="center"/>
    </xf>
    <xf numFmtId="0" fontId="0" fillId="2" borderId="24" xfId="0" applyFill="1" applyBorder="1" applyAlignment="1">
      <alignment horizontal="center"/>
    </xf>
    <xf numFmtId="0" fontId="0" fillId="2" borderId="4" xfId="0" applyFill="1" applyBorder="1" applyAlignment="1">
      <alignment horizontal="center"/>
    </xf>
    <xf numFmtId="176" fontId="0" fillId="2" borderId="53" xfId="48" applyNumberFormat="1" applyFont="1" applyFill="1" applyBorder="1"/>
    <xf numFmtId="176" fontId="0" fillId="2" borderId="8" xfId="0" applyNumberFormat="1" applyFill="1" applyBorder="1"/>
    <xf numFmtId="176" fontId="0" fillId="2" borderId="54" xfId="0" applyNumberFormat="1" applyFill="1" applyBorder="1"/>
    <xf numFmtId="176" fontId="0" fillId="2" borderId="8" xfId="48" applyNumberFormat="1" applyFont="1" applyFill="1" applyBorder="1"/>
    <xf numFmtId="176" fontId="0" fillId="2" borderId="3" xfId="48" applyNumberFormat="1" applyFont="1" applyFill="1" applyBorder="1"/>
    <xf numFmtId="176" fontId="0" fillId="2" borderId="54" xfId="48" applyNumberFormat="1" applyFont="1" applyFill="1" applyBorder="1"/>
    <xf numFmtId="176" fontId="0" fillId="2" borderId="24" xfId="48" applyNumberFormat="1" applyFont="1" applyFill="1" applyBorder="1"/>
    <xf numFmtId="176" fontId="0" fillId="2" borderId="10" xfId="0" applyNumberFormat="1" applyFill="1" applyBorder="1"/>
    <xf numFmtId="176" fontId="0" fillId="2" borderId="9" xfId="0" applyNumberFormat="1" applyFill="1" applyBorder="1"/>
    <xf numFmtId="176" fontId="0" fillId="2" borderId="24" xfId="0" applyNumberFormat="1" applyFill="1" applyBorder="1"/>
    <xf numFmtId="176" fontId="0" fillId="2" borderId="10" xfId="48" applyNumberFormat="1" applyFont="1" applyFill="1" applyBorder="1"/>
    <xf numFmtId="176" fontId="0" fillId="2" borderId="9" xfId="48" applyNumberFormat="1" applyFont="1" applyFill="1" applyBorder="1"/>
    <xf numFmtId="176" fontId="0" fillId="2" borderId="4" xfId="48" applyNumberFormat="1" applyFont="1" applyFill="1" applyBorder="1"/>
    <xf numFmtId="176" fontId="3" fillId="2" borderId="53" xfId="48" applyNumberFormat="1" applyFont="1" applyFill="1" applyBorder="1"/>
    <xf numFmtId="176" fontId="3" fillId="2" borderId="26" xfId="48" applyNumberFormat="1" applyFont="1" applyFill="1" applyBorder="1"/>
    <xf numFmtId="176" fontId="3" fillId="2" borderId="21" xfId="48" applyNumberFormat="1" applyFont="1" applyFill="1" applyBorder="1"/>
    <xf numFmtId="176" fontId="3" fillId="2" borderId="2" xfId="48" applyNumberFormat="1" applyFont="1" applyFill="1" applyBorder="1"/>
    <xf numFmtId="176" fontId="0" fillId="2" borderId="3" xfId="0" applyNumberFormat="1" applyFill="1" applyBorder="1"/>
    <xf numFmtId="176" fontId="0" fillId="2" borderId="0" xfId="48" applyNumberFormat="1" applyFont="1" applyFill="1" applyBorder="1"/>
    <xf numFmtId="164" fontId="0" fillId="2" borderId="1" xfId="48" applyFont="1" applyFill="1" applyBorder="1"/>
    <xf numFmtId="174" fontId="3" fillId="24" borderId="1" xfId="48" applyNumberFormat="1" applyFont="1" applyFill="1" applyBorder="1"/>
    <xf numFmtId="174" fontId="39" fillId="0" borderId="0" xfId="48" applyNumberFormat="1" applyFont="1" applyFill="1"/>
    <xf numFmtId="0" fontId="48" fillId="2" borderId="0" xfId="0" applyFont="1" applyFill="1" applyAlignment="1">
      <alignment horizontal="left" indent="1"/>
    </xf>
    <xf numFmtId="174" fontId="3" fillId="24" borderId="0" xfId="0" applyNumberFormat="1" applyFont="1" applyFill="1" applyBorder="1"/>
    <xf numFmtId="17" fontId="3" fillId="2" borderId="0" xfId="0" applyNumberFormat="1" applyFont="1" applyFill="1" applyBorder="1" applyAlignment="1">
      <alignment horizontal="center"/>
    </xf>
    <xf numFmtId="174" fontId="3" fillId="2" borderId="0" xfId="48" applyNumberFormat="1" applyFont="1" applyFill="1" applyBorder="1"/>
    <xf numFmtId="176" fontId="3" fillId="2" borderId="7" xfId="0" applyNumberFormat="1" applyFont="1" applyFill="1" applyBorder="1"/>
    <xf numFmtId="176" fontId="3" fillId="2" borderId="5" xfId="0" applyNumberFormat="1" applyFont="1" applyFill="1" applyBorder="1"/>
    <xf numFmtId="176" fontId="3" fillId="2" borderId="6" xfId="0" applyNumberFormat="1" applyFont="1" applyFill="1" applyBorder="1"/>
    <xf numFmtId="176" fontId="3" fillId="2" borderId="1" xfId="48" applyNumberFormat="1" applyFont="1" applyFill="1" applyBorder="1"/>
    <xf numFmtId="176" fontId="3" fillId="2" borderId="5" xfId="48" applyNumberFormat="1" applyFont="1" applyFill="1" applyBorder="1"/>
    <xf numFmtId="176" fontId="3" fillId="2" borderId="6" xfId="48" applyNumberFormat="1" applyFont="1" applyFill="1" applyBorder="1"/>
    <xf numFmtId="176" fontId="3" fillId="2" borderId="7" xfId="48" applyNumberFormat="1" applyFont="1" applyFill="1" applyBorder="1"/>
    <xf numFmtId="0" fontId="45" fillId="2" borderId="0" xfId="0" applyFont="1" applyFill="1"/>
    <xf numFmtId="0" fontId="0" fillId="2" borderId="0" xfId="0" quotePrefix="1" applyFill="1" applyAlignment="1">
      <alignment vertical="center"/>
    </xf>
    <xf numFmtId="0" fontId="14" fillId="0" borderId="0" xfId="0" applyFont="1" applyFill="1"/>
    <xf numFmtId="0" fontId="52" fillId="2" borderId="0" xfId="0" applyFont="1" applyFill="1"/>
    <xf numFmtId="174" fontId="0" fillId="2" borderId="82" xfId="48" applyNumberFormat="1" applyFont="1" applyFill="1" applyBorder="1"/>
    <xf numFmtId="3" fontId="0" fillId="18" borderId="0" xfId="0" applyNumberFormat="1" applyFill="1"/>
    <xf numFmtId="0" fontId="0" fillId="18" borderId="9" xfId="0" applyFill="1" applyBorder="1"/>
    <xf numFmtId="3" fontId="0" fillId="18" borderId="9" xfId="0" applyNumberFormat="1" applyFill="1" applyBorder="1"/>
    <xf numFmtId="0" fontId="0" fillId="18" borderId="0" xfId="0" applyFill="1" applyBorder="1"/>
    <xf numFmtId="0" fontId="6" fillId="18" borderId="0" xfId="0" applyFont="1" applyFill="1"/>
    <xf numFmtId="3" fontId="0" fillId="18" borderId="0" xfId="0" applyNumberFormat="1" applyFont="1" applyFill="1"/>
    <xf numFmtId="0" fontId="0" fillId="18" borderId="9" xfId="0" applyFill="1" applyBorder="1" applyAlignment="1">
      <alignment horizontal="center"/>
    </xf>
    <xf numFmtId="0" fontId="0" fillId="18" borderId="9" xfId="0" applyFill="1" applyBorder="1" applyAlignment="1"/>
    <xf numFmtId="0" fontId="21" fillId="18" borderId="0" xfId="0" applyFont="1" applyFill="1"/>
    <xf numFmtId="3" fontId="21" fillId="2" borderId="0" xfId="0" applyNumberFormat="1" applyFont="1" applyFill="1"/>
    <xf numFmtId="17" fontId="21" fillId="2" borderId="0" xfId="0" applyNumberFormat="1" applyFont="1" applyFill="1" applyAlignment="1">
      <alignment horizontal="center"/>
    </xf>
    <xf numFmtId="3" fontId="21" fillId="2" borderId="0" xfId="0" applyNumberFormat="1" applyFont="1" applyFill="1" applyBorder="1"/>
    <xf numFmtId="0" fontId="21" fillId="2" borderId="0" xfId="0" applyFont="1" applyFill="1" applyAlignment="1">
      <alignment horizontal="center"/>
    </xf>
    <xf numFmtId="173" fontId="0" fillId="18" borderId="0" xfId="0" applyNumberFormat="1" applyFill="1"/>
    <xf numFmtId="174" fontId="0" fillId="18" borderId="0" xfId="48" applyNumberFormat="1" applyFont="1" applyFill="1"/>
    <xf numFmtId="174" fontId="0" fillId="18" borderId="8" xfId="48" applyNumberFormat="1" applyFont="1" applyFill="1" applyBorder="1"/>
    <xf numFmtId="174" fontId="21" fillId="18" borderId="0" xfId="48" applyNumberFormat="1" applyFont="1" applyFill="1"/>
    <xf numFmtId="174" fontId="21" fillId="18" borderId="8" xfId="48" applyNumberFormat="1" applyFont="1" applyFill="1" applyBorder="1"/>
    <xf numFmtId="174" fontId="3" fillId="18" borderId="0" xfId="48" applyNumberFormat="1" applyFont="1" applyFill="1"/>
    <xf numFmtId="174" fontId="3" fillId="18" borderId="8" xfId="48" applyNumberFormat="1" applyFont="1" applyFill="1" applyBorder="1"/>
    <xf numFmtId="174" fontId="0" fillId="18" borderId="9" xfId="48" applyNumberFormat="1" applyFont="1" applyFill="1" applyBorder="1"/>
    <xf numFmtId="174" fontId="0" fillId="18" borderId="10" xfId="48" applyNumberFormat="1" applyFont="1" applyFill="1" applyBorder="1"/>
    <xf numFmtId="174" fontId="0" fillId="18" borderId="0" xfId="0" applyNumberFormat="1" applyFill="1"/>
    <xf numFmtId="174" fontId="0" fillId="18" borderId="8" xfId="0" applyNumberFormat="1" applyFill="1" applyBorder="1"/>
    <xf numFmtId="3" fontId="0" fillId="18" borderId="1" xfId="0" applyNumberFormat="1" applyFill="1" applyBorder="1"/>
    <xf numFmtId="166" fontId="0" fillId="18" borderId="1" xfId="0" applyNumberFormat="1" applyFill="1" applyBorder="1"/>
    <xf numFmtId="2" fontId="0" fillId="18" borderId="1" xfId="0" applyNumberFormat="1" applyFill="1" applyBorder="1"/>
    <xf numFmtId="3" fontId="20" fillId="2" borderId="0" xfId="0" applyNumberFormat="1" applyFont="1" applyFill="1" applyBorder="1"/>
    <xf numFmtId="3" fontId="0" fillId="18" borderId="12" xfId="0" applyNumberFormat="1" applyFill="1" applyBorder="1"/>
    <xf numFmtId="3" fontId="0" fillId="18" borderId="11" xfId="0" applyNumberFormat="1" applyFill="1" applyBorder="1"/>
    <xf numFmtId="3" fontId="3" fillId="18" borderId="0" xfId="0" applyNumberFormat="1" applyFont="1" applyFill="1"/>
    <xf numFmtId="3" fontId="3" fillId="18" borderId="11" xfId="0" applyNumberFormat="1" applyFont="1" applyFill="1" applyBorder="1"/>
    <xf numFmtId="174" fontId="0" fillId="18" borderId="0" xfId="0" applyNumberFormat="1" applyFill="1" applyBorder="1"/>
    <xf numFmtId="174" fontId="0" fillId="18" borderId="9" xfId="0" applyNumberFormat="1" applyFill="1" applyBorder="1"/>
    <xf numFmtId="174" fontId="0" fillId="18" borderId="10" xfId="0" applyNumberFormat="1" applyFill="1" applyBorder="1"/>
    <xf numFmtId="0" fontId="0" fillId="18" borderId="8" xfId="0" applyFill="1" applyBorder="1"/>
    <xf numFmtId="174" fontId="0" fillId="18" borderId="0" xfId="48" applyNumberFormat="1" applyFont="1" applyFill="1" applyBorder="1"/>
    <xf numFmtId="164" fontId="0" fillId="18" borderId="9" xfId="48" applyFont="1" applyFill="1" applyBorder="1"/>
    <xf numFmtId="164" fontId="0" fillId="18" borderId="10" xfId="48" applyFont="1" applyFill="1" applyBorder="1"/>
    <xf numFmtId="164" fontId="0" fillId="18" borderId="0" xfId="48" applyFont="1" applyFill="1"/>
    <xf numFmtId="174" fontId="0" fillId="18" borderId="13" xfId="48" applyNumberFormat="1" applyFont="1" applyFill="1" applyBorder="1"/>
    <xf numFmtId="164" fontId="0" fillId="18" borderId="8" xfId="48" applyFont="1" applyFill="1" applyBorder="1"/>
    <xf numFmtId="0" fontId="21" fillId="18" borderId="8" xfId="0" applyFont="1" applyFill="1" applyBorder="1"/>
    <xf numFmtId="0" fontId="3" fillId="18" borderId="0" xfId="0" applyFont="1" applyFill="1"/>
    <xf numFmtId="0" fontId="3" fillId="18" borderId="8" xfId="0" applyFont="1" applyFill="1" applyBorder="1"/>
    <xf numFmtId="3" fontId="0" fillId="18" borderId="8" xfId="0" applyNumberFormat="1" applyFill="1" applyBorder="1"/>
    <xf numFmtId="174" fontId="3" fillId="18" borderId="0" xfId="0" applyNumberFormat="1" applyFont="1" applyFill="1"/>
    <xf numFmtId="3" fontId="0" fillId="18" borderId="70" xfId="0" applyNumberFormat="1" applyFill="1" applyBorder="1"/>
    <xf numFmtId="3" fontId="0" fillId="18" borderId="71" xfId="0" applyNumberFormat="1" applyFill="1" applyBorder="1"/>
    <xf numFmtId="3" fontId="0" fillId="18" borderId="70" xfId="0" applyNumberFormat="1" applyFont="1" applyFill="1" applyBorder="1"/>
    <xf numFmtId="9" fontId="0" fillId="18" borderId="0" xfId="2" applyFont="1" applyFill="1"/>
    <xf numFmtId="17" fontId="0" fillId="0" borderId="0" xfId="0" applyNumberFormat="1" applyAlignment="1">
      <alignment horizontal="center"/>
    </xf>
    <xf numFmtId="0" fontId="27" fillId="5" borderId="0" xfId="0" applyFont="1" applyFill="1"/>
    <xf numFmtId="0" fontId="27" fillId="9" borderId="0" xfId="0" applyFont="1" applyFill="1"/>
    <xf numFmtId="174" fontId="0" fillId="9" borderId="0" xfId="0" applyNumberFormat="1" applyFill="1"/>
    <xf numFmtId="0" fontId="0" fillId="9" borderId="0" xfId="0" applyFill="1"/>
    <xf numFmtId="174" fontId="0" fillId="9" borderId="0" xfId="48" applyNumberFormat="1" applyFont="1" applyFill="1"/>
    <xf numFmtId="174" fontId="0" fillId="9" borderId="8" xfId="48" applyNumberFormat="1" applyFont="1" applyFill="1" applyBorder="1"/>
    <xf numFmtId="3" fontId="3" fillId="18" borderId="1" xfId="0" applyNumberFormat="1" applyFont="1" applyFill="1" applyBorder="1"/>
    <xf numFmtId="0" fontId="53" fillId="2" borderId="0" xfId="0" applyFont="1" applyFill="1"/>
    <xf numFmtId="0" fontId="54" fillId="2" borderId="0" xfId="0" applyFont="1" applyFill="1"/>
    <xf numFmtId="178" fontId="21" fillId="2" borderId="0" xfId="48" applyNumberFormat="1" applyFont="1" applyFill="1"/>
    <xf numFmtId="3" fontId="55" fillId="18" borderId="0" xfId="0" applyNumberFormat="1" applyFont="1" applyFill="1"/>
    <xf numFmtId="173" fontId="55" fillId="18" borderId="0" xfId="0" applyNumberFormat="1" applyFont="1" applyFill="1"/>
    <xf numFmtId="10" fontId="42" fillId="2" borderId="0" xfId="2" applyNumberFormat="1" applyFont="1" applyFill="1"/>
    <xf numFmtId="10" fontId="3" fillId="2" borderId="0" xfId="2" applyNumberFormat="1" applyFont="1" applyFill="1"/>
    <xf numFmtId="0" fontId="55" fillId="2" borderId="0" xfId="0" applyFont="1" applyFill="1"/>
    <xf numFmtId="0" fontId="55" fillId="2" borderId="9" xfId="0" applyFont="1" applyFill="1" applyBorder="1"/>
    <xf numFmtId="174" fontId="21" fillId="18" borderId="9" xfId="0" applyNumberFormat="1" applyFont="1" applyFill="1" applyBorder="1"/>
    <xf numFmtId="174" fontId="55" fillId="2" borderId="0" xfId="0" applyNumberFormat="1" applyFont="1" applyFill="1"/>
    <xf numFmtId="174" fontId="55" fillId="2" borderId="9" xfId="0" applyNumberFormat="1" applyFont="1" applyFill="1" applyBorder="1"/>
    <xf numFmtId="166" fontId="42" fillId="3" borderId="8" xfId="0" applyNumberFormat="1" applyFont="1" applyFill="1" applyBorder="1"/>
    <xf numFmtId="166" fontId="42" fillId="3" borderId="0" xfId="0" applyNumberFormat="1" applyFont="1" applyFill="1"/>
    <xf numFmtId="166" fontId="42" fillId="3" borderId="54" xfId="0" applyNumberFormat="1" applyFont="1" applyFill="1" applyBorder="1"/>
    <xf numFmtId="166" fontId="42" fillId="3" borderId="10" xfId="0" applyNumberFormat="1" applyFont="1" applyFill="1" applyBorder="1"/>
    <xf numFmtId="166" fontId="42" fillId="3" borderId="9" xfId="0" applyNumberFormat="1" applyFont="1" applyFill="1" applyBorder="1"/>
    <xf numFmtId="166" fontId="42" fillId="3" borderId="24" xfId="0" applyNumberFormat="1" applyFont="1" applyFill="1" applyBorder="1"/>
    <xf numFmtId="166" fontId="44" fillId="19" borderId="3" xfId="0" applyNumberFormat="1" applyFont="1" applyFill="1" applyBorder="1"/>
    <xf numFmtId="4" fontId="44" fillId="19" borderId="4" xfId="0" applyNumberFormat="1" applyFont="1" applyFill="1" applyBorder="1"/>
    <xf numFmtId="166" fontId="44" fillId="19" borderId="4" xfId="0" applyNumberFormat="1" applyFont="1" applyFill="1" applyBorder="1"/>
    <xf numFmtId="176" fontId="44" fillId="2" borderId="0" xfId="0" applyNumberFormat="1" applyFont="1" applyFill="1"/>
    <xf numFmtId="176" fontId="44" fillId="2" borderId="9" xfId="0" applyNumberFormat="1" applyFont="1" applyFill="1" applyBorder="1"/>
    <xf numFmtId="179" fontId="0" fillId="2" borderId="0" xfId="0" applyNumberFormat="1" applyFill="1"/>
    <xf numFmtId="180" fontId="0" fillId="2" borderId="0" xfId="0" applyNumberFormat="1" applyFill="1"/>
    <xf numFmtId="176" fontId="44" fillId="2" borderId="8" xfId="0" applyNumberFormat="1" applyFont="1" applyFill="1" applyBorder="1"/>
    <xf numFmtId="176" fontId="44" fillId="2" borderId="54" xfId="0" applyNumberFormat="1" applyFont="1" applyFill="1" applyBorder="1"/>
    <xf numFmtId="176" fontId="44" fillId="2" borderId="10" xfId="0" applyNumberFormat="1" applyFont="1" applyFill="1" applyBorder="1"/>
    <xf numFmtId="176" fontId="44" fillId="2" borderId="24" xfId="0" applyNumberFormat="1" applyFont="1" applyFill="1" applyBorder="1"/>
    <xf numFmtId="164" fontId="44" fillId="2" borderId="8" xfId="0" applyNumberFormat="1" applyFont="1" applyFill="1" applyBorder="1"/>
    <xf numFmtId="164" fontId="44" fillId="2" borderId="0" xfId="0" applyNumberFormat="1" applyFont="1" applyFill="1"/>
    <xf numFmtId="164" fontId="44" fillId="2" borderId="54" xfId="0" applyNumberFormat="1" applyFont="1" applyFill="1" applyBorder="1"/>
    <xf numFmtId="174" fontId="44" fillId="2" borderId="0" xfId="48" applyNumberFormat="1" applyFont="1" applyFill="1" applyAlignment="1">
      <alignment horizontal="left" indent="1"/>
    </xf>
    <xf numFmtId="174" fontId="44" fillId="2" borderId="0" xfId="48" applyNumberFormat="1" applyFont="1" applyFill="1" applyBorder="1"/>
    <xf numFmtId="174" fontId="44" fillId="24" borderId="0" xfId="48" applyNumberFormat="1" applyFont="1" applyFill="1" applyAlignment="1">
      <alignment horizontal="left" indent="1"/>
    </xf>
    <xf numFmtId="174" fontId="44" fillId="24" borderId="0" xfId="48" applyNumberFormat="1" applyFont="1" applyFill="1"/>
    <xf numFmtId="174" fontId="44" fillId="2" borderId="0" xfId="48" applyNumberFormat="1" applyFont="1" applyFill="1" applyBorder="1" applyAlignment="1">
      <alignment horizontal="left" indent="1"/>
    </xf>
    <xf numFmtId="3" fontId="44" fillId="2" borderId="0" xfId="0" applyNumberFormat="1" applyFont="1" applyFill="1" applyBorder="1"/>
    <xf numFmtId="181" fontId="0" fillId="2" borderId="0" xfId="0" applyNumberFormat="1" applyFill="1"/>
    <xf numFmtId="3" fontId="42" fillId="18" borderId="11" xfId="0" applyNumberFormat="1" applyFont="1" applyFill="1" applyBorder="1"/>
    <xf numFmtId="182" fontId="0" fillId="2" borderId="0" xfId="0" applyNumberFormat="1" applyFill="1"/>
    <xf numFmtId="183" fontId="0" fillId="2" borderId="0" xfId="0" applyNumberFormat="1" applyFill="1"/>
    <xf numFmtId="1" fontId="0" fillId="2" borderId="0" xfId="0" applyNumberFormat="1" applyFill="1" applyAlignment="1">
      <alignment horizontal="right"/>
    </xf>
    <xf numFmtId="184" fontId="0" fillId="2" borderId="0" xfId="0" applyNumberFormat="1" applyFill="1" applyAlignment="1">
      <alignment horizontal="right"/>
    </xf>
    <xf numFmtId="184" fontId="0" fillId="2" borderId="0" xfId="0" applyNumberFormat="1" applyFill="1"/>
    <xf numFmtId="174" fontId="55" fillId="18" borderId="0" xfId="48" applyNumberFormat="1" applyFont="1" applyFill="1" applyBorder="1"/>
    <xf numFmtId="0" fontId="3" fillId="0" borderId="6" xfId="0" applyFont="1" applyBorder="1" applyAlignment="1">
      <alignment horizontal="center"/>
    </xf>
    <xf numFmtId="0" fontId="42" fillId="18" borderId="0" xfId="0" applyFont="1" applyFill="1"/>
    <xf numFmtId="0" fontId="3" fillId="0" borderId="6" xfId="0" applyFont="1" applyBorder="1"/>
    <xf numFmtId="174" fontId="3" fillId="0" borderId="6" xfId="0" applyNumberFormat="1" applyFont="1" applyBorder="1"/>
    <xf numFmtId="10" fontId="42" fillId="18" borderId="0" xfId="2" applyNumberFormat="1" applyFont="1" applyFill="1"/>
    <xf numFmtId="10" fontId="42" fillId="18" borderId="0" xfId="2" applyNumberFormat="1" applyFont="1" applyFill="1" applyAlignment="1">
      <alignment horizontal="center"/>
    </xf>
    <xf numFmtId="3" fontId="21" fillId="18" borderId="0" xfId="0" applyNumberFormat="1" applyFont="1" applyFill="1"/>
    <xf numFmtId="17" fontId="3" fillId="0" borderId="6" xfId="0" applyNumberFormat="1" applyFont="1" applyBorder="1"/>
    <xf numFmtId="3" fontId="3" fillId="0" borderId="0" xfId="0" applyNumberFormat="1" applyFont="1"/>
    <xf numFmtId="3" fontId="42" fillId="18" borderId="0" xfId="0" applyNumberFormat="1" applyFont="1" applyFill="1"/>
    <xf numFmtId="3" fontId="42" fillId="18" borderId="70" xfId="0" applyNumberFormat="1" applyFont="1" applyFill="1" applyBorder="1"/>
    <xf numFmtId="3" fontId="42" fillId="18" borderId="9" xfId="0" applyNumberFormat="1" applyFont="1" applyFill="1" applyBorder="1"/>
    <xf numFmtId="3" fontId="42" fillId="18" borderId="71" xfId="0" applyNumberFormat="1" applyFont="1" applyFill="1" applyBorder="1"/>
    <xf numFmtId="3" fontId="38" fillId="18" borderId="0" xfId="0" applyNumberFormat="1" applyFont="1" applyFill="1"/>
    <xf numFmtId="3" fontId="57" fillId="18" borderId="0" xfId="0" applyNumberFormat="1" applyFont="1" applyFill="1"/>
    <xf numFmtId="3" fontId="57" fillId="18" borderId="70" xfId="0" applyNumberFormat="1" applyFont="1" applyFill="1" applyBorder="1"/>
    <xf numFmtId="174" fontId="42" fillId="18" borderId="10" xfId="48" applyNumberFormat="1" applyFont="1" applyFill="1" applyBorder="1"/>
    <xf numFmtId="174" fontId="42" fillId="18" borderId="9" xfId="48" applyNumberFormat="1" applyFont="1" applyFill="1" applyBorder="1"/>
    <xf numFmtId="17" fontId="3" fillId="0" borderId="9" xfId="0" applyNumberFormat="1" applyFont="1" applyBorder="1"/>
    <xf numFmtId="3" fontId="42" fillId="18" borderId="0" xfId="0" applyNumberFormat="1" applyFont="1" applyFill="1" applyBorder="1"/>
    <xf numFmtId="3" fontId="38" fillId="18" borderId="11" xfId="0" applyNumberFormat="1" applyFont="1" applyFill="1" applyBorder="1"/>
    <xf numFmtId="3" fontId="38" fillId="18" borderId="21" xfId="0" applyNumberFormat="1" applyFont="1" applyFill="1" applyBorder="1"/>
    <xf numFmtId="1" fontId="42" fillId="18" borderId="0" xfId="0" applyNumberFormat="1" applyFont="1" applyFill="1"/>
    <xf numFmtId="0" fontId="3" fillId="0" borderId="0" xfId="0" applyFont="1" applyAlignment="1">
      <alignment horizontal="center"/>
    </xf>
    <xf numFmtId="17" fontId="3" fillId="0" borderId="0" xfId="0" applyNumberFormat="1" applyFont="1"/>
    <xf numFmtId="17" fontId="3" fillId="0" borderId="6" xfId="0" applyNumberFormat="1" applyFont="1" applyBorder="1" applyAlignment="1">
      <alignment horizontal="right"/>
    </xf>
    <xf numFmtId="0" fontId="38" fillId="0" borderId="0" xfId="0" applyFont="1"/>
    <xf numFmtId="3" fontId="56" fillId="18" borderId="0" xfId="0" applyNumberFormat="1" applyFont="1" applyFill="1"/>
    <xf numFmtId="10" fontId="55" fillId="18" borderId="0" xfId="0" applyNumberFormat="1" applyFont="1" applyFill="1"/>
    <xf numFmtId="17" fontId="0" fillId="0" borderId="6" xfId="0" applyNumberFormat="1" applyBorder="1"/>
    <xf numFmtId="0" fontId="58" fillId="0" borderId="0" xfId="0" applyFont="1"/>
    <xf numFmtId="185" fontId="0" fillId="2" borderId="0" xfId="2" applyNumberFormat="1" applyFont="1" applyFill="1"/>
    <xf numFmtId="186" fontId="14" fillId="2" borderId="0" xfId="0" applyNumberFormat="1" applyFont="1" applyFill="1"/>
    <xf numFmtId="0" fontId="42" fillId="18" borderId="0" xfId="0" applyFont="1" applyFill="1" applyAlignment="1">
      <alignment horizontal="right"/>
    </xf>
    <xf numFmtId="0" fontId="3" fillId="0" borderId="0" xfId="0" quotePrefix="1" applyFont="1"/>
    <xf numFmtId="176" fontId="3" fillId="0" borderId="6" xfId="0" applyNumberFormat="1" applyFont="1" applyBorder="1"/>
    <xf numFmtId="0" fontId="35" fillId="29" borderId="26" xfId="0" applyFont="1" applyFill="1" applyBorder="1"/>
    <xf numFmtId="0" fontId="0" fillId="29" borderId="21" xfId="0" applyFill="1" applyBorder="1"/>
    <xf numFmtId="0" fontId="0" fillId="29" borderId="53" xfId="0" applyFill="1" applyBorder="1"/>
    <xf numFmtId="17" fontId="3" fillId="29" borderId="5" xfId="0" applyNumberFormat="1" applyFont="1" applyFill="1" applyBorder="1"/>
    <xf numFmtId="17" fontId="3" fillId="29" borderId="6" xfId="0" applyNumberFormat="1" applyFont="1" applyFill="1" applyBorder="1"/>
    <xf numFmtId="17" fontId="3" fillId="29" borderId="7" xfId="0" applyNumberFormat="1" applyFont="1" applyFill="1" applyBorder="1"/>
    <xf numFmtId="3" fontId="55" fillId="29" borderId="8" xfId="0" applyNumberFormat="1" applyFont="1" applyFill="1" applyBorder="1"/>
    <xf numFmtId="3" fontId="55" fillId="29" borderId="0" xfId="0" applyNumberFormat="1" applyFont="1" applyFill="1" applyBorder="1"/>
    <xf numFmtId="3" fontId="55" fillId="29" borderId="70" xfId="0" applyNumberFormat="1" applyFont="1" applyFill="1" applyBorder="1"/>
    <xf numFmtId="3" fontId="55" fillId="29" borderId="54" xfId="0" applyNumberFormat="1" applyFont="1" applyFill="1" applyBorder="1"/>
    <xf numFmtId="3" fontId="55" fillId="29" borderId="10" xfId="0" applyNumberFormat="1" applyFont="1" applyFill="1" applyBorder="1"/>
    <xf numFmtId="3" fontId="55" fillId="29" borderId="9" xfId="0" applyNumberFormat="1" applyFont="1" applyFill="1" applyBorder="1"/>
    <xf numFmtId="3" fontId="55" fillId="29" borderId="71" xfId="0" applyNumberFormat="1" applyFont="1" applyFill="1" applyBorder="1"/>
    <xf numFmtId="3" fontId="55" fillId="29" borderId="24" xfId="0" applyNumberFormat="1" applyFont="1" applyFill="1" applyBorder="1"/>
    <xf numFmtId="3" fontId="0" fillId="29" borderId="10" xfId="0" applyNumberFormat="1" applyFill="1" applyBorder="1"/>
    <xf numFmtId="3" fontId="21" fillId="29" borderId="9" xfId="0" applyNumberFormat="1" applyFont="1" applyFill="1" applyBorder="1"/>
    <xf numFmtId="3" fontId="21" fillId="29" borderId="71" xfId="0" applyNumberFormat="1" applyFont="1" applyFill="1" applyBorder="1"/>
    <xf numFmtId="3" fontId="0" fillId="29" borderId="9" xfId="0" applyNumberFormat="1" applyFill="1" applyBorder="1"/>
    <xf numFmtId="3" fontId="0" fillId="29" borderId="24" xfId="0" applyNumberFormat="1" applyFill="1" applyBorder="1"/>
    <xf numFmtId="0" fontId="3" fillId="29" borderId="26" xfId="0" applyFont="1" applyFill="1" applyBorder="1"/>
    <xf numFmtId="174" fontId="0" fillId="29" borderId="0" xfId="0" applyNumberFormat="1" applyFill="1"/>
    <xf numFmtId="164" fontId="0" fillId="24" borderId="0" xfId="0" applyNumberFormat="1" applyFill="1"/>
    <xf numFmtId="164" fontId="0" fillId="2" borderId="0" xfId="48" applyNumberFormat="1" applyFont="1" applyFill="1"/>
    <xf numFmtId="174" fontId="0" fillId="29" borderId="8" xfId="48" applyNumberFormat="1" applyFont="1" applyFill="1" applyBorder="1"/>
    <xf numFmtId="174" fontId="0" fillId="29" borderId="0" xfId="48" applyNumberFormat="1" applyFont="1" applyFill="1"/>
    <xf numFmtId="176" fontId="0" fillId="29" borderId="8" xfId="48" applyNumberFormat="1" applyFont="1" applyFill="1" applyBorder="1"/>
    <xf numFmtId="176" fontId="0" fillId="29" borderId="0" xfId="48" applyNumberFormat="1" applyFont="1" applyFill="1"/>
    <xf numFmtId="176" fontId="44" fillId="29" borderId="5" xfId="48" applyNumberFormat="1" applyFont="1" applyFill="1" applyBorder="1"/>
    <xf numFmtId="176" fontId="44" fillId="29" borderId="6" xfId="48" applyNumberFormat="1" applyFont="1" applyFill="1" applyBorder="1"/>
    <xf numFmtId="0" fontId="3" fillId="29" borderId="26" xfId="0" applyFont="1" applyFill="1" applyBorder="1" applyAlignment="1">
      <alignment horizontal="right"/>
    </xf>
    <xf numFmtId="0" fontId="3" fillId="29" borderId="21" xfId="0" applyFont="1" applyFill="1" applyBorder="1" applyAlignment="1">
      <alignment horizontal="right"/>
    </xf>
    <xf numFmtId="0" fontId="3" fillId="29" borderId="53" xfId="0" applyFont="1" applyFill="1" applyBorder="1" applyAlignment="1">
      <alignment horizontal="right"/>
    </xf>
    <xf numFmtId="176" fontId="44" fillId="29" borderId="7" xfId="48" applyNumberFormat="1" applyFont="1" applyFill="1" applyBorder="1"/>
    <xf numFmtId="174" fontId="0" fillId="29" borderId="8" xfId="0" applyNumberFormat="1" applyFill="1" applyBorder="1"/>
    <xf numFmtId="17" fontId="3" fillId="2" borderId="0" xfId="0" applyNumberFormat="1" applyFont="1" applyFill="1" applyAlignment="1">
      <alignment horizontal="right"/>
    </xf>
    <xf numFmtId="17" fontId="3" fillId="2" borderId="6" xfId="0" applyNumberFormat="1" applyFont="1" applyFill="1" applyBorder="1"/>
    <xf numFmtId="17" fontId="3" fillId="2" borderId="5" xfId="0" applyNumberFormat="1" applyFont="1" applyFill="1" applyBorder="1"/>
    <xf numFmtId="17" fontId="3" fillId="2" borderId="7" xfId="0" applyNumberFormat="1" applyFont="1" applyFill="1" applyBorder="1"/>
    <xf numFmtId="17" fontId="3" fillId="2" borderId="0" xfId="0" applyNumberFormat="1" applyFont="1" applyFill="1" applyBorder="1" applyAlignment="1">
      <alignment horizontal="right"/>
    </xf>
    <xf numFmtId="4" fontId="0" fillId="24" borderId="8" xfId="0" applyNumberFormat="1" applyFill="1" applyBorder="1"/>
    <xf numFmtId="4" fontId="0" fillId="2" borderId="0" xfId="0" applyNumberFormat="1" applyFill="1" applyBorder="1"/>
    <xf numFmtId="4" fontId="0" fillId="2" borderId="54" xfId="0" applyNumberFormat="1" applyFill="1" applyBorder="1"/>
    <xf numFmtId="4" fontId="0" fillId="24" borderId="0" xfId="0" applyNumberFormat="1" applyFill="1"/>
    <xf numFmtId="4" fontId="0" fillId="24" borderId="0" xfId="0" applyNumberFormat="1" applyFill="1" applyBorder="1"/>
    <xf numFmtId="4" fontId="0" fillId="24" borderId="54" xfId="0" applyNumberFormat="1" applyFill="1" applyBorder="1"/>
    <xf numFmtId="4" fontId="44" fillId="2" borderId="0" xfId="0" applyNumberFormat="1" applyFont="1" applyFill="1" applyBorder="1"/>
    <xf numFmtId="4" fontId="44" fillId="2" borderId="54" xfId="0" applyNumberFormat="1" applyFont="1" applyFill="1" applyBorder="1"/>
    <xf numFmtId="4" fontId="44" fillId="2" borderId="8" xfId="0" applyNumberFormat="1" applyFont="1" applyFill="1" applyBorder="1"/>
    <xf numFmtId="4" fontId="0" fillId="24" borderId="10" xfId="0" applyNumberFormat="1" applyFill="1" applyBorder="1"/>
    <xf numFmtId="4" fontId="0" fillId="2" borderId="9" xfId="0" applyNumberFormat="1" applyFill="1" applyBorder="1"/>
    <xf numFmtId="4" fontId="0" fillId="2" borderId="24" xfId="0" applyNumberFormat="1" applyFill="1" applyBorder="1"/>
    <xf numFmtId="4" fontId="0" fillId="24" borderId="9" xfId="0" applyNumberFormat="1" applyFill="1" applyBorder="1"/>
    <xf numFmtId="4" fontId="0" fillId="2" borderId="8" xfId="0" applyNumberFormat="1" applyFill="1" applyBorder="1"/>
    <xf numFmtId="167" fontId="44" fillId="2" borderId="0" xfId="2" applyNumberFormat="1" applyFont="1" applyFill="1" applyBorder="1"/>
    <xf numFmtId="167" fontId="44" fillId="2" borderId="54" xfId="2" applyNumberFormat="1" applyFont="1" applyFill="1" applyBorder="1"/>
    <xf numFmtId="167" fontId="44" fillId="2" borderId="8" xfId="2" applyNumberFormat="1" applyFont="1" applyFill="1" applyBorder="1"/>
    <xf numFmtId="164" fontId="6" fillId="2" borderId="0" xfId="48" applyFont="1" applyFill="1"/>
    <xf numFmtId="164" fontId="6" fillId="2" borderId="8" xfId="48" applyFont="1" applyFill="1" applyBorder="1"/>
    <xf numFmtId="164" fontId="6" fillId="2" borderId="54" xfId="48" applyFont="1" applyFill="1" applyBorder="1"/>
    <xf numFmtId="4" fontId="3" fillId="2" borderId="5" xfId="0" applyNumberFormat="1" applyFont="1" applyFill="1" applyBorder="1"/>
    <xf numFmtId="4" fontId="3" fillId="2" borderId="6" xfId="0" applyNumberFormat="1" applyFont="1" applyFill="1" applyBorder="1"/>
    <xf numFmtId="4" fontId="3" fillId="2" borderId="7" xfId="0" applyNumberFormat="1" applyFont="1" applyFill="1" applyBorder="1"/>
    <xf numFmtId="4" fontId="3" fillId="24" borderId="6" xfId="0" applyNumberFormat="1" applyFont="1" applyFill="1" applyBorder="1"/>
    <xf numFmtId="0" fontId="58" fillId="2" borderId="0" xfId="0" applyFont="1" applyFill="1"/>
    <xf numFmtId="17" fontId="3" fillId="2" borderId="0" xfId="0" applyNumberFormat="1" applyFont="1" applyFill="1" applyBorder="1"/>
    <xf numFmtId="174" fontId="3" fillId="7" borderId="0" xfId="48" applyNumberFormat="1" applyFont="1" applyFill="1" applyBorder="1"/>
    <xf numFmtId="174" fontId="3" fillId="5" borderId="0" xfId="48" applyNumberFormat="1" applyFont="1" applyFill="1" applyBorder="1"/>
    <xf numFmtId="174" fontId="3" fillId="5" borderId="0" xfId="0" applyNumberFormat="1" applyFont="1" applyFill="1" applyBorder="1"/>
    <xf numFmtId="187" fontId="0" fillId="2" borderId="0" xfId="0" applyNumberFormat="1" applyFill="1"/>
    <xf numFmtId="0" fontId="0" fillId="2" borderId="15" xfId="0" applyFill="1" applyBorder="1"/>
    <xf numFmtId="0" fontId="0" fillId="2" borderId="25" xfId="0" applyFill="1" applyBorder="1"/>
    <xf numFmtId="0" fontId="0" fillId="2" borderId="19" xfId="0" applyFill="1" applyBorder="1"/>
    <xf numFmtId="0" fontId="35" fillId="2" borderId="46" xfId="0" applyFont="1" applyFill="1" applyBorder="1"/>
    <xf numFmtId="0" fontId="0" fillId="2" borderId="69" xfId="0" applyFill="1" applyBorder="1"/>
    <xf numFmtId="0" fontId="0" fillId="2" borderId="46" xfId="0" quotePrefix="1" applyFill="1" applyBorder="1"/>
    <xf numFmtId="0" fontId="1" fillId="2" borderId="46" xfId="0" applyFont="1" applyFill="1" applyBorder="1"/>
    <xf numFmtId="167" fontId="60" fillId="2" borderId="0" xfId="0" applyNumberFormat="1" applyFont="1" applyFill="1" applyBorder="1" applyAlignment="1">
      <alignment horizontal="center"/>
    </xf>
    <xf numFmtId="0" fontId="1" fillId="2" borderId="46" xfId="0" quotePrefix="1" applyFont="1" applyFill="1" applyBorder="1"/>
    <xf numFmtId="167" fontId="30" fillId="2" borderId="0" xfId="0" applyNumberFormat="1" applyFont="1" applyFill="1" applyBorder="1" applyAlignment="1">
      <alignment horizontal="center"/>
    </xf>
    <xf numFmtId="0" fontId="59" fillId="30" borderId="46" xfId="0" applyFont="1" applyFill="1" applyBorder="1"/>
    <xf numFmtId="0" fontId="3" fillId="18" borderId="46" xfId="0" quotePrefix="1" applyFont="1" applyFill="1" applyBorder="1"/>
    <xf numFmtId="0" fontId="3" fillId="2" borderId="46" xfId="0" applyFont="1" applyFill="1" applyBorder="1"/>
    <xf numFmtId="0" fontId="0" fillId="2" borderId="46" xfId="0" applyFill="1" applyBorder="1"/>
    <xf numFmtId="0" fontId="14" fillId="2" borderId="46" xfId="0" applyFont="1" applyFill="1" applyBorder="1"/>
    <xf numFmtId="0" fontId="38" fillId="5" borderId="46" xfId="0" applyFont="1" applyFill="1" applyBorder="1"/>
    <xf numFmtId="0" fontId="0" fillId="2" borderId="55" xfId="0" applyFill="1" applyBorder="1"/>
    <xf numFmtId="0" fontId="0" fillId="2" borderId="47" xfId="0" applyFill="1" applyBorder="1"/>
    <xf numFmtId="0" fontId="0" fillId="2" borderId="59" xfId="0" applyFill="1" applyBorder="1"/>
    <xf numFmtId="0" fontId="0" fillId="2" borderId="23" xfId="0" applyFill="1" applyBorder="1"/>
    <xf numFmtId="0" fontId="0" fillId="2" borderId="83" xfId="0" applyFill="1" applyBorder="1"/>
    <xf numFmtId="0" fontId="1" fillId="2" borderId="23" xfId="0" quotePrefix="1" applyFont="1" applyFill="1" applyBorder="1"/>
    <xf numFmtId="167" fontId="30" fillId="2" borderId="9" xfId="0" applyNumberFormat="1" applyFont="1" applyFill="1" applyBorder="1" applyAlignment="1">
      <alignment horizontal="center"/>
    </xf>
    <xf numFmtId="17" fontId="3" fillId="2" borderId="9" xfId="0" applyNumberFormat="1" applyFont="1" applyFill="1" applyBorder="1"/>
    <xf numFmtId="0" fontId="2" fillId="2" borderId="0" xfId="0" applyFont="1" applyFill="1" applyBorder="1"/>
    <xf numFmtId="174" fontId="38" fillId="2" borderId="0" xfId="0" applyNumberFormat="1" applyFont="1" applyFill="1"/>
    <xf numFmtId="174" fontId="38" fillId="2" borderId="9" xfId="0" applyNumberFormat="1" applyFont="1" applyFill="1" applyBorder="1"/>
    <xf numFmtId="0" fontId="0" fillId="2" borderId="21" xfId="0" applyFill="1" applyBorder="1"/>
    <xf numFmtId="0" fontId="0" fillId="2" borderId="0" xfId="0" applyFill="1" applyBorder="1" applyAlignment="1">
      <alignment horizontal="left"/>
    </xf>
    <xf numFmtId="164" fontId="0" fillId="2" borderId="0" xfId="0" applyNumberFormat="1" applyFill="1"/>
    <xf numFmtId="188" fontId="0" fillId="2" borderId="0" xfId="48" applyNumberFormat="1" applyFont="1" applyFill="1"/>
    <xf numFmtId="174" fontId="3" fillId="0" borderId="0" xfId="0" applyNumberFormat="1" applyFont="1"/>
    <xf numFmtId="3" fontId="0" fillId="31" borderId="0" xfId="0" applyNumberFormat="1" applyFill="1"/>
    <xf numFmtId="182" fontId="0" fillId="2" borderId="0" xfId="2" applyNumberFormat="1" applyFont="1" applyFill="1"/>
    <xf numFmtId="10" fontId="0" fillId="0" borderId="0" xfId="0" applyNumberFormat="1"/>
    <xf numFmtId="10" fontId="0" fillId="18" borderId="0" xfId="2" applyNumberFormat="1" applyFont="1" applyFill="1"/>
    <xf numFmtId="174" fontId="38" fillId="0" borderId="1" xfId="48" applyNumberFormat="1" applyFont="1" applyFill="1" applyBorder="1"/>
    <xf numFmtId="3" fontId="0" fillId="31" borderId="1" xfId="0" applyNumberFormat="1" applyFill="1" applyBorder="1"/>
    <xf numFmtId="166" fontId="0" fillId="0" borderId="1" xfId="0" applyNumberFormat="1" applyFill="1" applyBorder="1"/>
    <xf numFmtId="3" fontId="3" fillId="0" borderId="1" xfId="0" applyNumberFormat="1" applyFont="1" applyFill="1" applyBorder="1"/>
    <xf numFmtId="167" fontId="0" fillId="0" borderId="0" xfId="2" applyNumberFormat="1" applyFont="1" applyFill="1"/>
    <xf numFmtId="17" fontId="0" fillId="0" borderId="0" xfId="0" applyNumberFormat="1" applyFill="1"/>
    <xf numFmtId="0" fontId="0" fillId="0" borderId="0" xfId="0" applyFill="1" applyAlignment="1">
      <alignment horizontal="right"/>
    </xf>
    <xf numFmtId="174" fontId="0" fillId="0" borderId="0" xfId="48" applyNumberFormat="1" applyFont="1" applyFill="1"/>
    <xf numFmtId="174" fontId="0" fillId="0" borderId="8" xfId="48" applyNumberFormat="1" applyFont="1" applyFill="1" applyBorder="1"/>
    <xf numFmtId="174" fontId="0" fillId="0" borderId="0" xfId="0" applyNumberFormat="1" applyFill="1"/>
    <xf numFmtId="164" fontId="0" fillId="0" borderId="0" xfId="48" applyFont="1" applyFill="1"/>
    <xf numFmtId="164" fontId="0" fillId="0" borderId="8" xfId="48" applyFont="1" applyFill="1" applyBorder="1"/>
    <xf numFmtId="0" fontId="0" fillId="0" borderId="8" xfId="0" applyFill="1" applyBorder="1"/>
    <xf numFmtId="174" fontId="0" fillId="0" borderId="8" xfId="0" applyNumberFormat="1" applyFill="1" applyBorder="1"/>
    <xf numFmtId="17" fontId="0" fillId="0" borderId="0" xfId="0" applyNumberFormat="1" applyFill="1" applyAlignment="1">
      <alignment horizontal="center"/>
    </xf>
    <xf numFmtId="17" fontId="0" fillId="0" borderId="8" xfId="0" applyNumberFormat="1" applyFill="1" applyBorder="1" applyAlignment="1">
      <alignment horizontal="center"/>
    </xf>
    <xf numFmtId="0" fontId="0" fillId="0" borderId="0" xfId="0" applyFill="1" applyAlignment="1">
      <alignment horizontal="center"/>
    </xf>
    <xf numFmtId="174" fontId="0" fillId="0" borderId="0" xfId="48" applyNumberFormat="1" applyFont="1" applyFill="1" applyBorder="1"/>
    <xf numFmtId="174" fontId="0" fillId="0" borderId="9" xfId="48" applyNumberFormat="1" applyFont="1" applyFill="1" applyBorder="1"/>
    <xf numFmtId="174" fontId="0" fillId="0" borderId="10" xfId="48" applyNumberFormat="1" applyFont="1" applyFill="1" applyBorder="1"/>
    <xf numFmtId="174" fontId="3" fillId="0" borderId="0" xfId="0" applyNumberFormat="1" applyFont="1" applyFill="1"/>
    <xf numFmtId="164" fontId="0" fillId="0" borderId="0" xfId="0" applyNumberFormat="1" applyFill="1"/>
    <xf numFmtId="0" fontId="3" fillId="0" borderId="1" xfId="0" applyFont="1" applyFill="1" applyBorder="1"/>
    <xf numFmtId="0" fontId="3" fillId="0" borderId="1" xfId="0" applyFont="1" applyFill="1" applyBorder="1" applyAlignment="1">
      <alignment horizontal="center"/>
    </xf>
    <xf numFmtId="10" fontId="55" fillId="0" borderId="0" xfId="0" applyNumberFormat="1" applyFont="1" applyFill="1"/>
    <xf numFmtId="174" fontId="0" fillId="18" borderId="1" xfId="0" applyNumberFormat="1" applyFill="1" applyBorder="1"/>
    <xf numFmtId="17" fontId="3" fillId="31" borderId="6" xfId="0" applyNumberFormat="1" applyFont="1" applyFill="1" applyBorder="1" applyAlignment="1">
      <alignment horizontal="right"/>
    </xf>
    <xf numFmtId="17" fontId="3" fillId="31" borderId="6" xfId="0" applyNumberFormat="1" applyFont="1" applyFill="1" applyBorder="1"/>
    <xf numFmtId="174" fontId="3" fillId="18" borderId="6" xfId="0" applyNumberFormat="1" applyFont="1" applyFill="1" applyBorder="1"/>
    <xf numFmtId="0" fontId="42" fillId="0" borderId="0" xfId="0" applyFont="1" applyFill="1"/>
    <xf numFmtId="0" fontId="6" fillId="0" borderId="0" xfId="0" applyFont="1" applyFill="1"/>
    <xf numFmtId="174" fontId="55" fillId="0" borderId="0" xfId="48" applyNumberFormat="1" applyFont="1" applyFill="1" applyBorder="1"/>
    <xf numFmtId="176" fontId="55" fillId="0" borderId="0" xfId="48" applyNumberFormat="1" applyFont="1" applyFill="1" applyBorder="1"/>
    <xf numFmtId="169" fontId="0" fillId="31" borderId="1" xfId="0" applyNumberFormat="1" applyFill="1" applyBorder="1" applyAlignment="1"/>
    <xf numFmtId="10" fontId="0" fillId="31" borderId="1" xfId="2" applyNumberFormat="1" applyFont="1" applyFill="1" applyBorder="1"/>
    <xf numFmtId="17" fontId="0" fillId="31" borderId="1" xfId="0" applyNumberFormat="1" applyFill="1" applyBorder="1" applyAlignment="1">
      <alignment horizontal="center"/>
    </xf>
    <xf numFmtId="0" fontId="61" fillId="31" borderId="1" xfId="0" applyFont="1" applyFill="1" applyBorder="1" applyAlignment="1">
      <alignment horizontal="center"/>
    </xf>
    <xf numFmtId="10" fontId="0" fillId="31" borderId="1" xfId="0" applyNumberFormat="1" applyFill="1" applyBorder="1"/>
    <xf numFmtId="174" fontId="42" fillId="18" borderId="0" xfId="48" applyNumberFormat="1" applyFont="1" applyFill="1" applyBorder="1"/>
    <xf numFmtId="167" fontId="0" fillId="18" borderId="0" xfId="2" applyNumberFormat="1" applyFont="1" applyFill="1" applyBorder="1"/>
    <xf numFmtId="3" fontId="3" fillId="18" borderId="0" xfId="0" applyNumberFormat="1" applyFont="1" applyFill="1" applyBorder="1"/>
    <xf numFmtId="4" fontId="0" fillId="18" borderId="8" xfId="0" applyNumberFormat="1" applyFill="1" applyBorder="1"/>
    <xf numFmtId="4" fontId="0" fillId="18" borderId="0" xfId="0" applyNumberFormat="1" applyFill="1" applyBorder="1"/>
    <xf numFmtId="4" fontId="0" fillId="18" borderId="54" xfId="0" applyNumberFormat="1" applyFill="1" applyBorder="1"/>
    <xf numFmtId="4" fontId="0" fillId="18" borderId="0" xfId="0" applyNumberFormat="1" applyFill="1"/>
    <xf numFmtId="4" fontId="44" fillId="18" borderId="8" xfId="0" applyNumberFormat="1" applyFont="1" applyFill="1" applyBorder="1"/>
    <xf numFmtId="4" fontId="44" fillId="18" borderId="0" xfId="0" applyNumberFormat="1" applyFont="1" applyFill="1" applyBorder="1"/>
    <xf numFmtId="4" fontId="44" fillId="18" borderId="54" xfId="0" applyNumberFormat="1" applyFont="1" applyFill="1" applyBorder="1"/>
    <xf numFmtId="4" fontId="21" fillId="18" borderId="8" xfId="0" applyNumberFormat="1" applyFont="1" applyFill="1" applyBorder="1"/>
    <xf numFmtId="4" fontId="21" fillId="18" borderId="0" xfId="0" applyNumberFormat="1" applyFont="1" applyFill="1" applyBorder="1"/>
    <xf numFmtId="4" fontId="21" fillId="18" borderId="54" xfId="0" applyNumberFormat="1" applyFont="1" applyFill="1" applyBorder="1"/>
    <xf numFmtId="4" fontId="3" fillId="18" borderId="5" xfId="0" applyNumberFormat="1" applyFont="1" applyFill="1" applyBorder="1"/>
    <xf numFmtId="4" fontId="3" fillId="18" borderId="6" xfId="0" applyNumberFormat="1" applyFont="1" applyFill="1" applyBorder="1"/>
    <xf numFmtId="4" fontId="3" fillId="18" borderId="7" xfId="0" applyNumberFormat="1" applyFont="1" applyFill="1" applyBorder="1"/>
    <xf numFmtId="3" fontId="42" fillId="2" borderId="0" xfId="0" applyNumberFormat="1" applyFont="1" applyFill="1"/>
    <xf numFmtId="3" fontId="42" fillId="2" borderId="9" xfId="0" applyNumberFormat="1" applyFont="1" applyFill="1" applyBorder="1"/>
    <xf numFmtId="0" fontId="3" fillId="2" borderId="26" xfId="0" applyFont="1" applyFill="1" applyBorder="1"/>
    <xf numFmtId="3" fontId="0" fillId="2" borderId="21" xfId="0" applyNumberFormat="1" applyFill="1" applyBorder="1"/>
    <xf numFmtId="3" fontId="0" fillId="2" borderId="53" xfId="0" applyNumberFormat="1" applyFill="1" applyBorder="1"/>
    <xf numFmtId="3" fontId="0" fillId="2" borderId="54" xfId="0" applyNumberFormat="1" applyFill="1" applyBorder="1"/>
    <xf numFmtId="0" fontId="3" fillId="2" borderId="10" xfId="0" applyFont="1" applyFill="1" applyBorder="1"/>
    <xf numFmtId="0" fontId="20" fillId="2" borderId="9" xfId="0" applyFont="1" applyFill="1" applyBorder="1"/>
    <xf numFmtId="3" fontId="20" fillId="2" borderId="9" xfId="0" applyNumberFormat="1" applyFont="1" applyFill="1" applyBorder="1"/>
    <xf numFmtId="3" fontId="0" fillId="2" borderId="24" xfId="0" applyNumberFormat="1" applyFill="1" applyBorder="1"/>
    <xf numFmtId="0" fontId="0" fillId="18" borderId="0" xfId="0" applyFill="1" applyAlignment="1">
      <alignment horizont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0" fillId="2" borderId="0" xfId="0" applyFill="1" applyAlignment="1">
      <alignment wrapText="1"/>
    </xf>
    <xf numFmtId="0" fontId="34" fillId="28" borderId="0" xfId="0" applyFont="1" applyFill="1" applyAlignment="1">
      <alignment horizontal="center"/>
    </xf>
    <xf numFmtId="0" fontId="22" fillId="27" borderId="0" xfId="0" applyFont="1" applyFill="1" applyAlignment="1">
      <alignment horizontal="center"/>
    </xf>
    <xf numFmtId="0" fontId="46" fillId="26" borderId="0" xfId="0" applyFont="1" applyFill="1" applyAlignment="1">
      <alignment horizontal="center"/>
    </xf>
    <xf numFmtId="0" fontId="22" fillId="26" borderId="0" xfId="0" applyFont="1" applyFill="1" applyAlignment="1">
      <alignment horizontal="center"/>
    </xf>
    <xf numFmtId="0" fontId="22" fillId="25" borderId="0" xfId="0" applyFont="1" applyFill="1" applyAlignment="1">
      <alignment horizontal="center"/>
    </xf>
    <xf numFmtId="0" fontId="46" fillId="25" borderId="0" xfId="0" applyFont="1" applyFill="1" applyAlignment="1">
      <alignment horizontal="center"/>
    </xf>
    <xf numFmtId="0" fontId="38" fillId="21" borderId="5" xfId="0" applyFont="1" applyFill="1" applyBorder="1" applyAlignment="1">
      <alignment horizontal="center"/>
    </xf>
    <xf numFmtId="0" fontId="38" fillId="21" borderId="6" xfId="0" applyFont="1" applyFill="1" applyBorder="1" applyAlignment="1">
      <alignment horizontal="center"/>
    </xf>
    <xf numFmtId="0" fontId="38" fillId="21" borderId="7"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1" borderId="5" xfId="0" applyFont="1" applyFill="1" applyBorder="1" applyAlignment="1">
      <alignment horizontal="center"/>
    </xf>
    <xf numFmtId="0" fontId="3" fillId="21" borderId="6" xfId="0" applyFont="1" applyFill="1" applyBorder="1" applyAlignment="1">
      <alignment horizontal="center"/>
    </xf>
    <xf numFmtId="0" fontId="3" fillId="21" borderId="7" xfId="0" applyFont="1" applyFill="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0" fillId="12" borderId="5" xfId="0" applyFont="1" applyFill="1" applyBorder="1" applyAlignment="1" applyProtection="1">
      <alignment horizontal="center" vertical="center" wrapText="1"/>
    </xf>
    <xf numFmtId="0" fontId="30" fillId="12" borderId="6" xfId="0" applyFont="1" applyFill="1" applyBorder="1" applyAlignment="1" applyProtection="1">
      <alignment horizontal="center" vertical="center" wrapText="1"/>
    </xf>
    <xf numFmtId="0" fontId="30" fillId="12" borderId="7" xfId="0" applyFont="1" applyFill="1" applyBorder="1" applyAlignment="1" applyProtection="1">
      <alignment horizontal="center" vertical="center" wrapText="1"/>
    </xf>
    <xf numFmtId="0" fontId="37" fillId="12" borderId="17" xfId="0" applyFont="1" applyFill="1" applyBorder="1" applyAlignment="1" applyProtection="1">
      <alignment horizontal="center" vertical="center" wrapText="1"/>
    </xf>
    <xf numFmtId="0" fontId="37" fillId="12" borderId="18" xfId="0" applyFont="1" applyFill="1" applyBorder="1" applyAlignment="1" applyProtection="1">
      <alignment horizontal="center" vertical="center" wrapText="1"/>
    </xf>
    <xf numFmtId="0" fontId="37" fillId="12" borderId="42" xfId="0" applyFont="1" applyFill="1" applyBorder="1" applyAlignment="1" applyProtection="1">
      <alignment horizontal="center" vertical="center" wrapText="1"/>
    </xf>
    <xf numFmtId="0" fontId="0" fillId="2" borderId="9" xfId="0" applyFill="1" applyBorder="1" applyAlignment="1">
      <alignment horizontal="center"/>
    </xf>
    <xf numFmtId="0" fontId="33" fillId="11" borderId="17" xfId="0" applyFont="1" applyFill="1" applyBorder="1" applyAlignment="1">
      <alignment horizontal="right" vertical="center"/>
    </xf>
    <xf numFmtId="0" fontId="33" fillId="11" borderId="42" xfId="0" applyFont="1" applyFill="1" applyBorder="1" applyAlignment="1">
      <alignment horizontal="right" vertical="center"/>
    </xf>
    <xf numFmtId="0" fontId="29" fillId="2" borderId="15" xfId="0" applyFont="1" applyFill="1" applyBorder="1" applyAlignment="1">
      <alignment horizontal="left" vertical="center" wrapText="1"/>
    </xf>
    <xf numFmtId="0" fontId="29" fillId="2" borderId="16"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30" fillId="11" borderId="20" xfId="0" applyFont="1" applyFill="1" applyBorder="1" applyAlignment="1">
      <alignment horizontal="center" vertical="center" wrapText="1"/>
    </xf>
    <xf numFmtId="0" fontId="30" fillId="11" borderId="21" xfId="0" applyFont="1" applyFill="1" applyBorder="1" applyAlignment="1">
      <alignment horizontal="center" vertical="center" wrapText="1"/>
    </xf>
    <xf numFmtId="0" fontId="30" fillId="11" borderId="22" xfId="0" applyFont="1" applyFill="1" applyBorder="1" applyAlignment="1">
      <alignment horizontal="center" vertical="center" wrapText="1"/>
    </xf>
    <xf numFmtId="0" fontId="30" fillId="13" borderId="17" xfId="0" applyFont="1" applyFill="1" applyBorder="1" applyAlignment="1">
      <alignment horizontal="center" vertical="center" wrapText="1"/>
    </xf>
    <xf numFmtId="0" fontId="30" fillId="13" borderId="18" xfId="0" applyFont="1" applyFill="1" applyBorder="1" applyAlignment="1">
      <alignment horizontal="center" vertical="center" wrapText="1"/>
    </xf>
    <xf numFmtId="0" fontId="30" fillId="13" borderId="42" xfId="0" applyFont="1" applyFill="1" applyBorder="1" applyAlignment="1">
      <alignment horizontal="center" vertical="center" wrapText="1"/>
    </xf>
    <xf numFmtId="0" fontId="30" fillId="6" borderId="17" xfId="0" applyFont="1" applyFill="1" applyBorder="1" applyAlignment="1">
      <alignment horizontal="center" vertical="center" wrapText="1"/>
    </xf>
    <xf numFmtId="0" fontId="30" fillId="6" borderId="18" xfId="0" applyFont="1" applyFill="1" applyBorder="1" applyAlignment="1">
      <alignment horizontal="center" vertical="center" wrapText="1"/>
    </xf>
  </cellXfs>
  <cellStyles count="50">
    <cellStyle name="Comma" xfId="48" builtinId="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Hyperlink" xfId="1" builtinId="8"/>
    <cellStyle name="Normal" xfId="0" builtinId="0"/>
    <cellStyle name="Normal 88" xfId="3"/>
    <cellStyle name="Percent" xfId="2" builtinId="5"/>
    <cellStyle name="TableLvl3" xfId="49"/>
  </cellStyles>
  <dxfs count="0"/>
  <tableStyles count="0" defaultTableStyle="TableStyleMedium2" defaultPivotStyle="PivotStyleLight16"/>
  <colors>
    <mruColors>
      <color rgb="FF0000FF"/>
      <color rgb="FF00FF00"/>
      <color rgb="FF00FFFF"/>
      <color rgb="FFFFFFCC"/>
      <color rgb="FFFF00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sz="1200"/>
              <a:t>Standard Control Capitalised Overheads </a:t>
            </a:r>
            <a:r>
              <a:rPr lang="en-AU" sz="1200" baseline="0"/>
              <a:t>- $m, $Jun 2021</a:t>
            </a:r>
            <a:endParaRPr lang="en-AU" sz="1200"/>
          </a:p>
        </c:rich>
      </c:tx>
      <c:layout>
        <c:manualLayout>
          <c:xMode val="edge"/>
          <c:yMode val="edge"/>
          <c:x val="0.25755382849686265"/>
          <c:y val="4.4543696620233102E-2"/>
        </c:manualLayout>
      </c:layout>
      <c:overlay val="1"/>
    </c:title>
    <c:autoTitleDeleted val="0"/>
    <c:plotArea>
      <c:layout/>
      <c:barChart>
        <c:barDir val="col"/>
        <c:grouping val="clustered"/>
        <c:varyColors val="0"/>
        <c:ser>
          <c:idx val="0"/>
          <c:order val="0"/>
          <c:tx>
            <c:v>Actual / Forecast Overheads</c:v>
          </c:tx>
          <c:invertIfNegative val="0"/>
          <c:dPt>
            <c:idx val="0"/>
            <c:invertIfNegative val="0"/>
            <c:bubble3D val="0"/>
            <c:spPr>
              <a:solidFill>
                <a:schemeClr val="accent5">
                  <a:lumMod val="60000"/>
                  <a:lumOff val="40000"/>
                </a:schemeClr>
              </a:solidFill>
            </c:spPr>
            <c:extLst>
              <c:ext xmlns:c16="http://schemas.microsoft.com/office/drawing/2014/chart" uri="{C3380CC4-5D6E-409C-BE32-E72D297353CC}">
                <c16:uniqueId val="{00000001-3BD1-4647-ADA8-543413145A55}"/>
              </c:ext>
            </c:extLst>
          </c:dPt>
          <c:dPt>
            <c:idx val="1"/>
            <c:invertIfNegative val="0"/>
            <c:bubble3D val="0"/>
            <c:spPr>
              <a:solidFill>
                <a:schemeClr val="accent5">
                  <a:lumMod val="60000"/>
                  <a:lumOff val="40000"/>
                </a:schemeClr>
              </a:solidFill>
            </c:spPr>
            <c:extLst>
              <c:ext xmlns:c16="http://schemas.microsoft.com/office/drawing/2014/chart" uri="{C3380CC4-5D6E-409C-BE32-E72D297353CC}">
                <c16:uniqueId val="{00000003-3BD1-4647-ADA8-543413145A55}"/>
              </c:ext>
            </c:extLst>
          </c:dPt>
          <c:dPt>
            <c:idx val="2"/>
            <c:invertIfNegative val="0"/>
            <c:bubble3D val="0"/>
            <c:spPr>
              <a:solidFill>
                <a:schemeClr val="accent5">
                  <a:lumMod val="60000"/>
                  <a:lumOff val="40000"/>
                </a:schemeClr>
              </a:solidFill>
            </c:spPr>
            <c:extLst>
              <c:ext xmlns:c16="http://schemas.microsoft.com/office/drawing/2014/chart" uri="{C3380CC4-5D6E-409C-BE32-E72D297353CC}">
                <c16:uniqueId val="{00000005-3BD1-4647-ADA8-543413145A55}"/>
              </c:ext>
            </c:extLst>
          </c:dPt>
          <c:cat>
            <c:strRef>
              <c:f>AusNet_Overheads!$S$7:$AC$7</c:f>
              <c:strCache>
                <c:ptCount val="11"/>
                <c:pt idx="0">
                  <c:v>CY16</c:v>
                </c:pt>
                <c:pt idx="1">
                  <c:v>CY17</c:v>
                </c:pt>
                <c:pt idx="2">
                  <c:v>CY18</c:v>
                </c:pt>
                <c:pt idx="3">
                  <c:v>CY19</c:v>
                </c:pt>
                <c:pt idx="4">
                  <c:v>CY20</c:v>
                </c:pt>
                <c:pt idx="5">
                  <c:v>Stub</c:v>
                </c:pt>
                <c:pt idx="6">
                  <c:v>FY22</c:v>
                </c:pt>
                <c:pt idx="7">
                  <c:v>FY23</c:v>
                </c:pt>
                <c:pt idx="8">
                  <c:v>FY24</c:v>
                </c:pt>
                <c:pt idx="9">
                  <c:v>FY25</c:v>
                </c:pt>
                <c:pt idx="10">
                  <c:v>FY26</c:v>
                </c:pt>
              </c:strCache>
            </c:strRef>
          </c:cat>
          <c:val>
            <c:numRef>
              <c:f>AusNet_Overheads!$S$8:$AC$8</c:f>
              <c:numCache>
                <c:formatCode>_-* #,##0.0_-;\-* #,##0.0_-;_-* "-"??_-;_-@_-</c:formatCode>
                <c:ptCount val="11"/>
                <c:pt idx="0">
                  <c:v>33.985527441860462</c:v>
                </c:pt>
                <c:pt idx="1">
                  <c:v>37.639501997779334</c:v>
                </c:pt>
                <c:pt idx="2">
                  <c:v>35.473639728399533</c:v>
                </c:pt>
                <c:pt idx="3">
                  <c:v>32.479972928270094</c:v>
                </c:pt>
                <c:pt idx="4">
                  <c:v>30.492052880305369</c:v>
                </c:pt>
                <c:pt idx="5">
                  <c:v>14.977006262124803</c:v>
                </c:pt>
                <c:pt idx="6">
                  <c:v>28.510483834827529</c:v>
                </c:pt>
                <c:pt idx="7">
                  <c:v>28.700360242253918</c:v>
                </c:pt>
                <c:pt idx="8">
                  <c:v>28.678529787262324</c:v>
                </c:pt>
                <c:pt idx="9">
                  <c:v>28.635913618372669</c:v>
                </c:pt>
                <c:pt idx="10">
                  <c:v>28.59882906639864</c:v>
                </c:pt>
              </c:numCache>
            </c:numRef>
          </c:val>
          <c:extLst>
            <c:ext xmlns:c16="http://schemas.microsoft.com/office/drawing/2014/chart" uri="{C3380CC4-5D6E-409C-BE32-E72D297353CC}">
              <c16:uniqueId val="{00000006-3BD1-4647-ADA8-543413145A55}"/>
            </c:ext>
          </c:extLst>
        </c:ser>
        <c:dLbls>
          <c:showLegendKey val="0"/>
          <c:showVal val="0"/>
          <c:showCatName val="0"/>
          <c:showSerName val="0"/>
          <c:showPercent val="0"/>
          <c:showBubbleSize val="0"/>
        </c:dLbls>
        <c:gapWidth val="150"/>
        <c:axId val="498873088"/>
        <c:axId val="498875008"/>
      </c:barChart>
      <c:catAx>
        <c:axId val="498873088"/>
        <c:scaling>
          <c:orientation val="minMax"/>
        </c:scaling>
        <c:delete val="0"/>
        <c:axPos val="b"/>
        <c:numFmt formatCode="General" sourceLinked="0"/>
        <c:majorTickMark val="out"/>
        <c:minorTickMark val="none"/>
        <c:tickLblPos val="nextTo"/>
        <c:crossAx val="498875008"/>
        <c:crosses val="autoZero"/>
        <c:auto val="1"/>
        <c:lblAlgn val="ctr"/>
        <c:lblOffset val="100"/>
        <c:noMultiLvlLbl val="0"/>
      </c:catAx>
      <c:valAx>
        <c:axId val="498875008"/>
        <c:scaling>
          <c:orientation val="minMax"/>
        </c:scaling>
        <c:delete val="0"/>
        <c:axPos val="l"/>
        <c:majorGridlines/>
        <c:numFmt formatCode="_-* #,##0.0_-;\-* #,##0.0_-;_-* &quot;-&quot;??_-;_-@_-" sourceLinked="1"/>
        <c:majorTickMark val="out"/>
        <c:minorTickMark val="none"/>
        <c:tickLblPos val="nextTo"/>
        <c:crossAx val="49887308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1666875</xdr:colOff>
      <xdr:row>0</xdr:row>
      <xdr:rowOff>0</xdr:rowOff>
    </xdr:from>
    <xdr:to>
      <xdr:col>3</xdr:col>
      <xdr:colOff>2898374</xdr:colOff>
      <xdr:row>4</xdr:row>
      <xdr:rowOff>11120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2543175" y="0"/>
          <a:ext cx="1231499" cy="8169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89535</xdr:colOff>
      <xdr:row>34</xdr:row>
      <xdr:rowOff>47625</xdr:rowOff>
    </xdr:from>
    <xdr:to>
      <xdr:col>21</xdr:col>
      <xdr:colOff>546735</xdr:colOff>
      <xdr:row>40</xdr:row>
      <xdr:rowOff>152400</xdr:rowOff>
    </xdr:to>
    <xdr:sp macro="" textlink="">
      <xdr:nvSpPr>
        <xdr:cNvPr id="2" name="Right Brace 1">
          <a:extLst>
            <a:ext uri="{FF2B5EF4-FFF2-40B4-BE49-F238E27FC236}">
              <a16:creationId xmlns:a16="http://schemas.microsoft.com/office/drawing/2014/main" id="{00000000-0008-0000-0400-000002000000}"/>
            </a:ext>
          </a:extLst>
        </xdr:cNvPr>
        <xdr:cNvSpPr/>
      </xdr:nvSpPr>
      <xdr:spPr>
        <a:xfrm>
          <a:off x="11580495" y="5564505"/>
          <a:ext cx="457200" cy="1209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2089354</xdr:colOff>
      <xdr:row>9</xdr:row>
      <xdr:rowOff>139290</xdr:rowOff>
    </xdr:from>
    <xdr:to>
      <xdr:col>26</xdr:col>
      <xdr:colOff>393291</xdr:colOff>
      <xdr:row>27</xdr:row>
      <xdr:rowOff>12341</xdr:rowOff>
    </xdr:to>
    <xdr:graphicFrame macro="">
      <xdr:nvGraphicFramePr>
        <xdr:cNvPr id="9" name="Chart 8">
          <a:extLst>
            <a:ext uri="{FF2B5EF4-FFF2-40B4-BE49-F238E27FC236}">
              <a16:creationId xmlns:a16="http://schemas.microsoft.com/office/drawing/2014/main" id="{00000000-0008-0000-1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89647</xdr:colOff>
      <xdr:row>6</xdr:row>
      <xdr:rowOff>134471</xdr:rowOff>
    </xdr:from>
    <xdr:to>
      <xdr:col>18</xdr:col>
      <xdr:colOff>277906</xdr:colOff>
      <xdr:row>12</xdr:row>
      <xdr:rowOff>116541</xdr:rowOff>
    </xdr:to>
    <xdr:sp macro="" textlink="">
      <xdr:nvSpPr>
        <xdr:cNvPr id="2" name="TextBox 1">
          <a:extLst>
            <a:ext uri="{FF2B5EF4-FFF2-40B4-BE49-F238E27FC236}">
              <a16:creationId xmlns:a16="http://schemas.microsoft.com/office/drawing/2014/main" id="{CE8E1C1E-3F33-4314-98B8-543E0F916126}"/>
            </a:ext>
          </a:extLst>
        </xdr:cNvPr>
        <xdr:cNvSpPr txBox="1"/>
      </xdr:nvSpPr>
      <xdr:spPr>
        <a:xfrm>
          <a:off x="8319247" y="1264024"/>
          <a:ext cx="3845859" cy="1057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 our Tranche 3 (T3) forecasts for FY22 and FY23 are set to the direct capital</a:t>
          </a:r>
          <a:r>
            <a:rPr lang="en-AU" sz="1100" baseline="0"/>
            <a:t> expenditure </a:t>
          </a:r>
          <a:r>
            <a:rPr lang="en-AU" sz="1100"/>
            <a:t>allowances in the CPA3 AER final decision, escalated to real $Jun 2021.</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57150</xdr:colOff>
      <xdr:row>22</xdr:row>
      <xdr:rowOff>171451</xdr:rowOff>
    </xdr:from>
    <xdr:to>
      <xdr:col>8</xdr:col>
      <xdr:colOff>76200</xdr:colOff>
      <xdr:row>28</xdr:row>
      <xdr:rowOff>17931</xdr:rowOff>
    </xdr:to>
    <xdr:sp macro="" textlink="">
      <xdr:nvSpPr>
        <xdr:cNvPr id="2" name="TextBox 1">
          <a:extLst>
            <a:ext uri="{FF2B5EF4-FFF2-40B4-BE49-F238E27FC236}">
              <a16:creationId xmlns:a16="http://schemas.microsoft.com/office/drawing/2014/main" id="{00000000-0008-0000-2B00-000002000000}"/>
            </a:ext>
          </a:extLst>
        </xdr:cNvPr>
        <xdr:cNvSpPr txBox="1"/>
      </xdr:nvSpPr>
      <xdr:spPr>
        <a:xfrm>
          <a:off x="684679" y="4115922"/>
          <a:ext cx="7728697" cy="922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Note: -</a:t>
          </a:r>
          <a:endParaRPr lang="en-AU" sz="1100" b="1"/>
        </a:p>
        <a:p>
          <a:r>
            <a:rPr lang="en-AU" sz="1100"/>
            <a:t>The forecasts provided in</a:t>
          </a:r>
          <a:r>
            <a:rPr lang="en-AU" sz="1100" baseline="0"/>
            <a:t> the above tables reflects AusNet Services' </a:t>
          </a:r>
          <a:r>
            <a:rPr lang="en-AU" sz="1100" baseline="0">
              <a:solidFill>
                <a:schemeClr val="dk1"/>
              </a:solidFill>
              <a:effectLst/>
              <a:latin typeface="+mn-lt"/>
              <a:ea typeface="+mn-ea"/>
              <a:cs typeface="+mn-cs"/>
            </a:rPr>
            <a:t>approach used</a:t>
          </a:r>
          <a:r>
            <a:rPr lang="en-AU" sz="1100"/>
            <a:t> in preparing</a:t>
          </a:r>
          <a:r>
            <a:rPr lang="en-AU" sz="1100" baseline="0"/>
            <a:t> </a:t>
          </a:r>
          <a:r>
            <a:rPr lang="en-AU" sz="1100"/>
            <a:t>the annual reporting RIN -</a:t>
          </a:r>
          <a:r>
            <a:rPr lang="en-AU" sz="1100" baseline="0"/>
            <a:t> 2.11 Labour </a:t>
          </a:r>
          <a:r>
            <a:rPr lang="en-AU" sz="1100"/>
            <a:t>for capitalised labour costs</a:t>
          </a:r>
          <a:r>
            <a:rPr lang="en-AU" sz="1100" baseline="0"/>
            <a:t> (including direct and indirect labour).</a:t>
          </a:r>
          <a:endParaRPr lang="en-AU" sz="1100"/>
        </a:p>
        <a:p>
          <a:endParaRPr lang="en-AU" sz="1100"/>
        </a:p>
        <a:p>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Reset%20RIN\Final%20RIN%20update%20Jan%202015\Victorian%20DNSP%202016-20%20-%20Reset%20RIN%20templates%20-%20January%20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1.0 Business &amp; other details"/>
      <sheetName val="2.1 Expenditure summary"/>
      <sheetName val="2.2 Repex"/>
      <sheetName val="2.3 Augex"/>
      <sheetName val="2.4 Augex model"/>
      <sheetName val="2.5 Connections"/>
      <sheetName val="2.6 Non-network"/>
      <sheetName val="2.10 Overheads"/>
      <sheetName val="2.11 Labour"/>
      <sheetName val="2.12 Input tables"/>
      <sheetName val="2.13 Provision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6.4 Historical MEDs"/>
      <sheetName val="7.1  Policies and Procedures"/>
      <sheetName val="7.2 Contingent projects"/>
      <sheetName val="7.3 Obligations"/>
      <sheetName val="7.4 Shared Assets"/>
      <sheetName val="7.5 EBSS"/>
      <sheetName val="7.6 Indicative bill impact"/>
      <sheetName val="Unprotected Worksheet"/>
    </sheetNames>
    <sheetDataSet>
      <sheetData sheetId="0"/>
      <sheetData sheetId="1"/>
      <sheetData sheetId="2">
        <row r="35">
          <cell r="C35" t="str">
            <v>2016</v>
          </cell>
          <cell r="D35" t="str">
            <v>2017</v>
          </cell>
          <cell r="E35" t="str">
            <v>2018</v>
          </cell>
          <cell r="F35" t="str">
            <v>2019</v>
          </cell>
          <cell r="G35" t="str">
            <v>2020</v>
          </cell>
        </row>
        <row r="38">
          <cell r="G38" t="str">
            <v>2015</v>
          </cell>
        </row>
        <row r="55">
          <cell r="C55" t="str">
            <v>December 2015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0.bin"/><Relationship Id="rId4" Type="http://schemas.openxmlformats.org/officeDocument/2006/relationships/comments" Target="../comments4.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2:J23"/>
  <sheetViews>
    <sheetView zoomScale="90" zoomScaleNormal="90" workbookViewId="0">
      <selection activeCell="D25" sqref="D25"/>
    </sheetView>
  </sheetViews>
  <sheetFormatPr defaultRowHeight="15" x14ac:dyDescent="0.25"/>
  <cols>
    <col min="1" max="1" width="32.42578125" customWidth="1"/>
    <col min="2" max="2" width="32" customWidth="1"/>
  </cols>
  <sheetData>
    <row r="2" spans="1:10" x14ac:dyDescent="0.25">
      <c r="A2" s="650" t="s">
        <v>143</v>
      </c>
    </row>
    <row r="3" spans="1:10" x14ac:dyDescent="0.25">
      <c r="A3" s="650"/>
    </row>
    <row r="4" spans="1:10" x14ac:dyDescent="0.25">
      <c r="A4" s="622" t="s">
        <v>779</v>
      </c>
      <c r="B4" s="620" t="s">
        <v>24</v>
      </c>
    </row>
    <row r="5" spans="1:10" x14ac:dyDescent="0.25">
      <c r="A5" s="463"/>
      <c r="B5" s="643"/>
    </row>
    <row r="6" spans="1:10" x14ac:dyDescent="0.25">
      <c r="A6" s="650"/>
      <c r="B6" s="790" t="s">
        <v>772</v>
      </c>
    </row>
    <row r="7" spans="1:10" x14ac:dyDescent="0.25">
      <c r="B7" s="463" t="s">
        <v>773</v>
      </c>
      <c r="E7" s="627">
        <f>Escalators!P6</f>
        <v>43983</v>
      </c>
      <c r="F7" s="649">
        <f>Escalators!Q6</f>
        <v>44348</v>
      </c>
      <c r="G7" s="649">
        <f>Escalators!R6</f>
        <v>44713</v>
      </c>
      <c r="H7" s="649">
        <f>Escalators!S6</f>
        <v>45078</v>
      </c>
      <c r="I7" s="649">
        <f>Escalators!T6</f>
        <v>45444</v>
      </c>
      <c r="J7" s="649">
        <f>Escalators!U6</f>
        <v>45809</v>
      </c>
    </row>
    <row r="8" spans="1:10" x14ac:dyDescent="0.25">
      <c r="B8" s="463" t="str">
        <f>Escalators!C8</f>
        <v>Applies to year</v>
      </c>
      <c r="E8" s="622" t="str">
        <f>Escalators!P8</f>
        <v>Jan21-Jun21</v>
      </c>
      <c r="F8" s="622" t="str">
        <f>Escalators!Q8</f>
        <v>2021/22</v>
      </c>
      <c r="G8" s="622" t="str">
        <f>Escalators!R8</f>
        <v>2022/23</v>
      </c>
      <c r="H8" s="622" t="str">
        <f>Escalators!S8</f>
        <v>2023/24</v>
      </c>
      <c r="I8" s="622" t="str">
        <f>Escalators!T8</f>
        <v>2024/25</v>
      </c>
      <c r="J8" s="622" t="str">
        <f>Escalators!U8</f>
        <v>2025/26</v>
      </c>
    </row>
    <row r="9" spans="1:10" x14ac:dyDescent="0.25">
      <c r="A9" s="463" t="s">
        <v>774</v>
      </c>
      <c r="B9" t="str">
        <f>Escalators!C12</f>
        <v>CPI movement - 8 Capital Cities</v>
      </c>
      <c r="E9" s="785">
        <f>Escalators!P12</f>
        <v>1.2195121951219523E-2</v>
      </c>
      <c r="F9" s="785">
        <f>Escalators!Q12</f>
        <v>2.3743086789108414E-2</v>
      </c>
      <c r="G9" s="785">
        <f>Escalators!R12</f>
        <v>2.3743086789108414E-2</v>
      </c>
      <c r="H9" s="785">
        <f>Escalators!S12</f>
        <v>2.3743086789108414E-2</v>
      </c>
      <c r="I9" s="785">
        <f>Escalators!T12</f>
        <v>2.3743086789108414E-2</v>
      </c>
      <c r="J9" s="785">
        <f>Escalators!U12</f>
        <v>2.3743086789108414E-2</v>
      </c>
    </row>
    <row r="10" spans="1:10" x14ac:dyDescent="0.25">
      <c r="A10" s="463"/>
    </row>
    <row r="11" spans="1:10" x14ac:dyDescent="0.25">
      <c r="A11" s="463"/>
    </row>
    <row r="12" spans="1:10" x14ac:dyDescent="0.25">
      <c r="A12" s="463"/>
      <c r="B12" s="790" t="str">
        <f>Escalators!B23</f>
        <v>Labour Escalation</v>
      </c>
      <c r="C12" s="627">
        <f>Escalators!N25</f>
        <v>43800</v>
      </c>
      <c r="D12" s="627">
        <f>Escalators!O25</f>
        <v>44166</v>
      </c>
      <c r="E12" s="627">
        <f>Escalators!P25</f>
        <v>44377</v>
      </c>
      <c r="F12" s="627">
        <f>Escalators!Q25</f>
        <v>44742</v>
      </c>
      <c r="G12" s="627">
        <f>Escalators!R25</f>
        <v>45107</v>
      </c>
      <c r="H12" s="627">
        <f>Escalators!S25</f>
        <v>45473</v>
      </c>
      <c r="I12" s="627">
        <f>Escalators!T25</f>
        <v>45838</v>
      </c>
      <c r="J12" s="627">
        <f>Escalators!U25</f>
        <v>46203</v>
      </c>
    </row>
    <row r="13" spans="1:10" x14ac:dyDescent="0.25">
      <c r="A13" s="463" t="s">
        <v>775</v>
      </c>
      <c r="B13" t="str">
        <f>Escalators!C26</f>
        <v>Internal labour real rate</v>
      </c>
      <c r="C13" s="785">
        <f>Escalators!N26</f>
        <v>1.3390814877839108E-2</v>
      </c>
      <c r="D13" s="785">
        <f>Escalators!O26</f>
        <v>4.4984499524759469E-3</v>
      </c>
      <c r="E13" s="785">
        <f>Escalators!P26</f>
        <v>-2.274180412665916E-3</v>
      </c>
      <c r="F13" s="785">
        <f>Escalators!Q26</f>
        <v>2.3867759115823129E-3</v>
      </c>
      <c r="G13" s="785">
        <f>Escalators!R26</f>
        <v>-2.4977364300287118E-3</v>
      </c>
      <c r="H13" s="785">
        <f>Escalators!S26</f>
        <v>-7.2630656307249187E-4</v>
      </c>
      <c r="I13" s="785">
        <f>Escalators!T26</f>
        <v>3.67274824937613E-3</v>
      </c>
      <c r="J13" s="785">
        <f>Escalators!U26</f>
        <v>9.965933609387018E-3</v>
      </c>
    </row>
    <row r="14" spans="1:10" x14ac:dyDescent="0.25">
      <c r="A14" s="463" t="s">
        <v>776</v>
      </c>
      <c r="B14" t="str">
        <f>Escalators!C29</f>
        <v>External labour real rate</v>
      </c>
      <c r="C14" s="785">
        <f>Escalators!N29</f>
        <v>0</v>
      </c>
      <c r="D14" s="785">
        <f>Escalators!O29</f>
        <v>0</v>
      </c>
      <c r="E14" s="785">
        <f>Escalators!P29</f>
        <v>0</v>
      </c>
      <c r="F14" s="785">
        <f>Escalators!Q29</f>
        <v>0</v>
      </c>
      <c r="G14" s="785">
        <f>Escalators!R29</f>
        <v>0</v>
      </c>
      <c r="H14" s="785">
        <f>Escalators!S29</f>
        <v>0</v>
      </c>
      <c r="I14" s="785">
        <f>Escalators!T29</f>
        <v>0</v>
      </c>
      <c r="J14" s="785">
        <f>Escalators!U29</f>
        <v>0</v>
      </c>
    </row>
    <row r="15" spans="1:10" x14ac:dyDescent="0.25">
      <c r="A15" s="463"/>
    </row>
    <row r="16" spans="1:10" x14ac:dyDescent="0.25">
      <c r="A16" s="463"/>
    </row>
    <row r="17" spans="1:10" x14ac:dyDescent="0.25">
      <c r="A17" s="558"/>
      <c r="B17" s="653" t="str">
        <f>Downer_Contract!B1</f>
        <v>Downer Electricity Contract - Support Costs forecast</v>
      </c>
      <c r="C17" s="627">
        <f>Downer_Contract!L2</f>
        <v>43800</v>
      </c>
      <c r="D17" s="627">
        <f>Downer_Contract!M2</f>
        <v>44166</v>
      </c>
      <c r="E17" s="627">
        <f>Downer_Contract!N2</f>
        <v>44377</v>
      </c>
      <c r="F17" s="627">
        <f>Downer_Contract!O2</f>
        <v>44742</v>
      </c>
      <c r="G17" s="627">
        <f>Downer_Contract!P2</f>
        <v>45107</v>
      </c>
      <c r="H17" s="627">
        <f>Downer_Contract!Q2</f>
        <v>45473</v>
      </c>
      <c r="I17" s="627">
        <f>Downer_Contract!R2</f>
        <v>45838</v>
      </c>
      <c r="J17" s="627">
        <f>Downer_Contract!S2</f>
        <v>46203</v>
      </c>
    </row>
    <row r="18" spans="1:10" x14ac:dyDescent="0.25">
      <c r="A18" s="654" t="s">
        <v>778</v>
      </c>
      <c r="B18" t="str">
        <f>Downer_Contract!K3</f>
        <v>Downer Contract inflation</v>
      </c>
      <c r="C18" s="648"/>
      <c r="D18" s="648"/>
      <c r="E18" s="648"/>
      <c r="F18" s="648"/>
      <c r="G18" s="648"/>
      <c r="H18" s="648"/>
      <c r="I18" s="648"/>
      <c r="J18" s="648"/>
    </row>
    <row r="19" spans="1:10" x14ac:dyDescent="0.25">
      <c r="A19" s="654" t="s">
        <v>777</v>
      </c>
      <c r="B19" t="str">
        <f>Downer_Contract!K4</f>
        <v>CPI - $2018 to nominal</v>
      </c>
      <c r="C19" s="578"/>
      <c r="D19" s="578"/>
    </row>
    <row r="23" spans="1:10" x14ac:dyDescent="0.25">
      <c r="C23" s="759"/>
      <c r="D23" s="759"/>
      <c r="E23" s="759"/>
      <c r="F23" s="759"/>
      <c r="G23" s="759"/>
      <c r="H23" s="759"/>
      <c r="I23" s="759"/>
      <c r="J23" s="75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58"/>
  <sheetViews>
    <sheetView topLeftCell="B1" zoomScale="90" zoomScaleNormal="90" workbookViewId="0">
      <selection activeCell="G29" sqref="G29"/>
    </sheetView>
  </sheetViews>
  <sheetFormatPr defaultRowHeight="15" x14ac:dyDescent="0.25"/>
  <cols>
    <col min="1" max="1" width="33.7109375" customWidth="1"/>
    <col min="2" max="2" width="36.85546875" customWidth="1"/>
    <col min="3" max="3" width="28.5703125" customWidth="1"/>
    <col min="4" max="8" width="10.7109375" customWidth="1"/>
    <col min="9" max="9" width="9.5703125" customWidth="1"/>
    <col min="10" max="10" width="10.140625" customWidth="1"/>
    <col min="11" max="11" width="10.85546875" customWidth="1"/>
    <col min="12" max="12" width="13.5703125" customWidth="1"/>
    <col min="13" max="17" width="10.42578125" customWidth="1"/>
  </cols>
  <sheetData>
    <row r="1" spans="1:17" x14ac:dyDescent="0.25">
      <c r="G1" s="463" t="s">
        <v>801</v>
      </c>
    </row>
    <row r="2" spans="1:17" x14ac:dyDescent="0.25">
      <c r="A2" s="621" t="s">
        <v>771</v>
      </c>
      <c r="G2">
        <v>0.57936616715399603</v>
      </c>
    </row>
    <row r="4" spans="1:17" x14ac:dyDescent="0.25">
      <c r="A4" s="622" t="s">
        <v>780</v>
      </c>
      <c r="B4" s="620" t="s">
        <v>76</v>
      </c>
      <c r="C4" s="620" t="s">
        <v>24</v>
      </c>
    </row>
    <row r="5" spans="1:17" x14ac:dyDescent="0.25">
      <c r="A5" s="463"/>
      <c r="B5" s="643"/>
      <c r="C5" s="261"/>
      <c r="D5" s="644"/>
      <c r="E5" s="644"/>
      <c r="G5" s="644"/>
      <c r="H5" s="644"/>
      <c r="I5" s="644"/>
      <c r="J5" s="644"/>
      <c r="K5" s="644"/>
    </row>
    <row r="6" spans="1:17" x14ac:dyDescent="0.25">
      <c r="B6" s="621" t="str">
        <f>Downer_Contract!U7</f>
        <v>Downer Cost Allocation ($2018) - Customer Portion Only</v>
      </c>
      <c r="C6" s="519"/>
      <c r="D6" s="645">
        <f>Downer_Contract!U9</f>
        <v>43800</v>
      </c>
      <c r="E6" s="645">
        <f>Downer_Contract!V9</f>
        <v>44166</v>
      </c>
      <c r="F6" s="645">
        <f>Downer_Contract!W9</f>
        <v>44377</v>
      </c>
      <c r="G6" s="787">
        <f>Downer_Contract!X9</f>
        <v>44742</v>
      </c>
      <c r="H6" s="645">
        <f>Downer_Contract!Y9</f>
        <v>45107</v>
      </c>
      <c r="I6" s="645">
        <f>Downer_Contract!Z9</f>
        <v>45473</v>
      </c>
      <c r="J6" s="645">
        <f>Downer_Contract!AA9</f>
        <v>45838</v>
      </c>
      <c r="K6" s="645">
        <f>Downer_Contract!AB9</f>
        <v>46203</v>
      </c>
    </row>
    <row r="7" spans="1:17" x14ac:dyDescent="0.25">
      <c r="A7" s="463" t="s">
        <v>764</v>
      </c>
      <c r="B7" s="463" t="str">
        <f>B21</f>
        <v>Subtransmission</v>
      </c>
      <c r="C7" t="s">
        <v>810</v>
      </c>
      <c r="D7" s="619"/>
      <c r="E7" s="619"/>
      <c r="F7" s="619"/>
      <c r="G7" s="619"/>
      <c r="H7" s="619"/>
      <c r="I7" s="619"/>
      <c r="J7" s="619"/>
      <c r="K7" s="619"/>
    </row>
    <row r="8" spans="1:17" x14ac:dyDescent="0.25">
      <c r="B8" s="463" t="str">
        <f>B22</f>
        <v>Distribution system assets</v>
      </c>
      <c r="D8" s="537"/>
      <c r="E8" s="537"/>
      <c r="F8" s="537"/>
      <c r="G8" s="241"/>
      <c r="H8" s="537"/>
      <c r="I8" s="537"/>
      <c r="J8" s="537"/>
      <c r="K8" s="537"/>
    </row>
    <row r="9" spans="1:17" x14ac:dyDescent="0.25">
      <c r="A9" s="463" t="s">
        <v>763</v>
      </c>
      <c r="B9" s="463" t="s">
        <v>146</v>
      </c>
      <c r="D9" s="619"/>
      <c r="E9" s="241"/>
      <c r="F9" s="241"/>
      <c r="G9" s="241"/>
      <c r="H9" s="241"/>
      <c r="I9" s="241"/>
      <c r="J9" s="241"/>
      <c r="K9" s="241"/>
    </row>
    <row r="10" spans="1:17" x14ac:dyDescent="0.25">
      <c r="A10" s="463"/>
      <c r="B10" s="643"/>
      <c r="C10" s="261"/>
      <c r="D10" s="756"/>
      <c r="E10" s="644"/>
      <c r="G10" s="786"/>
      <c r="H10" s="644"/>
      <c r="I10" s="644"/>
      <c r="J10" s="644"/>
      <c r="K10" s="644"/>
    </row>
    <row r="11" spans="1:17" x14ac:dyDescent="0.25">
      <c r="A11" s="463"/>
      <c r="B11" s="643"/>
      <c r="C11" s="261"/>
      <c r="D11" s="756"/>
      <c r="E11" s="644"/>
      <c r="G11" s="644"/>
      <c r="H11" s="644"/>
      <c r="I11" s="644"/>
      <c r="J11" s="644"/>
      <c r="K11" s="644"/>
    </row>
    <row r="12" spans="1:17" x14ac:dyDescent="0.25">
      <c r="A12" s="463"/>
      <c r="B12" s="643"/>
      <c r="C12" s="261"/>
      <c r="D12" s="644"/>
      <c r="E12" s="644"/>
      <c r="G12" s="463" t="str">
        <f>Base_Forecast!C4</f>
        <v>P50 Direct Expenditure Forecast ($2018) - excluding Downer Contracts</v>
      </c>
      <c r="H12" s="463"/>
      <c r="I12" s="463"/>
      <c r="J12" s="463"/>
      <c r="K12" s="463"/>
      <c r="M12" s="463" t="str">
        <f>Base_Forecast!O4</f>
        <v>P50 Direct Expenditure Forecast ($2018) - excluding Downer Contracts</v>
      </c>
    </row>
    <row r="13" spans="1:17" x14ac:dyDescent="0.25">
      <c r="A13" s="463"/>
      <c r="C13" s="124"/>
      <c r="D13" s="644"/>
      <c r="E13" s="644"/>
      <c r="G13" s="463" t="str">
        <f>Base_Forecast!C5</f>
        <v>(Excluding escalators)</v>
      </c>
      <c r="M13" s="638" t="str">
        <f>Base_Forecast!O5</f>
        <v>(Including real cost escalators)</v>
      </c>
    </row>
    <row r="14" spans="1:17" x14ac:dyDescent="0.25">
      <c r="A14" s="463"/>
      <c r="B14" s="621" t="str">
        <f>Base_Forecast!D13</f>
        <v>Contributions</v>
      </c>
      <c r="C14" s="124"/>
      <c r="D14" s="644"/>
      <c r="E14" s="644"/>
      <c r="G14" s="787">
        <f>Base_Forecast!H5</f>
        <v>44742</v>
      </c>
      <c r="H14" s="645">
        <f>Base_Forecast!I5</f>
        <v>45107</v>
      </c>
      <c r="I14" s="645">
        <f>Base_Forecast!J5</f>
        <v>45473</v>
      </c>
      <c r="J14" s="645">
        <f>Base_Forecast!K5</f>
        <v>45838</v>
      </c>
      <c r="K14" s="645">
        <f>Base_Forecast!L5</f>
        <v>46203</v>
      </c>
      <c r="M14" s="787">
        <f>Base_Forecast!T5</f>
        <v>44742</v>
      </c>
      <c r="N14" s="645">
        <f>Base_Forecast!U5</f>
        <v>45107</v>
      </c>
      <c r="O14" s="645">
        <f>Base_Forecast!V5</f>
        <v>45473</v>
      </c>
      <c r="P14" s="645">
        <f>Base_Forecast!W5</f>
        <v>45838</v>
      </c>
      <c r="Q14" s="645">
        <f>Base_Forecast!X5</f>
        <v>46203</v>
      </c>
    </row>
    <row r="15" spans="1:17" x14ac:dyDescent="0.25">
      <c r="A15" s="463" t="s">
        <v>769</v>
      </c>
      <c r="B15" s="646" t="str">
        <f>Base_Forecast!D13</f>
        <v>Contributions</v>
      </c>
      <c r="C15" s="124"/>
      <c r="D15" s="644"/>
      <c r="E15" s="644"/>
      <c r="G15" s="647"/>
      <c r="H15" s="647"/>
      <c r="I15" s="647"/>
      <c r="J15" s="647"/>
      <c r="K15" s="647"/>
      <c r="M15" s="633"/>
      <c r="N15" s="633"/>
      <c r="O15" s="633"/>
      <c r="P15" s="633"/>
      <c r="Q15" s="633"/>
    </row>
    <row r="16" spans="1:17" x14ac:dyDescent="0.25">
      <c r="G16" s="539"/>
      <c r="M16" s="539"/>
    </row>
    <row r="18" spans="1:17" x14ac:dyDescent="0.25">
      <c r="A18" s="463"/>
      <c r="B18" s="643"/>
      <c r="C18" s="261"/>
      <c r="G18" s="463" t="str">
        <f>Reg_Forecast!M2</f>
        <v>(before Downer support cost allocation)</v>
      </c>
      <c r="M18" s="463" t="str">
        <f>Reg_Forecast!D2</f>
        <v>(before Downer support cost allocation)</v>
      </c>
      <c r="N18" s="463"/>
      <c r="O18" s="463"/>
      <c r="P18" s="463"/>
      <c r="Q18" s="463"/>
    </row>
    <row r="19" spans="1:17" x14ac:dyDescent="0.25">
      <c r="A19" s="463"/>
      <c r="B19" s="643"/>
      <c r="C19" s="261"/>
      <c r="G19" s="463" t="str">
        <f>Reg_Forecast!M3</f>
        <v>P50 Direct Expenditure excluding Labour escalation, $2018</v>
      </c>
      <c r="M19" s="463" t="str">
        <f>Reg_Forecast!D3</f>
        <v>P50 Direct Expenditure including Labour escalation, $2018</v>
      </c>
    </row>
    <row r="20" spans="1:17" x14ac:dyDescent="0.25">
      <c r="A20" s="463"/>
      <c r="B20" s="621" t="str">
        <f>Reg_Forecast!C8</f>
        <v>Connections</v>
      </c>
      <c r="C20" s="261"/>
      <c r="G20" s="788">
        <f>Reg_Forecast!Q4</f>
        <v>44742</v>
      </c>
      <c r="H20" s="627">
        <f>Reg_Forecast!R4</f>
        <v>45107</v>
      </c>
      <c r="I20" s="627">
        <f>Reg_Forecast!S4</f>
        <v>45473</v>
      </c>
      <c r="J20" s="627">
        <f>Reg_Forecast!T4</f>
        <v>45838</v>
      </c>
      <c r="K20" s="627">
        <f>Reg_Forecast!U4</f>
        <v>46203</v>
      </c>
      <c r="M20" s="788">
        <f>Reg_Forecast!G4</f>
        <v>44742</v>
      </c>
      <c r="N20" s="627">
        <f>Reg_Forecast!H4</f>
        <v>45107</v>
      </c>
      <c r="O20" s="627">
        <f>Reg_Forecast!I4</f>
        <v>45473</v>
      </c>
      <c r="P20" s="627">
        <f>Reg_Forecast!J4</f>
        <v>45838</v>
      </c>
      <c r="Q20" s="627">
        <f>Reg_Forecast!K4</f>
        <v>46203</v>
      </c>
    </row>
    <row r="21" spans="1:17" x14ac:dyDescent="0.25">
      <c r="A21" s="463" t="s">
        <v>761</v>
      </c>
      <c r="B21" s="463" t="str">
        <f>Reg_Forecast!B5</f>
        <v>Subtransmission</v>
      </c>
      <c r="C21" t="s">
        <v>810</v>
      </c>
      <c r="G21" s="619"/>
      <c r="H21" s="619"/>
      <c r="I21" s="619"/>
      <c r="J21" s="619"/>
      <c r="K21" s="619"/>
      <c r="M21" s="619"/>
      <c r="N21" s="619"/>
      <c r="O21" s="619"/>
      <c r="P21" s="619"/>
      <c r="Q21" s="619"/>
    </row>
    <row r="22" spans="1:17" x14ac:dyDescent="0.25">
      <c r="A22" s="463" t="s">
        <v>762</v>
      </c>
      <c r="B22" s="463" t="str">
        <f>Reg_Forecast!B10</f>
        <v>Distribution system assets</v>
      </c>
      <c r="G22" s="619"/>
      <c r="H22" s="619"/>
      <c r="I22" s="619"/>
      <c r="J22" s="619"/>
      <c r="K22" s="619"/>
      <c r="M22" s="619"/>
      <c r="N22" s="619"/>
      <c r="O22" s="619"/>
      <c r="P22" s="619"/>
      <c r="Q22" s="619"/>
    </row>
    <row r="23" spans="1:17" x14ac:dyDescent="0.25">
      <c r="B23" s="463" t="s">
        <v>146</v>
      </c>
      <c r="G23" s="789"/>
      <c r="H23" s="789"/>
      <c r="I23" s="789"/>
      <c r="J23" s="789"/>
      <c r="K23" s="789"/>
      <c r="M23" s="789"/>
      <c r="N23" s="789"/>
      <c r="O23" s="789"/>
      <c r="P23" s="789"/>
      <c r="Q23" s="789"/>
    </row>
    <row r="24" spans="1:17" x14ac:dyDescent="0.25">
      <c r="G24" s="539"/>
      <c r="M24" s="539"/>
    </row>
    <row r="25" spans="1:17" x14ac:dyDescent="0.25">
      <c r="G25" s="539"/>
      <c r="M25" s="539"/>
    </row>
    <row r="26" spans="1:17" x14ac:dyDescent="0.25">
      <c r="D26" s="463" t="str">
        <f>AusNet_Overheads!B40</f>
        <v>Direct cost composition - New Connections ($2018)</v>
      </c>
    </row>
    <row r="27" spans="1:17" x14ac:dyDescent="0.25">
      <c r="B27" s="621" t="str">
        <f>AusNet_Overheads!B39</f>
        <v>Connections Only</v>
      </c>
      <c r="C27" s="124"/>
      <c r="D27" s="645">
        <f>AusNet_Overheads!H40</f>
        <v>43800</v>
      </c>
      <c r="E27" s="645">
        <f>AusNet_Overheads!I40</f>
        <v>44166</v>
      </c>
      <c r="F27" s="645">
        <f>AusNet_Overheads!J40</f>
        <v>44377</v>
      </c>
    </row>
    <row r="28" spans="1:17" x14ac:dyDescent="0.25">
      <c r="A28" s="628" t="s">
        <v>768</v>
      </c>
      <c r="B28" s="463" t="str">
        <f>AusNet_Overheads!B41</f>
        <v>Subtransmission</v>
      </c>
      <c r="C28" t="s">
        <v>810</v>
      </c>
      <c r="D28" s="619"/>
      <c r="E28" s="619"/>
      <c r="F28" s="619"/>
    </row>
    <row r="29" spans="1:17" x14ac:dyDescent="0.25">
      <c r="A29" s="628" t="s">
        <v>768</v>
      </c>
      <c r="B29" s="463" t="str">
        <f>AusNet_Overheads!B42</f>
        <v>Distribution system assets</v>
      </c>
      <c r="D29" s="619"/>
      <c r="E29" s="619"/>
      <c r="F29" s="619"/>
    </row>
    <row r="30" spans="1:17" x14ac:dyDescent="0.25">
      <c r="B30" s="463" t="str">
        <f>AusNet_Overheads!B43</f>
        <v>Total Connections - Including Gifted Assets</v>
      </c>
      <c r="D30" s="789"/>
      <c r="E30" s="789"/>
      <c r="F30" s="789"/>
    </row>
    <row r="31" spans="1:17" x14ac:dyDescent="0.25">
      <c r="D31" s="644"/>
      <c r="E31" s="644"/>
      <c r="F31" s="644"/>
      <c r="G31" s="644"/>
      <c r="H31" s="644"/>
      <c r="I31" s="644"/>
      <c r="J31" s="644"/>
      <c r="K31" s="644"/>
    </row>
    <row r="32" spans="1:17" x14ac:dyDescent="0.25">
      <c r="D32" s="644"/>
      <c r="E32" s="644"/>
      <c r="F32" s="644"/>
      <c r="G32" s="644"/>
      <c r="H32" s="644"/>
      <c r="I32" s="644"/>
      <c r="J32" s="644"/>
      <c r="K32" s="644"/>
    </row>
    <row r="33" spans="1:11" x14ac:dyDescent="0.25">
      <c r="B33" s="790" t="str">
        <f>AusNet_Overheads!B45</f>
        <v>New Connections Direct costs subject to Overheads (Incl Downer)</v>
      </c>
      <c r="C33" s="791"/>
      <c r="D33" s="645">
        <f>AusNet_Overheads!H40</f>
        <v>43800</v>
      </c>
      <c r="E33" s="645">
        <f>AusNet_Overheads!I40</f>
        <v>44166</v>
      </c>
      <c r="F33" s="645">
        <f>AusNet_Overheads!J40</f>
        <v>44377</v>
      </c>
      <c r="G33" s="787">
        <f>AusNet_Overheads!K40</f>
        <v>44742</v>
      </c>
      <c r="H33" s="645">
        <f>AusNet_Overheads!L40</f>
        <v>45107</v>
      </c>
      <c r="I33" s="645">
        <f>AusNet_Overheads!M40</f>
        <v>45473</v>
      </c>
      <c r="J33" s="645">
        <f>AusNet_Overheads!N40</f>
        <v>45838</v>
      </c>
      <c r="K33" s="645">
        <f>AusNet_Overheads!O40</f>
        <v>46203</v>
      </c>
    </row>
    <row r="34" spans="1:11" x14ac:dyDescent="0.25">
      <c r="A34" s="628" t="s">
        <v>766</v>
      </c>
      <c r="B34" s="463" t="str">
        <f>AusNet_Overheads!B46</f>
        <v>Subtransmission</v>
      </c>
      <c r="C34" t="s">
        <v>810</v>
      </c>
      <c r="D34" s="792">
        <v>10433.467414217819</v>
      </c>
      <c r="E34" s="792">
        <v>12514.154559518864</v>
      </c>
      <c r="F34" s="792">
        <v>7287.7104398680713</v>
      </c>
      <c r="G34" s="792">
        <f>G37*G2</f>
        <v>8447.5334896133827</v>
      </c>
      <c r="H34" s="792">
        <v>12508.672511500261</v>
      </c>
      <c r="I34" s="792">
        <v>10437.965749121195</v>
      </c>
      <c r="J34" s="792">
        <v>10446.522122412818</v>
      </c>
      <c r="K34" s="792">
        <v>10468.945615195204</v>
      </c>
    </row>
    <row r="35" spans="1:11" x14ac:dyDescent="0.25">
      <c r="A35" s="463" t="s">
        <v>767</v>
      </c>
      <c r="B35" s="463" t="str">
        <f>AusNet_Overheads!B47</f>
        <v>Distribution system assets</v>
      </c>
      <c r="D35" s="792">
        <v>52846.621964465223</v>
      </c>
      <c r="E35" s="792">
        <v>53064.889707542679</v>
      </c>
      <c r="F35" s="792">
        <v>26588.17642563572</v>
      </c>
      <c r="G35" s="792">
        <f>G38*G2</f>
        <v>30755.614464961276</v>
      </c>
      <c r="H35" s="792">
        <v>53028.818468167869</v>
      </c>
      <c r="I35" s="792">
        <v>52909.246849839779</v>
      </c>
      <c r="J35" s="792">
        <v>53080.912727417352</v>
      </c>
      <c r="K35" s="792">
        <v>53370.158057101406</v>
      </c>
    </row>
    <row r="36" spans="1:11" x14ac:dyDescent="0.25">
      <c r="B36" s="463" t="str">
        <f>AusNet_Overheads!B48</f>
        <v>Total Connections - Excluding Gifted Assets</v>
      </c>
      <c r="D36" s="623">
        <f t="shared" ref="D36" si="0">SUM(D34:D35)</f>
        <v>63280.089378683042</v>
      </c>
      <c r="E36" s="623">
        <f t="shared" ref="E36" si="1">SUM(E34:E35)</f>
        <v>65579.044267061545</v>
      </c>
      <c r="F36" s="623">
        <f t="shared" ref="F36" si="2">SUM(F34:F35)</f>
        <v>33875.886865503795</v>
      </c>
      <c r="G36" s="623">
        <f t="shared" ref="G36:K36" si="3">SUM(G34:G35)</f>
        <v>39203.147954574655</v>
      </c>
      <c r="H36" s="623">
        <f t="shared" si="3"/>
        <v>65537.490979668131</v>
      </c>
      <c r="I36" s="623">
        <f t="shared" si="3"/>
        <v>63347.212598960978</v>
      </c>
      <c r="J36" s="623">
        <f t="shared" si="3"/>
        <v>63527.43484983017</v>
      </c>
      <c r="K36" s="623">
        <f t="shared" si="3"/>
        <v>63839.103672296609</v>
      </c>
    </row>
    <row r="37" spans="1:11" x14ac:dyDescent="0.25">
      <c r="G37" s="128">
        <v>14580.646866402229</v>
      </c>
    </row>
    <row r="38" spans="1:11" x14ac:dyDescent="0.25">
      <c r="G38" s="128">
        <v>53084.933516296282</v>
      </c>
    </row>
    <row r="39" spans="1:11" x14ac:dyDescent="0.25">
      <c r="B39" s="621" t="str">
        <f>AusNet_Overheads!B62</f>
        <v>Connections - Gifted</v>
      </c>
      <c r="D39" s="645">
        <f>AusNet_Overheads!H60</f>
        <v>43800</v>
      </c>
      <c r="E39" s="645">
        <f>AusNet_Overheads!I60</f>
        <v>44166</v>
      </c>
      <c r="F39" s="645">
        <f>AusNet_Overheads!J60</f>
        <v>44377</v>
      </c>
      <c r="G39" s="787">
        <f>AusNet_Overheads!K60</f>
        <v>44742</v>
      </c>
      <c r="H39" s="645">
        <f>AusNet_Overheads!L60</f>
        <v>45107</v>
      </c>
      <c r="I39" s="645">
        <f>AusNet_Overheads!M60</f>
        <v>45473</v>
      </c>
      <c r="J39" s="645">
        <f>AusNet_Overheads!N60</f>
        <v>45838</v>
      </c>
      <c r="K39" s="645">
        <f>AusNet_Overheads!O60</f>
        <v>46203</v>
      </c>
    </row>
    <row r="40" spans="1:11" x14ac:dyDescent="0.25">
      <c r="A40" s="463" t="s">
        <v>765</v>
      </c>
      <c r="B40" s="463" t="str">
        <f>B8</f>
        <v>Distribution system assets</v>
      </c>
      <c r="C40" t="s">
        <v>811</v>
      </c>
      <c r="D40" s="619"/>
      <c r="E40" s="619"/>
      <c r="F40" s="619"/>
      <c r="G40" s="619"/>
      <c r="H40" s="619"/>
      <c r="I40" s="619"/>
      <c r="J40" s="619"/>
      <c r="K40" s="619"/>
    </row>
    <row r="41" spans="1:11" x14ac:dyDescent="0.25">
      <c r="G41" s="539"/>
    </row>
    <row r="44" spans="1:11" x14ac:dyDescent="0.25">
      <c r="A44" s="621" t="s">
        <v>782</v>
      </c>
    </row>
    <row r="46" spans="1:11" x14ac:dyDescent="0.25">
      <c r="B46" s="621" t="str">
        <f>RFM_PTRM!C19</f>
        <v>Customer Contributions ($m)</v>
      </c>
      <c r="G46" s="787">
        <f>RFM_PTRM!O19</f>
        <v>44742</v>
      </c>
      <c r="H46" s="645">
        <f>RFM_PTRM!P19</f>
        <v>45107</v>
      </c>
      <c r="I46" s="645">
        <f>RFM_PTRM!Q19</f>
        <v>45473</v>
      </c>
      <c r="J46" s="645">
        <f>RFM_PTRM!R19</f>
        <v>45838</v>
      </c>
      <c r="K46" s="645">
        <f>RFM_PTRM!S19</f>
        <v>46203</v>
      </c>
    </row>
    <row r="47" spans="1:11" x14ac:dyDescent="0.25">
      <c r="A47" s="463" t="s">
        <v>781</v>
      </c>
      <c r="B47" t="str">
        <f>RFM_PTRM!C21</f>
        <v>Subtransmission</v>
      </c>
      <c r="G47" s="793">
        <f>G57*G2</f>
        <v>9.6726426825158587</v>
      </c>
      <c r="H47" s="793">
        <v>14.307623714435568</v>
      </c>
      <c r="I47" s="793">
        <v>11.959865386610414</v>
      </c>
      <c r="J47" s="793">
        <v>12.001158985416295</v>
      </c>
      <c r="K47" s="793">
        <v>12.044040461146144</v>
      </c>
    </row>
    <row r="48" spans="1:11" x14ac:dyDescent="0.25">
      <c r="A48" s="463"/>
      <c r="B48" t="str">
        <f>RFM_PTRM!C22</f>
        <v>Distribution system assets</v>
      </c>
      <c r="G48" s="793">
        <f>G58*G2</f>
        <v>30.940262658123125</v>
      </c>
      <c r="H48" s="793">
        <v>53.375609731544621</v>
      </c>
      <c r="I48" s="793">
        <v>53.531906843924801</v>
      </c>
      <c r="J48" s="793">
        <v>54.02079384955092</v>
      </c>
      <c r="K48" s="793">
        <v>54.437505016684547</v>
      </c>
    </row>
    <row r="49" spans="1:11" x14ac:dyDescent="0.25">
      <c r="A49" s="463"/>
      <c r="B49" t="str">
        <f>RFM_PTRM!C23</f>
        <v>SCADA/Network control</v>
      </c>
      <c r="G49" s="793">
        <v>0</v>
      </c>
      <c r="H49" s="793">
        <v>0</v>
      </c>
      <c r="I49" s="793">
        <v>0</v>
      </c>
      <c r="J49" s="793">
        <v>0</v>
      </c>
      <c r="K49" s="793">
        <v>0</v>
      </c>
    </row>
    <row r="50" spans="1:11" x14ac:dyDescent="0.25">
      <c r="A50" s="463"/>
      <c r="B50" t="str">
        <f>RFM_PTRM!C24</f>
        <v>Non-network general assets - IT</v>
      </c>
      <c r="G50" s="793">
        <v>0</v>
      </c>
      <c r="H50" s="793">
        <v>0</v>
      </c>
      <c r="I50" s="793">
        <v>0</v>
      </c>
      <c r="J50" s="793">
        <v>0</v>
      </c>
      <c r="K50" s="793">
        <v>0</v>
      </c>
    </row>
    <row r="51" spans="1:11" x14ac:dyDescent="0.25">
      <c r="A51" s="463"/>
      <c r="B51" t="str">
        <f>RFM_PTRM!C25</f>
        <v>Non-network - Metering related IT</v>
      </c>
      <c r="G51" s="793">
        <v>0</v>
      </c>
      <c r="H51" s="793">
        <v>0</v>
      </c>
      <c r="I51" s="793">
        <v>0</v>
      </c>
      <c r="J51" s="793">
        <v>0</v>
      </c>
      <c r="K51" s="793">
        <v>0</v>
      </c>
    </row>
    <row r="52" spans="1:11" x14ac:dyDescent="0.25">
      <c r="A52" s="463"/>
      <c r="B52" t="str">
        <f>RFM_PTRM!C26</f>
        <v>Non-network general assets - Other</v>
      </c>
      <c r="G52" s="793">
        <v>0</v>
      </c>
      <c r="H52" s="793">
        <v>0</v>
      </c>
      <c r="I52" s="793">
        <v>0</v>
      </c>
      <c r="J52" s="793">
        <v>0</v>
      </c>
      <c r="K52" s="793">
        <v>0</v>
      </c>
    </row>
    <row r="53" spans="1:11" x14ac:dyDescent="0.25">
      <c r="A53" s="463"/>
      <c r="B53" t="str">
        <f>RFM_PTRM!C27</f>
        <v>Non-Network Leasehold Land &amp; Buildings</v>
      </c>
      <c r="G53" s="793">
        <v>0</v>
      </c>
      <c r="H53" s="793">
        <v>0</v>
      </c>
      <c r="I53" s="793">
        <v>0</v>
      </c>
      <c r="J53" s="793">
        <v>0</v>
      </c>
      <c r="K53" s="793">
        <v>0</v>
      </c>
    </row>
    <row r="54" spans="1:11" x14ac:dyDescent="0.25">
      <c r="A54" s="463"/>
      <c r="B54" t="str">
        <f>RFM_PTRM!C28</f>
        <v>Land</v>
      </c>
      <c r="G54" s="793">
        <v>0</v>
      </c>
      <c r="H54" s="793">
        <v>0</v>
      </c>
      <c r="I54" s="793">
        <v>0</v>
      </c>
      <c r="J54" s="793">
        <v>0</v>
      </c>
      <c r="K54" s="793">
        <v>0</v>
      </c>
    </row>
    <row r="55" spans="1:11" x14ac:dyDescent="0.25">
      <c r="B55" t="str">
        <f>RFM_PTRM!C29</f>
        <v>Total</v>
      </c>
      <c r="G55" s="655">
        <f>SUM(G47:G54)</f>
        <v>40.612905340638981</v>
      </c>
      <c r="H55" s="655">
        <f t="shared" ref="H55:K55" si="4">SUM(H47:H54)</f>
        <v>67.683233445980193</v>
      </c>
      <c r="I55" s="655">
        <f t="shared" si="4"/>
        <v>65.491772230535219</v>
      </c>
      <c r="J55" s="655">
        <f t="shared" si="4"/>
        <v>66.021952834967209</v>
      </c>
      <c r="K55" s="655">
        <f t="shared" si="4"/>
        <v>66.481545477830693</v>
      </c>
    </row>
    <row r="57" spans="1:11" x14ac:dyDescent="0.25">
      <c r="G57" s="763">
        <v>16.695214927772717</v>
      </c>
    </row>
    <row r="58" spans="1:11" x14ac:dyDescent="0.25">
      <c r="G58" s="763">
        <v>53.403640758158346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I72"/>
  <sheetViews>
    <sheetView tabSelected="1" zoomScale="85" zoomScaleNormal="85" zoomScaleSheetLayoutView="85" zoomScalePageLayoutView="125" workbookViewId="0"/>
  </sheetViews>
  <sheetFormatPr defaultColWidth="8.85546875" defaultRowHeight="15" x14ac:dyDescent="0.25"/>
  <cols>
    <col min="1" max="1" width="5.85546875" style="1" customWidth="1"/>
    <col min="2" max="2" width="2.85546875" style="2" customWidth="1"/>
    <col min="3" max="3" width="4.42578125" style="1" customWidth="1"/>
    <col min="4" max="4" width="47.85546875" style="1" customWidth="1"/>
    <col min="5" max="5" width="24" style="1" customWidth="1"/>
    <col min="6" max="6" width="4.28515625" style="1" customWidth="1"/>
    <col min="7" max="7" width="3.85546875" style="1" customWidth="1"/>
    <col min="8" max="8" width="47.140625" style="1" customWidth="1"/>
    <col min="9" max="9" width="10.140625" style="1" customWidth="1"/>
    <col min="10" max="16384" width="8.85546875" style="1"/>
  </cols>
  <sheetData>
    <row r="1" spans="2:9" ht="16.5" customHeight="1" x14ac:dyDescent="0.3">
      <c r="B1" s="575" t="s">
        <v>812</v>
      </c>
    </row>
    <row r="2" spans="2:9" ht="21" x14ac:dyDescent="0.35">
      <c r="B2" s="11" t="s">
        <v>6</v>
      </c>
    </row>
    <row r="3" spans="2:9" ht="15.75" x14ac:dyDescent="0.25">
      <c r="B3" s="513"/>
    </row>
    <row r="4" spans="2:9" ht="9.75" customHeight="1" x14ac:dyDescent="0.25">
      <c r="B4" s="16"/>
    </row>
    <row r="5" spans="2:9" x14ac:dyDescent="0.25">
      <c r="B5" s="73" t="s">
        <v>15</v>
      </c>
      <c r="E5" s="35" t="s">
        <v>140</v>
      </c>
      <c r="F5" s="73" t="s">
        <v>295</v>
      </c>
      <c r="G5" s="15"/>
    </row>
    <row r="6" spans="2:9" ht="6.75" customHeight="1" x14ac:dyDescent="0.25">
      <c r="B6" s="12"/>
      <c r="C6" s="15"/>
      <c r="E6" s="34"/>
      <c r="F6" s="20"/>
      <c r="G6" s="15"/>
    </row>
    <row r="7" spans="2:9" x14ac:dyDescent="0.25">
      <c r="B7" s="73" t="s">
        <v>217</v>
      </c>
      <c r="C7" s="15"/>
      <c r="E7" s="34"/>
      <c r="F7" s="12"/>
      <c r="G7" s="14" t="s">
        <v>16</v>
      </c>
      <c r="H7" s="3" t="str">
        <f>Base_Forecast!B1</f>
        <v>Base Forecast Summary - Direct Expenditure</v>
      </c>
    </row>
    <row r="8" spans="2:9" x14ac:dyDescent="0.25">
      <c r="B8" s="12"/>
      <c r="C8" s="14" t="s">
        <v>16</v>
      </c>
      <c r="D8" s="3" t="str">
        <f>Escalators!B1</f>
        <v>Escalators</v>
      </c>
      <c r="E8" s="34"/>
      <c r="F8" s="12"/>
      <c r="G8" s="14" t="s">
        <v>17</v>
      </c>
      <c r="H8" s="3" t="str">
        <f>Reg_Forecast!B1</f>
        <v>Regulatory Forecast Expenditure</v>
      </c>
      <c r="I8" s="129"/>
    </row>
    <row r="9" spans="2:9" x14ac:dyDescent="0.25">
      <c r="B9" s="12"/>
      <c r="C9" s="14" t="s">
        <v>17</v>
      </c>
      <c r="D9" s="3" t="str">
        <f>Lab_Mat!B1</f>
        <v>Labour &amp; Non-Labour Category Splits</v>
      </c>
      <c r="E9" s="34"/>
      <c r="G9" s="14" t="s">
        <v>18</v>
      </c>
      <c r="H9" s="3" t="s">
        <v>509</v>
      </c>
    </row>
    <row r="10" spans="2:9" x14ac:dyDescent="0.25">
      <c r="B10" s="12"/>
      <c r="C10" s="14" t="s">
        <v>18</v>
      </c>
      <c r="D10" s="3" t="s">
        <v>21</v>
      </c>
      <c r="E10" s="34"/>
      <c r="F10" s="12"/>
      <c r="G10" s="14" t="s">
        <v>19</v>
      </c>
      <c r="H10" s="3" t="s">
        <v>343</v>
      </c>
    </row>
    <row r="11" spans="2:9" ht="14.25" customHeight="1" x14ac:dyDescent="0.25">
      <c r="B11" s="15"/>
      <c r="F11" s="12"/>
      <c r="G11" s="14" t="s">
        <v>20</v>
      </c>
      <c r="H11" s="3" t="s">
        <v>507</v>
      </c>
    </row>
    <row r="12" spans="2:9" x14ac:dyDescent="0.25">
      <c r="B12" s="73" t="s">
        <v>226</v>
      </c>
      <c r="E12" s="34"/>
      <c r="F12" s="12"/>
      <c r="G12" s="14" t="s">
        <v>41</v>
      </c>
      <c r="H12" s="3" t="str">
        <f>Safety!B1</f>
        <v>Safety Expenditure</v>
      </c>
      <c r="I12" s="129"/>
    </row>
    <row r="13" spans="2:9" x14ac:dyDescent="0.25">
      <c r="B13" s="12"/>
      <c r="E13" s="34"/>
      <c r="G13" s="14" t="s">
        <v>529</v>
      </c>
      <c r="H13" s="3" t="s">
        <v>366</v>
      </c>
    </row>
    <row r="14" spans="2:9" x14ac:dyDescent="0.25">
      <c r="B14" s="12"/>
      <c r="C14" s="12" t="s">
        <v>218</v>
      </c>
      <c r="E14" s="34"/>
      <c r="G14" s="15"/>
      <c r="I14" s="34"/>
    </row>
    <row r="15" spans="2:9" x14ac:dyDescent="0.25">
      <c r="B15" s="12"/>
      <c r="C15" s="30" t="s">
        <v>16</v>
      </c>
      <c r="D15" s="3" t="str">
        <f>Augmentation!B1</f>
        <v>Augmentation</v>
      </c>
      <c r="E15" s="54"/>
      <c r="F15" s="73" t="s">
        <v>223</v>
      </c>
      <c r="G15" s="15"/>
      <c r="I15" s="34"/>
    </row>
    <row r="16" spans="2:9" x14ac:dyDescent="0.25">
      <c r="B16" s="12"/>
      <c r="C16" s="13"/>
      <c r="E16" s="54"/>
      <c r="F16" s="20"/>
      <c r="G16" s="12" t="s">
        <v>224</v>
      </c>
      <c r="I16" s="34"/>
    </row>
    <row r="17" spans="2:9" x14ac:dyDescent="0.25">
      <c r="B17" s="12"/>
      <c r="C17" s="12" t="s">
        <v>344</v>
      </c>
      <c r="E17" s="54"/>
      <c r="F17" s="12"/>
      <c r="G17" s="14" t="s">
        <v>16</v>
      </c>
      <c r="H17" s="3" t="str">
        <f>RFM_PTRM!B1</f>
        <v>PTRM output - Standard Control Services</v>
      </c>
      <c r="I17" s="34"/>
    </row>
    <row r="18" spans="2:9" x14ac:dyDescent="0.25">
      <c r="B18" s="12"/>
      <c r="C18" s="14" t="s">
        <v>16</v>
      </c>
      <c r="D18" s="3" t="s">
        <v>294</v>
      </c>
      <c r="E18" s="54"/>
      <c r="F18" s="12"/>
      <c r="G18" s="14" t="s">
        <v>17</v>
      </c>
      <c r="H18" s="3" t="s">
        <v>743</v>
      </c>
      <c r="I18" s="34"/>
    </row>
    <row r="19" spans="2:9" x14ac:dyDescent="0.25">
      <c r="B19" s="12"/>
      <c r="C19" s="14" t="s">
        <v>17</v>
      </c>
      <c r="D19" s="3" t="s">
        <v>73</v>
      </c>
      <c r="E19" s="54"/>
      <c r="F19" s="12"/>
      <c r="G19" s="14"/>
      <c r="I19" s="34"/>
    </row>
    <row r="20" spans="2:9" ht="13.5" customHeight="1" x14ac:dyDescent="0.25">
      <c r="B20" s="12"/>
      <c r="C20" s="14"/>
      <c r="D20" s="3"/>
      <c r="E20" s="54"/>
      <c r="F20" s="12"/>
      <c r="G20" s="19" t="s">
        <v>693</v>
      </c>
      <c r="I20" s="34"/>
    </row>
    <row r="21" spans="2:9" x14ac:dyDescent="0.25">
      <c r="B21" s="12"/>
      <c r="C21" s="12" t="s">
        <v>219</v>
      </c>
      <c r="E21" s="54"/>
      <c r="F21" s="12"/>
      <c r="G21" s="14" t="s">
        <v>16</v>
      </c>
      <c r="H21" s="3" t="s">
        <v>694</v>
      </c>
      <c r="I21" s="34"/>
    </row>
    <row r="22" spans="2:9" x14ac:dyDescent="0.25">
      <c r="B22" s="12"/>
      <c r="C22" s="14" t="s">
        <v>16</v>
      </c>
      <c r="D22" s="3" t="str">
        <f>Major_Rebuilds!B1</f>
        <v>Major Rebuilds</v>
      </c>
      <c r="E22" s="54"/>
      <c r="F22" s="12"/>
      <c r="G22" s="14" t="s">
        <v>17</v>
      </c>
      <c r="H22" s="3" t="s">
        <v>695</v>
      </c>
      <c r="I22" s="34"/>
    </row>
    <row r="23" spans="2:9" x14ac:dyDescent="0.25">
      <c r="B23" s="12"/>
      <c r="C23" s="14" t="s">
        <v>17</v>
      </c>
      <c r="D23" s="3" t="str">
        <f>Stations!B1</f>
        <v>Stations</v>
      </c>
      <c r="E23" s="54"/>
      <c r="F23" s="12"/>
    </row>
    <row r="24" spans="2:9" x14ac:dyDescent="0.25">
      <c r="B24" s="12"/>
      <c r="C24" s="14" t="s">
        <v>18</v>
      </c>
      <c r="D24" s="3" t="str">
        <f>Lines!B1</f>
        <v>Lines</v>
      </c>
      <c r="E24" s="54"/>
      <c r="F24" s="12"/>
      <c r="G24" s="19" t="s">
        <v>225</v>
      </c>
      <c r="I24" s="34"/>
    </row>
    <row r="25" spans="2:9" x14ac:dyDescent="0.25">
      <c r="B25" s="12"/>
      <c r="C25" s="14" t="s">
        <v>19</v>
      </c>
      <c r="D25" s="3" t="str">
        <f>'PC&amp;A'!B1</f>
        <v>Protection, Control &amp; Automation</v>
      </c>
      <c r="E25" s="54"/>
      <c r="F25" s="12"/>
      <c r="G25" s="14" t="s">
        <v>16</v>
      </c>
      <c r="H25" s="3" t="s">
        <v>39</v>
      </c>
      <c r="I25" s="34"/>
    </row>
    <row r="26" spans="2:9" x14ac:dyDescent="0.25">
      <c r="B26" s="12"/>
      <c r="C26" s="14" t="s">
        <v>20</v>
      </c>
      <c r="D26" s="3" t="str">
        <f>'SCADA&amp;Comms'!B1</f>
        <v>SCADA &amp; Network Communications</v>
      </c>
      <c r="E26" s="54"/>
      <c r="F26" s="12"/>
      <c r="G26" s="14" t="s">
        <v>17</v>
      </c>
      <c r="H26" s="3" t="s">
        <v>40</v>
      </c>
      <c r="I26" s="52"/>
    </row>
    <row r="27" spans="2:9" x14ac:dyDescent="0.25">
      <c r="B27" s="12"/>
      <c r="C27" s="14" t="s">
        <v>41</v>
      </c>
      <c r="D27" s="3" t="str">
        <f>Metering_SCS!B1</f>
        <v>Metering SCS</v>
      </c>
      <c r="E27" s="54"/>
      <c r="F27" s="12"/>
      <c r="G27" s="14" t="s">
        <v>18</v>
      </c>
      <c r="H27" s="3" t="s">
        <v>691</v>
      </c>
      <c r="I27" s="52"/>
    </row>
    <row r="28" spans="2:9" x14ac:dyDescent="0.25">
      <c r="B28" s="12"/>
      <c r="C28" s="15"/>
      <c r="F28" s="12"/>
      <c r="G28" s="14" t="s">
        <v>19</v>
      </c>
      <c r="H28" s="3" t="s">
        <v>692</v>
      </c>
      <c r="I28" s="52"/>
    </row>
    <row r="29" spans="2:9" x14ac:dyDescent="0.25">
      <c r="B29" s="12"/>
      <c r="C29" s="12" t="s">
        <v>220</v>
      </c>
      <c r="E29" s="54"/>
      <c r="F29" s="12"/>
      <c r="G29" s="14" t="s">
        <v>20</v>
      </c>
      <c r="H29" s="3" t="s">
        <v>318</v>
      </c>
    </row>
    <row r="30" spans="2:9" x14ac:dyDescent="0.25">
      <c r="B30" s="12"/>
      <c r="C30" s="14" t="s">
        <v>16</v>
      </c>
      <c r="D30" s="3" t="str">
        <f>ESL_1!B1</f>
        <v>Environmental, Safety &amp; Legal - Part A</v>
      </c>
      <c r="E30" s="54"/>
      <c r="F30" s="12"/>
    </row>
    <row r="31" spans="2:9" x14ac:dyDescent="0.25">
      <c r="B31" s="12"/>
      <c r="C31" s="14" t="s">
        <v>17</v>
      </c>
      <c r="D31" s="3" t="str">
        <f>ESL_2!B1</f>
        <v>Environmental, Safety &amp; Legal - Part B</v>
      </c>
      <c r="E31" s="54"/>
      <c r="F31" s="12"/>
      <c r="G31" s="19" t="s">
        <v>348</v>
      </c>
    </row>
    <row r="32" spans="2:9" x14ac:dyDescent="0.25">
      <c r="B32" s="12"/>
      <c r="C32" s="14" t="s">
        <v>18</v>
      </c>
      <c r="D32" s="3" t="s">
        <v>313</v>
      </c>
      <c r="E32" s="54"/>
      <c r="F32" s="12"/>
      <c r="G32" s="14" t="s">
        <v>16</v>
      </c>
      <c r="H32" s="3" t="s">
        <v>350</v>
      </c>
    </row>
    <row r="33" spans="2:9" x14ac:dyDescent="0.25">
      <c r="B33" s="12"/>
      <c r="C33" s="14" t="s">
        <v>19</v>
      </c>
      <c r="D33" s="3" t="s">
        <v>410</v>
      </c>
      <c r="E33" s="54"/>
      <c r="F33" s="12"/>
      <c r="G33" s="14"/>
      <c r="I33" s="34"/>
    </row>
    <row r="34" spans="2:9" x14ac:dyDescent="0.25">
      <c r="B34" s="12"/>
      <c r="C34" s="14"/>
      <c r="D34" s="3"/>
      <c r="E34" s="54"/>
      <c r="F34" s="23"/>
      <c r="G34" s="24"/>
      <c r="I34" s="34"/>
    </row>
    <row r="35" spans="2:9" x14ac:dyDescent="0.25">
      <c r="B35" s="12"/>
      <c r="C35" s="12" t="s">
        <v>221</v>
      </c>
      <c r="E35" s="54"/>
      <c r="F35" s="23"/>
      <c r="G35" s="24"/>
      <c r="I35" s="34"/>
    </row>
    <row r="36" spans="2:9" x14ac:dyDescent="0.25">
      <c r="B36" s="12"/>
      <c r="C36" s="14" t="s">
        <v>16</v>
      </c>
      <c r="D36" s="3" t="str">
        <f>'SCADA&amp;Comms'!B1</f>
        <v>SCADA &amp; Network Communications</v>
      </c>
      <c r="E36" s="54"/>
    </row>
    <row r="37" spans="2:9" x14ac:dyDescent="0.25">
      <c r="B37" s="12"/>
      <c r="C37" s="12"/>
      <c r="E37" s="54"/>
    </row>
    <row r="38" spans="2:9" x14ac:dyDescent="0.25">
      <c r="B38" s="12"/>
      <c r="C38" s="12" t="s">
        <v>222</v>
      </c>
      <c r="E38" s="54"/>
    </row>
    <row r="39" spans="2:9" x14ac:dyDescent="0.25">
      <c r="B39" s="12"/>
      <c r="C39" s="14" t="s">
        <v>16</v>
      </c>
      <c r="D39" s="3" t="str">
        <f>ICT!B1</f>
        <v>ICT Infrastructure</v>
      </c>
      <c r="E39" s="54"/>
    </row>
    <row r="40" spans="2:9" x14ac:dyDescent="0.25">
      <c r="B40" s="12"/>
      <c r="C40" s="14" t="s">
        <v>17</v>
      </c>
      <c r="D40" s="3" t="str">
        <f>Metering_SCS!B1</f>
        <v>Metering SCS</v>
      </c>
      <c r="E40" s="54"/>
    </row>
    <row r="41" spans="2:9" x14ac:dyDescent="0.25">
      <c r="B41" s="12"/>
      <c r="C41" s="14" t="s">
        <v>18</v>
      </c>
      <c r="D41" s="3" t="str">
        <f>Other_NN!B1</f>
        <v>Other Non Network</v>
      </c>
      <c r="E41" s="54"/>
    </row>
    <row r="42" spans="2:9" ht="6" customHeight="1" x14ac:dyDescent="0.25">
      <c r="B42" s="12"/>
      <c r="C42" s="15"/>
      <c r="E42" s="34"/>
    </row>
    <row r="43" spans="2:9" x14ac:dyDescent="0.25">
      <c r="E43" s="34"/>
    </row>
    <row r="44" spans="2:9" ht="6" customHeight="1" x14ac:dyDescent="0.25">
      <c r="E44" s="34"/>
    </row>
    <row r="45" spans="2:9" x14ac:dyDescent="0.25">
      <c r="E45" s="34"/>
    </row>
    <row r="46" spans="2:9" x14ac:dyDescent="0.25">
      <c r="E46" s="34"/>
    </row>
    <row r="47" spans="2:9" x14ac:dyDescent="0.25">
      <c r="E47" s="34"/>
    </row>
    <row r="48" spans="2:9" x14ac:dyDescent="0.25">
      <c r="E48" s="34"/>
    </row>
    <row r="49" spans="2:5" x14ac:dyDescent="0.25">
      <c r="B49" s="12"/>
      <c r="C49" s="15"/>
      <c r="E49" s="34"/>
    </row>
    <row r="50" spans="2:5" x14ac:dyDescent="0.25">
      <c r="B50" s="12"/>
      <c r="C50" s="15"/>
      <c r="E50" s="34"/>
    </row>
    <row r="52" spans="2:5" ht="5.25" customHeight="1" x14ac:dyDescent="0.25"/>
    <row r="56" spans="2:5" ht="6" customHeight="1" x14ac:dyDescent="0.25"/>
    <row r="59" spans="2:5" ht="6" customHeight="1" x14ac:dyDescent="0.25"/>
    <row r="70" spans="2:2" x14ac:dyDescent="0.25">
      <c r="B70" s="12"/>
    </row>
    <row r="71" spans="2:2" x14ac:dyDescent="0.25">
      <c r="B71" s="12"/>
    </row>
    <row r="72" spans="2:2" x14ac:dyDescent="0.25">
      <c r="B72" s="12"/>
    </row>
  </sheetData>
  <hyperlinks>
    <hyperlink ref="B5" location="Assumptions!A1" display="Assumptions"/>
    <hyperlink ref="B12" location="'Inputs -&gt;'!A1" display="2. Inputs"/>
    <hyperlink ref="D15" location="Augmentation!A1" display="Augmentation Capex"/>
    <hyperlink ref="D22" location="'Major_Rebuilds'!A1" display="'Major_Rebuilds'!A1"/>
    <hyperlink ref="D23" location="Stations!A1" display="Stations"/>
    <hyperlink ref="D24" location="Lines!A1" display="Lines"/>
    <hyperlink ref="D25" location="'PC&amp;A'!A1" display="Protection, Control &amp; Automation"/>
    <hyperlink ref="D26" location="'SCADA&amp;Comms'!A1" display="'SCADA&amp;Comms'!A1"/>
    <hyperlink ref="D36" location="'SCADA&amp;Comms'!A1" display="'SCADA&amp;Comms'!A1"/>
    <hyperlink ref="D30" location="ESL_1!A1" display="ESL_1!A1"/>
    <hyperlink ref="D18" location="Connections!B5" display="Customer Capex"/>
    <hyperlink ref="D39" location="'ICT'!A1" display="'ICT'!A1"/>
    <hyperlink ref="D41" location="Other_NN!A1" display="Other_NN!A1"/>
    <hyperlink ref="F5" location="'Aggregations &amp; Alloc -&gt;'!A1" display="4. Aggregations &amp; Allocations"/>
    <hyperlink ref="F15" location="'Outputs -&gt;'!A1" display="4. Outputs"/>
    <hyperlink ref="B7" location="'Lookups -&gt;'!A1" display="5. Lookup Tables"/>
    <hyperlink ref="D8" location="Escalators!A1" display="CPI index"/>
    <hyperlink ref="D9" location="Lab_Mat!A1" display="Labour &amp; Material Escalators"/>
    <hyperlink ref="D10" location="Lookups!A1" display="Reporting Categories"/>
    <hyperlink ref="H17" location="RFM_PTRM!A1" display="RFM_PTRM!A1"/>
    <hyperlink ref="H21" location="DER!A1" display="DER related Capex"/>
    <hyperlink ref="H25" location="'2.1 Exp Summary'!A1" display="2.1 Expenditure Summary"/>
    <hyperlink ref="H26" location="'2.6 Non-Network'!A1" display="2.6 Non-Network"/>
    <hyperlink ref="H27" location="'2.1.8 Cap Overheads'!A1" display="2.1.8 Overheads"/>
    <hyperlink ref="H28" location="'2.11 Labour'!A1" display="2.11 Labour"/>
    <hyperlink ref="H7" location="Base_Forecast!A1" display="Base_Forecast!A1"/>
    <hyperlink ref="H8" location="Reg_Forecast!A1" display="Reg_Forecast!A1"/>
    <hyperlink ref="D31" location="ESL_2!A1" display="ESL_2!A1"/>
    <hyperlink ref="H13" location="AusNet_Overheads!A1" display="AusNet Overhead allocations"/>
    <hyperlink ref="D19" location="Connections!B43" display="Customer Contributions"/>
    <hyperlink ref="D32" location="ESL_2!A40" display="Govt. Funded Safety Programs"/>
    <hyperlink ref="H29" location="'2.17 Step Changes'!A1" display="2.17 Step Changes"/>
    <hyperlink ref="H9" location="Downer_Contract!A1" display="Downer Support Costs"/>
    <hyperlink ref="H10" location="RIN_Direct_Forecast!A1" display="RIN Expenditure Summary - Direct Expenditure"/>
    <hyperlink ref="H32" location="Repex_Analysis!A1" display="Repex Volumes Analysis"/>
    <hyperlink ref="H22" location="REFCL_view!A1" display="REFCL Capex"/>
    <hyperlink ref="D27" location="Metering_SCS!A1" display="Metering_SCS!A1"/>
    <hyperlink ref="D33" location="REFCL!A1" display="REFCL Program"/>
    <hyperlink ref="H12" location="Safety!A1" display="Safety!A1"/>
    <hyperlink ref="D40" location="Metering_SCS!A1" display="Metering_SCS!A1"/>
    <hyperlink ref="H11" location="Capex_by_Driver!A1" display="Capex by Driver"/>
    <hyperlink ref="H18" location="'Capex_2016-2026'!A1" display="Capex 2016-2026"/>
  </hyperlinks>
  <pageMargins left="0.25" right="0.25" top="0.75" bottom="0.75" header="0.3" footer="0.3"/>
  <pageSetup paperSize="9" scale="86" orientation="landscape"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D17"/>
  <sheetViews>
    <sheetView zoomScale="85" zoomScaleNormal="85" zoomScalePageLayoutView="125" workbookViewId="0">
      <selection activeCell="B2" sqref="B2"/>
    </sheetView>
  </sheetViews>
  <sheetFormatPr defaultColWidth="8.85546875" defaultRowHeight="15" x14ac:dyDescent="0.25"/>
  <cols>
    <col min="1" max="1" width="6.28515625" style="1" customWidth="1"/>
    <col min="2" max="2" width="4.28515625" style="1" customWidth="1"/>
    <col min="3" max="3" width="94.85546875" style="1" customWidth="1"/>
    <col min="4" max="16384" width="8.85546875" style="1"/>
  </cols>
  <sheetData>
    <row r="1" spans="2:4" ht="18.75" x14ac:dyDescent="0.3">
      <c r="B1" s="10" t="s">
        <v>7</v>
      </c>
    </row>
    <row r="2" spans="2:4" x14ac:dyDescent="0.25">
      <c r="B2" s="25" t="s">
        <v>6</v>
      </c>
    </row>
    <row r="4" spans="2:4" ht="30" x14ac:dyDescent="0.25">
      <c r="B4" s="4">
        <v>1</v>
      </c>
      <c r="C4" s="5" t="s">
        <v>8</v>
      </c>
    </row>
    <row r="5" spans="2:4" x14ac:dyDescent="0.25">
      <c r="B5" s="4">
        <v>2</v>
      </c>
      <c r="C5" s="5" t="s">
        <v>257</v>
      </c>
    </row>
    <row r="6" spans="2:4" ht="45" x14ac:dyDescent="0.25">
      <c r="B6" s="4">
        <v>3</v>
      </c>
      <c r="C6" s="265" t="s">
        <v>495</v>
      </c>
      <c r="D6" s="259"/>
    </row>
    <row r="7" spans="2:4" ht="30" x14ac:dyDescent="0.25">
      <c r="B7" s="4">
        <v>4</v>
      </c>
      <c r="C7" s="5" t="s">
        <v>682</v>
      </c>
    </row>
    <row r="8" spans="2:4" x14ac:dyDescent="0.25">
      <c r="B8" s="4">
        <v>5</v>
      </c>
      <c r="C8" s="265"/>
      <c r="D8" s="259"/>
    </row>
    <row r="9" spans="2:4" x14ac:dyDescent="0.25">
      <c r="B9" s="4">
        <v>6</v>
      </c>
      <c r="C9" s="5"/>
    </row>
    <row r="10" spans="2:4" x14ac:dyDescent="0.25">
      <c r="B10" s="4">
        <v>7</v>
      </c>
      <c r="C10" s="5"/>
    </row>
    <row r="11" spans="2:4" x14ac:dyDescent="0.25">
      <c r="B11" s="4">
        <v>8</v>
      </c>
      <c r="C11" s="5"/>
    </row>
    <row r="12" spans="2:4" x14ac:dyDescent="0.25">
      <c r="B12" s="4">
        <v>9</v>
      </c>
      <c r="C12" s="5"/>
    </row>
    <row r="13" spans="2:4" x14ac:dyDescent="0.25">
      <c r="B13" s="4">
        <v>10</v>
      </c>
      <c r="C13" s="5"/>
    </row>
    <row r="14" spans="2:4" x14ac:dyDescent="0.25">
      <c r="B14" s="4">
        <v>11</v>
      </c>
      <c r="C14" s="5"/>
    </row>
    <row r="15" spans="2:4" x14ac:dyDescent="0.25">
      <c r="B15" s="4">
        <v>12</v>
      </c>
      <c r="C15" s="5"/>
    </row>
    <row r="16" spans="2:4" x14ac:dyDescent="0.25">
      <c r="B16" s="4">
        <v>13</v>
      </c>
      <c r="C16" s="5"/>
    </row>
    <row r="17" spans="2:3" x14ac:dyDescent="0.25">
      <c r="B17" s="4">
        <v>14</v>
      </c>
      <c r="C17" s="5"/>
    </row>
  </sheetData>
  <hyperlinks>
    <hyperlink ref="B2" location="Contents!A1" display="Table of Contents"/>
  </hyperlink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499984740745262"/>
  </sheetPr>
  <dimension ref="C3:C4"/>
  <sheetViews>
    <sheetView zoomScaleNormal="100" zoomScalePageLayoutView="125" workbookViewId="0">
      <selection activeCell="O34" sqref="O34"/>
    </sheetView>
  </sheetViews>
  <sheetFormatPr defaultColWidth="8.85546875" defaultRowHeight="15" x14ac:dyDescent="0.25"/>
  <cols>
    <col min="1" max="16384" width="8.85546875" style="22"/>
  </cols>
  <sheetData>
    <row r="3" spans="3:3" ht="18.75" x14ac:dyDescent="0.3">
      <c r="C3" s="21" t="s">
        <v>22</v>
      </c>
    </row>
    <row r="4" spans="3:3" x14ac:dyDescent="0.25">
      <c r="C4" s="26" t="s">
        <v>6</v>
      </c>
    </row>
  </sheetData>
  <hyperlinks>
    <hyperlink ref="C4" location="Contents!A1" display="Table of Contents"/>
  </hyperlink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Z99"/>
  <sheetViews>
    <sheetView zoomScale="85" zoomScaleNormal="85" zoomScalePageLayoutView="125" workbookViewId="0">
      <pane ySplit="2" topLeftCell="A3" activePane="bottomLeft" state="frozen"/>
      <selection activeCell="V33" sqref="V33"/>
      <selection pane="bottomLeft" activeCell="E25" sqref="E25"/>
    </sheetView>
  </sheetViews>
  <sheetFormatPr defaultColWidth="8.85546875" defaultRowHeight="15" outlineLevelRow="1" x14ac:dyDescent="0.25"/>
  <cols>
    <col min="1" max="1" width="4.42578125" style="1" customWidth="1"/>
    <col min="2" max="2" width="35" style="1" customWidth="1"/>
    <col min="3" max="3" width="40" style="1" customWidth="1"/>
    <col min="4" max="4" width="10.7109375" style="1" customWidth="1"/>
    <col min="5" max="8" width="10.42578125" style="1" customWidth="1"/>
    <col min="9" max="9" width="11" style="1" customWidth="1"/>
    <col min="10" max="10" width="26.7109375" style="1" customWidth="1"/>
    <col min="11" max="14" width="10.85546875" style="1" customWidth="1"/>
    <col min="15" max="15" width="11.28515625" style="1" customWidth="1"/>
    <col min="16" max="16" width="9.7109375" style="1" customWidth="1"/>
    <col min="17" max="17" width="10.28515625" style="1" customWidth="1"/>
    <col min="18" max="18" width="10.140625" style="1" customWidth="1"/>
    <col min="19" max="16384" width="8.85546875" style="1"/>
  </cols>
  <sheetData>
    <row r="1" spans="2:26" ht="21" x14ac:dyDescent="0.35">
      <c r="B1" s="11" t="s">
        <v>168</v>
      </c>
    </row>
    <row r="2" spans="2:26" x14ac:dyDescent="0.25">
      <c r="B2" s="25" t="s">
        <v>6</v>
      </c>
    </row>
    <row r="3" spans="2:26" x14ac:dyDescent="0.25">
      <c r="B3" s="25"/>
      <c r="D3" s="52"/>
    </row>
    <row r="4" spans="2:26" x14ac:dyDescent="0.25">
      <c r="B4" s="2" t="s">
        <v>184</v>
      </c>
      <c r="J4" s="2" t="s">
        <v>600</v>
      </c>
    </row>
    <row r="5" spans="2:26" ht="60" customHeight="1" x14ac:dyDescent="0.25">
      <c r="B5" s="71" t="s">
        <v>178</v>
      </c>
      <c r="C5" s="71" t="s">
        <v>212</v>
      </c>
      <c r="D5" s="72" t="s">
        <v>174</v>
      </c>
      <c r="E5" s="72" t="s">
        <v>173</v>
      </c>
      <c r="F5" s="72" t="s">
        <v>299</v>
      </c>
      <c r="G5" s="72" t="s">
        <v>175</v>
      </c>
      <c r="H5" s="72" t="s">
        <v>146</v>
      </c>
      <c r="J5" s="6" t="s">
        <v>410</v>
      </c>
      <c r="K5" s="329" t="s">
        <v>174</v>
      </c>
      <c r="L5" s="329" t="s">
        <v>173</v>
      </c>
      <c r="M5" s="329" t="s">
        <v>299</v>
      </c>
      <c r="N5" s="329" t="s">
        <v>175</v>
      </c>
      <c r="R5" s="178"/>
      <c r="S5" s="178"/>
      <c r="T5" s="178"/>
      <c r="U5" s="178"/>
      <c r="W5" s="178"/>
      <c r="X5" s="178"/>
      <c r="Y5" s="178"/>
      <c r="Z5" s="178"/>
    </row>
    <row r="6" spans="2:26" ht="30" x14ac:dyDescent="0.25">
      <c r="B6" s="58" t="s">
        <v>10</v>
      </c>
      <c r="C6" s="5" t="s">
        <v>152</v>
      </c>
      <c r="D6" s="59">
        <v>0.15489332451817117</v>
      </c>
      <c r="E6" s="59">
        <v>0.30881909755197362</v>
      </c>
      <c r="F6" s="59">
        <v>0.42070477820427504</v>
      </c>
      <c r="G6" s="59">
        <v>0.11558279972558014</v>
      </c>
      <c r="H6" s="59">
        <f t="shared" ref="H6:H28" si="0">SUBTOTAL(9,D6:G6)</f>
        <v>1</v>
      </c>
      <c r="J6" s="6" t="s">
        <v>753</v>
      </c>
      <c r="K6" s="62">
        <v>0.18390347645903971</v>
      </c>
      <c r="L6" s="62">
        <v>0.54136896366650211</v>
      </c>
      <c r="M6" s="62">
        <v>0.19655206348634541</v>
      </c>
      <c r="N6" s="62">
        <v>7.8175496388112831E-2</v>
      </c>
      <c r="O6" s="1" t="s">
        <v>461</v>
      </c>
      <c r="R6" s="179"/>
      <c r="S6" s="179"/>
      <c r="T6" s="179"/>
      <c r="U6" s="179"/>
      <c r="W6" s="179"/>
      <c r="X6" s="179"/>
      <c r="Y6" s="179"/>
      <c r="Z6" s="179"/>
    </row>
    <row r="7" spans="2:26" x14ac:dyDescent="0.25">
      <c r="B7" s="60" t="s">
        <v>10</v>
      </c>
      <c r="C7" s="6" t="s">
        <v>153</v>
      </c>
      <c r="D7" s="59">
        <v>0.15489332451817117</v>
      </c>
      <c r="E7" s="59">
        <v>0.30881909755197368</v>
      </c>
      <c r="F7" s="59">
        <v>0.42070477820427504</v>
      </c>
      <c r="G7" s="59">
        <v>0.11558279972558012</v>
      </c>
      <c r="H7" s="59">
        <f t="shared" si="0"/>
        <v>1</v>
      </c>
      <c r="J7" s="6" t="s">
        <v>561</v>
      </c>
      <c r="K7" s="62">
        <v>0.15966178025819389</v>
      </c>
      <c r="L7" s="62">
        <v>0.33308159907257306</v>
      </c>
      <c r="M7" s="62">
        <v>0.37756140141055267</v>
      </c>
      <c r="N7" s="62">
        <v>0.12969521925868047</v>
      </c>
      <c r="O7" s="1" t="s">
        <v>461</v>
      </c>
      <c r="R7" s="179"/>
      <c r="S7" s="179"/>
      <c r="T7" s="179"/>
      <c r="U7" s="179"/>
      <c r="W7" s="179"/>
      <c r="X7" s="179"/>
      <c r="Y7" s="179"/>
      <c r="Z7" s="179"/>
    </row>
    <row r="8" spans="2:26" x14ac:dyDescent="0.25">
      <c r="B8" s="60" t="s">
        <v>10</v>
      </c>
      <c r="C8" s="6" t="s">
        <v>164</v>
      </c>
      <c r="D8" s="59">
        <v>0.1548933245181712</v>
      </c>
      <c r="E8" s="59">
        <v>0.30881909755197368</v>
      </c>
      <c r="F8" s="59">
        <v>0.4207047782042751</v>
      </c>
      <c r="G8" s="59">
        <v>0.11558279972558015</v>
      </c>
      <c r="H8" s="59">
        <f t="shared" si="0"/>
        <v>1</v>
      </c>
      <c r="J8" s="6" t="s">
        <v>562</v>
      </c>
      <c r="K8" s="62">
        <v>0.17471625775831814</v>
      </c>
      <c r="L8" s="62">
        <v>0.13041032128525792</v>
      </c>
      <c r="M8" s="62">
        <v>0.51973031692602212</v>
      </c>
      <c r="N8" s="62">
        <v>0.17514310403040181</v>
      </c>
      <c r="O8" s="1" t="s">
        <v>462</v>
      </c>
      <c r="R8" s="179"/>
      <c r="S8" s="179"/>
      <c r="T8" s="179"/>
      <c r="U8" s="179"/>
      <c r="W8" s="179"/>
      <c r="X8" s="179"/>
      <c r="Y8" s="179"/>
      <c r="Z8" s="179"/>
    </row>
    <row r="9" spans="2:26" x14ac:dyDescent="0.25">
      <c r="B9" s="60" t="s">
        <v>10</v>
      </c>
      <c r="C9" s="6" t="s">
        <v>154</v>
      </c>
      <c r="D9" s="59">
        <v>0.15489332451817117</v>
      </c>
      <c r="E9" s="59">
        <v>0.30881909755197368</v>
      </c>
      <c r="F9" s="59">
        <v>0.42070477820427504</v>
      </c>
      <c r="G9" s="59">
        <v>0.11558279972558014</v>
      </c>
      <c r="H9" s="59">
        <f t="shared" si="0"/>
        <v>1</v>
      </c>
      <c r="J9" s="6" t="s">
        <v>563</v>
      </c>
      <c r="K9" s="62">
        <v>0</v>
      </c>
      <c r="L9" s="62">
        <v>1</v>
      </c>
      <c r="M9" s="62">
        <v>0</v>
      </c>
      <c r="N9" s="62">
        <v>0</v>
      </c>
      <c r="O9" s="1" t="s">
        <v>564</v>
      </c>
      <c r="R9" s="179"/>
      <c r="S9" s="179"/>
      <c r="T9" s="179"/>
      <c r="U9" s="179"/>
      <c r="W9" s="179"/>
      <c r="X9" s="179"/>
      <c r="Y9" s="179"/>
      <c r="Z9" s="179"/>
    </row>
    <row r="10" spans="2:26" x14ac:dyDescent="0.25">
      <c r="B10" s="60" t="s">
        <v>10</v>
      </c>
      <c r="C10" s="6" t="s">
        <v>165</v>
      </c>
      <c r="D10" s="59">
        <v>0.15489332451817114</v>
      </c>
      <c r="E10" s="59">
        <v>0.30881909755197362</v>
      </c>
      <c r="F10" s="59">
        <v>0.42070477820427499</v>
      </c>
      <c r="G10" s="59">
        <v>0.11558279972558014</v>
      </c>
      <c r="H10" s="59">
        <f t="shared" si="0"/>
        <v>0.99999999999999989</v>
      </c>
      <c r="J10" s="470" t="s">
        <v>747</v>
      </c>
      <c r="R10" s="179"/>
      <c r="S10" s="179"/>
      <c r="T10" s="179"/>
      <c r="U10" s="179"/>
      <c r="W10" s="179"/>
      <c r="X10" s="179"/>
      <c r="Y10" s="179"/>
      <c r="Z10" s="179"/>
    </row>
    <row r="11" spans="2:26" x14ac:dyDescent="0.25">
      <c r="B11" s="61" t="s">
        <v>10</v>
      </c>
      <c r="C11" s="6" t="s">
        <v>155</v>
      </c>
      <c r="D11" s="258">
        <v>0</v>
      </c>
      <c r="E11" s="258">
        <v>0</v>
      </c>
      <c r="F11" s="258">
        <v>0</v>
      </c>
      <c r="G11" s="258">
        <v>0</v>
      </c>
      <c r="H11" s="177">
        <f t="shared" si="0"/>
        <v>0</v>
      </c>
      <c r="R11" s="179"/>
      <c r="S11" s="179"/>
      <c r="T11" s="179"/>
      <c r="U11" s="179"/>
      <c r="W11" s="179"/>
      <c r="X11" s="179"/>
      <c r="Y11" s="179"/>
      <c r="Z11" s="179"/>
    </row>
    <row r="12" spans="2:26" x14ac:dyDescent="0.25">
      <c r="B12" s="6" t="s">
        <v>32</v>
      </c>
      <c r="C12" s="6" t="s">
        <v>167</v>
      </c>
      <c r="D12" s="59">
        <v>0.1083177090788157</v>
      </c>
      <c r="E12" s="59">
        <v>0.12215934118391332</v>
      </c>
      <c r="F12" s="59">
        <v>0.7027694645437822</v>
      </c>
      <c r="G12" s="59">
        <v>6.6753485193488837E-2</v>
      </c>
      <c r="H12" s="59">
        <f t="shared" si="0"/>
        <v>1</v>
      </c>
      <c r="I12" s="1" t="s">
        <v>757</v>
      </c>
      <c r="R12" s="179"/>
      <c r="S12" s="179"/>
      <c r="T12" s="179"/>
      <c r="U12" s="179"/>
      <c r="W12" s="179"/>
      <c r="X12" s="179"/>
      <c r="Y12" s="179"/>
      <c r="Z12" s="179"/>
    </row>
    <row r="13" spans="2:26" x14ac:dyDescent="0.25">
      <c r="B13" s="31" t="s">
        <v>150</v>
      </c>
      <c r="C13" s="6" t="s">
        <v>102</v>
      </c>
      <c r="D13" s="59">
        <v>9.9857183765051566E-2</v>
      </c>
      <c r="E13" s="59">
        <v>0.21989912164615855</v>
      </c>
      <c r="F13" s="59">
        <v>0.58908054274122468</v>
      </c>
      <c r="G13" s="59">
        <v>9.1163151847565252E-2</v>
      </c>
      <c r="H13" s="59">
        <f t="shared" si="0"/>
        <v>1</v>
      </c>
      <c r="R13" s="179"/>
      <c r="S13" s="179"/>
      <c r="T13" s="179"/>
      <c r="U13" s="179"/>
      <c r="W13" s="179"/>
      <c r="X13" s="179"/>
      <c r="Y13" s="179"/>
      <c r="Z13" s="179"/>
    </row>
    <row r="14" spans="2:26" x14ac:dyDescent="0.25">
      <c r="B14" s="60" t="s">
        <v>150</v>
      </c>
      <c r="C14" s="6" t="s">
        <v>156</v>
      </c>
      <c r="D14" s="59">
        <v>9.9857183765051566E-2</v>
      </c>
      <c r="E14" s="59">
        <v>0.21989912164615852</v>
      </c>
      <c r="F14" s="59">
        <v>0.58908054274122468</v>
      </c>
      <c r="G14" s="59">
        <v>9.1163151847565266E-2</v>
      </c>
      <c r="H14" s="59">
        <f t="shared" si="0"/>
        <v>1</v>
      </c>
      <c r="R14" s="179"/>
      <c r="S14" s="179"/>
      <c r="T14" s="179"/>
      <c r="U14" s="179"/>
      <c r="W14" s="179"/>
      <c r="X14" s="179"/>
      <c r="Y14" s="179"/>
      <c r="Z14" s="179"/>
    </row>
    <row r="15" spans="2:26" x14ac:dyDescent="0.25">
      <c r="B15" s="60" t="s">
        <v>150</v>
      </c>
      <c r="C15" s="6" t="s">
        <v>157</v>
      </c>
      <c r="D15" s="59">
        <v>9.985718376505158E-2</v>
      </c>
      <c r="E15" s="59">
        <v>0.21989912164615855</v>
      </c>
      <c r="F15" s="59">
        <v>0.58908054274122468</v>
      </c>
      <c r="G15" s="59">
        <v>9.1163151847565266E-2</v>
      </c>
      <c r="H15" s="59">
        <f t="shared" si="0"/>
        <v>1</v>
      </c>
      <c r="R15" s="179"/>
      <c r="S15" s="179"/>
      <c r="T15" s="179"/>
      <c r="U15" s="179"/>
      <c r="W15" s="179"/>
      <c r="X15" s="179"/>
      <c r="Y15" s="179"/>
      <c r="Z15" s="179"/>
    </row>
    <row r="16" spans="2:26" x14ac:dyDescent="0.25">
      <c r="B16" s="60" t="s">
        <v>150</v>
      </c>
      <c r="C16" s="6" t="s">
        <v>158</v>
      </c>
      <c r="D16" s="59">
        <v>9.985718376505158E-2</v>
      </c>
      <c r="E16" s="59">
        <v>0.21989912164615857</v>
      </c>
      <c r="F16" s="59">
        <v>0.58908054274122468</v>
      </c>
      <c r="G16" s="59">
        <v>9.1163151847565266E-2</v>
      </c>
      <c r="H16" s="59">
        <f t="shared" si="0"/>
        <v>1</v>
      </c>
      <c r="R16" s="179"/>
      <c r="S16" s="179"/>
      <c r="T16" s="179"/>
      <c r="U16" s="179"/>
      <c r="W16" s="179"/>
      <c r="X16" s="179"/>
      <c r="Y16" s="179"/>
      <c r="Z16" s="179"/>
    </row>
    <row r="17" spans="2:26" x14ac:dyDescent="0.25">
      <c r="B17" s="60" t="s">
        <v>150</v>
      </c>
      <c r="C17" s="6" t="s">
        <v>159</v>
      </c>
      <c r="D17" s="59">
        <v>9.9857183765051566E-2</v>
      </c>
      <c r="E17" s="59">
        <v>0.21989912164615852</v>
      </c>
      <c r="F17" s="59">
        <v>0.58908054274122457</v>
      </c>
      <c r="G17" s="59">
        <v>9.1163151847565252E-2</v>
      </c>
      <c r="H17" s="59">
        <f t="shared" si="0"/>
        <v>1</v>
      </c>
      <c r="R17" s="179"/>
      <c r="S17" s="179"/>
      <c r="T17" s="179"/>
      <c r="U17" s="179"/>
      <c r="W17" s="179"/>
      <c r="X17" s="179"/>
      <c r="Y17" s="179"/>
      <c r="Z17" s="179"/>
    </row>
    <row r="18" spans="2:26" x14ac:dyDescent="0.25">
      <c r="B18" s="60" t="s">
        <v>150</v>
      </c>
      <c r="C18" s="6" t="s">
        <v>160</v>
      </c>
      <c r="D18" s="59">
        <v>9.9857183765051566E-2</v>
      </c>
      <c r="E18" s="59">
        <v>0.21989912164615855</v>
      </c>
      <c r="F18" s="59">
        <v>0.58908054274122468</v>
      </c>
      <c r="G18" s="59">
        <v>9.1163151847565266E-2</v>
      </c>
      <c r="H18" s="59">
        <f t="shared" si="0"/>
        <v>1</v>
      </c>
      <c r="R18" s="179"/>
      <c r="S18" s="179"/>
      <c r="T18" s="179"/>
      <c r="U18" s="179"/>
      <c r="W18" s="179"/>
      <c r="X18" s="179"/>
      <c r="Y18" s="179"/>
      <c r="Z18" s="179"/>
    </row>
    <row r="19" spans="2:26" x14ac:dyDescent="0.25">
      <c r="B19" s="60" t="s">
        <v>150</v>
      </c>
      <c r="C19" s="6" t="s">
        <v>161</v>
      </c>
      <c r="D19" s="59">
        <v>9.9857183765051566E-2</v>
      </c>
      <c r="E19" s="59">
        <v>0.21989912164615855</v>
      </c>
      <c r="F19" s="59">
        <v>0.58908054274122468</v>
      </c>
      <c r="G19" s="59">
        <v>9.1163151847565266E-2</v>
      </c>
      <c r="H19" s="59">
        <f t="shared" si="0"/>
        <v>1</v>
      </c>
      <c r="R19" s="179"/>
      <c r="S19" s="179"/>
      <c r="T19" s="179"/>
      <c r="U19" s="179"/>
      <c r="W19" s="179"/>
      <c r="X19" s="179"/>
      <c r="Y19" s="179"/>
      <c r="Z19" s="179"/>
    </row>
    <row r="20" spans="2:26" x14ac:dyDescent="0.25">
      <c r="B20" s="60" t="s">
        <v>150</v>
      </c>
      <c r="C20" s="413" t="s">
        <v>176</v>
      </c>
      <c r="D20" s="414">
        <f>AVERAGE(D18:D19)</f>
        <v>9.9857183765051566E-2</v>
      </c>
      <c r="E20" s="414">
        <f t="shared" ref="E20:G20" si="1">AVERAGE(E18:E19)</f>
        <v>0.21989912164615855</v>
      </c>
      <c r="F20" s="414">
        <f t="shared" si="1"/>
        <v>0.58908054274122468</v>
      </c>
      <c r="G20" s="414">
        <f t="shared" si="1"/>
        <v>9.1163151847565266E-2</v>
      </c>
      <c r="H20" s="414">
        <f t="shared" si="0"/>
        <v>1</v>
      </c>
      <c r="R20" s="179"/>
      <c r="S20" s="179"/>
      <c r="T20" s="179"/>
      <c r="U20" s="179"/>
      <c r="W20" s="179"/>
      <c r="X20" s="179"/>
      <c r="Y20" s="179"/>
      <c r="Z20" s="179"/>
    </row>
    <row r="21" spans="2:26" x14ac:dyDescent="0.25">
      <c r="B21" s="60" t="s">
        <v>150</v>
      </c>
      <c r="C21" s="6" t="s">
        <v>325</v>
      </c>
      <c r="D21" s="74">
        <v>9.9857183765051566E-2</v>
      </c>
      <c r="E21" s="74">
        <v>0.21989912164615855</v>
      </c>
      <c r="F21" s="74">
        <v>0.58908054274122468</v>
      </c>
      <c r="G21" s="74">
        <v>9.1163151847565266E-2</v>
      </c>
      <c r="H21" s="59">
        <f t="shared" si="0"/>
        <v>1</v>
      </c>
      <c r="R21" s="179"/>
      <c r="S21" s="179"/>
      <c r="T21" s="179"/>
      <c r="U21" s="179"/>
      <c r="W21" s="179"/>
      <c r="X21" s="179"/>
      <c r="Y21" s="179"/>
      <c r="Z21" s="179"/>
    </row>
    <row r="22" spans="2:26" x14ac:dyDescent="0.25">
      <c r="B22" s="60" t="s">
        <v>150</v>
      </c>
      <c r="C22" s="6" t="s">
        <v>5</v>
      </c>
      <c r="D22" s="74">
        <v>9.9857183765051566E-2</v>
      </c>
      <c r="E22" s="74">
        <v>0.21989912164615852</v>
      </c>
      <c r="F22" s="74">
        <v>0.58908054274122468</v>
      </c>
      <c r="G22" s="74">
        <v>9.1163151847565266E-2</v>
      </c>
      <c r="H22" s="59">
        <f t="shared" si="0"/>
        <v>1</v>
      </c>
      <c r="R22" s="179"/>
      <c r="S22" s="179"/>
      <c r="T22" s="179"/>
      <c r="U22" s="179"/>
      <c r="W22" s="179"/>
      <c r="X22" s="179"/>
      <c r="Y22" s="179"/>
      <c r="Z22" s="179"/>
    </row>
    <row r="23" spans="2:26" x14ac:dyDescent="0.25">
      <c r="B23" s="60"/>
      <c r="C23" s="321" t="s">
        <v>549</v>
      </c>
      <c r="D23" s="415">
        <v>0.2</v>
      </c>
      <c r="E23" s="415">
        <v>0.8</v>
      </c>
      <c r="F23" s="415">
        <v>0</v>
      </c>
      <c r="G23" s="415">
        <v>0</v>
      </c>
      <c r="H23" s="320">
        <f t="shared" si="0"/>
        <v>1</v>
      </c>
      <c r="R23" s="179"/>
      <c r="S23" s="179"/>
      <c r="T23" s="179"/>
      <c r="U23" s="179"/>
      <c r="W23" s="179"/>
      <c r="X23" s="179"/>
      <c r="Y23" s="179"/>
      <c r="Z23" s="179"/>
    </row>
    <row r="24" spans="2:26" x14ac:dyDescent="0.25">
      <c r="B24" s="60"/>
      <c r="C24" s="6" t="s">
        <v>548</v>
      </c>
      <c r="D24" s="180">
        <v>0.19</v>
      </c>
      <c r="E24" s="180">
        <v>0.81</v>
      </c>
      <c r="F24" s="180">
        <v>0</v>
      </c>
      <c r="G24" s="180">
        <v>0</v>
      </c>
      <c r="H24" s="59">
        <f t="shared" ref="H24" si="2">SUBTOTAL(9,D24:G24)</f>
        <v>1</v>
      </c>
      <c r="R24" s="179"/>
      <c r="S24" s="179"/>
      <c r="T24" s="179"/>
      <c r="U24" s="179"/>
      <c r="W24" s="179"/>
      <c r="X24" s="179"/>
      <c r="Y24" s="179"/>
      <c r="Z24" s="179"/>
    </row>
    <row r="25" spans="2:26" x14ac:dyDescent="0.25">
      <c r="B25" s="31" t="s">
        <v>151</v>
      </c>
      <c r="C25" s="6" t="s">
        <v>166</v>
      </c>
      <c r="D25" s="59">
        <v>0.18059595131155939</v>
      </c>
      <c r="E25" s="59">
        <v>0.3444349339228841</v>
      </c>
      <c r="F25" s="59">
        <v>0.47496911476555648</v>
      </c>
      <c r="G25" s="59">
        <v>0</v>
      </c>
      <c r="H25" s="59">
        <f t="shared" si="0"/>
        <v>1</v>
      </c>
      <c r="I25" s="54" t="s">
        <v>601</v>
      </c>
      <c r="R25" s="179"/>
      <c r="S25" s="179"/>
      <c r="T25" s="179"/>
      <c r="U25" s="179"/>
      <c r="W25" s="179"/>
      <c r="X25" s="179"/>
      <c r="Y25" s="179"/>
      <c r="Z25" s="179"/>
    </row>
    <row r="26" spans="2:26" x14ac:dyDescent="0.25">
      <c r="B26" s="60" t="s">
        <v>151</v>
      </c>
      <c r="C26" s="75" t="s">
        <v>162</v>
      </c>
      <c r="D26" s="180">
        <v>7.5602248903352409E-5</v>
      </c>
      <c r="E26" s="180">
        <v>0.31234844765683267</v>
      </c>
      <c r="F26" s="180">
        <v>-1.5861030210103227E-5</v>
      </c>
      <c r="G26" s="180">
        <v>0.68759181112447409</v>
      </c>
      <c r="H26" s="180">
        <f t="shared" si="0"/>
        <v>1</v>
      </c>
      <c r="I26" s="1" t="s">
        <v>326</v>
      </c>
      <c r="K26" s="412"/>
      <c r="L26" s="412"/>
      <c r="M26" s="412"/>
      <c r="R26" s="179"/>
      <c r="S26" s="179"/>
      <c r="T26" s="179"/>
      <c r="U26" s="179"/>
      <c r="W26" s="179"/>
      <c r="X26" s="179"/>
      <c r="Y26" s="179"/>
      <c r="Z26" s="179"/>
    </row>
    <row r="27" spans="2:26" x14ac:dyDescent="0.25">
      <c r="B27" s="60" t="s">
        <v>151</v>
      </c>
      <c r="C27" s="75" t="s">
        <v>163</v>
      </c>
      <c r="D27" s="180">
        <v>0</v>
      </c>
      <c r="E27" s="180">
        <v>0.1234599702833751</v>
      </c>
      <c r="F27" s="180">
        <v>0.71805459816941353</v>
      </c>
      <c r="G27" s="180">
        <v>0.15848543154721134</v>
      </c>
      <c r="H27" s="180">
        <f t="shared" si="0"/>
        <v>1</v>
      </c>
      <c r="I27" s="1" t="s">
        <v>326</v>
      </c>
      <c r="R27" s="179"/>
      <c r="S27" s="179"/>
      <c r="T27" s="179"/>
      <c r="U27" s="179"/>
      <c r="W27" s="179"/>
      <c r="X27" s="179"/>
      <c r="Y27" s="179"/>
      <c r="Z27" s="179"/>
    </row>
    <row r="28" spans="2:26" x14ac:dyDescent="0.25">
      <c r="B28" s="61" t="s">
        <v>151</v>
      </c>
      <c r="C28" s="75" t="s">
        <v>5</v>
      </c>
      <c r="D28" s="180">
        <v>4.1516835164001557E-2</v>
      </c>
      <c r="E28" s="180">
        <v>0.54643647744316437</v>
      </c>
      <c r="F28" s="180">
        <v>0.18816542802266789</v>
      </c>
      <c r="G28" s="180">
        <v>0.22388125937016617</v>
      </c>
      <c r="H28" s="180">
        <f t="shared" si="0"/>
        <v>1</v>
      </c>
      <c r="I28" s="1" t="s">
        <v>326</v>
      </c>
      <c r="R28" s="179"/>
      <c r="S28" s="179"/>
      <c r="T28" s="179"/>
      <c r="U28" s="179"/>
      <c r="W28" s="179"/>
      <c r="X28" s="179"/>
      <c r="Y28" s="179"/>
      <c r="Z28" s="179"/>
    </row>
    <row r="29" spans="2:26" x14ac:dyDescent="0.25">
      <c r="B29" s="24" t="s">
        <v>659</v>
      </c>
    </row>
    <row r="31" spans="2:26" x14ac:dyDescent="0.25">
      <c r="B31" s="2" t="s">
        <v>179</v>
      </c>
    </row>
    <row r="32" spans="2:26" x14ac:dyDescent="0.25">
      <c r="B32" s="64" t="s">
        <v>210</v>
      </c>
      <c r="C32" s="6" t="s">
        <v>177</v>
      </c>
      <c r="D32" s="28" t="s">
        <v>180</v>
      </c>
      <c r="E32" s="28" t="s">
        <v>181</v>
      </c>
      <c r="F32" s="28" t="s">
        <v>182</v>
      </c>
      <c r="G32" s="28" t="s">
        <v>183</v>
      </c>
      <c r="H32" s="28" t="s">
        <v>5</v>
      </c>
      <c r="I32" s="28" t="s">
        <v>146</v>
      </c>
      <c r="J32" s="36"/>
    </row>
    <row r="33" spans="2:10" x14ac:dyDescent="0.25">
      <c r="B33" s="67" t="s">
        <v>10</v>
      </c>
      <c r="C33" s="6" t="s">
        <v>213</v>
      </c>
      <c r="D33" s="62">
        <v>0.05</v>
      </c>
      <c r="E33" s="62">
        <v>0.15</v>
      </c>
      <c r="F33" s="62">
        <v>0.4</v>
      </c>
      <c r="G33" s="62">
        <v>0.05</v>
      </c>
      <c r="H33" s="62">
        <v>0.35</v>
      </c>
      <c r="I33" s="65">
        <f t="shared" ref="I33:I65" si="3">SUM(D33:H33)</f>
        <v>1</v>
      </c>
    </row>
    <row r="34" spans="2:10" x14ac:dyDescent="0.25">
      <c r="B34" s="68"/>
      <c r="C34" s="75" t="s">
        <v>186</v>
      </c>
      <c r="D34" s="76">
        <v>0.05</v>
      </c>
      <c r="E34" s="76">
        <v>0.2</v>
      </c>
      <c r="F34" s="76">
        <v>0.35</v>
      </c>
      <c r="G34" s="76">
        <v>0.05</v>
      </c>
      <c r="H34" s="76">
        <v>0.35</v>
      </c>
      <c r="I34" s="65">
        <f t="shared" si="3"/>
        <v>1</v>
      </c>
      <c r="J34" s="34"/>
    </row>
    <row r="35" spans="2:10" x14ac:dyDescent="0.25">
      <c r="B35" s="68"/>
      <c r="C35" s="75" t="s">
        <v>252</v>
      </c>
      <c r="D35" s="76">
        <v>0.67</v>
      </c>
      <c r="E35" s="76">
        <v>0</v>
      </c>
      <c r="F35" s="76">
        <v>0.13</v>
      </c>
      <c r="G35" s="76">
        <v>0</v>
      </c>
      <c r="H35" s="76">
        <v>0.2</v>
      </c>
      <c r="I35" s="65">
        <f t="shared" si="3"/>
        <v>1</v>
      </c>
      <c r="J35" s="34"/>
    </row>
    <row r="36" spans="2:10" x14ac:dyDescent="0.25">
      <c r="B36" s="68"/>
      <c r="C36" s="6" t="s">
        <v>188</v>
      </c>
      <c r="D36" s="62">
        <v>0.17</v>
      </c>
      <c r="E36" s="62">
        <v>0.17</v>
      </c>
      <c r="F36" s="62">
        <v>0.42</v>
      </c>
      <c r="G36" s="62">
        <v>0.17</v>
      </c>
      <c r="H36" s="62">
        <v>7.0000000000000007E-2</v>
      </c>
      <c r="I36" s="65">
        <f t="shared" si="3"/>
        <v>1</v>
      </c>
    </row>
    <row r="37" spans="2:10" x14ac:dyDescent="0.25">
      <c r="B37" s="68"/>
      <c r="C37" s="6" t="s">
        <v>577</v>
      </c>
      <c r="D37" s="76">
        <v>0.05</v>
      </c>
      <c r="E37" s="76">
        <v>0.2</v>
      </c>
      <c r="F37" s="76">
        <v>0.35</v>
      </c>
      <c r="G37" s="76">
        <v>0.05</v>
      </c>
      <c r="H37" s="76">
        <v>0.35</v>
      </c>
      <c r="I37" s="65">
        <f t="shared" si="3"/>
        <v>1</v>
      </c>
      <c r="J37" s="34"/>
    </row>
    <row r="38" spans="2:10" x14ac:dyDescent="0.25">
      <c r="B38" s="68"/>
      <c r="C38" s="6" t="s">
        <v>189</v>
      </c>
      <c r="D38" s="62">
        <v>0.2</v>
      </c>
      <c r="E38" s="62">
        <v>0.1</v>
      </c>
      <c r="F38" s="62">
        <v>0.3</v>
      </c>
      <c r="G38" s="62">
        <v>0.05</v>
      </c>
      <c r="H38" s="62">
        <v>0.35</v>
      </c>
      <c r="I38" s="65">
        <f t="shared" si="3"/>
        <v>1</v>
      </c>
    </row>
    <row r="39" spans="2:10" x14ac:dyDescent="0.25">
      <c r="B39" s="68"/>
      <c r="C39" s="6" t="s">
        <v>215</v>
      </c>
      <c r="D39" s="62">
        <v>0.67</v>
      </c>
      <c r="E39" s="62">
        <v>0</v>
      </c>
      <c r="F39" s="62">
        <v>0.13</v>
      </c>
      <c r="G39" s="62">
        <v>0</v>
      </c>
      <c r="H39" s="62">
        <v>0.2</v>
      </c>
      <c r="I39" s="65">
        <f t="shared" ref="I39:I61" si="4">SUM(D39:H39)</f>
        <v>1</v>
      </c>
    </row>
    <row r="40" spans="2:10" x14ac:dyDescent="0.25">
      <c r="B40" s="68"/>
      <c r="C40" s="6" t="s">
        <v>216</v>
      </c>
      <c r="D40" s="62">
        <v>0.67</v>
      </c>
      <c r="E40" s="62">
        <v>0</v>
      </c>
      <c r="F40" s="62">
        <v>0.13</v>
      </c>
      <c r="G40" s="62">
        <v>0</v>
      </c>
      <c r="H40" s="62">
        <v>0.2</v>
      </c>
      <c r="I40" s="65">
        <f t="shared" si="4"/>
        <v>1</v>
      </c>
    </row>
    <row r="41" spans="2:10" x14ac:dyDescent="0.25">
      <c r="B41" s="68"/>
      <c r="C41" s="75" t="s">
        <v>214</v>
      </c>
      <c r="D41" s="76">
        <f>(D39+D40)/2</f>
        <v>0.67</v>
      </c>
      <c r="E41" s="76">
        <f>(E39+E40)/2</f>
        <v>0</v>
      </c>
      <c r="F41" s="76">
        <f>(F39+F40)/2</f>
        <v>0.13</v>
      </c>
      <c r="G41" s="76">
        <f>(G39+G40)/2</f>
        <v>0</v>
      </c>
      <c r="H41" s="76">
        <f>(H39+H40)/2</f>
        <v>0.2</v>
      </c>
      <c r="I41" s="65">
        <f t="shared" si="4"/>
        <v>1</v>
      </c>
    </row>
    <row r="42" spans="2:10" x14ac:dyDescent="0.25">
      <c r="B42" s="68"/>
      <c r="C42" s="6" t="s">
        <v>207</v>
      </c>
      <c r="D42" s="62">
        <v>0.67</v>
      </c>
      <c r="E42" s="62">
        <v>0</v>
      </c>
      <c r="F42" s="62">
        <v>0.13</v>
      </c>
      <c r="G42" s="62">
        <v>0</v>
      </c>
      <c r="H42" s="62">
        <v>0.2</v>
      </c>
      <c r="I42" s="65">
        <f t="shared" si="4"/>
        <v>1</v>
      </c>
    </row>
    <row r="43" spans="2:10" x14ac:dyDescent="0.25">
      <c r="B43" s="68"/>
      <c r="C43" s="6" t="s">
        <v>208</v>
      </c>
      <c r="D43" s="62">
        <v>0.67</v>
      </c>
      <c r="E43" s="62">
        <v>0</v>
      </c>
      <c r="F43" s="62">
        <v>0.13</v>
      </c>
      <c r="G43" s="62">
        <v>0</v>
      </c>
      <c r="H43" s="62">
        <v>0.2</v>
      </c>
      <c r="I43" s="65">
        <f t="shared" si="4"/>
        <v>1</v>
      </c>
    </row>
    <row r="44" spans="2:10" x14ac:dyDescent="0.25">
      <c r="B44" s="68"/>
      <c r="C44" s="6" t="s">
        <v>248</v>
      </c>
      <c r="D44" s="62">
        <v>0.05</v>
      </c>
      <c r="E44" s="62">
        <v>0.15</v>
      </c>
      <c r="F44" s="62">
        <v>0.4</v>
      </c>
      <c r="G44" s="62">
        <v>0</v>
      </c>
      <c r="H44" s="62">
        <v>0.4</v>
      </c>
      <c r="I44" s="65">
        <v>1</v>
      </c>
    </row>
    <row r="45" spans="2:10" x14ac:dyDescent="0.25">
      <c r="B45" s="68"/>
      <c r="C45" s="6" t="s">
        <v>240</v>
      </c>
      <c r="D45" s="62">
        <v>0.75</v>
      </c>
      <c r="E45" s="62">
        <v>0</v>
      </c>
      <c r="F45" s="62">
        <v>0</v>
      </c>
      <c r="G45" s="62">
        <v>0.05</v>
      </c>
      <c r="H45" s="62">
        <v>0.2</v>
      </c>
      <c r="I45" s="65">
        <v>1</v>
      </c>
    </row>
    <row r="46" spans="2:10" x14ac:dyDescent="0.25">
      <c r="B46" s="68"/>
      <c r="C46" s="6" t="s">
        <v>253</v>
      </c>
      <c r="D46" s="62">
        <v>0</v>
      </c>
      <c r="E46" s="62">
        <v>0</v>
      </c>
      <c r="F46" s="62">
        <v>1</v>
      </c>
      <c r="G46" s="62">
        <v>0</v>
      </c>
      <c r="H46" s="62">
        <v>0</v>
      </c>
      <c r="I46" s="65">
        <v>1</v>
      </c>
    </row>
    <row r="47" spans="2:10" x14ac:dyDescent="0.25">
      <c r="B47" s="68"/>
      <c r="C47" s="6" t="s">
        <v>254</v>
      </c>
      <c r="D47" s="62">
        <v>0</v>
      </c>
      <c r="E47" s="62">
        <v>0</v>
      </c>
      <c r="F47" s="62">
        <v>1</v>
      </c>
      <c r="G47" s="62">
        <v>0</v>
      </c>
      <c r="H47" s="62">
        <v>0</v>
      </c>
      <c r="I47" s="65">
        <v>1</v>
      </c>
    </row>
    <row r="48" spans="2:10" x14ac:dyDescent="0.25">
      <c r="B48" s="68"/>
      <c r="C48" s="6" t="s">
        <v>5</v>
      </c>
      <c r="D48" s="62">
        <v>0.1</v>
      </c>
      <c r="E48" s="62">
        <v>0.1</v>
      </c>
      <c r="F48" s="62">
        <v>0.1</v>
      </c>
      <c r="G48" s="62">
        <v>0</v>
      </c>
      <c r="H48" s="62">
        <v>0.7</v>
      </c>
      <c r="I48" s="65">
        <f t="shared" ref="I48" si="5">SUM(D48:H48)</f>
        <v>1</v>
      </c>
    </row>
    <row r="49" spans="2:10" x14ac:dyDescent="0.25">
      <c r="B49" s="69"/>
      <c r="C49" s="6" t="s">
        <v>357</v>
      </c>
      <c r="D49" s="62">
        <v>0</v>
      </c>
      <c r="E49" s="62">
        <v>0</v>
      </c>
      <c r="F49" s="62">
        <v>0</v>
      </c>
      <c r="G49" s="62">
        <v>0</v>
      </c>
      <c r="H49" s="62">
        <v>0</v>
      </c>
      <c r="I49" s="65">
        <f t="shared" si="3"/>
        <v>0</v>
      </c>
      <c r="J49" s="1" t="s">
        <v>757</v>
      </c>
    </row>
    <row r="50" spans="2:10" hidden="1" outlineLevel="1" x14ac:dyDescent="0.25">
      <c r="B50" s="70" t="s">
        <v>32</v>
      </c>
      <c r="C50" s="75" t="s">
        <v>660</v>
      </c>
      <c r="D50" s="62"/>
      <c r="E50" s="62"/>
      <c r="F50" s="62"/>
      <c r="G50" s="62"/>
      <c r="H50" s="62"/>
      <c r="I50" s="65">
        <f t="shared" si="4"/>
        <v>0</v>
      </c>
      <c r="J50" s="1" t="s">
        <v>757</v>
      </c>
    </row>
    <row r="51" spans="2:10" hidden="1" outlineLevel="1" x14ac:dyDescent="0.25">
      <c r="B51" s="68"/>
      <c r="C51" s="75" t="s">
        <v>661</v>
      </c>
      <c r="D51" s="62"/>
      <c r="E51" s="62"/>
      <c r="F51" s="62"/>
      <c r="G51" s="62"/>
      <c r="H51" s="62"/>
      <c r="I51" s="65">
        <f t="shared" si="4"/>
        <v>0</v>
      </c>
      <c r="J51" s="1" t="s">
        <v>757</v>
      </c>
    </row>
    <row r="52" spans="2:10" hidden="1" outlineLevel="1" x14ac:dyDescent="0.25">
      <c r="B52" s="68"/>
      <c r="C52" s="75" t="s">
        <v>662</v>
      </c>
      <c r="D52" s="62"/>
      <c r="E52" s="62"/>
      <c r="F52" s="62"/>
      <c r="G52" s="62"/>
      <c r="H52" s="62"/>
      <c r="I52" s="65">
        <f t="shared" si="4"/>
        <v>0</v>
      </c>
      <c r="J52" s="1" t="s">
        <v>757</v>
      </c>
    </row>
    <row r="53" spans="2:10" hidden="1" outlineLevel="1" x14ac:dyDescent="0.25">
      <c r="B53" s="68"/>
      <c r="C53" s="75" t="s">
        <v>663</v>
      </c>
      <c r="D53" s="62"/>
      <c r="E53" s="62"/>
      <c r="F53" s="62"/>
      <c r="G53" s="62"/>
      <c r="H53" s="62"/>
      <c r="I53" s="65">
        <f t="shared" si="4"/>
        <v>0</v>
      </c>
      <c r="J53" s="1" t="s">
        <v>757</v>
      </c>
    </row>
    <row r="54" spans="2:10" hidden="1" outlineLevel="1" x14ac:dyDescent="0.25">
      <c r="B54" s="68"/>
      <c r="C54" s="75" t="s">
        <v>664</v>
      </c>
      <c r="D54" s="62"/>
      <c r="E54" s="62"/>
      <c r="F54" s="62"/>
      <c r="G54" s="62"/>
      <c r="H54" s="62"/>
      <c r="I54" s="65">
        <f t="shared" si="4"/>
        <v>0</v>
      </c>
      <c r="J54" s="1" t="s">
        <v>757</v>
      </c>
    </row>
    <row r="55" spans="2:10" hidden="1" outlineLevel="1" x14ac:dyDescent="0.25">
      <c r="B55" s="68"/>
      <c r="C55" s="75" t="s">
        <v>670</v>
      </c>
      <c r="D55" s="62"/>
      <c r="E55" s="62"/>
      <c r="F55" s="62"/>
      <c r="G55" s="62"/>
      <c r="H55" s="62"/>
      <c r="I55" s="65">
        <f t="shared" si="4"/>
        <v>0</v>
      </c>
      <c r="J55" s="1" t="s">
        <v>757</v>
      </c>
    </row>
    <row r="56" spans="2:10" hidden="1" outlineLevel="1" x14ac:dyDescent="0.25">
      <c r="B56" s="68"/>
      <c r="C56" s="75" t="s">
        <v>665</v>
      </c>
      <c r="D56" s="62"/>
      <c r="E56" s="62"/>
      <c r="F56" s="62"/>
      <c r="G56" s="62"/>
      <c r="H56" s="62"/>
      <c r="I56" s="65">
        <f t="shared" si="4"/>
        <v>0</v>
      </c>
      <c r="J56" s="1" t="s">
        <v>757</v>
      </c>
    </row>
    <row r="57" spans="2:10" hidden="1" outlineLevel="1" x14ac:dyDescent="0.25">
      <c r="B57" s="68"/>
      <c r="C57" s="75" t="s">
        <v>666</v>
      </c>
      <c r="D57" s="62"/>
      <c r="E57" s="62"/>
      <c r="F57" s="62"/>
      <c r="G57" s="62"/>
      <c r="H57" s="62"/>
      <c r="I57" s="65">
        <f t="shared" si="4"/>
        <v>0</v>
      </c>
      <c r="J57" s="1" t="s">
        <v>757</v>
      </c>
    </row>
    <row r="58" spans="2:10" hidden="1" outlineLevel="1" x14ac:dyDescent="0.25">
      <c r="B58" s="68"/>
      <c r="C58" s="75" t="s">
        <v>667</v>
      </c>
      <c r="D58" s="62"/>
      <c r="E58" s="62"/>
      <c r="F58" s="62"/>
      <c r="G58" s="62"/>
      <c r="H58" s="62"/>
      <c r="I58" s="65">
        <f t="shared" si="4"/>
        <v>0</v>
      </c>
      <c r="J58" s="1" t="s">
        <v>757</v>
      </c>
    </row>
    <row r="59" spans="2:10" hidden="1" outlineLevel="1" x14ac:dyDescent="0.25">
      <c r="B59" s="68"/>
      <c r="C59" s="75" t="s">
        <v>668</v>
      </c>
      <c r="D59" s="62"/>
      <c r="E59" s="62"/>
      <c r="F59" s="62"/>
      <c r="G59" s="62"/>
      <c r="H59" s="62"/>
      <c r="I59" s="65">
        <f t="shared" si="4"/>
        <v>0</v>
      </c>
      <c r="J59" s="1" t="s">
        <v>757</v>
      </c>
    </row>
    <row r="60" spans="2:10" hidden="1" outlineLevel="1" x14ac:dyDescent="0.25">
      <c r="B60" s="68"/>
      <c r="C60" s="75" t="s">
        <v>669</v>
      </c>
      <c r="D60" s="62"/>
      <c r="E60" s="62"/>
      <c r="F60" s="62"/>
      <c r="G60" s="62"/>
      <c r="H60" s="62"/>
      <c r="I60" s="65">
        <f t="shared" si="4"/>
        <v>0</v>
      </c>
      <c r="J60" s="1" t="s">
        <v>757</v>
      </c>
    </row>
    <row r="61" spans="2:10" hidden="1" outlineLevel="1" x14ac:dyDescent="0.25">
      <c r="B61" s="68"/>
      <c r="C61" s="6" t="s">
        <v>357</v>
      </c>
      <c r="D61" s="62">
        <v>0</v>
      </c>
      <c r="E61" s="62">
        <v>0</v>
      </c>
      <c r="F61" s="62">
        <v>0</v>
      </c>
      <c r="G61" s="62">
        <v>0</v>
      </c>
      <c r="H61" s="62">
        <v>0</v>
      </c>
      <c r="I61" s="65">
        <f t="shared" si="4"/>
        <v>0</v>
      </c>
    </row>
    <row r="62" spans="2:10" collapsed="1" x14ac:dyDescent="0.25">
      <c r="B62" s="67" t="s">
        <v>150</v>
      </c>
      <c r="C62" s="6" t="s">
        <v>190</v>
      </c>
      <c r="D62" s="62">
        <v>0</v>
      </c>
      <c r="E62" s="62">
        <v>0</v>
      </c>
      <c r="F62" s="62">
        <v>0.1</v>
      </c>
      <c r="G62" s="62">
        <v>0</v>
      </c>
      <c r="H62" s="62">
        <v>0.9</v>
      </c>
      <c r="I62" s="65">
        <f t="shared" si="3"/>
        <v>1</v>
      </c>
      <c r="J62" s="36"/>
    </row>
    <row r="63" spans="2:10" x14ac:dyDescent="0.25">
      <c r="B63" s="70"/>
      <c r="C63" s="6" t="s">
        <v>191</v>
      </c>
      <c r="D63" s="62">
        <v>0</v>
      </c>
      <c r="E63" s="62">
        <v>0</v>
      </c>
      <c r="F63" s="62">
        <v>1</v>
      </c>
      <c r="G63" s="62">
        <v>0</v>
      </c>
      <c r="H63" s="62">
        <v>0</v>
      </c>
      <c r="I63" s="65">
        <f t="shared" si="3"/>
        <v>1</v>
      </c>
      <c r="J63" s="36"/>
    </row>
    <row r="64" spans="2:10" x14ac:dyDescent="0.25">
      <c r="B64" s="32"/>
      <c r="C64" s="6" t="s">
        <v>192</v>
      </c>
      <c r="D64" s="62">
        <v>0</v>
      </c>
      <c r="E64" s="62">
        <v>0</v>
      </c>
      <c r="F64" s="62">
        <v>1</v>
      </c>
      <c r="G64" s="62">
        <v>0</v>
      </c>
      <c r="H64" s="62">
        <v>0</v>
      </c>
      <c r="I64" s="65">
        <f t="shared" si="3"/>
        <v>1</v>
      </c>
      <c r="J64" s="36"/>
    </row>
    <row r="65" spans="2:10" x14ac:dyDescent="0.25">
      <c r="B65" s="32"/>
      <c r="C65" s="6" t="s">
        <v>193</v>
      </c>
      <c r="D65" s="62">
        <v>0.67</v>
      </c>
      <c r="E65" s="62">
        <v>0</v>
      </c>
      <c r="F65" s="62">
        <v>0.13</v>
      </c>
      <c r="G65" s="62">
        <v>0</v>
      </c>
      <c r="H65" s="62">
        <v>0.2</v>
      </c>
      <c r="I65" s="65">
        <f t="shared" si="3"/>
        <v>1</v>
      </c>
      <c r="J65" s="36"/>
    </row>
    <row r="66" spans="2:10" x14ac:dyDescent="0.25">
      <c r="B66" s="32"/>
      <c r="C66" s="6" t="s">
        <v>274</v>
      </c>
      <c r="D66" s="62">
        <v>0.67</v>
      </c>
      <c r="E66" s="62">
        <v>0</v>
      </c>
      <c r="F66" s="62">
        <v>0.33</v>
      </c>
      <c r="G66" s="62">
        <v>0</v>
      </c>
      <c r="H66" s="62">
        <v>0</v>
      </c>
      <c r="I66" s="65">
        <f>SUM(D66:H66)</f>
        <v>1</v>
      </c>
      <c r="J66" s="202"/>
    </row>
    <row r="67" spans="2:10" x14ac:dyDescent="0.25">
      <c r="B67" s="32"/>
      <c r="C67" s="6" t="s">
        <v>272</v>
      </c>
      <c r="D67" s="62">
        <v>1</v>
      </c>
      <c r="E67" s="62">
        <v>0</v>
      </c>
      <c r="F67" s="62">
        <v>0</v>
      </c>
      <c r="G67" s="62">
        <v>0</v>
      </c>
      <c r="H67" s="62">
        <v>0</v>
      </c>
      <c r="I67" s="65">
        <f>SUM(D67:H67)</f>
        <v>1</v>
      </c>
      <c r="J67" s="202"/>
    </row>
    <row r="68" spans="2:10" x14ac:dyDescent="0.25">
      <c r="B68" s="32"/>
      <c r="C68" s="6" t="s">
        <v>475</v>
      </c>
      <c r="D68" s="62">
        <v>0.67</v>
      </c>
      <c r="E68" s="62">
        <v>0</v>
      </c>
      <c r="F68" s="62">
        <v>0.33</v>
      </c>
      <c r="G68" s="62">
        <v>0</v>
      </c>
      <c r="H68" s="62">
        <v>0</v>
      </c>
      <c r="I68" s="65">
        <f>SUM(D68:H68)</f>
        <v>1</v>
      </c>
      <c r="J68" s="260"/>
    </row>
    <row r="69" spans="2:10" x14ac:dyDescent="0.25">
      <c r="B69" s="32"/>
      <c r="C69" s="6" t="s">
        <v>103</v>
      </c>
      <c r="D69" s="62">
        <v>0</v>
      </c>
      <c r="E69" s="62">
        <v>0</v>
      </c>
      <c r="F69" s="62">
        <v>0.7</v>
      </c>
      <c r="G69" s="62">
        <v>0</v>
      </c>
      <c r="H69" s="62">
        <v>0.3</v>
      </c>
      <c r="I69" s="65">
        <f t="shared" ref="I69:I82" si="6">SUM(D69:H69)</f>
        <v>1</v>
      </c>
      <c r="J69" s="202"/>
    </row>
    <row r="70" spans="2:10" x14ac:dyDescent="0.25">
      <c r="B70" s="32"/>
      <c r="C70" s="6" t="s">
        <v>194</v>
      </c>
      <c r="D70" s="62">
        <v>0</v>
      </c>
      <c r="E70" s="62">
        <v>0</v>
      </c>
      <c r="F70" s="62">
        <v>1</v>
      </c>
      <c r="G70" s="62">
        <v>0</v>
      </c>
      <c r="H70" s="62">
        <v>0</v>
      </c>
      <c r="I70" s="65">
        <f t="shared" si="6"/>
        <v>1</v>
      </c>
      <c r="J70" s="202"/>
    </row>
    <row r="71" spans="2:10" x14ac:dyDescent="0.25">
      <c r="B71" s="32"/>
      <c r="C71" s="6" t="s">
        <v>195</v>
      </c>
      <c r="D71" s="62">
        <v>0.67</v>
      </c>
      <c r="E71" s="62">
        <v>0</v>
      </c>
      <c r="F71" s="62">
        <v>0.13</v>
      </c>
      <c r="G71" s="62">
        <v>0</v>
      </c>
      <c r="H71" s="62">
        <v>0.2</v>
      </c>
      <c r="I71" s="65">
        <f t="shared" si="6"/>
        <v>1</v>
      </c>
      <c r="J71" s="202"/>
    </row>
    <row r="72" spans="2:10" x14ac:dyDescent="0.25">
      <c r="B72" s="32"/>
      <c r="C72" s="6" t="s">
        <v>196</v>
      </c>
      <c r="D72" s="62">
        <v>0.67</v>
      </c>
      <c r="E72" s="62">
        <v>0</v>
      </c>
      <c r="F72" s="62">
        <v>0.13</v>
      </c>
      <c r="G72" s="62">
        <v>0</v>
      </c>
      <c r="H72" s="62">
        <v>0.2</v>
      </c>
      <c r="I72" s="65">
        <f t="shared" si="6"/>
        <v>1</v>
      </c>
      <c r="J72" s="202"/>
    </row>
    <row r="73" spans="2:10" x14ac:dyDescent="0.25">
      <c r="B73" s="32"/>
      <c r="C73" s="6" t="s">
        <v>197</v>
      </c>
      <c r="D73" s="62">
        <v>0.67</v>
      </c>
      <c r="E73" s="62">
        <v>0</v>
      </c>
      <c r="F73" s="62">
        <v>0.13</v>
      </c>
      <c r="G73" s="62">
        <v>0</v>
      </c>
      <c r="H73" s="62">
        <v>0.2</v>
      </c>
      <c r="I73" s="65">
        <f t="shared" si="6"/>
        <v>1</v>
      </c>
      <c r="J73" s="202"/>
    </row>
    <row r="74" spans="2:10" x14ac:dyDescent="0.25">
      <c r="B74" s="32"/>
      <c r="C74" s="75" t="s">
        <v>187</v>
      </c>
      <c r="D74" s="76">
        <v>0.17</v>
      </c>
      <c r="E74" s="76">
        <v>0.17</v>
      </c>
      <c r="F74" s="76">
        <v>0.42</v>
      </c>
      <c r="G74" s="76">
        <v>0.17</v>
      </c>
      <c r="H74" s="76">
        <v>7.0000000000000007E-2</v>
      </c>
      <c r="I74" s="65">
        <f t="shared" si="6"/>
        <v>1</v>
      </c>
      <c r="J74" s="202"/>
    </row>
    <row r="75" spans="2:10" x14ac:dyDescent="0.25">
      <c r="B75" s="32"/>
      <c r="C75" s="6" t="s">
        <v>198</v>
      </c>
      <c r="D75" s="62">
        <v>0.17</v>
      </c>
      <c r="E75" s="62">
        <v>0.17</v>
      </c>
      <c r="F75" s="62">
        <v>0.42</v>
      </c>
      <c r="G75" s="62">
        <v>0.17</v>
      </c>
      <c r="H75" s="62">
        <v>7.0000000000000007E-2</v>
      </c>
      <c r="I75" s="65">
        <f t="shared" si="6"/>
        <v>1</v>
      </c>
      <c r="J75" s="202"/>
    </row>
    <row r="76" spans="2:10" x14ac:dyDescent="0.25">
      <c r="B76" s="32"/>
      <c r="C76" s="6" t="s">
        <v>199</v>
      </c>
      <c r="D76" s="62">
        <v>0.05</v>
      </c>
      <c r="E76" s="62">
        <v>0.05</v>
      </c>
      <c r="F76" s="62">
        <v>0.15</v>
      </c>
      <c r="G76" s="62">
        <v>0</v>
      </c>
      <c r="H76" s="62">
        <v>0.75</v>
      </c>
      <c r="I76" s="65">
        <f t="shared" si="6"/>
        <v>1</v>
      </c>
      <c r="J76" s="202"/>
    </row>
    <row r="77" spans="2:10" x14ac:dyDescent="0.25">
      <c r="B77" s="32"/>
      <c r="C77" s="6" t="s">
        <v>251</v>
      </c>
      <c r="D77" s="62">
        <v>0</v>
      </c>
      <c r="E77" s="62">
        <v>0.05</v>
      </c>
      <c r="F77" s="62">
        <v>0.9</v>
      </c>
      <c r="G77" s="62">
        <v>0</v>
      </c>
      <c r="H77" s="62">
        <v>0.05</v>
      </c>
      <c r="I77" s="65">
        <f t="shared" si="6"/>
        <v>1</v>
      </c>
      <c r="J77" s="202"/>
    </row>
    <row r="78" spans="2:10" x14ac:dyDescent="0.25">
      <c r="B78" s="32"/>
      <c r="C78" s="6" t="s">
        <v>200</v>
      </c>
      <c r="D78" s="62">
        <v>0.05</v>
      </c>
      <c r="E78" s="62">
        <v>0.05</v>
      </c>
      <c r="F78" s="62">
        <v>0.15</v>
      </c>
      <c r="G78" s="62">
        <v>0</v>
      </c>
      <c r="H78" s="62">
        <v>0.75</v>
      </c>
      <c r="I78" s="65">
        <f t="shared" si="6"/>
        <v>1</v>
      </c>
      <c r="J78" s="202"/>
    </row>
    <row r="79" spans="2:10" x14ac:dyDescent="0.25">
      <c r="B79" s="32"/>
      <c r="C79" s="6" t="s">
        <v>201</v>
      </c>
      <c r="D79" s="62">
        <v>0.05</v>
      </c>
      <c r="E79" s="62">
        <v>0.05</v>
      </c>
      <c r="F79" s="62">
        <v>0.15</v>
      </c>
      <c r="G79" s="62">
        <v>0</v>
      </c>
      <c r="H79" s="62">
        <v>0.75</v>
      </c>
      <c r="I79" s="65">
        <f t="shared" si="6"/>
        <v>1</v>
      </c>
      <c r="J79" s="202"/>
    </row>
    <row r="80" spans="2:10" x14ac:dyDescent="0.25">
      <c r="B80" s="32"/>
      <c r="C80" s="6" t="s">
        <v>202</v>
      </c>
      <c r="D80" s="62">
        <v>0</v>
      </c>
      <c r="E80" s="62">
        <v>0</v>
      </c>
      <c r="F80" s="62">
        <v>0.7</v>
      </c>
      <c r="G80" s="62">
        <v>0</v>
      </c>
      <c r="H80" s="62">
        <v>0.3</v>
      </c>
      <c r="I80" s="65">
        <f t="shared" si="6"/>
        <v>1</v>
      </c>
      <c r="J80" s="202"/>
    </row>
    <row r="81" spans="2:10" x14ac:dyDescent="0.25">
      <c r="B81" s="32"/>
      <c r="C81" s="6" t="s">
        <v>203</v>
      </c>
      <c r="D81" s="62">
        <v>0</v>
      </c>
      <c r="E81" s="62">
        <v>0</v>
      </c>
      <c r="F81" s="62">
        <v>0.5</v>
      </c>
      <c r="G81" s="62">
        <v>0</v>
      </c>
      <c r="H81" s="62">
        <v>0.5</v>
      </c>
      <c r="I81" s="65">
        <f t="shared" si="6"/>
        <v>1</v>
      </c>
      <c r="J81" s="202"/>
    </row>
    <row r="82" spans="2:10" x14ac:dyDescent="0.25">
      <c r="B82" s="32"/>
      <c r="C82" s="75" t="s">
        <v>186</v>
      </c>
      <c r="D82" s="76">
        <v>0</v>
      </c>
      <c r="E82" s="76">
        <v>0.3</v>
      </c>
      <c r="F82" s="76">
        <v>0.6</v>
      </c>
      <c r="G82" s="76">
        <v>0.1</v>
      </c>
      <c r="H82" s="76">
        <v>0</v>
      </c>
      <c r="I82" s="65">
        <f t="shared" si="6"/>
        <v>0.99999999999999989</v>
      </c>
      <c r="J82" s="202"/>
    </row>
    <row r="83" spans="2:10" x14ac:dyDescent="0.25">
      <c r="B83" s="32"/>
      <c r="C83" s="6" t="s">
        <v>249</v>
      </c>
      <c r="D83" s="62">
        <v>0.05</v>
      </c>
      <c r="E83" s="62">
        <v>0.05</v>
      </c>
      <c r="F83" s="62">
        <v>0.15</v>
      </c>
      <c r="G83" s="62">
        <v>0</v>
      </c>
      <c r="H83" s="62">
        <v>0.75</v>
      </c>
      <c r="I83" s="65">
        <f>SUM(D83:H83)</f>
        <v>1</v>
      </c>
      <c r="J83" s="202"/>
    </row>
    <row r="84" spans="2:10" x14ac:dyDescent="0.25">
      <c r="B84" s="32"/>
      <c r="C84" s="6" t="s">
        <v>244</v>
      </c>
      <c r="D84" s="62">
        <v>0.05</v>
      </c>
      <c r="E84" s="62">
        <v>0.05</v>
      </c>
      <c r="F84" s="62">
        <v>0.15</v>
      </c>
      <c r="G84" s="62">
        <v>0</v>
      </c>
      <c r="H84" s="62">
        <v>0.75</v>
      </c>
      <c r="I84" s="65">
        <f t="shared" ref="I84:I86" si="7">SUM(D84:H84)</f>
        <v>1</v>
      </c>
      <c r="J84" s="202"/>
    </row>
    <row r="85" spans="2:10" x14ac:dyDescent="0.25">
      <c r="B85" s="32"/>
      <c r="C85" s="6" t="s">
        <v>245</v>
      </c>
      <c r="D85" s="62">
        <v>0.05</v>
      </c>
      <c r="E85" s="62">
        <v>0.05</v>
      </c>
      <c r="F85" s="62">
        <v>0.15</v>
      </c>
      <c r="G85" s="62">
        <v>0</v>
      </c>
      <c r="H85" s="62">
        <v>0.75</v>
      </c>
      <c r="I85" s="65">
        <f t="shared" si="7"/>
        <v>1</v>
      </c>
      <c r="J85" s="202"/>
    </row>
    <row r="86" spans="2:10" x14ac:dyDescent="0.25">
      <c r="B86" s="32"/>
      <c r="C86" s="6" t="s">
        <v>204</v>
      </c>
      <c r="D86" s="62">
        <v>0</v>
      </c>
      <c r="E86" s="62">
        <v>0</v>
      </c>
      <c r="F86" s="62">
        <v>0.2</v>
      </c>
      <c r="G86" s="62">
        <v>0</v>
      </c>
      <c r="H86" s="62">
        <v>0.8</v>
      </c>
      <c r="I86" s="65">
        <f t="shared" si="7"/>
        <v>1</v>
      </c>
      <c r="J86" s="202"/>
    </row>
    <row r="87" spans="2:10" x14ac:dyDescent="0.25">
      <c r="B87" s="32"/>
      <c r="C87" s="6" t="s">
        <v>273</v>
      </c>
      <c r="D87" s="62">
        <v>0.05</v>
      </c>
      <c r="E87" s="62">
        <v>0.05</v>
      </c>
      <c r="F87" s="62">
        <v>0.15</v>
      </c>
      <c r="G87" s="62">
        <v>0</v>
      </c>
      <c r="H87" s="62">
        <v>0.75</v>
      </c>
      <c r="I87" s="65">
        <f>SUM(D88:H88)</f>
        <v>1</v>
      </c>
      <c r="J87" s="202"/>
    </row>
    <row r="88" spans="2:10" x14ac:dyDescent="0.25">
      <c r="B88" s="32"/>
      <c r="C88" s="6" t="s">
        <v>241</v>
      </c>
      <c r="D88" s="62">
        <v>0</v>
      </c>
      <c r="E88" s="62">
        <v>0</v>
      </c>
      <c r="F88" s="62">
        <v>0.2</v>
      </c>
      <c r="G88" s="62">
        <v>0</v>
      </c>
      <c r="H88" s="62">
        <v>0.8</v>
      </c>
      <c r="I88" s="65">
        <f>SUM(D89:H89)</f>
        <v>1</v>
      </c>
      <c r="J88" s="202"/>
    </row>
    <row r="89" spans="2:10" x14ac:dyDescent="0.25">
      <c r="B89" s="32"/>
      <c r="C89" s="6" t="s">
        <v>242</v>
      </c>
      <c r="D89" s="62">
        <v>0</v>
      </c>
      <c r="E89" s="62">
        <v>0</v>
      </c>
      <c r="F89" s="62">
        <v>0.2</v>
      </c>
      <c r="G89" s="62">
        <v>0</v>
      </c>
      <c r="H89" s="62">
        <v>0.8</v>
      </c>
      <c r="I89" s="65">
        <f>SUM(D87:H87)</f>
        <v>1</v>
      </c>
      <c r="J89" s="202"/>
    </row>
    <row r="90" spans="2:10" x14ac:dyDescent="0.25">
      <c r="B90" s="32"/>
      <c r="C90" s="6" t="s">
        <v>246</v>
      </c>
      <c r="D90" s="62">
        <v>0</v>
      </c>
      <c r="E90" s="62">
        <v>0</v>
      </c>
      <c r="F90" s="62">
        <v>0.9</v>
      </c>
      <c r="G90" s="62">
        <v>0</v>
      </c>
      <c r="H90" s="62">
        <v>0.1</v>
      </c>
      <c r="I90" s="65">
        <f t="shared" ref="I90:I93" si="8">SUM(D90:H90)</f>
        <v>1</v>
      </c>
      <c r="J90" s="202"/>
    </row>
    <row r="91" spans="2:10" x14ac:dyDescent="0.25">
      <c r="B91" s="32"/>
      <c r="C91" s="6" t="s">
        <v>247</v>
      </c>
      <c r="D91" s="62">
        <v>0</v>
      </c>
      <c r="E91" s="62">
        <v>0</v>
      </c>
      <c r="F91" s="62">
        <v>0.9</v>
      </c>
      <c r="G91" s="62">
        <v>0</v>
      </c>
      <c r="H91" s="62">
        <v>0.1</v>
      </c>
      <c r="I91" s="65">
        <f t="shared" si="8"/>
        <v>1</v>
      </c>
      <c r="J91" s="202"/>
    </row>
    <row r="92" spans="2:10" x14ac:dyDescent="0.25">
      <c r="B92" s="32"/>
      <c r="C92" s="6" t="s">
        <v>209</v>
      </c>
      <c r="D92" s="62">
        <v>0</v>
      </c>
      <c r="E92" s="62">
        <v>0</v>
      </c>
      <c r="F92" s="62">
        <v>0.3</v>
      </c>
      <c r="G92" s="62">
        <v>0</v>
      </c>
      <c r="H92" s="62">
        <v>0.7</v>
      </c>
      <c r="I92" s="65">
        <f t="shared" si="8"/>
        <v>1</v>
      </c>
      <c r="J92" s="202"/>
    </row>
    <row r="93" spans="2:10" x14ac:dyDescent="0.25">
      <c r="B93" s="32"/>
      <c r="C93" s="6" t="s">
        <v>250</v>
      </c>
      <c r="D93" s="62">
        <v>0.05</v>
      </c>
      <c r="E93" s="62">
        <v>0.15</v>
      </c>
      <c r="F93" s="62">
        <v>0.4</v>
      </c>
      <c r="G93" s="62">
        <v>0</v>
      </c>
      <c r="H93" s="62">
        <v>0.4</v>
      </c>
      <c r="I93" s="65">
        <f t="shared" si="8"/>
        <v>1</v>
      </c>
      <c r="J93" s="202"/>
    </row>
    <row r="94" spans="2:10" x14ac:dyDescent="0.25">
      <c r="B94" s="32"/>
      <c r="C94" s="6" t="s">
        <v>248</v>
      </c>
      <c r="D94" s="62">
        <v>0.05</v>
      </c>
      <c r="E94" s="62">
        <v>0.15</v>
      </c>
      <c r="F94" s="62">
        <v>0.4</v>
      </c>
      <c r="G94" s="62">
        <v>0</v>
      </c>
      <c r="H94" s="62">
        <v>0.4</v>
      </c>
      <c r="I94" s="65">
        <v>1</v>
      </c>
      <c r="J94" s="114"/>
    </row>
    <row r="95" spans="2:10" x14ac:dyDescent="0.25">
      <c r="B95" s="32"/>
      <c r="C95" s="6" t="s">
        <v>240</v>
      </c>
      <c r="D95" s="62">
        <v>0.75</v>
      </c>
      <c r="E95" s="62">
        <v>0</v>
      </c>
      <c r="F95" s="62">
        <v>0</v>
      </c>
      <c r="G95" s="62">
        <v>0.05</v>
      </c>
      <c r="H95" s="62">
        <v>0.2</v>
      </c>
      <c r="I95" s="65">
        <v>1</v>
      </c>
      <c r="J95" s="114"/>
    </row>
    <row r="96" spans="2:10" x14ac:dyDescent="0.25">
      <c r="B96" s="32"/>
      <c r="C96" s="6" t="s">
        <v>253</v>
      </c>
      <c r="D96" s="62">
        <v>0</v>
      </c>
      <c r="E96" s="62">
        <v>0</v>
      </c>
      <c r="F96" s="62">
        <v>1</v>
      </c>
      <c r="G96" s="62">
        <v>0</v>
      </c>
      <c r="H96" s="62">
        <v>0</v>
      </c>
      <c r="I96" s="65">
        <v>1</v>
      </c>
      <c r="J96" s="114"/>
    </row>
    <row r="97" spans="2:10" x14ac:dyDescent="0.25">
      <c r="B97" s="32"/>
      <c r="C97" s="6" t="s">
        <v>254</v>
      </c>
      <c r="D97" s="62">
        <v>0</v>
      </c>
      <c r="E97" s="62">
        <v>0</v>
      </c>
      <c r="F97" s="62">
        <v>1</v>
      </c>
      <c r="G97" s="62">
        <v>0</v>
      </c>
      <c r="H97" s="62">
        <v>0</v>
      </c>
      <c r="I97" s="65">
        <v>1</v>
      </c>
      <c r="J97" s="114"/>
    </row>
    <row r="98" spans="2:10" x14ac:dyDescent="0.25">
      <c r="B98" s="33"/>
      <c r="C98" s="6" t="s">
        <v>5</v>
      </c>
      <c r="D98" s="62">
        <v>0.1</v>
      </c>
      <c r="E98" s="62">
        <v>0.1</v>
      </c>
      <c r="F98" s="62">
        <v>0.1</v>
      </c>
      <c r="G98" s="62">
        <v>0</v>
      </c>
      <c r="H98" s="62">
        <v>0.7</v>
      </c>
      <c r="I98" s="65">
        <v>1</v>
      </c>
      <c r="J98" s="36"/>
    </row>
    <row r="99" spans="2:10" x14ac:dyDescent="0.25">
      <c r="B99" s="24" t="s">
        <v>367</v>
      </c>
    </row>
  </sheetData>
  <hyperlinks>
    <hyperlink ref="B2" location="Contents!A1" display="Table of Contents"/>
  </hyperlinks>
  <pageMargins left="0.7" right="0.7" top="0.75" bottom="0.75" header="0.3" footer="0.3"/>
  <pageSetup paperSize="9" scale="33" orientation="landscape"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Z56"/>
  <sheetViews>
    <sheetView topLeftCell="A7" zoomScale="85" zoomScaleNormal="85" zoomScalePageLayoutView="125" workbookViewId="0">
      <selection activeCell="P23" sqref="P23"/>
    </sheetView>
  </sheetViews>
  <sheetFormatPr defaultColWidth="8.85546875" defaultRowHeight="15" outlineLevelRow="1" outlineLevelCol="1" x14ac:dyDescent="0.25"/>
  <cols>
    <col min="1" max="1" width="4.7109375" style="1" customWidth="1"/>
    <col min="2" max="2" width="5.28515625" style="1" customWidth="1"/>
    <col min="3" max="3" width="48.7109375" style="1" customWidth="1"/>
    <col min="4" max="10" width="8.5703125" style="1" customWidth="1" outlineLevel="1"/>
    <col min="11" max="15" width="8.5703125" style="1" customWidth="1"/>
    <col min="16" max="16" width="12" style="1" customWidth="1"/>
    <col min="17" max="17" width="12.140625" style="1" customWidth="1"/>
    <col min="18" max="22" width="8.5703125" style="1" customWidth="1"/>
    <col min="23" max="16384" width="8.85546875" style="1"/>
  </cols>
  <sheetData>
    <row r="1" spans="2:26" ht="21" x14ac:dyDescent="0.35">
      <c r="B1" s="11" t="s">
        <v>143</v>
      </c>
    </row>
    <row r="2" spans="2:26" x14ac:dyDescent="0.25">
      <c r="B2" s="25" t="s">
        <v>6</v>
      </c>
    </row>
    <row r="4" spans="2:26" x14ac:dyDescent="0.25">
      <c r="B4" s="2" t="s">
        <v>169</v>
      </c>
      <c r="J4" s="34"/>
      <c r="K4" s="34"/>
    </row>
    <row r="5" spans="2:26" x14ac:dyDescent="0.25">
      <c r="B5" s="2"/>
      <c r="L5" s="223"/>
    </row>
    <row r="6" spans="2:26" x14ac:dyDescent="0.25">
      <c r="B6" s="2"/>
      <c r="C6" s="6" t="s">
        <v>353</v>
      </c>
      <c r="D6" s="29">
        <v>39721</v>
      </c>
      <c r="E6" s="29">
        <f>EDATE(D6,12)</f>
        <v>40086</v>
      </c>
      <c r="F6" s="29">
        <f t="shared" ref="F6:I6" si="0">EDATE(E6,12)</f>
        <v>40451</v>
      </c>
      <c r="G6" s="29">
        <f t="shared" si="0"/>
        <v>40816</v>
      </c>
      <c r="H6" s="29">
        <f t="shared" si="0"/>
        <v>41182</v>
      </c>
      <c r="I6" s="29">
        <f t="shared" si="0"/>
        <v>41547</v>
      </c>
      <c r="J6" s="29">
        <f>EDATE(I6,12)</f>
        <v>41912</v>
      </c>
      <c r="K6" s="29">
        <v>42156</v>
      </c>
      <c r="L6" s="29">
        <f>EDATE(K6,12)</f>
        <v>42522</v>
      </c>
      <c r="M6" s="29">
        <f t="shared" ref="M6:O6" si="1">EDATE(L6,12)</f>
        <v>42887</v>
      </c>
      <c r="N6" s="29">
        <f t="shared" si="1"/>
        <v>43252</v>
      </c>
      <c r="O6" s="29">
        <f t="shared" si="1"/>
        <v>43617</v>
      </c>
      <c r="P6" s="29">
        <f>EDATE(O6,12)</f>
        <v>43983</v>
      </c>
      <c r="Q6" s="29">
        <f t="shared" ref="Q6" si="2">EDATE(P6,12)</f>
        <v>44348</v>
      </c>
      <c r="R6" s="29">
        <f t="shared" ref="R6" si="3">EDATE(Q6,12)</f>
        <v>44713</v>
      </c>
      <c r="S6" s="29">
        <f t="shared" ref="S6" si="4">EDATE(R6,12)</f>
        <v>45078</v>
      </c>
      <c r="T6" s="29">
        <f t="shared" ref="T6:U6" si="5">EDATE(S6,12)</f>
        <v>45444</v>
      </c>
      <c r="U6" s="29">
        <f t="shared" si="5"/>
        <v>45809</v>
      </c>
    </row>
    <row r="7" spans="2:26" x14ac:dyDescent="0.25">
      <c r="B7" s="2"/>
      <c r="C7" s="6"/>
      <c r="D7" s="29" t="s">
        <v>287</v>
      </c>
      <c r="E7" s="29" t="s">
        <v>287</v>
      </c>
      <c r="F7" s="29" t="s">
        <v>287</v>
      </c>
      <c r="G7" s="29" t="s">
        <v>287</v>
      </c>
      <c r="H7" s="29" t="s">
        <v>287</v>
      </c>
      <c r="I7" s="29" t="s">
        <v>287</v>
      </c>
      <c r="J7" s="29" t="s">
        <v>287</v>
      </c>
      <c r="K7" s="29" t="s">
        <v>287</v>
      </c>
      <c r="L7" s="29" t="s">
        <v>287</v>
      </c>
      <c r="M7" s="29" t="s">
        <v>287</v>
      </c>
      <c r="N7" s="29" t="s">
        <v>287</v>
      </c>
      <c r="O7" s="29" t="s">
        <v>287</v>
      </c>
      <c r="P7" s="796" t="s">
        <v>287</v>
      </c>
      <c r="Q7" s="29" t="s">
        <v>288</v>
      </c>
      <c r="R7" s="29" t="s">
        <v>288</v>
      </c>
      <c r="S7" s="29" t="s">
        <v>288</v>
      </c>
      <c r="T7" s="29" t="s">
        <v>288</v>
      </c>
      <c r="U7" s="29" t="s">
        <v>288</v>
      </c>
    </row>
    <row r="8" spans="2:26" x14ac:dyDescent="0.25">
      <c r="B8" s="2"/>
      <c r="C8" s="783" t="s">
        <v>42</v>
      </c>
      <c r="D8" s="784">
        <v>2009</v>
      </c>
      <c r="E8" s="784">
        <v>2010</v>
      </c>
      <c r="F8" s="784">
        <v>2011</v>
      </c>
      <c r="G8" s="784">
        <v>2012</v>
      </c>
      <c r="H8" s="784">
        <v>2013</v>
      </c>
      <c r="I8" s="784">
        <v>2014</v>
      </c>
      <c r="J8" s="784">
        <v>2015</v>
      </c>
      <c r="K8" s="784">
        <v>2016</v>
      </c>
      <c r="L8" s="784">
        <v>2017</v>
      </c>
      <c r="M8" s="784">
        <v>2018</v>
      </c>
      <c r="N8" s="784">
        <v>2019</v>
      </c>
      <c r="O8" s="784">
        <v>2020</v>
      </c>
      <c r="P8" s="797" t="s">
        <v>802</v>
      </c>
      <c r="Q8" s="784" t="s">
        <v>803</v>
      </c>
      <c r="R8" s="784" t="s">
        <v>804</v>
      </c>
      <c r="S8" s="784" t="s">
        <v>805</v>
      </c>
      <c r="T8" s="784" t="s">
        <v>806</v>
      </c>
      <c r="U8" s="784" t="s">
        <v>807</v>
      </c>
    </row>
    <row r="9" spans="2:26" hidden="1" outlineLevel="1" x14ac:dyDescent="0.25">
      <c r="B9" s="2"/>
      <c r="C9" s="6" t="s">
        <v>354</v>
      </c>
      <c r="D9" s="71">
        <v>166.5</v>
      </c>
      <c r="E9" s="71">
        <v>168.6</v>
      </c>
      <c r="F9" s="71">
        <v>173.3</v>
      </c>
      <c r="G9" s="71">
        <v>179.4</v>
      </c>
      <c r="H9" s="184"/>
      <c r="I9" s="184"/>
      <c r="J9" s="184"/>
      <c r="K9" s="184"/>
      <c r="L9" s="184"/>
      <c r="M9" s="184"/>
      <c r="N9" s="184"/>
      <c r="O9" s="184"/>
      <c r="P9" s="184"/>
      <c r="Q9" s="184"/>
      <c r="R9" s="184"/>
      <c r="S9" s="184"/>
      <c r="T9" s="184"/>
      <c r="U9" s="184"/>
    </row>
    <row r="10" spans="2:26" hidden="1" outlineLevel="1" x14ac:dyDescent="0.25">
      <c r="B10" s="2"/>
      <c r="C10" s="6" t="s">
        <v>355</v>
      </c>
      <c r="D10" s="185"/>
      <c r="E10" s="185"/>
      <c r="F10" s="185"/>
      <c r="G10" s="99">
        <v>99.8</v>
      </c>
      <c r="H10" s="99">
        <v>101.8</v>
      </c>
      <c r="I10" s="99">
        <v>104</v>
      </c>
      <c r="J10" s="99">
        <v>106.4</v>
      </c>
      <c r="K10" s="311"/>
      <c r="L10" s="311"/>
      <c r="M10" s="311"/>
      <c r="N10" s="311"/>
      <c r="O10" s="311"/>
      <c r="P10" s="311"/>
      <c r="Q10" s="311"/>
      <c r="R10" s="311"/>
      <c r="S10" s="311"/>
      <c r="T10" s="311"/>
      <c r="U10" s="311"/>
    </row>
    <row r="11" spans="2:26" collapsed="1" x14ac:dyDescent="0.25">
      <c r="B11" s="2"/>
      <c r="C11" s="6" t="s">
        <v>515</v>
      </c>
      <c r="D11" s="185"/>
      <c r="E11" s="185"/>
      <c r="F11" s="185"/>
      <c r="G11" s="312"/>
      <c r="H11" s="312"/>
      <c r="I11" s="312"/>
      <c r="J11" s="312"/>
      <c r="K11" s="231">
        <v>107.5</v>
      </c>
      <c r="L11" s="99">
        <v>108.6</v>
      </c>
      <c r="M11" s="99">
        <v>110.7</v>
      </c>
      <c r="N11" s="99">
        <v>113</v>
      </c>
      <c r="O11" s="99">
        <v>114.8</v>
      </c>
      <c r="P11" s="794">
        <f t="shared" ref="P11:U11" si="6">O11*(1+P12)</f>
        <v>116.2</v>
      </c>
      <c r="Q11" s="99">
        <f t="shared" si="6"/>
        <v>118.9589466848944</v>
      </c>
      <c r="R11" s="99">
        <f t="shared" si="6"/>
        <v>121.78339928037477</v>
      </c>
      <c r="S11" s="99">
        <f t="shared" si="6"/>
        <v>124.67491309896134</v>
      </c>
      <c r="T11" s="99">
        <f t="shared" si="6"/>
        <v>127.63508038109453</v>
      </c>
      <c r="U11" s="99">
        <f t="shared" si="6"/>
        <v>130.66553117191768</v>
      </c>
    </row>
    <row r="12" spans="2:26" x14ac:dyDescent="0.25">
      <c r="B12" s="2"/>
      <c r="C12" s="6" t="s">
        <v>308</v>
      </c>
      <c r="D12" s="110">
        <f>D9/158.6-1</f>
        <v>4.9810844892812067E-2</v>
      </c>
      <c r="E12" s="110">
        <f>E9/D9-1</f>
        <v>1.2612612612612484E-2</v>
      </c>
      <c r="F12" s="110">
        <f t="shared" ref="F12:G12" si="7">F9/E9-1</f>
        <v>2.7876631079478242E-2</v>
      </c>
      <c r="G12" s="110">
        <f t="shared" si="7"/>
        <v>3.5199076745527913E-2</v>
      </c>
      <c r="H12" s="110">
        <f>H10/G10-1</f>
        <v>2.0040080160320661E-2</v>
      </c>
      <c r="I12" s="110">
        <f t="shared" ref="I12:J12" si="8">I10/H10-1</f>
        <v>2.16110019646365E-2</v>
      </c>
      <c r="J12" s="110">
        <f t="shared" si="8"/>
        <v>2.3076923076923217E-2</v>
      </c>
      <c r="K12" s="110">
        <v>1.5108593012275628E-2</v>
      </c>
      <c r="L12" s="110">
        <v>1.0232558139534831E-2</v>
      </c>
      <c r="M12" s="110">
        <v>1.9337016574585641E-2</v>
      </c>
      <c r="N12" s="110">
        <v>2.0776874435411097E-2</v>
      </c>
      <c r="O12" s="110">
        <v>1.5929203539823078E-2</v>
      </c>
      <c r="P12" s="795">
        <f>116.2/114.8-1</f>
        <v>1.2195121951219523E-2</v>
      </c>
      <c r="Q12" s="795">
        <v>2.3743086789108414E-2</v>
      </c>
      <c r="R12" s="795">
        <v>2.3743086789108414E-2</v>
      </c>
      <c r="S12" s="795">
        <v>2.3743086789108414E-2</v>
      </c>
      <c r="T12" s="795">
        <v>2.3743086789108414E-2</v>
      </c>
      <c r="U12" s="795">
        <v>2.3743086789108414E-2</v>
      </c>
    </row>
    <row r="13" spans="2:26" x14ac:dyDescent="0.25">
      <c r="B13" s="2"/>
      <c r="C13" s="6" t="s">
        <v>456</v>
      </c>
      <c r="D13" s="27"/>
      <c r="E13" s="27"/>
      <c r="F13" s="27"/>
      <c r="G13" s="27"/>
      <c r="H13" s="27"/>
      <c r="I13" s="63"/>
      <c r="J13" s="186">
        <v>1</v>
      </c>
      <c r="K13" s="217">
        <f>J13*(1+K12)</f>
        <v>1.0151085930122756</v>
      </c>
      <c r="L13" s="217">
        <f t="shared" ref="L13:O13" si="9">K13*(1+L12)</f>
        <v>1.0254957507082152</v>
      </c>
      <c r="M13" s="217">
        <f t="shared" si="9"/>
        <v>1.0453257790368271</v>
      </c>
      <c r="N13" s="217">
        <f t="shared" si="9"/>
        <v>1.0670443814919734</v>
      </c>
      <c r="O13" s="217">
        <f t="shared" si="9"/>
        <v>1.0840415486307837</v>
      </c>
      <c r="P13" s="217">
        <f t="shared" ref="P13:U13" si="10">O13*(1+P12)</f>
        <v>1.0972615675165249</v>
      </c>
      <c r="Q13" s="217">
        <f t="shared" si="10"/>
        <v>1.1233139441444229</v>
      </c>
      <c r="R13" s="217">
        <f t="shared" si="10"/>
        <v>1.1499848846116596</v>
      </c>
      <c r="S13" s="217">
        <f t="shared" si="10"/>
        <v>1.1772890755331571</v>
      </c>
      <c r="T13" s="217">
        <f t="shared" si="10"/>
        <v>1.20524155222941</v>
      </c>
      <c r="U13" s="217">
        <f t="shared" si="10"/>
        <v>1.2338577070058325</v>
      </c>
    </row>
    <row r="14" spans="2:26" x14ac:dyDescent="0.25">
      <c r="B14" s="2"/>
      <c r="C14" s="6" t="s">
        <v>390</v>
      </c>
      <c r="D14" s="27"/>
      <c r="E14" s="27"/>
      <c r="F14" s="27"/>
      <c r="G14" s="217"/>
      <c r="H14" s="217"/>
      <c r="I14" s="217"/>
      <c r="J14" s="217"/>
      <c r="K14" s="217"/>
      <c r="L14" s="217"/>
      <c r="M14" s="217">
        <v>1</v>
      </c>
      <c r="N14" s="217">
        <f>M14*(1+N12)</f>
        <v>1.0207768744354111</v>
      </c>
      <c r="O14" s="217">
        <f t="shared" ref="O14" si="11">N14*(1+O12)</f>
        <v>1.0370370370370372</v>
      </c>
      <c r="P14" s="217">
        <f>O14*(1+P12)*(1+Q12)^0.5</f>
        <v>1.0620720947761066</v>
      </c>
      <c r="Q14" s="217">
        <f t="shared" ref="Q14:U14" si="12">P14*(1+Q12)</f>
        <v>1.0872889646986659</v>
      </c>
      <c r="R14" s="217">
        <f t="shared" si="12"/>
        <v>1.1131045609523462</v>
      </c>
      <c r="S14" s="217">
        <f t="shared" si="12"/>
        <v>1.1395330991483903</v>
      </c>
      <c r="T14" s="217">
        <f t="shared" si="12"/>
        <v>1.1665891324205322</v>
      </c>
      <c r="U14" s="217">
        <f t="shared" si="12"/>
        <v>1.1942875594388236</v>
      </c>
    </row>
    <row r="15" spans="2:26" x14ac:dyDescent="0.25">
      <c r="B15" s="2"/>
      <c r="C15" s="6" t="s">
        <v>407</v>
      </c>
      <c r="D15" s="27"/>
      <c r="E15" s="110"/>
      <c r="F15" s="110"/>
      <c r="G15" s="110"/>
      <c r="H15" s="110"/>
      <c r="I15" s="109"/>
      <c r="J15" s="63"/>
      <c r="K15" s="63"/>
      <c r="L15" s="63"/>
      <c r="M15" s="63"/>
      <c r="N15" s="63"/>
      <c r="O15" s="63">
        <v>1</v>
      </c>
      <c r="P15" s="63">
        <f>P11/$O$11</f>
        <v>1.0121951219512195</v>
      </c>
      <c r="Q15" s="63">
        <f t="shared" ref="Q15:U15" si="13">Q11/$O$11</f>
        <v>1.0362277585792194</v>
      </c>
      <c r="R15" s="63">
        <f t="shared" si="13"/>
        <v>1.0608310041844493</v>
      </c>
      <c r="S15" s="63">
        <f t="shared" si="13"/>
        <v>1.0860184067853775</v>
      </c>
      <c r="T15" s="63">
        <f t="shared" si="13"/>
        <v>1.111803836072252</v>
      </c>
      <c r="U15" s="63">
        <f t="shared" si="13"/>
        <v>1.138201491044579</v>
      </c>
      <c r="Z15" s="651"/>
    </row>
    <row r="16" spans="2:26" x14ac:dyDescent="0.25">
      <c r="B16" s="2"/>
      <c r="C16" s="6" t="s">
        <v>408</v>
      </c>
      <c r="D16" s="81">
        <f t="shared" ref="D16:J16" si="14">(1+E$12)*E16</f>
        <v>1.2452748456018454</v>
      </c>
      <c r="E16" s="81">
        <f t="shared" si="14"/>
        <v>1.2297643048203279</v>
      </c>
      <c r="F16" s="81">
        <f t="shared" si="14"/>
        <v>1.1964123588730944</v>
      </c>
      <c r="G16" s="81">
        <f t="shared" si="14"/>
        <v>1.1557316710853247</v>
      </c>
      <c r="H16" s="81">
        <f t="shared" si="14"/>
        <v>1.133025744344945</v>
      </c>
      <c r="I16" s="81">
        <f t="shared" si="14"/>
        <v>1.109057892060725</v>
      </c>
      <c r="J16" s="81">
        <f t="shared" si="14"/>
        <v>1.0840415486307837</v>
      </c>
      <c r="K16" s="81">
        <f t="shared" ref="K16:N16" si="15">(1+L$12)*L16</f>
        <v>1.0679069767441862</v>
      </c>
      <c r="L16" s="81">
        <f t="shared" si="15"/>
        <v>1.0570902394106816</v>
      </c>
      <c r="M16" s="81">
        <f t="shared" si="15"/>
        <v>1.0370370370370372</v>
      </c>
      <c r="N16" s="81">
        <f t="shared" si="15"/>
        <v>1.0159292035398231</v>
      </c>
      <c r="O16" s="81">
        <v>1</v>
      </c>
      <c r="P16" s="6"/>
      <c r="Q16" s="6"/>
      <c r="R16" s="6"/>
      <c r="S16" s="6"/>
      <c r="T16" s="6"/>
      <c r="U16" s="6"/>
    </row>
    <row r="17" spans="2:21" x14ac:dyDescent="0.25">
      <c r="B17" s="2"/>
      <c r="C17" s="6" t="s">
        <v>603</v>
      </c>
      <c r="D17" s="81"/>
      <c r="E17" s="81"/>
      <c r="F17" s="81"/>
      <c r="G17" s="81"/>
      <c r="H17" s="81"/>
      <c r="I17" s="81"/>
      <c r="J17" s="81"/>
      <c r="K17" s="81">
        <f>$P$11/K11</f>
        <v>1.0809302325581396</v>
      </c>
      <c r="L17" s="81">
        <f>$P$11/L11</f>
        <v>1.0699815837937385</v>
      </c>
      <c r="M17" s="81">
        <f>$P$11/M11</f>
        <v>1.0496838301716351</v>
      </c>
      <c r="N17" s="81">
        <f>$P$11/N11</f>
        <v>1.0283185840707965</v>
      </c>
      <c r="O17" s="81">
        <f>$P$11/O11</f>
        <v>1.0121951219512195</v>
      </c>
      <c r="P17" s="63">
        <v>1</v>
      </c>
      <c r="Q17" s="63">
        <f>$P$11/Q11</f>
        <v>0.97680757301758514</v>
      </c>
      <c r="R17" s="63">
        <f>$P$11/R11</f>
        <v>0.95415303470450497</v>
      </c>
      <c r="S17" s="63">
        <f>$P$11/S11</f>
        <v>0.9320239101170712</v>
      </c>
      <c r="T17" s="63">
        <f>$P$11/T11</f>
        <v>0.91040801363581625</v>
      </c>
      <c r="U17" s="63">
        <f>$P$11/U11</f>
        <v>0.88929344225536222</v>
      </c>
    </row>
    <row r="18" spans="2:21" x14ac:dyDescent="0.25">
      <c r="B18" s="2"/>
      <c r="C18" s="64" t="s">
        <v>307</v>
      </c>
      <c r="D18" s="63">
        <f t="shared" ref="D18:F18" si="16">(1+E$12)*E18</f>
        <v>1.1228222210186136</v>
      </c>
      <c r="E18" s="63">
        <f t="shared" si="16"/>
        <v>1.1088368908635777</v>
      </c>
      <c r="F18" s="63">
        <f t="shared" si="16"/>
        <v>1.0787645689532555</v>
      </c>
      <c r="G18" s="63">
        <f>(1+H$12)*H18</f>
        <v>1.0420841683366733</v>
      </c>
      <c r="H18" s="63">
        <f>1*(1+I$12)</f>
        <v>1.0216110019646365</v>
      </c>
      <c r="I18" s="63">
        <v>1</v>
      </c>
      <c r="J18" s="63">
        <f>I18/(1+J12)</f>
        <v>0.97744360902255623</v>
      </c>
      <c r="K18" s="63">
        <f t="shared" ref="K18:O18" si="17">J18/(1+K12)</f>
        <v>0.96289561112082522</v>
      </c>
      <c r="L18" s="63">
        <f t="shared" si="17"/>
        <v>0.95314252482033812</v>
      </c>
      <c r="M18" s="63">
        <f t="shared" si="17"/>
        <v>0.93506123031155119</v>
      </c>
      <c r="N18" s="63">
        <f t="shared" si="17"/>
        <v>0.91602901057954611</v>
      </c>
      <c r="O18" s="63">
        <f t="shared" si="17"/>
        <v>0.90166618637185281</v>
      </c>
      <c r="P18" s="63"/>
      <c r="Q18" s="63"/>
      <c r="R18" s="63"/>
      <c r="S18" s="63"/>
      <c r="T18" s="63"/>
      <c r="U18" s="63"/>
    </row>
    <row r="19" spans="2:21" ht="11.25" customHeight="1" x14ac:dyDescent="0.25">
      <c r="B19" s="2"/>
      <c r="C19" s="24"/>
      <c r="D19" s="100"/>
      <c r="E19" s="100"/>
      <c r="F19" s="100"/>
      <c r="G19" s="100"/>
      <c r="H19" s="100"/>
      <c r="I19" s="100"/>
      <c r="J19" s="100"/>
      <c r="K19" s="100"/>
      <c r="L19" s="100"/>
      <c r="M19" s="100"/>
      <c r="N19" s="100"/>
      <c r="O19" s="100"/>
    </row>
    <row r="20" spans="2:21" x14ac:dyDescent="0.25">
      <c r="B20" s="2"/>
      <c r="C20" s="24" t="s">
        <v>808</v>
      </c>
      <c r="P20" s="108"/>
      <c r="Q20" s="108"/>
      <c r="R20" s="108"/>
    </row>
    <row r="21" spans="2:21" x14ac:dyDescent="0.25">
      <c r="B21" s="2"/>
      <c r="C21" s="652"/>
      <c r="G21" s="1" t="s">
        <v>530</v>
      </c>
      <c r="J21" s="243">
        <f>(1+K12)^0.5*(1+L12)*(1+M12)</f>
        <v>1.0375174472699489</v>
      </c>
    </row>
    <row r="22" spans="2:21" x14ac:dyDescent="0.25">
      <c r="B22" s="2"/>
      <c r="C22" s="24"/>
      <c r="G22" s="1" t="s">
        <v>544</v>
      </c>
      <c r="J22" s="243">
        <f>J21*M16</f>
        <v>1.0759440193910583</v>
      </c>
    </row>
    <row r="23" spans="2:21" x14ac:dyDescent="0.25">
      <c r="B23" s="2" t="s">
        <v>170</v>
      </c>
    </row>
    <row r="24" spans="2:21" x14ac:dyDescent="0.25">
      <c r="B24" s="2"/>
      <c r="F24" s="222"/>
      <c r="G24" s="222"/>
      <c r="H24" s="222"/>
      <c r="I24" s="222"/>
      <c r="J24" s="114"/>
      <c r="K24" s="222"/>
    </row>
    <row r="25" spans="2:21" x14ac:dyDescent="0.25">
      <c r="B25" s="2"/>
      <c r="C25" s="6" t="s">
        <v>172</v>
      </c>
      <c r="D25" s="6"/>
      <c r="E25" s="6"/>
      <c r="F25" s="6"/>
      <c r="G25" s="6"/>
      <c r="H25" s="6"/>
      <c r="I25" s="28">
        <v>2014</v>
      </c>
      <c r="J25" s="28">
        <v>2015</v>
      </c>
      <c r="K25" s="29">
        <f t="shared" ref="K25:L25" si="18">EDATE(L25,-12)</f>
        <v>42705</v>
      </c>
      <c r="L25" s="29">
        <f t="shared" si="18"/>
        <v>43070</v>
      </c>
      <c r="M25" s="29">
        <f>EDATE(N25,-12)</f>
        <v>43435</v>
      </c>
      <c r="N25" s="29">
        <f>CP_Yr_4</f>
        <v>43800</v>
      </c>
      <c r="O25" s="29">
        <f>CP_Yr_5</f>
        <v>44166</v>
      </c>
      <c r="P25" s="29">
        <f>Stub</f>
        <v>44377</v>
      </c>
      <c r="Q25" s="29">
        <f>Yr_1</f>
        <v>44742</v>
      </c>
      <c r="R25" s="29">
        <f>Yr_2</f>
        <v>45107</v>
      </c>
      <c r="S25" s="29">
        <f>Yr_3</f>
        <v>45473</v>
      </c>
      <c r="T25" s="29">
        <f>Yr_4</f>
        <v>45838</v>
      </c>
      <c r="U25" s="29">
        <f>Yr_5</f>
        <v>46203</v>
      </c>
    </row>
    <row r="26" spans="2:21" x14ac:dyDescent="0.25">
      <c r="B26" s="2"/>
      <c r="C26" s="6" t="s">
        <v>205</v>
      </c>
      <c r="D26" s="6"/>
      <c r="E26" s="6"/>
      <c r="F26" s="6"/>
      <c r="G26" s="6"/>
      <c r="H26" s="6"/>
      <c r="I26" s="79"/>
      <c r="J26" s="125"/>
      <c r="K26" s="125"/>
      <c r="L26" s="125"/>
      <c r="M26" s="125"/>
      <c r="N26" s="798">
        <v>1.3390814877839108E-2</v>
      </c>
      <c r="O26" s="798">
        <v>4.4984499524759469E-3</v>
      </c>
      <c r="P26" s="798">
        <v>-2.274180412665916E-3</v>
      </c>
      <c r="Q26" s="798">
        <v>2.3867759115823129E-3</v>
      </c>
      <c r="R26" s="798">
        <v>-2.4977364300287118E-3</v>
      </c>
      <c r="S26" s="798">
        <v>-7.2630656307249187E-4</v>
      </c>
      <c r="T26" s="798">
        <v>3.67274824937613E-3</v>
      </c>
      <c r="U26" s="798">
        <v>9.965933609387018E-3</v>
      </c>
    </row>
    <row r="27" spans="2:21" x14ac:dyDescent="0.25">
      <c r="B27" s="2"/>
      <c r="C27" s="6" t="s">
        <v>533</v>
      </c>
      <c r="D27" s="6"/>
      <c r="E27" s="6"/>
      <c r="F27" s="6"/>
      <c r="G27" s="6"/>
      <c r="H27" s="6"/>
      <c r="I27" s="315"/>
      <c r="J27" s="315"/>
      <c r="K27" s="315"/>
      <c r="L27" s="315"/>
      <c r="M27" s="63">
        <v>1</v>
      </c>
      <c r="N27" s="63">
        <f t="shared" ref="N27:O27" si="19">(1+N26)*M27</f>
        <v>1.0133908148778392</v>
      </c>
      <c r="O27" s="63">
        <f t="shared" si="19"/>
        <v>1.017949502740866</v>
      </c>
      <c r="P27" s="63">
        <f t="shared" ref="P27" si="20">(1+P26)*O27</f>
        <v>1.0156345019206499</v>
      </c>
      <c r="Q27" s="63">
        <f t="shared" ref="Q27" si="21">(1+Q26)*P27</f>
        <v>1.0180585938848059</v>
      </c>
      <c r="R27" s="63">
        <f t="shared" ref="R27" si="22">(1+R26)*Q27</f>
        <v>1.015515751846956</v>
      </c>
      <c r="S27" s="63">
        <f t="shared" ref="S27" si="23">(1+S26)*R27</f>
        <v>1.014778176091486</v>
      </c>
      <c r="T27" s="63">
        <f t="shared" ref="T27" si="24">(1+T26)*S27</f>
        <v>1.0185052008612312</v>
      </c>
      <c r="U27" s="63">
        <f t="shared" ref="U27" si="25">(1+U26)*T27</f>
        <v>1.0286555560738295</v>
      </c>
    </row>
    <row r="28" spans="2:21" x14ac:dyDescent="0.25">
      <c r="B28" s="2"/>
      <c r="C28" s="6" t="s">
        <v>534</v>
      </c>
      <c r="D28" s="6"/>
      <c r="E28" s="6"/>
      <c r="F28" s="6"/>
      <c r="G28" s="6"/>
      <c r="H28" s="6"/>
      <c r="I28" s="63"/>
      <c r="J28" s="63">
        <v>1</v>
      </c>
      <c r="K28" s="63">
        <f>J28*(1+K26)</f>
        <v>1</v>
      </c>
      <c r="L28" s="63">
        <f>K28*(1+L26)</f>
        <v>1</v>
      </c>
      <c r="M28" s="63">
        <f>L28*(1+M26)</f>
        <v>1</v>
      </c>
      <c r="N28" s="63">
        <f t="shared" ref="N28:U28" si="26">M28*(1+N26)</f>
        <v>1.0133908148778392</v>
      </c>
      <c r="O28" s="63">
        <f t="shared" si="26"/>
        <v>1.017949502740866</v>
      </c>
      <c r="P28" s="63">
        <f t="shared" ref="P28" si="27">O28*(1+P26)</f>
        <v>1.0156345019206499</v>
      </c>
      <c r="Q28" s="63">
        <f t="shared" ref="Q28" si="28">P28*(1+Q26)</f>
        <v>1.0180585938848059</v>
      </c>
      <c r="R28" s="63">
        <f t="shared" si="26"/>
        <v>1.015515751846956</v>
      </c>
      <c r="S28" s="63">
        <f t="shared" si="26"/>
        <v>1.014778176091486</v>
      </c>
      <c r="T28" s="63">
        <f t="shared" si="26"/>
        <v>1.0185052008612312</v>
      </c>
      <c r="U28" s="63">
        <f t="shared" si="26"/>
        <v>1.0286555560738295</v>
      </c>
    </row>
    <row r="29" spans="2:21" x14ac:dyDescent="0.25">
      <c r="B29" s="2"/>
      <c r="C29" s="6" t="s">
        <v>206</v>
      </c>
      <c r="D29" s="6"/>
      <c r="E29" s="6"/>
      <c r="F29" s="6"/>
      <c r="G29" s="6"/>
      <c r="H29" s="6"/>
      <c r="I29" s="79"/>
      <c r="J29" s="125"/>
      <c r="K29" s="125"/>
      <c r="L29" s="125"/>
      <c r="M29" s="125"/>
      <c r="N29" s="798">
        <v>0</v>
      </c>
      <c r="O29" s="798">
        <v>0</v>
      </c>
      <c r="P29" s="798">
        <v>0</v>
      </c>
      <c r="Q29" s="798">
        <v>0</v>
      </c>
      <c r="R29" s="798">
        <v>0</v>
      </c>
      <c r="S29" s="798">
        <v>0</v>
      </c>
      <c r="T29" s="798">
        <v>0</v>
      </c>
      <c r="U29" s="798">
        <v>0</v>
      </c>
    </row>
    <row r="30" spans="2:21" x14ac:dyDescent="0.25">
      <c r="B30" s="2"/>
      <c r="C30" s="6" t="s">
        <v>535</v>
      </c>
      <c r="D30" s="6"/>
      <c r="E30" s="6"/>
      <c r="F30" s="6"/>
      <c r="G30" s="6"/>
      <c r="H30" s="6"/>
      <c r="I30" s="315"/>
      <c r="J30" s="315"/>
      <c r="K30" s="315"/>
      <c r="L30" s="315"/>
      <c r="M30" s="63">
        <v>1</v>
      </c>
      <c r="N30" s="63">
        <f t="shared" ref="N30" si="29">(1+N29)*M30</f>
        <v>1</v>
      </c>
      <c r="O30" s="63">
        <f t="shared" ref="O30" si="30">(1+O29)*N30</f>
        <v>1</v>
      </c>
      <c r="P30" s="63">
        <f t="shared" ref="P30" si="31">(1+P29)*O30</f>
        <v>1</v>
      </c>
      <c r="Q30" s="63">
        <f t="shared" ref="Q30" si="32">(1+Q29)*P30</f>
        <v>1</v>
      </c>
      <c r="R30" s="63">
        <f t="shared" ref="R30" si="33">(1+R29)*Q30</f>
        <v>1</v>
      </c>
      <c r="S30" s="63">
        <f t="shared" ref="S30" si="34">(1+S29)*R30</f>
        <v>1</v>
      </c>
      <c r="T30" s="63">
        <f t="shared" ref="T30" si="35">(1+T29)*S30</f>
        <v>1</v>
      </c>
      <c r="U30" s="63">
        <f t="shared" ref="U30" si="36">(1+U29)*T30</f>
        <v>1</v>
      </c>
    </row>
    <row r="31" spans="2:21" x14ac:dyDescent="0.25">
      <c r="B31" s="2"/>
      <c r="C31" s="6" t="s">
        <v>536</v>
      </c>
      <c r="D31" s="6"/>
      <c r="E31" s="6"/>
      <c r="F31" s="6"/>
      <c r="G31" s="6"/>
      <c r="H31" s="6"/>
      <c r="I31" s="63"/>
      <c r="J31" s="63">
        <v>1</v>
      </c>
      <c r="K31" s="63">
        <f>J31*(1+K29)</f>
        <v>1</v>
      </c>
      <c r="L31" s="63">
        <f>K31*(1+L29)</f>
        <v>1</v>
      </c>
      <c r="M31" s="63">
        <f t="shared" ref="M31:U31" si="37">L31*(1+M29)</f>
        <v>1</v>
      </c>
      <c r="N31" s="63">
        <f t="shared" si="37"/>
        <v>1</v>
      </c>
      <c r="O31" s="63">
        <f t="shared" si="37"/>
        <v>1</v>
      </c>
      <c r="P31" s="63">
        <f t="shared" ref="P31" si="38">O31*(1+P29)</f>
        <v>1</v>
      </c>
      <c r="Q31" s="63">
        <f t="shared" ref="Q31" si="39">P31*(1+Q29)</f>
        <v>1</v>
      </c>
      <c r="R31" s="63">
        <f t="shared" si="37"/>
        <v>1</v>
      </c>
      <c r="S31" s="63">
        <f t="shared" si="37"/>
        <v>1</v>
      </c>
      <c r="T31" s="63">
        <f t="shared" si="37"/>
        <v>1</v>
      </c>
      <c r="U31" s="63">
        <f t="shared" si="37"/>
        <v>1</v>
      </c>
    </row>
    <row r="32" spans="2:21" x14ac:dyDescent="0.25">
      <c r="B32" s="2"/>
      <c r="C32" s="512" t="s">
        <v>746</v>
      </c>
      <c r="D32" s="24"/>
      <c r="E32" s="24"/>
      <c r="F32" s="24"/>
      <c r="G32" s="24"/>
      <c r="H32" s="24"/>
    </row>
    <row r="33" spans="2:23" x14ac:dyDescent="0.25">
      <c r="B33" s="2"/>
      <c r="C33" s="24"/>
      <c r="D33" s="24"/>
      <c r="E33" s="24"/>
      <c r="F33" s="24"/>
      <c r="G33" s="24"/>
      <c r="H33" s="24"/>
      <c r="K33" s="108"/>
      <c r="L33" s="108"/>
      <c r="M33" s="108"/>
      <c r="N33" s="758"/>
      <c r="O33" s="758"/>
      <c r="P33" s="758"/>
      <c r="Q33" s="758"/>
      <c r="R33" s="758"/>
      <c r="S33" s="758"/>
      <c r="T33" s="758"/>
      <c r="U33" s="758"/>
    </row>
    <row r="34" spans="2:23" x14ac:dyDescent="0.25">
      <c r="B34" s="2" t="s">
        <v>171</v>
      </c>
    </row>
    <row r="35" spans="2:23" x14ac:dyDescent="0.25">
      <c r="B35" s="2"/>
      <c r="C35" s="6" t="s">
        <v>243</v>
      </c>
      <c r="D35" s="6"/>
      <c r="E35" s="6"/>
      <c r="F35" s="6"/>
      <c r="G35" s="6"/>
      <c r="H35" s="6"/>
      <c r="I35" s="28">
        <v>2014</v>
      </c>
      <c r="J35" s="28">
        <v>2015</v>
      </c>
      <c r="K35" s="29">
        <f t="shared" ref="K35:L35" si="40">EDATE(L35,-12)</f>
        <v>42705</v>
      </c>
      <c r="L35" s="29">
        <f t="shared" si="40"/>
        <v>43070</v>
      </c>
      <c r="M35" s="29">
        <f>EDATE(N35,-12)</f>
        <v>43435</v>
      </c>
      <c r="N35" s="29">
        <f>CP_Yr_4</f>
        <v>43800</v>
      </c>
      <c r="O35" s="29">
        <f>CP_Yr_5</f>
        <v>44166</v>
      </c>
      <c r="P35" s="29">
        <f>Stub</f>
        <v>44377</v>
      </c>
      <c r="Q35" s="29">
        <f>Yr_1</f>
        <v>44742</v>
      </c>
      <c r="R35" s="29">
        <f>Yr_2</f>
        <v>45107</v>
      </c>
      <c r="S35" s="29">
        <f>Yr_3</f>
        <v>45473</v>
      </c>
      <c r="T35" s="29">
        <f>Yr_4</f>
        <v>45838</v>
      </c>
      <c r="U35" s="29">
        <f>Yr_5</f>
        <v>46203</v>
      </c>
    </row>
    <row r="36" spans="2:23" x14ac:dyDescent="0.25">
      <c r="B36" s="2"/>
      <c r="C36" s="6" t="s">
        <v>180</v>
      </c>
      <c r="D36" s="6"/>
      <c r="E36" s="6"/>
      <c r="F36" s="6"/>
      <c r="G36" s="6"/>
      <c r="H36" s="6"/>
      <c r="I36" s="110">
        <v>0</v>
      </c>
      <c r="J36" s="110">
        <v>0</v>
      </c>
      <c r="K36" s="110">
        <v>0</v>
      </c>
      <c r="L36" s="110">
        <v>0</v>
      </c>
      <c r="M36" s="110">
        <v>0</v>
      </c>
      <c r="N36" s="110">
        <v>0</v>
      </c>
      <c r="O36" s="110">
        <v>0</v>
      </c>
      <c r="P36" s="110">
        <v>0</v>
      </c>
      <c r="Q36" s="110">
        <v>0</v>
      </c>
      <c r="R36" s="110">
        <v>0</v>
      </c>
      <c r="S36" s="110">
        <v>0</v>
      </c>
      <c r="T36" s="110">
        <v>0</v>
      </c>
      <c r="U36" s="110">
        <v>0</v>
      </c>
    </row>
    <row r="37" spans="2:23" x14ac:dyDescent="0.25">
      <c r="B37" s="2"/>
      <c r="C37" s="6" t="s">
        <v>181</v>
      </c>
      <c r="D37" s="6"/>
      <c r="E37" s="6"/>
      <c r="F37" s="6"/>
      <c r="G37" s="6"/>
      <c r="H37" s="6"/>
      <c r="I37" s="110">
        <v>0</v>
      </c>
      <c r="J37" s="110">
        <v>0</v>
      </c>
      <c r="K37" s="110">
        <v>0</v>
      </c>
      <c r="L37" s="110">
        <v>0</v>
      </c>
      <c r="M37" s="110">
        <v>0</v>
      </c>
      <c r="N37" s="110">
        <v>0</v>
      </c>
      <c r="O37" s="110">
        <v>0</v>
      </c>
      <c r="P37" s="110">
        <v>0</v>
      </c>
      <c r="Q37" s="110">
        <v>0</v>
      </c>
      <c r="R37" s="110">
        <v>0</v>
      </c>
      <c r="S37" s="110">
        <v>0</v>
      </c>
      <c r="T37" s="110">
        <v>0</v>
      </c>
      <c r="U37" s="110">
        <v>0</v>
      </c>
    </row>
    <row r="38" spans="2:23" x14ac:dyDescent="0.25">
      <c r="B38" s="2"/>
      <c r="C38" s="6" t="s">
        <v>182</v>
      </c>
      <c r="D38" s="6"/>
      <c r="E38" s="6"/>
      <c r="F38" s="6"/>
      <c r="G38" s="6"/>
      <c r="H38" s="6"/>
      <c r="I38" s="110">
        <v>0</v>
      </c>
      <c r="J38" s="110">
        <v>0</v>
      </c>
      <c r="K38" s="110">
        <v>0</v>
      </c>
      <c r="L38" s="110">
        <v>0</v>
      </c>
      <c r="M38" s="110">
        <v>0</v>
      </c>
      <c r="N38" s="110">
        <v>0</v>
      </c>
      <c r="O38" s="110">
        <v>0</v>
      </c>
      <c r="P38" s="110">
        <v>0</v>
      </c>
      <c r="Q38" s="110">
        <v>0</v>
      </c>
      <c r="R38" s="110">
        <v>0</v>
      </c>
      <c r="S38" s="110">
        <v>0</v>
      </c>
      <c r="T38" s="110">
        <v>0</v>
      </c>
      <c r="U38" s="110">
        <v>0</v>
      </c>
      <c r="W38" s="1" t="s">
        <v>322</v>
      </c>
    </row>
    <row r="39" spans="2:23" x14ac:dyDescent="0.25">
      <c r="B39" s="2"/>
      <c r="C39" s="6" t="s">
        <v>183</v>
      </c>
      <c r="D39" s="6"/>
      <c r="E39" s="6"/>
      <c r="F39" s="6"/>
      <c r="G39" s="6"/>
      <c r="H39" s="6"/>
      <c r="I39" s="110">
        <v>0</v>
      </c>
      <c r="J39" s="110">
        <v>0</v>
      </c>
      <c r="K39" s="110">
        <v>0</v>
      </c>
      <c r="L39" s="110">
        <v>0</v>
      </c>
      <c r="M39" s="110">
        <v>0</v>
      </c>
      <c r="N39" s="110">
        <v>0</v>
      </c>
      <c r="O39" s="110">
        <v>0</v>
      </c>
      <c r="P39" s="110">
        <v>0</v>
      </c>
      <c r="Q39" s="110">
        <v>0</v>
      </c>
      <c r="R39" s="110">
        <v>0</v>
      </c>
      <c r="S39" s="110">
        <v>0</v>
      </c>
      <c r="T39" s="110">
        <v>0</v>
      </c>
      <c r="U39" s="110">
        <v>0</v>
      </c>
    </row>
    <row r="40" spans="2:23" x14ac:dyDescent="0.25">
      <c r="B40" s="2"/>
      <c r="C40" s="6" t="s">
        <v>5</v>
      </c>
      <c r="D40" s="6"/>
      <c r="E40" s="6"/>
      <c r="F40" s="6"/>
      <c r="G40" s="6"/>
      <c r="H40" s="6"/>
      <c r="I40" s="110">
        <v>0</v>
      </c>
      <c r="J40" s="110">
        <v>0</v>
      </c>
      <c r="K40" s="110">
        <v>0</v>
      </c>
      <c r="L40" s="110">
        <v>0</v>
      </c>
      <c r="M40" s="110">
        <v>0</v>
      </c>
      <c r="N40" s="110">
        <v>0</v>
      </c>
      <c r="O40" s="110">
        <v>0</v>
      </c>
      <c r="P40" s="110">
        <v>0</v>
      </c>
      <c r="Q40" s="110">
        <v>0</v>
      </c>
      <c r="R40" s="110">
        <v>0</v>
      </c>
      <c r="S40" s="110">
        <v>0</v>
      </c>
      <c r="T40" s="110">
        <v>0</v>
      </c>
      <c r="U40" s="110">
        <v>0</v>
      </c>
    </row>
    <row r="41" spans="2:23" x14ac:dyDescent="0.25">
      <c r="B41" s="2"/>
      <c r="C41" s="6" t="s">
        <v>185</v>
      </c>
      <c r="D41" s="6"/>
      <c r="E41" s="6"/>
      <c r="F41" s="6"/>
      <c r="G41" s="6"/>
      <c r="H41" s="6"/>
      <c r="I41" s="110">
        <v>0</v>
      </c>
      <c r="J41" s="110">
        <v>0</v>
      </c>
      <c r="K41" s="110">
        <v>0</v>
      </c>
      <c r="L41" s="110">
        <v>0</v>
      </c>
      <c r="M41" s="110">
        <v>0</v>
      </c>
      <c r="N41" s="110">
        <v>0</v>
      </c>
      <c r="O41" s="110">
        <v>0</v>
      </c>
      <c r="P41" s="110">
        <v>0</v>
      </c>
      <c r="Q41" s="110">
        <v>0</v>
      </c>
      <c r="R41" s="110">
        <v>0</v>
      </c>
      <c r="S41" s="110">
        <v>0</v>
      </c>
      <c r="T41" s="110">
        <v>0</v>
      </c>
      <c r="U41" s="110">
        <v>0</v>
      </c>
    </row>
    <row r="42" spans="2:23" x14ac:dyDescent="0.25">
      <c r="B42" s="2"/>
    </row>
    <row r="43" spans="2:23" x14ac:dyDescent="0.25">
      <c r="B43" s="2"/>
      <c r="C43" s="6" t="s">
        <v>211</v>
      </c>
      <c r="D43" s="6"/>
      <c r="E43" s="6"/>
      <c r="F43" s="6"/>
      <c r="G43" s="6"/>
      <c r="H43" s="6"/>
      <c r="I43" s="28">
        <v>2014</v>
      </c>
      <c r="J43" s="28">
        <v>2015</v>
      </c>
      <c r="K43" s="29">
        <f t="shared" ref="K43:L43" si="41">EDATE(L43,-12)</f>
        <v>42705</v>
      </c>
      <c r="L43" s="29">
        <f t="shared" si="41"/>
        <v>43070</v>
      </c>
      <c r="M43" s="29">
        <f>EDATE(N43,-12)</f>
        <v>43435</v>
      </c>
      <c r="N43" s="29">
        <f>CP_Yr_4</f>
        <v>43800</v>
      </c>
      <c r="O43" s="29">
        <f>CP_Yr_5</f>
        <v>44166</v>
      </c>
      <c r="P43" s="29">
        <f>Stub</f>
        <v>44377</v>
      </c>
      <c r="Q43" s="29">
        <f>Yr_1</f>
        <v>44742</v>
      </c>
      <c r="R43" s="29">
        <f>Yr_2</f>
        <v>45107</v>
      </c>
      <c r="S43" s="29">
        <f>Yr_3</f>
        <v>45473</v>
      </c>
      <c r="T43" s="29">
        <f>Yr_4</f>
        <v>45838</v>
      </c>
      <c r="U43" s="29">
        <f>Yr_5</f>
        <v>46203</v>
      </c>
    </row>
    <row r="44" spans="2:23" x14ac:dyDescent="0.25">
      <c r="B44" s="2"/>
      <c r="C44" s="6" t="s">
        <v>180</v>
      </c>
      <c r="D44" s="6"/>
      <c r="E44" s="6"/>
      <c r="F44" s="6"/>
      <c r="G44" s="6"/>
      <c r="H44" s="6"/>
      <c r="I44" s="63"/>
      <c r="J44" s="63"/>
      <c r="K44" s="63"/>
      <c r="L44" s="63"/>
      <c r="M44" s="63">
        <v>1</v>
      </c>
      <c r="N44" s="63">
        <f t="shared" ref="N44:P44" si="42">(1+N36)*M44</f>
        <v>1</v>
      </c>
      <c r="O44" s="63">
        <f t="shared" si="42"/>
        <v>1</v>
      </c>
      <c r="P44" s="63">
        <f t="shared" si="42"/>
        <v>1</v>
      </c>
      <c r="Q44" s="63">
        <f t="shared" ref="Q44:Q48" si="43">(1+Q36)*P44</f>
        <v>1</v>
      </c>
      <c r="R44" s="63">
        <f t="shared" ref="R44:R48" si="44">(1+R36)*Q44</f>
        <v>1</v>
      </c>
      <c r="S44" s="63">
        <f t="shared" ref="S44:S48" si="45">(1+S36)*R44</f>
        <v>1</v>
      </c>
      <c r="T44" s="63">
        <f t="shared" ref="T44:T48" si="46">(1+T36)*S44</f>
        <v>1</v>
      </c>
      <c r="U44" s="63">
        <f t="shared" ref="U44:U48" si="47">(1+U36)*T44</f>
        <v>1</v>
      </c>
    </row>
    <row r="45" spans="2:23" x14ac:dyDescent="0.25">
      <c r="B45" s="2"/>
      <c r="C45" s="6" t="s">
        <v>181</v>
      </c>
      <c r="D45" s="6"/>
      <c r="E45" s="6"/>
      <c r="F45" s="6"/>
      <c r="G45" s="6"/>
      <c r="H45" s="6"/>
      <c r="I45" s="63"/>
      <c r="J45" s="63"/>
      <c r="K45" s="63"/>
      <c r="L45" s="63"/>
      <c r="M45" s="63">
        <v>1</v>
      </c>
      <c r="N45" s="63">
        <f t="shared" ref="N45:P45" si="48">(1+N37)*M45</f>
        <v>1</v>
      </c>
      <c r="O45" s="63">
        <f t="shared" si="48"/>
        <v>1</v>
      </c>
      <c r="P45" s="63">
        <f t="shared" si="48"/>
        <v>1</v>
      </c>
      <c r="Q45" s="63">
        <f t="shared" si="43"/>
        <v>1</v>
      </c>
      <c r="R45" s="63">
        <f t="shared" si="44"/>
        <v>1</v>
      </c>
      <c r="S45" s="63">
        <f t="shared" si="45"/>
        <v>1</v>
      </c>
      <c r="T45" s="63">
        <f t="shared" si="46"/>
        <v>1</v>
      </c>
      <c r="U45" s="63">
        <f t="shared" si="47"/>
        <v>1</v>
      </c>
    </row>
    <row r="46" spans="2:23" x14ac:dyDescent="0.25">
      <c r="B46" s="2"/>
      <c r="C46" s="6" t="s">
        <v>182</v>
      </c>
      <c r="D46" s="6"/>
      <c r="E46" s="6"/>
      <c r="F46" s="6"/>
      <c r="G46" s="6"/>
      <c r="H46" s="6"/>
      <c r="I46" s="63"/>
      <c r="J46" s="63"/>
      <c r="K46" s="63"/>
      <c r="L46" s="63"/>
      <c r="M46" s="63">
        <v>1</v>
      </c>
      <c r="N46" s="63">
        <f t="shared" ref="N46:P46" si="49">(1+N38)*M46</f>
        <v>1</v>
      </c>
      <c r="O46" s="63">
        <f t="shared" si="49"/>
        <v>1</v>
      </c>
      <c r="P46" s="63">
        <f t="shared" si="49"/>
        <v>1</v>
      </c>
      <c r="Q46" s="63">
        <f t="shared" si="43"/>
        <v>1</v>
      </c>
      <c r="R46" s="63">
        <f t="shared" si="44"/>
        <v>1</v>
      </c>
      <c r="S46" s="63">
        <f t="shared" si="45"/>
        <v>1</v>
      </c>
      <c r="T46" s="63">
        <f t="shared" si="46"/>
        <v>1</v>
      </c>
      <c r="U46" s="63">
        <f t="shared" si="47"/>
        <v>1</v>
      </c>
    </row>
    <row r="47" spans="2:23" x14ac:dyDescent="0.25">
      <c r="B47" s="2"/>
      <c r="C47" s="6" t="s">
        <v>183</v>
      </c>
      <c r="D47" s="6"/>
      <c r="E47" s="6"/>
      <c r="F47" s="6"/>
      <c r="G47" s="6"/>
      <c r="H47" s="6"/>
      <c r="I47" s="63"/>
      <c r="J47" s="63"/>
      <c r="K47" s="63"/>
      <c r="L47" s="63"/>
      <c r="M47" s="63">
        <v>1</v>
      </c>
      <c r="N47" s="63">
        <f t="shared" ref="N47:P47" si="50">(1+N39)*M47</f>
        <v>1</v>
      </c>
      <c r="O47" s="63">
        <f t="shared" si="50"/>
        <v>1</v>
      </c>
      <c r="P47" s="63">
        <f t="shared" si="50"/>
        <v>1</v>
      </c>
      <c r="Q47" s="63">
        <f t="shared" si="43"/>
        <v>1</v>
      </c>
      <c r="R47" s="63">
        <f t="shared" si="44"/>
        <v>1</v>
      </c>
      <c r="S47" s="63">
        <f t="shared" si="45"/>
        <v>1</v>
      </c>
      <c r="T47" s="63">
        <f t="shared" si="46"/>
        <v>1</v>
      </c>
      <c r="U47" s="63">
        <f t="shared" si="47"/>
        <v>1</v>
      </c>
    </row>
    <row r="48" spans="2:23" x14ac:dyDescent="0.25">
      <c r="B48" s="2"/>
      <c r="C48" s="6" t="s">
        <v>5</v>
      </c>
      <c r="D48" s="6"/>
      <c r="E48" s="6"/>
      <c r="F48" s="6"/>
      <c r="G48" s="6"/>
      <c r="H48" s="6"/>
      <c r="I48" s="63"/>
      <c r="J48" s="63"/>
      <c r="K48" s="63"/>
      <c r="L48" s="63"/>
      <c r="M48" s="63">
        <v>1</v>
      </c>
      <c r="N48" s="63">
        <f t="shared" ref="N48:P48" si="51">(1+N40)*M48</f>
        <v>1</v>
      </c>
      <c r="O48" s="63">
        <f t="shared" si="51"/>
        <v>1</v>
      </c>
      <c r="P48" s="63">
        <f t="shared" si="51"/>
        <v>1</v>
      </c>
      <c r="Q48" s="63">
        <f t="shared" si="43"/>
        <v>1</v>
      </c>
      <c r="R48" s="63">
        <f t="shared" si="44"/>
        <v>1</v>
      </c>
      <c r="S48" s="63">
        <f t="shared" si="45"/>
        <v>1</v>
      </c>
      <c r="T48" s="63">
        <f t="shared" si="46"/>
        <v>1</v>
      </c>
      <c r="U48" s="63">
        <f t="shared" si="47"/>
        <v>1</v>
      </c>
    </row>
    <row r="49" spans="2:21" x14ac:dyDescent="0.25">
      <c r="B49" s="2"/>
      <c r="C49" s="6" t="str">
        <f>C41</f>
        <v>Spare</v>
      </c>
      <c r="D49" s="6"/>
      <c r="E49" s="6"/>
      <c r="F49" s="6"/>
      <c r="G49" s="6"/>
      <c r="H49" s="6"/>
      <c r="I49" s="63"/>
      <c r="J49" s="63"/>
      <c r="K49" s="81"/>
      <c r="L49" s="81"/>
      <c r="M49" s="81"/>
      <c r="N49" s="81"/>
      <c r="O49" s="81"/>
      <c r="P49" s="81"/>
      <c r="Q49" s="81"/>
      <c r="R49" s="81"/>
      <c r="S49" s="81"/>
      <c r="T49" s="81"/>
      <c r="U49" s="81"/>
    </row>
    <row r="50" spans="2:21" x14ac:dyDescent="0.25">
      <c r="C50" s="24"/>
    </row>
    <row r="53" spans="2:21" x14ac:dyDescent="0.25">
      <c r="B53" s="2"/>
    </row>
    <row r="54" spans="2:21" ht="11.25" customHeight="1" x14ac:dyDescent="0.25">
      <c r="B54" s="2"/>
    </row>
    <row r="55" spans="2:21" x14ac:dyDescent="0.25">
      <c r="D55" s="77"/>
      <c r="E55" s="34"/>
    </row>
    <row r="56" spans="2:21" x14ac:dyDescent="0.25">
      <c r="D56" s="78"/>
    </row>
  </sheetData>
  <hyperlinks>
    <hyperlink ref="B2" location="Contents!A1" display="Table of Contents"/>
  </hyperlinks>
  <pageMargins left="0.7" right="0.7" top="0.75" bottom="0.75" header="0.3" footer="0.3"/>
  <pageSetup paperSize="9" scale="80" orientation="landscape" r:id="rId1"/>
  <drawing r:id="rId2"/>
  <legacyDrawing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K31"/>
  <sheetViews>
    <sheetView zoomScaleNormal="100" zoomScalePageLayoutView="125" workbookViewId="0">
      <selection activeCell="V33" sqref="V33"/>
    </sheetView>
  </sheetViews>
  <sheetFormatPr defaultColWidth="8.85546875" defaultRowHeight="15" x14ac:dyDescent="0.25"/>
  <cols>
    <col min="1" max="1" width="4.42578125" style="1" customWidth="1"/>
    <col min="2" max="2" width="7.7109375" style="1" customWidth="1"/>
    <col min="3" max="3" width="33.7109375" style="1" customWidth="1"/>
    <col min="4" max="4" width="22.28515625" style="1" customWidth="1"/>
    <col min="5" max="5" width="8.85546875" style="1"/>
    <col min="6" max="6" width="27.140625" style="1" customWidth="1"/>
    <col min="7" max="8" width="8.85546875" style="1"/>
    <col min="9" max="9" width="30.42578125" style="1" customWidth="1"/>
    <col min="10" max="10" width="8.85546875" style="1"/>
    <col min="11" max="11" width="31.140625" style="1" customWidth="1"/>
    <col min="12" max="16384" width="8.85546875" style="1"/>
  </cols>
  <sheetData>
    <row r="1" spans="2:11" ht="21" x14ac:dyDescent="0.35">
      <c r="B1" s="11" t="s">
        <v>21</v>
      </c>
    </row>
    <row r="2" spans="2:11" x14ac:dyDescent="0.25">
      <c r="B2" s="25" t="s">
        <v>6</v>
      </c>
    </row>
    <row r="4" spans="2:11" x14ac:dyDescent="0.25">
      <c r="C4" s="12" t="s">
        <v>78</v>
      </c>
      <c r="F4" s="12" t="s">
        <v>301</v>
      </c>
      <c r="I4" s="12" t="s">
        <v>300</v>
      </c>
      <c r="K4" s="12" t="s">
        <v>58</v>
      </c>
    </row>
    <row r="5" spans="2:11" x14ac:dyDescent="0.25">
      <c r="C5" s="1" t="s">
        <v>44</v>
      </c>
      <c r="F5" s="35" t="s">
        <v>71</v>
      </c>
      <c r="G5" s="35" t="s">
        <v>72</v>
      </c>
      <c r="I5" s="1" t="s">
        <v>150</v>
      </c>
      <c r="K5" s="1" t="s">
        <v>59</v>
      </c>
    </row>
    <row r="6" spans="2:11" x14ac:dyDescent="0.25">
      <c r="C6" s="1" t="s">
        <v>45</v>
      </c>
      <c r="F6" s="1" t="s">
        <v>61</v>
      </c>
      <c r="G6" s="1" t="s">
        <v>68</v>
      </c>
      <c r="I6" s="1" t="s">
        <v>32</v>
      </c>
      <c r="K6" s="1" t="s">
        <v>60</v>
      </c>
    </row>
    <row r="7" spans="2:11" x14ac:dyDescent="0.25">
      <c r="C7" s="1" t="s">
        <v>48</v>
      </c>
      <c r="F7" s="1" t="s">
        <v>26</v>
      </c>
      <c r="G7" s="1" t="s">
        <v>68</v>
      </c>
      <c r="I7" s="1" t="s">
        <v>10</v>
      </c>
    </row>
    <row r="8" spans="2:11" x14ac:dyDescent="0.25">
      <c r="C8" s="1" t="s">
        <v>49</v>
      </c>
      <c r="F8" s="1" t="s">
        <v>62</v>
      </c>
      <c r="G8" s="1" t="s">
        <v>68</v>
      </c>
      <c r="I8" s="1" t="s">
        <v>34</v>
      </c>
    </row>
    <row r="9" spans="2:11" x14ac:dyDescent="0.25">
      <c r="C9" s="1" t="s">
        <v>50</v>
      </c>
      <c r="F9" s="1" t="s">
        <v>63</v>
      </c>
      <c r="G9" s="1" t="s">
        <v>68</v>
      </c>
      <c r="I9" s="1" t="s">
        <v>35</v>
      </c>
    </row>
    <row r="10" spans="2:11" x14ac:dyDescent="0.25">
      <c r="C10" s="1" t="s">
        <v>521</v>
      </c>
      <c r="F10" s="1" t="s">
        <v>64</v>
      </c>
      <c r="G10" s="1" t="s">
        <v>68</v>
      </c>
      <c r="I10" s="1" t="s">
        <v>36</v>
      </c>
    </row>
    <row r="11" spans="2:11" x14ac:dyDescent="0.25">
      <c r="C11" s="1" t="s">
        <v>399</v>
      </c>
      <c r="F11" s="1" t="s">
        <v>65</v>
      </c>
      <c r="G11" s="1" t="s">
        <v>69</v>
      </c>
      <c r="I11" s="1" t="s">
        <v>75</v>
      </c>
    </row>
    <row r="12" spans="2:11" x14ac:dyDescent="0.25">
      <c r="C12" s="1" t="s">
        <v>591</v>
      </c>
      <c r="F12" s="1" t="s">
        <v>66</v>
      </c>
      <c r="G12" s="1" t="s">
        <v>69</v>
      </c>
    </row>
    <row r="13" spans="2:11" x14ac:dyDescent="0.25">
      <c r="F13" s="1" t="s">
        <v>67</v>
      </c>
      <c r="G13" s="1" t="s">
        <v>69</v>
      </c>
    </row>
    <row r="14" spans="2:11" x14ac:dyDescent="0.25">
      <c r="F14" s="1" t="s">
        <v>73</v>
      </c>
      <c r="G14" s="1" t="s">
        <v>68</v>
      </c>
      <c r="I14" s="12" t="s">
        <v>362</v>
      </c>
    </row>
    <row r="15" spans="2:11" x14ac:dyDescent="0.25">
      <c r="C15" s="12" t="s">
        <v>70</v>
      </c>
      <c r="F15" s="1" t="s">
        <v>74</v>
      </c>
      <c r="G15" s="1" t="s">
        <v>68</v>
      </c>
      <c r="I15" s="1" t="s">
        <v>331</v>
      </c>
      <c r="K15" s="1" t="s">
        <v>286</v>
      </c>
    </row>
    <row r="16" spans="2:11" x14ac:dyDescent="0.25">
      <c r="C16" s="1" t="s">
        <v>51</v>
      </c>
      <c r="I16" s="1" t="s">
        <v>334</v>
      </c>
      <c r="K16" s="1" t="s">
        <v>286</v>
      </c>
    </row>
    <row r="17" spans="3:11" x14ac:dyDescent="0.25">
      <c r="C17" s="1" t="s">
        <v>52</v>
      </c>
      <c r="F17" s="12" t="s">
        <v>455</v>
      </c>
      <c r="I17" s="1" t="s">
        <v>335</v>
      </c>
      <c r="K17" s="1" t="s">
        <v>286</v>
      </c>
    </row>
    <row r="18" spans="3:11" x14ac:dyDescent="0.25">
      <c r="C18" s="1" t="s">
        <v>53</v>
      </c>
      <c r="F18" s="1" t="s">
        <v>453</v>
      </c>
      <c r="I18" s="1" t="s">
        <v>336</v>
      </c>
      <c r="K18" s="1" t="s">
        <v>237</v>
      </c>
    </row>
    <row r="19" spans="3:11" x14ac:dyDescent="0.25">
      <c r="C19" s="1" t="s">
        <v>54</v>
      </c>
      <c r="F19" s="1" t="s">
        <v>26</v>
      </c>
      <c r="I19" s="1" t="s">
        <v>337</v>
      </c>
      <c r="K19" s="1" t="s">
        <v>237</v>
      </c>
    </row>
    <row r="20" spans="3:11" x14ac:dyDescent="0.25">
      <c r="C20" s="1" t="s">
        <v>55</v>
      </c>
      <c r="F20" s="1" t="s">
        <v>150</v>
      </c>
      <c r="I20" s="1" t="s">
        <v>338</v>
      </c>
      <c r="K20" s="1" t="s">
        <v>237</v>
      </c>
    </row>
    <row r="21" spans="3:11" x14ac:dyDescent="0.25">
      <c r="C21" s="1" t="s">
        <v>56</v>
      </c>
      <c r="F21" s="1" t="s">
        <v>58</v>
      </c>
      <c r="I21" s="1" t="s">
        <v>339</v>
      </c>
      <c r="K21" s="1" t="s">
        <v>237</v>
      </c>
    </row>
    <row r="22" spans="3:11" x14ac:dyDescent="0.25">
      <c r="C22" s="1" t="s">
        <v>57</v>
      </c>
      <c r="F22" s="1" t="s">
        <v>411</v>
      </c>
      <c r="I22" s="1" t="s">
        <v>340</v>
      </c>
      <c r="K22" s="1" t="s">
        <v>237</v>
      </c>
    </row>
    <row r="23" spans="3:11" x14ac:dyDescent="0.25">
      <c r="C23" s="1" t="s">
        <v>48</v>
      </c>
      <c r="F23" s="1" t="s">
        <v>457</v>
      </c>
      <c r="I23" s="1" t="s">
        <v>341</v>
      </c>
      <c r="K23" s="1" t="s">
        <v>238</v>
      </c>
    </row>
    <row r="24" spans="3:11" x14ac:dyDescent="0.25">
      <c r="C24" s="1" t="s">
        <v>49</v>
      </c>
      <c r="F24" s="1" t="s">
        <v>286</v>
      </c>
      <c r="I24" s="1" t="s">
        <v>342</v>
      </c>
      <c r="K24" s="1" t="s">
        <v>236</v>
      </c>
    </row>
    <row r="25" spans="3:11" x14ac:dyDescent="0.25">
      <c r="C25" s="1" t="s">
        <v>50</v>
      </c>
      <c r="F25" s="1" t="s">
        <v>454</v>
      </c>
      <c r="I25" s="1" t="s">
        <v>363</v>
      </c>
      <c r="K25" s="1" t="s">
        <v>360</v>
      </c>
    </row>
    <row r="26" spans="3:11" x14ac:dyDescent="0.25">
      <c r="C26" s="1" t="s">
        <v>131</v>
      </c>
      <c r="D26" s="1" t="s">
        <v>227</v>
      </c>
      <c r="I26" s="1" t="s">
        <v>364</v>
      </c>
      <c r="K26" s="1" t="s">
        <v>360</v>
      </c>
    </row>
    <row r="27" spans="3:11" x14ac:dyDescent="0.25">
      <c r="C27" s="1" t="s">
        <v>130</v>
      </c>
      <c r="D27" s="1" t="s">
        <v>227</v>
      </c>
      <c r="I27" s="12"/>
    </row>
    <row r="28" spans="3:11" x14ac:dyDescent="0.25">
      <c r="I28" s="126" t="s">
        <v>371</v>
      </c>
    </row>
    <row r="29" spans="3:11" x14ac:dyDescent="0.25">
      <c r="I29" s="1" t="s">
        <v>310</v>
      </c>
    </row>
    <row r="30" spans="3:11" x14ac:dyDescent="0.25">
      <c r="C30" s="1" t="s">
        <v>297</v>
      </c>
      <c r="D30" s="1">
        <v>1000000</v>
      </c>
      <c r="I30" s="1" t="s">
        <v>594</v>
      </c>
    </row>
    <row r="31" spans="3:11" x14ac:dyDescent="0.25">
      <c r="C31" s="1" t="s">
        <v>298</v>
      </c>
      <c r="D31" s="1">
        <v>1000</v>
      </c>
      <c r="I31" s="1" t="s">
        <v>595</v>
      </c>
    </row>
  </sheetData>
  <hyperlinks>
    <hyperlink ref="B2" location="Contents!A1" display="Table of Contents"/>
  </hyperlinks>
  <pageMargins left="0.25" right="0.25" top="0.75" bottom="0.75" header="0.3" footer="0.3"/>
  <pageSetup paperSize="9" scale="74"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C2:K13"/>
  <sheetViews>
    <sheetView zoomScaleNormal="100" workbookViewId="0">
      <selection activeCell="V33" sqref="V33"/>
    </sheetView>
  </sheetViews>
  <sheetFormatPr defaultColWidth="8.85546875" defaultRowHeight="15" x14ac:dyDescent="0.25"/>
  <cols>
    <col min="1" max="1" width="6.42578125" style="1" customWidth="1"/>
    <col min="2" max="2" width="3.28515625" style="1" customWidth="1"/>
    <col min="3" max="3" width="22.28515625" style="1" customWidth="1"/>
    <col min="4" max="4" width="9.85546875" style="1" customWidth="1"/>
    <col min="5" max="16384" width="8.85546875" style="1"/>
  </cols>
  <sheetData>
    <row r="2" spans="3:11" ht="15.75" thickBot="1" x14ac:dyDescent="0.3"/>
    <row r="3" spans="3:11" ht="15.75" thickBot="1" x14ac:dyDescent="0.3">
      <c r="C3" s="2" t="s">
        <v>370</v>
      </c>
      <c r="D3" s="225" t="s">
        <v>310</v>
      </c>
      <c r="E3" s="226" t="s">
        <v>378</v>
      </c>
      <c r="F3" s="226"/>
    </row>
    <row r="4" spans="3:11" ht="15.75" thickBot="1" x14ac:dyDescent="0.3">
      <c r="C4" s="2"/>
      <c r="E4" s="56"/>
      <c r="F4" s="56"/>
    </row>
    <row r="5" spans="3:11" ht="15.75" thickBot="1" x14ac:dyDescent="0.3">
      <c r="C5" s="2" t="s">
        <v>372</v>
      </c>
      <c r="D5" s="225" t="s">
        <v>594</v>
      </c>
      <c r="E5" s="226" t="s">
        <v>378</v>
      </c>
      <c r="F5" s="226"/>
    </row>
    <row r="7" spans="3:11" x14ac:dyDescent="0.25">
      <c r="C7" s="1" t="s">
        <v>373</v>
      </c>
      <c r="D7" s="230">
        <f>IF(D5="2022-26",2022,IF(D5="2027-31",2027,0))</f>
        <v>2022</v>
      </c>
    </row>
    <row r="9" spans="3:11" x14ac:dyDescent="0.25">
      <c r="C9" s="1" t="s">
        <v>375</v>
      </c>
      <c r="D9" s="230">
        <f>D7-1</f>
        <v>2021</v>
      </c>
    </row>
    <row r="10" spans="3:11" x14ac:dyDescent="0.25">
      <c r="C10" s="1" t="s">
        <v>374</v>
      </c>
      <c r="D10" s="230">
        <f>D7-2</f>
        <v>2020</v>
      </c>
    </row>
    <row r="11" spans="3:11" x14ac:dyDescent="0.25">
      <c r="D11" s="222"/>
    </row>
    <row r="12" spans="3:11" x14ac:dyDescent="0.25">
      <c r="D12" s="28" t="s">
        <v>376</v>
      </c>
      <c r="E12" s="28" t="s">
        <v>377</v>
      </c>
      <c r="F12" s="28" t="s">
        <v>612</v>
      </c>
      <c r="G12" s="28">
        <v>1</v>
      </c>
      <c r="H12" s="28">
        <v>2</v>
      </c>
      <c r="I12" s="28">
        <v>3</v>
      </c>
      <c r="J12" s="28">
        <v>4</v>
      </c>
      <c r="K12" s="28">
        <v>5</v>
      </c>
    </row>
    <row r="13" spans="3:11" x14ac:dyDescent="0.25">
      <c r="D13" s="29">
        <v>43800</v>
      </c>
      <c r="E13" s="29">
        <v>44166</v>
      </c>
      <c r="F13" s="29">
        <v>44377</v>
      </c>
      <c r="G13" s="29">
        <f>EDATE(F13,12)</f>
        <v>44742</v>
      </c>
      <c r="H13" s="29">
        <f t="shared" ref="H13:K13" si="0">EDATE(G13,12)</f>
        <v>45107</v>
      </c>
      <c r="I13" s="29">
        <f t="shared" si="0"/>
        <v>45473</v>
      </c>
      <c r="J13" s="29">
        <f t="shared" si="0"/>
        <v>45838</v>
      </c>
      <c r="K13" s="29">
        <f t="shared" si="0"/>
        <v>46203</v>
      </c>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Lookups!$I$29:$I$31</xm:f>
          </x14:formula1>
          <xm:sqref>D3 D5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249977111117893"/>
  </sheetPr>
  <dimension ref="C3:C4"/>
  <sheetViews>
    <sheetView zoomScale="85" zoomScaleNormal="85" zoomScalePageLayoutView="125" workbookViewId="0">
      <selection activeCell="V33" sqref="V33"/>
    </sheetView>
  </sheetViews>
  <sheetFormatPr defaultColWidth="8.85546875" defaultRowHeight="15" x14ac:dyDescent="0.25"/>
  <cols>
    <col min="1" max="16384" width="8.85546875" style="22"/>
  </cols>
  <sheetData>
    <row r="3" spans="3:3" ht="18.75" x14ac:dyDescent="0.3">
      <c r="C3" s="21" t="s">
        <v>9</v>
      </c>
    </row>
    <row r="4" spans="3:3" x14ac:dyDescent="0.25">
      <c r="C4" s="26" t="s">
        <v>6</v>
      </c>
    </row>
  </sheetData>
  <hyperlinks>
    <hyperlink ref="C4" location="Contents!A1" display="Table of Contents"/>
  </hyperlink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E54"/>
  <sheetViews>
    <sheetView topLeftCell="A4" zoomScale="80" zoomScaleNormal="80" zoomScalePageLayoutView="125" workbookViewId="0">
      <pane xSplit="4" topLeftCell="E1" activePane="topRight" state="frozen"/>
      <selection activeCell="V33" sqref="V33"/>
      <selection pane="topRight" activeCell="B31" sqref="B31"/>
    </sheetView>
  </sheetViews>
  <sheetFormatPr defaultColWidth="8.85546875" defaultRowHeight="15" outlineLevelCol="1" x14ac:dyDescent="0.25"/>
  <cols>
    <col min="1" max="1" width="4.28515625" style="1" customWidth="1"/>
    <col min="2" max="2" width="12.7109375" style="1" customWidth="1"/>
    <col min="3" max="3" width="40" style="1" customWidth="1"/>
    <col min="4" max="4" width="35.7109375" style="1" customWidth="1"/>
    <col min="5" max="5" width="24.42578125" style="1" customWidth="1" outlineLevel="1"/>
    <col min="6" max="6" width="33.85546875" style="1" customWidth="1" outlineLevel="1"/>
    <col min="7" max="7" width="31.140625" style="1" customWidth="1" outlineLevel="1"/>
    <col min="8" max="8" width="24.28515625" style="1" customWidth="1" outlineLevel="1"/>
    <col min="9" max="9" width="41.42578125" style="1" customWidth="1" outlineLevel="1"/>
    <col min="10" max="17" width="9.140625" style="1" customWidth="1"/>
    <col min="18" max="18" width="2.85546875" style="1" customWidth="1"/>
    <col min="19" max="26" width="8.85546875" style="1"/>
    <col min="27" max="27" width="2.7109375" style="1" customWidth="1"/>
    <col min="28" max="32" width="10.42578125" style="1" customWidth="1" outlineLevel="1"/>
    <col min="33" max="33" width="8.85546875" style="1"/>
    <col min="34" max="38" width="10.42578125" style="1" customWidth="1" outlineLevel="1"/>
    <col min="39" max="39" width="8.85546875" style="1"/>
    <col min="40" max="44" width="8.85546875" style="1" customWidth="1" outlineLevel="1"/>
    <col min="45" max="45" width="8.85546875" style="1"/>
    <col min="46" max="50" width="10.42578125" style="1" customWidth="1" outlineLevel="1"/>
    <col min="51" max="51" width="8.85546875" style="1"/>
    <col min="52" max="56" width="9.140625" style="1" customWidth="1" outlineLevel="1"/>
    <col min="57" max="57" width="8.85546875" style="1"/>
    <col min="58" max="62" width="9.140625" style="1" customWidth="1" outlineLevel="1"/>
    <col min="63" max="63" width="8.85546875" style="1"/>
    <col min="64" max="68" width="9.140625" style="1" customWidth="1" outlineLevel="1"/>
    <col min="69" max="69" width="8.85546875" style="1"/>
    <col min="70" max="74" width="9.140625" style="1" customWidth="1" outlineLevel="1"/>
    <col min="75" max="75" width="8.85546875" style="1"/>
    <col min="76" max="76" width="3.140625" style="1" customWidth="1"/>
    <col min="77" max="84" width="8.85546875" style="1"/>
    <col min="85" max="85" width="3.7109375" style="1" customWidth="1"/>
    <col min="86" max="93" width="8.85546875" style="1"/>
    <col min="94" max="94" width="3.7109375" style="1" customWidth="1"/>
    <col min="95" max="16384" width="8.85546875" style="1"/>
  </cols>
  <sheetData>
    <row r="1" spans="1:109" ht="18.75" x14ac:dyDescent="0.3">
      <c r="B1" s="10" t="s">
        <v>10</v>
      </c>
      <c r="M1" s="825" t="s">
        <v>749</v>
      </c>
      <c r="N1" s="825"/>
      <c r="V1" s="108"/>
      <c r="W1" s="108"/>
      <c r="Y1" s="232"/>
    </row>
    <row r="2" spans="1:109" x14ac:dyDescent="0.25">
      <c r="B2" s="25" t="s">
        <v>6</v>
      </c>
      <c r="J2" s="34"/>
      <c r="K2" s="34"/>
      <c r="L2" s="34"/>
      <c r="V2" s="108"/>
      <c r="W2" s="108"/>
      <c r="X2" s="108"/>
      <c r="Y2" s="108"/>
      <c r="Z2" s="108"/>
    </row>
    <row r="3" spans="1:109" x14ac:dyDescent="0.25">
      <c r="A3" s="3"/>
      <c r="J3" s="66"/>
      <c r="K3" s="66"/>
      <c r="L3" s="66"/>
      <c r="M3" s="66"/>
      <c r="N3" s="66"/>
      <c r="O3" s="66"/>
      <c r="P3" s="66"/>
      <c r="Q3" s="66"/>
      <c r="S3" s="829"/>
      <c r="T3" s="829"/>
      <c r="U3" s="829"/>
      <c r="V3" s="829"/>
      <c r="W3" s="829"/>
      <c r="X3" s="829"/>
      <c r="Y3" s="829"/>
      <c r="Z3" s="829"/>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Y3" s="829"/>
      <c r="BZ3" s="829"/>
      <c r="CA3" s="829"/>
      <c r="CB3" s="829"/>
      <c r="CC3" s="829"/>
      <c r="CD3" s="829"/>
      <c r="CE3" s="829"/>
      <c r="CF3" s="829"/>
      <c r="CH3" s="829"/>
      <c r="CI3" s="829"/>
      <c r="CJ3" s="829"/>
      <c r="CK3" s="829"/>
      <c r="CL3" s="829"/>
      <c r="CM3" s="829"/>
      <c r="CN3" s="829"/>
      <c r="CO3" s="829"/>
      <c r="CQ3" s="829"/>
      <c r="CR3" s="829"/>
      <c r="CS3" s="829"/>
      <c r="CT3" s="829"/>
      <c r="CU3" s="829"/>
      <c r="CV3" s="829"/>
      <c r="CW3" s="829"/>
      <c r="CX3" s="829"/>
    </row>
    <row r="4" spans="1:109" ht="45" x14ac:dyDescent="0.25">
      <c r="F4" s="34"/>
      <c r="I4" s="34"/>
      <c r="J4" s="826" t="s">
        <v>380</v>
      </c>
      <c r="K4" s="827"/>
      <c r="L4" s="827"/>
      <c r="M4" s="827"/>
      <c r="N4" s="827"/>
      <c r="O4" s="827"/>
      <c r="P4" s="827"/>
      <c r="Q4" s="828"/>
      <c r="S4" s="826" t="s">
        <v>174</v>
      </c>
      <c r="T4" s="827"/>
      <c r="U4" s="827"/>
      <c r="V4" s="827"/>
      <c r="W4" s="827"/>
      <c r="X4" s="827"/>
      <c r="Y4" s="827"/>
      <c r="Z4" s="828"/>
      <c r="AA4" s="57"/>
      <c r="AB4" s="9" t="s">
        <v>180</v>
      </c>
      <c r="AC4" s="9" t="s">
        <v>181</v>
      </c>
      <c r="AD4" s="9" t="s">
        <v>182</v>
      </c>
      <c r="AE4" s="9" t="s">
        <v>183</v>
      </c>
      <c r="AF4" s="9" t="s">
        <v>5</v>
      </c>
      <c r="AG4" s="9" t="s">
        <v>173</v>
      </c>
      <c r="AH4" s="9" t="s">
        <v>180</v>
      </c>
      <c r="AI4" s="9" t="s">
        <v>181</v>
      </c>
      <c r="AJ4" s="9" t="s">
        <v>182</v>
      </c>
      <c r="AK4" s="9" t="s">
        <v>183</v>
      </c>
      <c r="AL4" s="9" t="s">
        <v>5</v>
      </c>
      <c r="AM4" s="9" t="s">
        <v>173</v>
      </c>
      <c r="AN4" s="9" t="s">
        <v>180</v>
      </c>
      <c r="AO4" s="9" t="s">
        <v>181</v>
      </c>
      <c r="AP4" s="9" t="s">
        <v>182</v>
      </c>
      <c r="AQ4" s="9" t="s">
        <v>183</v>
      </c>
      <c r="AR4" s="9" t="s">
        <v>5</v>
      </c>
      <c r="AS4" s="9" t="s">
        <v>173</v>
      </c>
      <c r="AT4" s="9" t="s">
        <v>180</v>
      </c>
      <c r="AU4" s="9" t="s">
        <v>181</v>
      </c>
      <c r="AV4" s="9" t="s">
        <v>182</v>
      </c>
      <c r="AW4" s="9" t="s">
        <v>183</v>
      </c>
      <c r="AX4" s="9" t="s">
        <v>5</v>
      </c>
      <c r="AY4" s="9" t="s">
        <v>173</v>
      </c>
      <c r="AZ4" s="9" t="s">
        <v>180</v>
      </c>
      <c r="BA4" s="9" t="s">
        <v>181</v>
      </c>
      <c r="BB4" s="9" t="s">
        <v>182</v>
      </c>
      <c r="BC4" s="9" t="s">
        <v>183</v>
      </c>
      <c r="BD4" s="9" t="s">
        <v>5</v>
      </c>
      <c r="BE4" s="9" t="s">
        <v>173</v>
      </c>
      <c r="BF4" s="9" t="s">
        <v>180</v>
      </c>
      <c r="BG4" s="9" t="s">
        <v>181</v>
      </c>
      <c r="BH4" s="9" t="s">
        <v>182</v>
      </c>
      <c r="BI4" s="9" t="s">
        <v>183</v>
      </c>
      <c r="BJ4" s="9" t="s">
        <v>5</v>
      </c>
      <c r="BK4" s="9" t="s">
        <v>173</v>
      </c>
      <c r="BL4" s="9" t="s">
        <v>180</v>
      </c>
      <c r="BM4" s="9" t="s">
        <v>181</v>
      </c>
      <c r="BN4" s="9" t="s">
        <v>182</v>
      </c>
      <c r="BO4" s="9" t="s">
        <v>183</v>
      </c>
      <c r="BP4" s="9" t="s">
        <v>5</v>
      </c>
      <c r="BQ4" s="9" t="s">
        <v>173</v>
      </c>
      <c r="BR4" s="9" t="s">
        <v>180</v>
      </c>
      <c r="BS4" s="9" t="s">
        <v>181</v>
      </c>
      <c r="BT4" s="9" t="s">
        <v>182</v>
      </c>
      <c r="BU4" s="9" t="s">
        <v>183</v>
      </c>
      <c r="BV4" s="9" t="s">
        <v>5</v>
      </c>
      <c r="BW4" s="9" t="s">
        <v>173</v>
      </c>
      <c r="BX4" s="57"/>
      <c r="BY4" s="826" t="s">
        <v>299</v>
      </c>
      <c r="BZ4" s="827"/>
      <c r="CA4" s="827"/>
      <c r="CB4" s="827"/>
      <c r="CC4" s="827"/>
      <c r="CD4" s="827"/>
      <c r="CE4" s="827"/>
      <c r="CF4" s="828"/>
      <c r="CG4" s="57"/>
      <c r="CH4" s="826" t="s">
        <v>175</v>
      </c>
      <c r="CI4" s="827"/>
      <c r="CJ4" s="827"/>
      <c r="CK4" s="827"/>
      <c r="CL4" s="827"/>
      <c r="CM4" s="827"/>
      <c r="CN4" s="827"/>
      <c r="CO4" s="828"/>
      <c r="CP4" s="57"/>
      <c r="CQ4" s="826" t="s">
        <v>381</v>
      </c>
      <c r="CR4" s="827"/>
      <c r="CS4" s="827"/>
      <c r="CT4" s="827"/>
      <c r="CU4" s="827"/>
      <c r="CV4" s="827"/>
      <c r="CW4" s="827"/>
      <c r="CX4" s="828"/>
    </row>
    <row r="5" spans="1:109" x14ac:dyDescent="0.25">
      <c r="B5" s="8" t="s">
        <v>23</v>
      </c>
      <c r="C5" s="8" t="s">
        <v>24</v>
      </c>
      <c r="D5" s="17" t="s">
        <v>98</v>
      </c>
      <c r="E5" s="17" t="s">
        <v>76</v>
      </c>
      <c r="F5" s="17" t="s">
        <v>77</v>
      </c>
      <c r="G5" s="17" t="s">
        <v>324</v>
      </c>
      <c r="H5" s="17" t="s">
        <v>212</v>
      </c>
      <c r="I5" s="17" t="s">
        <v>177</v>
      </c>
      <c r="J5" s="335">
        <f>CP_Yr_4</f>
        <v>43800</v>
      </c>
      <c r="K5" s="335">
        <f>CP_Yr_5</f>
        <v>44166</v>
      </c>
      <c r="L5" s="335">
        <f>Stub</f>
        <v>44377</v>
      </c>
      <c r="M5" s="335">
        <f>Yr_1</f>
        <v>44742</v>
      </c>
      <c r="N5" s="335">
        <f>Yr_2</f>
        <v>45107</v>
      </c>
      <c r="O5" s="335">
        <f>Yr_3</f>
        <v>45473</v>
      </c>
      <c r="P5" s="335">
        <f>Yr_4</f>
        <v>45838</v>
      </c>
      <c r="Q5" s="335">
        <f>Yr_5</f>
        <v>46203</v>
      </c>
      <c r="R5" s="336"/>
      <c r="S5" s="335">
        <f>CP_Yr_4</f>
        <v>43800</v>
      </c>
      <c r="T5" s="335">
        <f>CP_Yr_5</f>
        <v>44166</v>
      </c>
      <c r="U5" s="335">
        <f>Stub</f>
        <v>44377</v>
      </c>
      <c r="V5" s="335">
        <f>Yr_1</f>
        <v>44742</v>
      </c>
      <c r="W5" s="335">
        <f>Yr_2</f>
        <v>45107</v>
      </c>
      <c r="X5" s="335">
        <f>Yr_3</f>
        <v>45473</v>
      </c>
      <c r="Y5" s="335">
        <f>Yr_4</f>
        <v>45838</v>
      </c>
      <c r="Z5" s="335">
        <f>Yr_5</f>
        <v>46203</v>
      </c>
      <c r="AA5" s="336"/>
      <c r="AB5" s="335">
        <f t="shared" ref="AB5:AG5" si="0">CP_Yr_4</f>
        <v>43800</v>
      </c>
      <c r="AC5" s="335">
        <f t="shared" si="0"/>
        <v>43800</v>
      </c>
      <c r="AD5" s="335">
        <f t="shared" si="0"/>
        <v>43800</v>
      </c>
      <c r="AE5" s="335">
        <f t="shared" si="0"/>
        <v>43800</v>
      </c>
      <c r="AF5" s="335">
        <f t="shared" si="0"/>
        <v>43800</v>
      </c>
      <c r="AG5" s="335">
        <f t="shared" si="0"/>
        <v>43800</v>
      </c>
      <c r="AH5" s="335">
        <f t="shared" ref="AH5:AM5" si="1">CP_Yr_5</f>
        <v>44166</v>
      </c>
      <c r="AI5" s="335">
        <f t="shared" si="1"/>
        <v>44166</v>
      </c>
      <c r="AJ5" s="335">
        <f t="shared" si="1"/>
        <v>44166</v>
      </c>
      <c r="AK5" s="335">
        <f t="shared" si="1"/>
        <v>44166</v>
      </c>
      <c r="AL5" s="335">
        <f t="shared" si="1"/>
        <v>44166</v>
      </c>
      <c r="AM5" s="335">
        <f t="shared" si="1"/>
        <v>44166</v>
      </c>
      <c r="AN5" s="335">
        <f t="shared" ref="AN5:AS5" si="2">Stub</f>
        <v>44377</v>
      </c>
      <c r="AO5" s="335">
        <f t="shared" si="2"/>
        <v>44377</v>
      </c>
      <c r="AP5" s="335">
        <f t="shared" si="2"/>
        <v>44377</v>
      </c>
      <c r="AQ5" s="335">
        <f t="shared" si="2"/>
        <v>44377</v>
      </c>
      <c r="AR5" s="335">
        <f t="shared" si="2"/>
        <v>44377</v>
      </c>
      <c r="AS5" s="335">
        <f t="shared" si="2"/>
        <v>44377</v>
      </c>
      <c r="AT5" s="335">
        <f t="shared" ref="AT5:AY5" si="3">Yr_1</f>
        <v>44742</v>
      </c>
      <c r="AU5" s="335">
        <f t="shared" si="3"/>
        <v>44742</v>
      </c>
      <c r="AV5" s="335">
        <f t="shared" si="3"/>
        <v>44742</v>
      </c>
      <c r="AW5" s="335">
        <f t="shared" si="3"/>
        <v>44742</v>
      </c>
      <c r="AX5" s="335">
        <f t="shared" si="3"/>
        <v>44742</v>
      </c>
      <c r="AY5" s="335">
        <f t="shared" si="3"/>
        <v>44742</v>
      </c>
      <c r="AZ5" s="335">
        <f t="shared" ref="AZ5:BE5" si="4">Yr_2</f>
        <v>45107</v>
      </c>
      <c r="BA5" s="335">
        <f t="shared" si="4"/>
        <v>45107</v>
      </c>
      <c r="BB5" s="335">
        <f t="shared" si="4"/>
        <v>45107</v>
      </c>
      <c r="BC5" s="335">
        <f t="shared" si="4"/>
        <v>45107</v>
      </c>
      <c r="BD5" s="335">
        <f t="shared" si="4"/>
        <v>45107</v>
      </c>
      <c r="BE5" s="335">
        <f t="shared" si="4"/>
        <v>45107</v>
      </c>
      <c r="BF5" s="335">
        <f t="shared" ref="BF5:BK5" si="5">Yr_3</f>
        <v>45473</v>
      </c>
      <c r="BG5" s="335">
        <f t="shared" si="5"/>
        <v>45473</v>
      </c>
      <c r="BH5" s="335">
        <f t="shared" si="5"/>
        <v>45473</v>
      </c>
      <c r="BI5" s="335">
        <f t="shared" si="5"/>
        <v>45473</v>
      </c>
      <c r="BJ5" s="335">
        <f t="shared" si="5"/>
        <v>45473</v>
      </c>
      <c r="BK5" s="335">
        <f t="shared" si="5"/>
        <v>45473</v>
      </c>
      <c r="BL5" s="335">
        <f t="shared" ref="BL5:BQ5" si="6">Yr_4</f>
        <v>45838</v>
      </c>
      <c r="BM5" s="335">
        <f t="shared" si="6"/>
        <v>45838</v>
      </c>
      <c r="BN5" s="335">
        <f t="shared" si="6"/>
        <v>45838</v>
      </c>
      <c r="BO5" s="335">
        <f t="shared" si="6"/>
        <v>45838</v>
      </c>
      <c r="BP5" s="335">
        <f t="shared" si="6"/>
        <v>45838</v>
      </c>
      <c r="BQ5" s="335">
        <f t="shared" si="6"/>
        <v>45838</v>
      </c>
      <c r="BR5" s="335">
        <f t="shared" ref="BR5:BW5" si="7">Yr_5</f>
        <v>46203</v>
      </c>
      <c r="BS5" s="335">
        <f t="shared" si="7"/>
        <v>46203</v>
      </c>
      <c r="BT5" s="335">
        <f t="shared" si="7"/>
        <v>46203</v>
      </c>
      <c r="BU5" s="335">
        <f t="shared" si="7"/>
        <v>46203</v>
      </c>
      <c r="BV5" s="335">
        <f t="shared" si="7"/>
        <v>46203</v>
      </c>
      <c r="BW5" s="335">
        <f t="shared" si="7"/>
        <v>46203</v>
      </c>
      <c r="BX5" s="336"/>
      <c r="BY5" s="335">
        <f>CP_Yr_4</f>
        <v>43800</v>
      </c>
      <c r="BZ5" s="335">
        <f>CP_Yr_5</f>
        <v>44166</v>
      </c>
      <c r="CA5" s="335">
        <f>Stub</f>
        <v>44377</v>
      </c>
      <c r="CB5" s="335">
        <f>Yr_1</f>
        <v>44742</v>
      </c>
      <c r="CC5" s="335">
        <f>Yr_2</f>
        <v>45107</v>
      </c>
      <c r="CD5" s="335">
        <f>Yr_3</f>
        <v>45473</v>
      </c>
      <c r="CE5" s="335">
        <f>Yr_4</f>
        <v>45838</v>
      </c>
      <c r="CF5" s="335">
        <f>Yr_5</f>
        <v>46203</v>
      </c>
      <c r="CG5" s="336"/>
      <c r="CH5" s="335">
        <f>CP_Yr_4</f>
        <v>43800</v>
      </c>
      <c r="CI5" s="335">
        <f>CP_Yr_5</f>
        <v>44166</v>
      </c>
      <c r="CJ5" s="335">
        <f>Stub</f>
        <v>44377</v>
      </c>
      <c r="CK5" s="335">
        <f>Yr_1</f>
        <v>44742</v>
      </c>
      <c r="CL5" s="335">
        <f>Yr_2</f>
        <v>45107</v>
      </c>
      <c r="CM5" s="335">
        <f>Yr_3</f>
        <v>45473</v>
      </c>
      <c r="CN5" s="335">
        <f>Yr_4</f>
        <v>45838</v>
      </c>
      <c r="CO5" s="335">
        <f>Yr_5</f>
        <v>46203</v>
      </c>
      <c r="CP5" s="336"/>
      <c r="CQ5" s="335">
        <f>CP_Yr_4</f>
        <v>43800</v>
      </c>
      <c r="CR5" s="335">
        <f>CP_Yr_5</f>
        <v>44166</v>
      </c>
      <c r="CS5" s="335">
        <f>Stub</f>
        <v>44377</v>
      </c>
      <c r="CT5" s="335">
        <f>Yr_1</f>
        <v>44742</v>
      </c>
      <c r="CU5" s="335">
        <f>Yr_2</f>
        <v>45107</v>
      </c>
      <c r="CV5" s="335">
        <f>Yr_3</f>
        <v>45473</v>
      </c>
      <c r="CW5" s="335">
        <f>Yr_4</f>
        <v>45838</v>
      </c>
      <c r="CX5" s="335">
        <f>Yr_5</f>
        <v>46203</v>
      </c>
    </row>
    <row r="6" spans="1:109" x14ac:dyDescent="0.25">
      <c r="B6" s="75" t="s">
        <v>427</v>
      </c>
      <c r="C6" s="75" t="s">
        <v>755</v>
      </c>
      <c r="D6" s="75"/>
      <c r="E6" s="75" t="s">
        <v>44</v>
      </c>
      <c r="F6" s="75" t="s">
        <v>51</v>
      </c>
      <c r="G6" s="75" t="s">
        <v>10</v>
      </c>
      <c r="H6" s="75" t="s">
        <v>152</v>
      </c>
      <c r="I6" s="75" t="s">
        <v>186</v>
      </c>
      <c r="J6" s="128"/>
      <c r="K6" s="128"/>
      <c r="L6" s="128"/>
      <c r="M6" s="128">
        <v>1693</v>
      </c>
      <c r="N6" s="128">
        <v>3239</v>
      </c>
      <c r="O6" s="128">
        <v>1988</v>
      </c>
      <c r="P6" s="128">
        <v>258</v>
      </c>
      <c r="Q6" s="128">
        <v>0</v>
      </c>
      <c r="R6" s="129"/>
      <c r="S6" s="128">
        <f>INDEX(Direct_Cost_Splits_Network,MATCH($H6,RIN_Asset_Cat_Network,0),MATCH($S$4,Direct_Cost_Type,0))*J6*HLOOKUP(S$5,Escalators!$I$25:$U$30,3,FALSE)</f>
        <v>0</v>
      </c>
      <c r="T6" s="128">
        <f>INDEX(Direct_Cost_Splits_Network,MATCH($H6,RIN_Asset_Cat_Network,0),MATCH($S$4,Direct_Cost_Type,0))*K6*HLOOKUP(T$5,Escalators!$I$25:$U$30,3,FALSE)</f>
        <v>0</v>
      </c>
      <c r="U6" s="128">
        <f>INDEX(Direct_Cost_Splits_Network,MATCH($H6,RIN_Asset_Cat_Network,0),MATCH($S$4,Direct_Cost_Type,0))*L6*HLOOKUP(U$5,Escalators!$I$25:$U$30,3,FALSE)</f>
        <v>0</v>
      </c>
      <c r="V6" s="128">
        <f>INDEX(Direct_Cost_Splits_Network,MATCH($H6,RIN_Asset_Cat_Network,0),MATCH($S$4,Direct_Cost_Type,0))*M6*HLOOKUP(V$5,Escalators!$I$25:$U$30,3,FALSE)</f>
        <v>266.9699829127631</v>
      </c>
      <c r="W6" s="128">
        <f>INDEX(Direct_Cost_Splits_Network,MATCH($H6,RIN_Asset_Cat_Network,0),MATCH($S$4,Direct_Cost_Type,0))*N6*HLOOKUP(W$5,Escalators!$I$25:$U$30,3,FALSE)</f>
        <v>509.48372271852611</v>
      </c>
      <c r="X6" s="128">
        <f>INDEX(Direct_Cost_Splits_Network,MATCH($H6,RIN_Asset_Cat_Network,0),MATCH($S$4,Direct_Cost_Type,0))*O6*HLOOKUP(X$5,Escalators!$I$25:$U$30,3,FALSE)</f>
        <v>312.47854230247322</v>
      </c>
      <c r="Y6" s="128">
        <f>INDEX(Direct_Cost_Splits_Network,MATCH($H6,RIN_Asset_Cat_Network,0),MATCH($S$4,Direct_Cost_Type,0))*P6*HLOOKUP(Y$5,Escalators!$I$25:$U$30,3,FALSE)</f>
        <v>40.701991402914494</v>
      </c>
      <c r="Z6" s="128">
        <f>INDEX(Direct_Cost_Splits_Network,MATCH($H6,RIN_Asset_Cat_Network,0),MATCH($S$4,Direct_Cost_Type,0))*Q6*HLOOKUP(Z$5,Escalators!$I$25:$U$30,3,FALSE)</f>
        <v>0</v>
      </c>
      <c r="AA6" s="129"/>
      <c r="AB6" s="128">
        <f>INDEX(Direct_Cost_Splits_Network,MATCH($H6,RIN_Asset_Cat_Network,0),MATCH($AG$4,Direct_Cost_Type,0))*$J6*INDEX(Act_Type_Augex_Splits,MATCH($I6,Act_Type_Augex,0),MATCH(AB$4,Mat_Type,0))*INDEX(Escalators!$I$44:$U$49,MATCH(AB$4,Escalators!$C$44:$C$49,0),MATCH(AB$5,Escalators!$I$43:$U$43,0))</f>
        <v>0</v>
      </c>
      <c r="AC6" s="128">
        <f>INDEX(Direct_Cost_Splits_Network,MATCH($H6,RIN_Asset_Cat_Network,0),MATCH($AG$4,Direct_Cost_Type,0))*$J6*INDEX(Act_Type_Augex_Splits,MATCH($I6,Act_Type_Augex,0),MATCH(AC$4,Mat_Type,0))*INDEX(Escalators!$I$44:$U$49,MATCH(AC$4,Escalators!$C$44:$C$49,0),MATCH(AC$5,Escalators!$I$43:$U$43,0))</f>
        <v>0</v>
      </c>
      <c r="AD6" s="128">
        <f>INDEX(Direct_Cost_Splits_Network,MATCH($H6,RIN_Asset_Cat_Network,0),MATCH($AG$4,Direct_Cost_Type,0))*$J6*INDEX(Act_Type_Augex_Splits,MATCH($I6,Act_Type_Augex,0),MATCH(AD$4,Mat_Type,0))*INDEX(Escalators!$I$44:$U$49,MATCH(AD$4,Escalators!$C$44:$C$49,0),MATCH(AD$5,Escalators!$I$43:$U$43,0))</f>
        <v>0</v>
      </c>
      <c r="AE6" s="128">
        <f>INDEX(Direct_Cost_Splits_Network,MATCH($H6,RIN_Asset_Cat_Network,0),MATCH($AG$4,Direct_Cost_Type,0))*$J6*INDEX(Act_Type_Augex_Splits,MATCH($I6,Act_Type_Augex,0),MATCH(AE$4,Mat_Type,0))*INDEX(Escalators!$I$44:$U$49,MATCH(AE$4,Escalators!$C$44:$C$49,0),MATCH(AE$5,Escalators!$I$43:$U$43,0))</f>
        <v>0</v>
      </c>
      <c r="AF6" s="128">
        <f>INDEX(Direct_Cost_Splits_Network,MATCH($H6,RIN_Asset_Cat_Network,0),MATCH($AG$4,Direct_Cost_Type,0))*$J6*INDEX(Act_Type_Augex_Splits,MATCH($I6,Act_Type_Augex,0),MATCH(AF$4,Mat_Type,0))*INDEX(Escalators!$I$44:$U$49,MATCH(AF$4,Escalators!$C$44:$C$49,0),MATCH(AF$5,Escalators!$I$43:$U$43,0))</f>
        <v>0</v>
      </c>
      <c r="AG6" s="128">
        <f>SUM(AB6:AF6)</f>
        <v>0</v>
      </c>
      <c r="AH6" s="128">
        <f>INDEX(Direct_Cost_Splits_Network,MATCH($H6,RIN_Asset_Cat_Network,0),MATCH($AY$4,Direct_Cost_Type,0))*$K6*INDEX(Act_Type_Augex_Splits,MATCH($I6,Act_Type_Augex,0),MATCH(AH$4,Mat_Type,0))*INDEX(Escalators!$I$44:$U$49,MATCH(AH$4,Escalators!$C$44:$C$49,0),MATCH(AH$5,Escalators!$I$43:$U$43,0))</f>
        <v>0</v>
      </c>
      <c r="AI6" s="128">
        <f>INDEX(Direct_Cost_Splits_Network,MATCH($H6,RIN_Asset_Cat_Network,0),MATCH($AY$4,Direct_Cost_Type,0))*$K6*INDEX(Act_Type_Augex_Splits,MATCH($I6,Act_Type_Augex,0),MATCH(AI$4,Mat_Type,0))*INDEX(Escalators!$I$44:$U$49,MATCH(AI$4,Escalators!$C$44:$C$49,0),MATCH(AI$5,Escalators!$I$43:$U$43,0))</f>
        <v>0</v>
      </c>
      <c r="AJ6" s="128">
        <f>INDEX(Direct_Cost_Splits_Network,MATCH($H6,RIN_Asset_Cat_Network,0),MATCH($AY$4,Direct_Cost_Type,0))*$K6*INDEX(Act_Type_Augex_Splits,MATCH($I6,Act_Type_Augex,0),MATCH(AJ$4,Mat_Type,0))*INDEX(Escalators!$I$44:$U$49,MATCH(AJ$4,Escalators!$C$44:$C$49,0),MATCH(AJ$5,Escalators!$I$43:$U$43,0))</f>
        <v>0</v>
      </c>
      <c r="AK6" s="128">
        <f>INDEX(Direct_Cost_Splits_Network,MATCH($H6,RIN_Asset_Cat_Network,0),MATCH($AY$4,Direct_Cost_Type,0))*$K6*INDEX(Act_Type_Augex_Splits,MATCH($I6,Act_Type_Augex,0),MATCH(AK$4,Mat_Type,0))*INDEX(Escalators!$I$44:$U$49,MATCH(AK$4,Escalators!$C$44:$C$49,0),MATCH(AK$5,Escalators!$I$43:$U$43,0))</f>
        <v>0</v>
      </c>
      <c r="AL6" s="128">
        <f>INDEX(Direct_Cost_Splits_Network,MATCH($H6,RIN_Asset_Cat_Network,0),MATCH($AY$4,Direct_Cost_Type,0))*$K6*INDEX(Act_Type_Augex_Splits,MATCH($I6,Act_Type_Augex,0),MATCH(AL$4,Mat_Type,0))*INDEX(Escalators!$I$44:$U$49,MATCH(AL$4,Escalators!$C$44:$C$49,0),MATCH(AL$5,Escalators!$I$43:$U$43,0))</f>
        <v>0</v>
      </c>
      <c r="AM6" s="128">
        <f>SUM(AH6:AL6)</f>
        <v>0</v>
      </c>
      <c r="AN6" s="128">
        <f>INDEX(Direct_Cost_Splits_Network,MATCH($H6,RIN_Asset_Cat_Network,0),MATCH($AY$4,Direct_Cost_Type,0))*$L6*INDEX(Act_Type_Augex_Splits,MATCH($I6,Act_Type_Augex,0),MATCH(AN$4,Mat_Type,0))*INDEX(Escalators!$I$44:$U$49,MATCH(AN$4,Escalators!$C$44:$C$49,0),MATCH(AN$5,Escalators!$I$43:$U$43,0))</f>
        <v>0</v>
      </c>
      <c r="AO6" s="128">
        <f>INDEX(Direct_Cost_Splits_Network,MATCH($H6,RIN_Asset_Cat_Network,0),MATCH($AY$4,Direct_Cost_Type,0))*$L6*INDEX(Act_Type_Augex_Splits,MATCH($I6,Act_Type_Augex,0),MATCH(AO$4,Mat_Type,0))*INDEX(Escalators!$I$44:$U$49,MATCH(AO$4,Escalators!$C$44:$C$49,0),MATCH(AO$5,Escalators!$I$43:$U$43,0))</f>
        <v>0</v>
      </c>
      <c r="AP6" s="128">
        <f>INDEX(Direct_Cost_Splits_Network,MATCH($H6,RIN_Asset_Cat_Network,0),MATCH($AY$4,Direct_Cost_Type,0))*$L6*INDEX(Act_Type_Augex_Splits,MATCH($I6,Act_Type_Augex,0),MATCH(AP$4,Mat_Type,0))*INDEX(Escalators!$I$44:$U$49,MATCH(AP$4,Escalators!$C$44:$C$49,0),MATCH(AP$5,Escalators!$I$43:$U$43,0))</f>
        <v>0</v>
      </c>
      <c r="AQ6" s="128">
        <f>INDEX(Direct_Cost_Splits_Network,MATCH($H6,RIN_Asset_Cat_Network,0),MATCH($AY$4,Direct_Cost_Type,0))*$L6*INDEX(Act_Type_Augex_Splits,MATCH($I6,Act_Type_Augex,0),MATCH(AQ$4,Mat_Type,0))*INDEX(Escalators!$I$44:$U$49,MATCH(AQ$4,Escalators!$C$44:$C$49,0),MATCH(AQ$5,Escalators!$I$43:$U$43,0))</f>
        <v>0</v>
      </c>
      <c r="AR6" s="128">
        <f>INDEX(Direct_Cost_Splits_Network,MATCH($H6,RIN_Asset_Cat_Network,0),MATCH($AY$4,Direct_Cost_Type,0))*$L6*INDEX(Act_Type_Augex_Splits,MATCH($I6,Act_Type_Augex,0),MATCH(AR$4,Mat_Type,0))*INDEX(Escalators!$I$44:$U$49,MATCH(AR$4,Escalators!$C$44:$C$49,0),MATCH(AR$5,Escalators!$I$43:$U$43,0))</f>
        <v>0</v>
      </c>
      <c r="AS6" s="128">
        <f>SUM(AN6:AR6)</f>
        <v>0</v>
      </c>
      <c r="AT6" s="128">
        <f>INDEX(Direct_Cost_Splits_Network,MATCH($H6,RIN_Asset_Cat_Network,0),MATCH($AY$4,Direct_Cost_Type,0))*$M6*INDEX(Act_Type_Augex_Splits,MATCH($I6,Act_Type_Augex,0),MATCH(AT$4,Mat_Type,0))*INDEX(Escalators!$I$44:$U$49,MATCH(AT$4,Escalators!$C$44:$C$49,0),MATCH(AT$5,Escalators!$I$43:$U$43,0))</f>
        <v>26.141536607774569</v>
      </c>
      <c r="AU6" s="128">
        <f>INDEX(Direct_Cost_Splits_Network,MATCH($H6,RIN_Asset_Cat_Network,0),MATCH($AY$4,Direct_Cost_Type,0))*$M6*INDEX(Act_Type_Augex_Splits,MATCH($I6,Act_Type_Augex,0),MATCH(AU$4,Mat_Type,0))*INDEX(Escalators!$I$44:$U$49,MATCH(AU$4,Escalators!$C$44:$C$49,0),MATCH(AU$5,Escalators!$I$43:$U$43,0))</f>
        <v>104.56614643109828</v>
      </c>
      <c r="AV6" s="128">
        <f>INDEX(Direct_Cost_Splits_Network,MATCH($H6,RIN_Asset_Cat_Network,0),MATCH($AY$4,Direct_Cost_Type,0))*$M6*INDEX(Act_Type_Augex_Splits,MATCH($I6,Act_Type_Augex,0),MATCH(AV$4,Mat_Type,0))*INDEX(Escalators!$I$44:$U$49,MATCH(AV$4,Escalators!$C$44:$C$49,0),MATCH(AV$5,Escalators!$I$43:$U$43,0))</f>
        <v>182.99075625442194</v>
      </c>
      <c r="AW6" s="128">
        <f>INDEX(Direct_Cost_Splits_Network,MATCH($H6,RIN_Asset_Cat_Network,0),MATCH($AY$4,Direct_Cost_Type,0))*$M6*INDEX(Act_Type_Augex_Splits,MATCH($I6,Act_Type_Augex,0),MATCH(AW$4,Mat_Type,0))*INDEX(Escalators!$I$44:$U$49,MATCH(AW$4,Escalators!$C$44:$C$49,0),MATCH(AW$5,Escalators!$I$43:$U$43,0))</f>
        <v>26.141536607774569</v>
      </c>
      <c r="AX6" s="128">
        <f>INDEX(Direct_Cost_Splits_Network,MATCH($H6,RIN_Asset_Cat_Network,0),MATCH($AY$4,Direct_Cost_Type,0))*$M6*INDEX(Act_Type_Augex_Splits,MATCH($I6,Act_Type_Augex,0),MATCH(AX$4,Mat_Type,0))*INDEX(Escalators!$I$44:$U$49,MATCH(AX$4,Escalators!$C$44:$C$49,0),MATCH(AX$5,Escalators!$I$43:$U$43,0))</f>
        <v>182.99075625442194</v>
      </c>
      <c r="AY6" s="128">
        <f>SUM(AT6:AX6)</f>
        <v>522.83073215549132</v>
      </c>
      <c r="AZ6" s="128">
        <f>INDEX(Direct_Cost_Splits_Network,MATCH($H6,RIN_Asset_Cat_Network,0),MATCH($BE$4,Direct_Cost_Type,0))*$N6*INDEX(Act_Type_Augex_Splits,MATCH($I6,Act_Type_Augex,0),MATCH(AZ$4,Mat_Type,0))*INDEX(Escalators!$I$44:$U$49,MATCH(AZ$4,Escalators!$C$44:$C$49,0),MATCH(AZ$5,Escalators!$I$43:$U$43,0))</f>
        <v>50.01325284854213</v>
      </c>
      <c r="BA6" s="128">
        <f>INDEX(Direct_Cost_Splits_Network,MATCH($H6,RIN_Asset_Cat_Network,0),MATCH($BE$4,Direct_Cost_Type,0))*$N6*INDEX(Act_Type_Augex_Splits,MATCH($I6,Act_Type_Augex,0),MATCH(BA$4,Mat_Type,0))*INDEX(Escalators!$I$44:$U$49,MATCH(BA$4,Escalators!$C$44:$C$49,0),MATCH(BA$5,Escalators!$I$43:$U$43,0))</f>
        <v>200.05301139416852</v>
      </c>
      <c r="BB6" s="128">
        <f>INDEX(Direct_Cost_Splits_Network,MATCH($H6,RIN_Asset_Cat_Network,0),MATCH($BE$4,Direct_Cost_Type,0))*$N6*INDEX(Act_Type_Augex_Splits,MATCH($I6,Act_Type_Augex,0),MATCH(BB$4,Mat_Type,0))*INDEX(Escalators!$I$44:$U$49,MATCH(BB$4,Escalators!$C$44:$C$49,0),MATCH(BB$5,Escalators!$I$43:$U$43,0))</f>
        <v>350.09276993979489</v>
      </c>
      <c r="BC6" s="128">
        <f>INDEX(Direct_Cost_Splits_Network,MATCH($H6,RIN_Asset_Cat_Network,0),MATCH($BE$4,Direct_Cost_Type,0))*$N6*INDEX(Act_Type_Augex_Splits,MATCH($I6,Act_Type_Augex,0),MATCH(BC$4,Mat_Type,0))*INDEX(Escalators!$I$44:$U$49,MATCH(BC$4,Escalators!$C$44:$C$49,0),MATCH(BC$5,Escalators!$I$43:$U$43,0))</f>
        <v>50.01325284854213</v>
      </c>
      <c r="BD6" s="128">
        <f>INDEX(Direct_Cost_Splits_Network,MATCH($H6,RIN_Asset_Cat_Network,0),MATCH($BE$4,Direct_Cost_Type,0))*$N6*INDEX(Act_Type_Augex_Splits,MATCH($I6,Act_Type_Augex,0),MATCH(BD$4,Mat_Type,0))*INDEX(Escalators!$I$44:$U$49,MATCH(BD$4,Escalators!$C$44:$C$49,0),MATCH(BD$5,Escalators!$I$43:$U$43,0))</f>
        <v>350.09276993979489</v>
      </c>
      <c r="BE6" s="128">
        <f>SUM(AZ6:BD6)</f>
        <v>1000.2650569708426</v>
      </c>
      <c r="BF6" s="128">
        <f>INDEX(Direct_Cost_Splits_Network,MATCH($H6,RIN_Asset_Cat_Network,0),MATCH($BK$4,Direct_Cost_Type,0))*$O6*INDEX(Act_Type_Augex_Splits,MATCH($I6,Act_Type_Augex,0),MATCH(BF$4,Mat_Type,0))*INDEX(Escalators!$I$44:$U$49,MATCH(BF$4,Escalators!$C$44:$C$49,0),MATCH(BF$5,Escalators!$I$43:$U$43,0))</f>
        <v>30.69661829666618</v>
      </c>
      <c r="BG6" s="128">
        <f>INDEX(Direct_Cost_Splits_Network,MATCH($H6,RIN_Asset_Cat_Network,0),MATCH($BK$4,Direct_Cost_Type,0))*$O6*INDEX(Act_Type_Augex_Splits,MATCH($I6,Act_Type_Augex,0),MATCH(BG$4,Mat_Type,0))*INDEX(Escalators!$I$44:$U$49,MATCH(BG$4,Escalators!$C$44:$C$49,0),MATCH(BG$5,Escalators!$I$43:$U$43,0))</f>
        <v>122.78647318666472</v>
      </c>
      <c r="BH6" s="128">
        <f>INDEX(Direct_Cost_Splits_Network,MATCH($H6,RIN_Asset_Cat_Network,0),MATCH($BK$4,Direct_Cost_Type,0))*$O6*INDEX(Act_Type_Augex_Splits,MATCH($I6,Act_Type_Augex,0),MATCH(BH$4,Mat_Type,0))*INDEX(Escalators!$I$44:$U$49,MATCH(BH$4,Escalators!$C$44:$C$49,0),MATCH(BH$5,Escalators!$I$43:$U$43,0))</f>
        <v>214.87632807666324</v>
      </c>
      <c r="BI6" s="128">
        <f>INDEX(Direct_Cost_Splits_Network,MATCH($H6,RIN_Asset_Cat_Network,0),MATCH($BK$4,Direct_Cost_Type,0))*$O6*INDEX(Act_Type_Augex_Splits,MATCH($I6,Act_Type_Augex,0),MATCH(BI$4,Mat_Type,0))*INDEX(Escalators!$I$44:$U$49,MATCH(BI$4,Escalators!$C$44:$C$49,0),MATCH(BI$5,Escalators!$I$43:$U$43,0))</f>
        <v>30.69661829666618</v>
      </c>
      <c r="BJ6" s="128">
        <f>INDEX(Direct_Cost_Splits_Network,MATCH($H6,RIN_Asset_Cat_Network,0),MATCH($BK$4,Direct_Cost_Type,0))*$O6*INDEX(Act_Type_Augex_Splits,MATCH($I6,Act_Type_Augex,0),MATCH(BJ$4,Mat_Type,0))*INDEX(Escalators!$I$44:$U$49,MATCH(BJ$4,Escalators!$C$44:$C$49,0),MATCH(BJ$5,Escalators!$I$43:$U$43,0))</f>
        <v>214.87632807666324</v>
      </c>
      <c r="BK6" s="128">
        <f>SUM(BF6:BJ6)</f>
        <v>613.93236593332358</v>
      </c>
      <c r="BL6" s="128">
        <f>INDEX(Direct_Cost_Splits_Network,MATCH($H6,RIN_Asset_Cat_Network,0),MATCH($BQ$4,Direct_Cost_Type,0))*$P6*INDEX(Act_Type_Augex_Splits,MATCH($I6,Act_Type_Augex,0),MATCH(BL$4,Mat_Type,0))*INDEX(Escalators!$I$44:$U$49,MATCH(BL$4,Escalators!$C$44:$C$49,0),MATCH(BL$5,Escalators!$I$43:$U$43,0))</f>
        <v>3.9837663584204601</v>
      </c>
      <c r="BM6" s="128">
        <f>INDEX(Direct_Cost_Splits_Network,MATCH($H6,RIN_Asset_Cat_Network,0),MATCH($BQ$4,Direct_Cost_Type,0))*$P6*INDEX(Act_Type_Augex_Splits,MATCH($I6,Act_Type_Augex,0),MATCH(BM$4,Mat_Type,0))*INDEX(Escalators!$I$44:$U$49,MATCH(BM$4,Escalators!$C$44:$C$49,0),MATCH(BM$5,Escalators!$I$43:$U$43,0))</f>
        <v>15.93506543368184</v>
      </c>
      <c r="BN6" s="128">
        <f>INDEX(Direct_Cost_Splits_Network,MATCH($H6,RIN_Asset_Cat_Network,0),MATCH($BQ$4,Direct_Cost_Type,0))*$P6*INDEX(Act_Type_Augex_Splits,MATCH($I6,Act_Type_Augex,0),MATCH(BN$4,Mat_Type,0))*INDEX(Escalators!$I$44:$U$49,MATCH(BN$4,Escalators!$C$44:$C$49,0),MATCH(BN$5,Escalators!$I$43:$U$43,0))</f>
        <v>27.886364508943217</v>
      </c>
      <c r="BO6" s="128">
        <f>INDEX(Direct_Cost_Splits_Network,MATCH($H6,RIN_Asset_Cat_Network,0),MATCH($BQ$4,Direct_Cost_Type,0))*$P6*INDEX(Act_Type_Augex_Splits,MATCH($I6,Act_Type_Augex,0),MATCH(BO$4,Mat_Type,0))*INDEX(Escalators!$I$44:$U$49,MATCH(BO$4,Escalators!$C$44:$C$49,0),MATCH(BO$5,Escalators!$I$43:$U$43,0))</f>
        <v>3.9837663584204601</v>
      </c>
      <c r="BP6" s="128">
        <f>INDEX(Direct_Cost_Splits_Network,MATCH($H6,RIN_Asset_Cat_Network,0),MATCH($BQ$4,Direct_Cost_Type,0))*$P6*INDEX(Act_Type_Augex_Splits,MATCH($I6,Act_Type_Augex,0),MATCH(BP$4,Mat_Type,0))*INDEX(Escalators!$I$44:$U$49,MATCH(BP$4,Escalators!$C$44:$C$49,0),MATCH(BP$5,Escalators!$I$43:$U$43,0))</f>
        <v>27.886364508943217</v>
      </c>
      <c r="BQ6" s="128">
        <f>SUM(BL6:BP6)</f>
        <v>79.675327168409183</v>
      </c>
      <c r="BR6" s="128">
        <f>INDEX(Direct_Cost_Splits_Network,MATCH($H6,RIN_Asset_Cat_Network,0),MATCH($BW$4,Direct_Cost_Type,0))*$Q6*INDEX(Act_Type_Augex_Splits,MATCH($I6,Act_Type_Augex,0),MATCH(BR$4,Mat_Type,0))*INDEX(Escalators!$I$44:$U$49,MATCH(BR$4,Escalators!$C$44:$C$49,0),MATCH(BR$5,Escalators!$I$43:$U$43,0))</f>
        <v>0</v>
      </c>
      <c r="BS6" s="128">
        <f>INDEX(Direct_Cost_Splits_Network,MATCH($H6,RIN_Asset_Cat_Network,0),MATCH($BW$4,Direct_Cost_Type,0))*$Q6*INDEX(Act_Type_Augex_Splits,MATCH($I6,Act_Type_Augex,0),MATCH(BS$4,Mat_Type,0))*INDEX(Escalators!$I$44:$U$49,MATCH(BS$4,Escalators!$C$44:$C$49,0),MATCH(BS$5,Escalators!$I$43:$U$43,0))</f>
        <v>0</v>
      </c>
      <c r="BT6" s="128">
        <f>INDEX(Direct_Cost_Splits_Network,MATCH($H6,RIN_Asset_Cat_Network,0),MATCH($BW$4,Direct_Cost_Type,0))*$Q6*INDEX(Act_Type_Augex_Splits,MATCH($I6,Act_Type_Augex,0),MATCH(BT$4,Mat_Type,0))*INDEX(Escalators!$I$44:$U$49,MATCH(BT$4,Escalators!$C$44:$C$49,0),MATCH(BT$5,Escalators!$I$43:$U$43,0))</f>
        <v>0</v>
      </c>
      <c r="BU6" s="128">
        <f>INDEX(Direct_Cost_Splits_Network,MATCH($H6,RIN_Asset_Cat_Network,0),MATCH($BW$4,Direct_Cost_Type,0))*$Q6*INDEX(Act_Type_Augex_Splits,MATCH($I6,Act_Type_Augex,0),MATCH(BU$4,Mat_Type,0))*INDEX(Escalators!$I$44:$U$49,MATCH(BU$4,Escalators!$C$44:$C$49,0),MATCH(BU$5,Escalators!$I$43:$U$43,0))</f>
        <v>0</v>
      </c>
      <c r="BV6" s="128">
        <f>INDEX(Direct_Cost_Splits_Network,MATCH($H6,RIN_Asset_Cat_Network,0),MATCH($BW$4,Direct_Cost_Type,0))*$Q6*INDEX(Act_Type_Augex_Splits,MATCH($I6,Act_Type_Augex,0),MATCH(BV$4,Mat_Type,0))*INDEX(Escalators!$I$44:$U$49,MATCH(BV$4,Escalators!$C$44:$C$49,0),MATCH(BV$5,Escalators!$I$43:$U$43,0))</f>
        <v>0</v>
      </c>
      <c r="BW6" s="128">
        <f>SUM(BR6:BV6)</f>
        <v>0</v>
      </c>
      <c r="BX6" s="129"/>
      <c r="BY6" s="128">
        <f>INDEX(Direct_Cost_Splits_Network,MATCH($H6,RIN_Asset_Cat_Network,0),MATCH($BY$4,Direct_Cost_Type,0))*J6*HLOOKUP(BY$5,Escalators!$I$25:$U$30,6,FALSE)</f>
        <v>0</v>
      </c>
      <c r="BZ6" s="128">
        <f>INDEX(Direct_Cost_Splits_Network,MATCH($H6,RIN_Asset_Cat_Network,0),MATCH($BY$4,Direct_Cost_Type,0))*K6*HLOOKUP(BZ$5,Escalators!$I$25:$U$30,6,FALSE)</f>
        <v>0</v>
      </c>
      <c r="CA6" s="128">
        <f>INDEX(Direct_Cost_Splits_Network,MATCH($H6,RIN_Asset_Cat_Network,0),MATCH($BY$4,Direct_Cost_Type,0))*L6*HLOOKUP(CA$5,Escalators!$I$25:$U$30,6,FALSE)</f>
        <v>0</v>
      </c>
      <c r="CB6" s="128">
        <f>INDEX(Direct_Cost_Splits_Network,MATCH($H6,RIN_Asset_Cat_Network,0),MATCH($BY$4,Direct_Cost_Type,0))*M6*HLOOKUP(CB$5,Escalators!$I$25:$U$30,6,FALSE)</f>
        <v>712.25318949983762</v>
      </c>
      <c r="CC6" s="128">
        <f>INDEX(Direct_Cost_Splits_Network,MATCH($H6,RIN_Asset_Cat_Network,0),MATCH($BY$4,Direct_Cost_Type,0))*N6*HLOOKUP(CC$5,Escalators!$I$25:$U$30,6,FALSE)</f>
        <v>1362.6627766036468</v>
      </c>
      <c r="CD6" s="128">
        <f>INDEX(Direct_Cost_Splits_Network,MATCH($H6,RIN_Asset_Cat_Network,0),MATCH($BY$4,Direct_Cost_Type,0))*O6*HLOOKUP(CD$5,Escalators!$I$25:$U$30,6,FALSE)</f>
        <v>836.36109907009882</v>
      </c>
      <c r="CE6" s="128">
        <f>INDEX(Direct_Cost_Splits_Network,MATCH($H6,RIN_Asset_Cat_Network,0),MATCH($BY$4,Direct_Cost_Type,0))*P6*HLOOKUP(CE$5,Escalators!$I$25:$U$30,6,FALSE)</f>
        <v>108.54183277670296</v>
      </c>
      <c r="CF6" s="128">
        <f>INDEX(Direct_Cost_Splits_Network,MATCH($H6,RIN_Asset_Cat_Network,0),MATCH($BY$4,Direct_Cost_Type,0))*Q6*HLOOKUP(CF$5,Escalators!$I$25:$U$30,6,FALSE)</f>
        <v>0</v>
      </c>
      <c r="CG6" s="129"/>
      <c r="CH6" s="763">
        <f t="shared" ref="CH6:CO8" si="8">INDEX(Direct_Cost_Splits_Network,MATCH($H6,RIN_Asset_Cat_Network,0),MATCH($CH$4,Direct_Cost_Type,0))*J6</f>
        <v>0</v>
      </c>
      <c r="CI6" s="763">
        <f t="shared" si="8"/>
        <v>0</v>
      </c>
      <c r="CJ6" s="763">
        <f t="shared" si="8"/>
        <v>0</v>
      </c>
      <c r="CK6" s="763">
        <f t="shared" si="8"/>
        <v>195.68167993540717</v>
      </c>
      <c r="CL6" s="763">
        <f t="shared" si="8"/>
        <v>374.37268831115409</v>
      </c>
      <c r="CM6" s="763">
        <f t="shared" si="8"/>
        <v>229.7786058544533</v>
      </c>
      <c r="CN6" s="763">
        <f t="shared" si="8"/>
        <v>29.820362329199675</v>
      </c>
      <c r="CO6" s="763">
        <f t="shared" si="8"/>
        <v>0</v>
      </c>
      <c r="CP6" s="129"/>
      <c r="CQ6" s="128">
        <f>S6+AG6+BY6+CH6</f>
        <v>0</v>
      </c>
      <c r="CR6" s="128">
        <f t="shared" ref="CR6:CR36" si="9">T6+AM6+BZ6+CI6</f>
        <v>0</v>
      </c>
      <c r="CS6" s="128">
        <f>U6+AS6+CA6+CJ6</f>
        <v>0</v>
      </c>
      <c r="CT6" s="128">
        <f>V6+AY6+CB6+CK6</f>
        <v>1697.7355845034992</v>
      </c>
      <c r="CU6" s="128">
        <f>W6+BE6+CC6+CL6</f>
        <v>3246.7842446041695</v>
      </c>
      <c r="CV6" s="128">
        <f>X6+BK6+CD6+CM6</f>
        <v>1992.5506131603488</v>
      </c>
      <c r="CW6" s="128">
        <f>Y6+BQ6+CE6+CN6</f>
        <v>258.73951367722634</v>
      </c>
      <c r="CX6" s="128">
        <f>Z6+BW6+CF6+CO6</f>
        <v>0</v>
      </c>
      <c r="CZ6" s="316"/>
      <c r="DA6" s="316"/>
      <c r="DB6" s="316"/>
      <c r="DC6" s="316"/>
      <c r="DD6" s="316"/>
      <c r="DE6" s="39"/>
    </row>
    <row r="7" spans="1:109" x14ac:dyDescent="0.25">
      <c r="B7" s="75" t="s">
        <v>427</v>
      </c>
      <c r="C7" s="75" t="s">
        <v>756</v>
      </c>
      <c r="D7" s="75"/>
      <c r="E7" s="75" t="s">
        <v>44</v>
      </c>
      <c r="F7" s="75" t="s">
        <v>51</v>
      </c>
      <c r="G7" s="75" t="s">
        <v>10</v>
      </c>
      <c r="H7" s="75" t="s">
        <v>152</v>
      </c>
      <c r="I7" s="75" t="s">
        <v>186</v>
      </c>
      <c r="J7" s="128"/>
      <c r="K7" s="128"/>
      <c r="L7" s="128"/>
      <c r="M7" s="128">
        <v>0</v>
      </c>
      <c r="N7" s="128">
        <v>0</v>
      </c>
      <c r="O7" s="128">
        <v>0</v>
      </c>
      <c r="P7" s="128">
        <v>0</v>
      </c>
      <c r="Q7" s="128">
        <v>0</v>
      </c>
      <c r="R7" s="129"/>
      <c r="S7" s="128">
        <f>INDEX(Direct_Cost_Splits_Network,MATCH($H7,RIN_Asset_Cat_Network,0),MATCH($S$4,Direct_Cost_Type,0))*J7*HLOOKUP(S$5,Escalators!$I$25:$U$30,3,FALSE)</f>
        <v>0</v>
      </c>
      <c r="T7" s="128">
        <f>INDEX(Direct_Cost_Splits_Network,MATCH($H7,RIN_Asset_Cat_Network,0),MATCH($S$4,Direct_Cost_Type,0))*K7*HLOOKUP(T$5,Escalators!$I$25:$U$30,3,FALSE)</f>
        <v>0</v>
      </c>
      <c r="U7" s="128">
        <f>INDEX(Direct_Cost_Splits_Network,MATCH($H7,RIN_Asset_Cat_Network,0),MATCH($S$4,Direct_Cost_Type,0))*L7*HLOOKUP(U$5,Escalators!$I$25:$U$30,3,FALSE)</f>
        <v>0</v>
      </c>
      <c r="V7" s="128">
        <f>INDEX(Direct_Cost_Splits_Network,MATCH($H7,RIN_Asset_Cat_Network,0),MATCH($S$4,Direct_Cost_Type,0))*M7*HLOOKUP(V$5,Escalators!$I$25:$U$30,3,FALSE)</f>
        <v>0</v>
      </c>
      <c r="W7" s="128">
        <f>INDEX(Direct_Cost_Splits_Network,MATCH($H7,RIN_Asset_Cat_Network,0),MATCH($S$4,Direct_Cost_Type,0))*N7*HLOOKUP(W$5,Escalators!$I$25:$U$30,3,FALSE)</f>
        <v>0</v>
      </c>
      <c r="X7" s="128">
        <f>INDEX(Direct_Cost_Splits_Network,MATCH($H7,RIN_Asset_Cat_Network,0),MATCH($S$4,Direct_Cost_Type,0))*O7*HLOOKUP(X$5,Escalators!$I$25:$U$30,3,FALSE)</f>
        <v>0</v>
      </c>
      <c r="Y7" s="128">
        <f>INDEX(Direct_Cost_Splits_Network,MATCH($H7,RIN_Asset_Cat_Network,0),MATCH($S$4,Direct_Cost_Type,0))*P7*HLOOKUP(Y$5,Escalators!$I$25:$U$30,3,FALSE)</f>
        <v>0</v>
      </c>
      <c r="Z7" s="128">
        <f>INDEX(Direct_Cost_Splits_Network,MATCH($H7,RIN_Asset_Cat_Network,0),MATCH($S$4,Direct_Cost_Type,0))*Q7*HLOOKUP(Z$5,Escalators!$I$25:$U$30,3,FALSE)</f>
        <v>0</v>
      </c>
      <c r="AA7" s="129"/>
      <c r="AB7" s="128">
        <f>INDEX(Direct_Cost_Splits_Network,MATCH($H7,RIN_Asset_Cat_Network,0),MATCH($AG$4,Direct_Cost_Type,0))*$J7*INDEX(Act_Type_Augex_Splits,MATCH($I7,Act_Type_Augex,0),MATCH(AB$4,Mat_Type,0))*INDEX(Escalators!$I$44:$U$49,MATCH(AB$4,Escalators!$C$44:$C$49,0),MATCH(AB$5,Escalators!$I$43:$U$43,0))</f>
        <v>0</v>
      </c>
      <c r="AC7" s="128">
        <f>INDEX(Direct_Cost_Splits_Network,MATCH($H7,RIN_Asset_Cat_Network,0),MATCH($AG$4,Direct_Cost_Type,0))*$J7*INDEX(Act_Type_Augex_Splits,MATCH($I7,Act_Type_Augex,0),MATCH(AC$4,Mat_Type,0))*INDEX(Escalators!$I$44:$U$49,MATCH(AC$4,Escalators!$C$44:$C$49,0),MATCH(AC$5,Escalators!$I$43:$U$43,0))</f>
        <v>0</v>
      </c>
      <c r="AD7" s="128">
        <f>INDEX(Direct_Cost_Splits_Network,MATCH($H7,RIN_Asset_Cat_Network,0),MATCH($AG$4,Direct_Cost_Type,0))*$J7*INDEX(Act_Type_Augex_Splits,MATCH($I7,Act_Type_Augex,0),MATCH(AD$4,Mat_Type,0))*INDEX(Escalators!$I$44:$U$49,MATCH(AD$4,Escalators!$C$44:$C$49,0),MATCH(AD$5,Escalators!$I$43:$U$43,0))</f>
        <v>0</v>
      </c>
      <c r="AE7" s="128">
        <f>INDEX(Direct_Cost_Splits_Network,MATCH($H7,RIN_Asset_Cat_Network,0),MATCH($AG$4,Direct_Cost_Type,0))*$J7*INDEX(Act_Type_Augex_Splits,MATCH($I7,Act_Type_Augex,0),MATCH(AE$4,Mat_Type,0))*INDEX(Escalators!$I$44:$U$49,MATCH(AE$4,Escalators!$C$44:$C$49,0),MATCH(AE$5,Escalators!$I$43:$U$43,0))</f>
        <v>0</v>
      </c>
      <c r="AF7" s="128">
        <f>INDEX(Direct_Cost_Splits_Network,MATCH($H7,RIN_Asset_Cat_Network,0),MATCH($AG$4,Direct_Cost_Type,0))*$J7*INDEX(Act_Type_Augex_Splits,MATCH($I7,Act_Type_Augex,0),MATCH(AF$4,Mat_Type,0))*INDEX(Escalators!$I$44:$U$49,MATCH(AF$4,Escalators!$C$44:$C$49,0),MATCH(AF$5,Escalators!$I$43:$U$43,0))</f>
        <v>0</v>
      </c>
      <c r="AG7" s="128">
        <f t="shared" ref="AG7:AG13" si="10">SUM(AB7:AF7)</f>
        <v>0</v>
      </c>
      <c r="AH7" s="128">
        <f>INDEX(Direct_Cost_Splits_Network,MATCH($H7,RIN_Asset_Cat_Network,0),MATCH($AY$4,Direct_Cost_Type,0))*$K7*INDEX(Act_Type_Augex_Splits,MATCH($I7,Act_Type_Augex,0),MATCH(AH$4,Mat_Type,0))*INDEX(Escalators!$I$44:$U$49,MATCH(AH$4,Escalators!$C$44:$C$49,0),MATCH(AH$5,Escalators!$I$43:$U$43,0))</f>
        <v>0</v>
      </c>
      <c r="AI7" s="128">
        <f>INDEX(Direct_Cost_Splits_Network,MATCH($H7,RIN_Asset_Cat_Network,0),MATCH($AY$4,Direct_Cost_Type,0))*$K7*INDEX(Act_Type_Augex_Splits,MATCH($I7,Act_Type_Augex,0),MATCH(AI$4,Mat_Type,0))*INDEX(Escalators!$I$44:$U$49,MATCH(AI$4,Escalators!$C$44:$C$49,0),MATCH(AI$5,Escalators!$I$43:$U$43,0))</f>
        <v>0</v>
      </c>
      <c r="AJ7" s="128">
        <f>INDEX(Direct_Cost_Splits_Network,MATCH($H7,RIN_Asset_Cat_Network,0),MATCH($AY$4,Direct_Cost_Type,0))*$K7*INDEX(Act_Type_Augex_Splits,MATCH($I7,Act_Type_Augex,0),MATCH(AJ$4,Mat_Type,0))*INDEX(Escalators!$I$44:$U$49,MATCH(AJ$4,Escalators!$C$44:$C$49,0),MATCH(AJ$5,Escalators!$I$43:$U$43,0))</f>
        <v>0</v>
      </c>
      <c r="AK7" s="128">
        <f>INDEX(Direct_Cost_Splits_Network,MATCH($H7,RIN_Asset_Cat_Network,0),MATCH($AY$4,Direct_Cost_Type,0))*$K7*INDEX(Act_Type_Augex_Splits,MATCH($I7,Act_Type_Augex,0),MATCH(AK$4,Mat_Type,0))*INDEX(Escalators!$I$44:$U$49,MATCH(AK$4,Escalators!$C$44:$C$49,0),MATCH(AK$5,Escalators!$I$43:$U$43,0))</f>
        <v>0</v>
      </c>
      <c r="AL7" s="128">
        <f>INDEX(Direct_Cost_Splits_Network,MATCH($H7,RIN_Asset_Cat_Network,0),MATCH($AY$4,Direct_Cost_Type,0))*$K7*INDEX(Act_Type_Augex_Splits,MATCH($I7,Act_Type_Augex,0),MATCH(AL$4,Mat_Type,0))*INDEX(Escalators!$I$44:$U$49,MATCH(AL$4,Escalators!$C$44:$C$49,0),MATCH(AL$5,Escalators!$I$43:$U$43,0))</f>
        <v>0</v>
      </c>
      <c r="AM7" s="128">
        <f t="shared" ref="AM7:AM13" si="11">SUM(AH7:AL7)</f>
        <v>0</v>
      </c>
      <c r="AN7" s="128">
        <f>INDEX(Direct_Cost_Splits_Network,MATCH($H7,RIN_Asset_Cat_Network,0),MATCH($AY$4,Direct_Cost_Type,0))*$L7*INDEX(Act_Type_Augex_Splits,MATCH($I7,Act_Type_Augex,0),MATCH(AN$4,Mat_Type,0))*INDEX(Escalators!$I$44:$U$49,MATCH(AN$4,Escalators!$C$44:$C$49,0),MATCH(AN$5,Escalators!$I$43:$U$43,0))</f>
        <v>0</v>
      </c>
      <c r="AO7" s="128">
        <f>INDEX(Direct_Cost_Splits_Network,MATCH($H7,RIN_Asset_Cat_Network,0),MATCH($AY$4,Direct_Cost_Type,0))*$L7*INDEX(Act_Type_Augex_Splits,MATCH($I7,Act_Type_Augex,0),MATCH(AO$4,Mat_Type,0))*INDEX(Escalators!$I$44:$U$49,MATCH(AO$4,Escalators!$C$44:$C$49,0),MATCH(AO$5,Escalators!$I$43:$U$43,0))</f>
        <v>0</v>
      </c>
      <c r="AP7" s="128">
        <f>INDEX(Direct_Cost_Splits_Network,MATCH($H7,RIN_Asset_Cat_Network,0),MATCH($AY$4,Direct_Cost_Type,0))*$L7*INDEX(Act_Type_Augex_Splits,MATCH($I7,Act_Type_Augex,0),MATCH(AP$4,Mat_Type,0))*INDEX(Escalators!$I$44:$U$49,MATCH(AP$4,Escalators!$C$44:$C$49,0),MATCH(AP$5,Escalators!$I$43:$U$43,0))</f>
        <v>0</v>
      </c>
      <c r="AQ7" s="128">
        <f>INDEX(Direct_Cost_Splits_Network,MATCH($H7,RIN_Asset_Cat_Network,0),MATCH($AY$4,Direct_Cost_Type,0))*$L7*INDEX(Act_Type_Augex_Splits,MATCH($I7,Act_Type_Augex,0),MATCH(AQ$4,Mat_Type,0))*INDEX(Escalators!$I$44:$U$49,MATCH(AQ$4,Escalators!$C$44:$C$49,0),MATCH(AQ$5,Escalators!$I$43:$U$43,0))</f>
        <v>0</v>
      </c>
      <c r="AR7" s="128">
        <f>INDEX(Direct_Cost_Splits_Network,MATCH($H7,RIN_Asset_Cat_Network,0),MATCH($AY$4,Direct_Cost_Type,0))*$L7*INDEX(Act_Type_Augex_Splits,MATCH($I7,Act_Type_Augex,0),MATCH(AR$4,Mat_Type,0))*INDEX(Escalators!$I$44:$U$49,MATCH(AR$4,Escalators!$C$44:$C$49,0),MATCH(AR$5,Escalators!$I$43:$U$43,0))</f>
        <v>0</v>
      </c>
      <c r="AS7" s="128">
        <f t="shared" ref="AS7:AS11" si="12">SUM(AN7:AR7)</f>
        <v>0</v>
      </c>
      <c r="AT7" s="128">
        <f>INDEX(Direct_Cost_Splits_Network,MATCH($H7,RIN_Asset_Cat_Network,0),MATCH($AY$4,Direct_Cost_Type,0))*$M7*INDEX(Act_Type_Augex_Splits,MATCH($I7,Act_Type_Augex,0),MATCH(AT$4,Mat_Type,0))*INDEX(Escalators!$I$44:$U$49,MATCH(AT$4,Escalators!$C$44:$C$49,0),MATCH(AT$5,Escalators!$I$43:$U$43,0))</f>
        <v>0</v>
      </c>
      <c r="AU7" s="128">
        <f>INDEX(Direct_Cost_Splits_Network,MATCH($H7,RIN_Asset_Cat_Network,0),MATCH($AY$4,Direct_Cost_Type,0))*$M7*INDEX(Act_Type_Augex_Splits,MATCH($I7,Act_Type_Augex,0),MATCH(AU$4,Mat_Type,0))*INDEX(Escalators!$I$44:$U$49,MATCH(AU$4,Escalators!$C$44:$C$49,0),MATCH(AU$5,Escalators!$I$43:$U$43,0))</f>
        <v>0</v>
      </c>
      <c r="AV7" s="128">
        <f>INDEX(Direct_Cost_Splits_Network,MATCH($H7,RIN_Asset_Cat_Network,0),MATCH($AY$4,Direct_Cost_Type,0))*$M7*INDEX(Act_Type_Augex_Splits,MATCH($I7,Act_Type_Augex,0),MATCH(AV$4,Mat_Type,0))*INDEX(Escalators!$I$44:$U$49,MATCH(AV$4,Escalators!$C$44:$C$49,0),MATCH(AV$5,Escalators!$I$43:$U$43,0))</f>
        <v>0</v>
      </c>
      <c r="AW7" s="128">
        <f>INDEX(Direct_Cost_Splits_Network,MATCH($H7,RIN_Asset_Cat_Network,0),MATCH($AY$4,Direct_Cost_Type,0))*$M7*INDEX(Act_Type_Augex_Splits,MATCH($I7,Act_Type_Augex,0),MATCH(AW$4,Mat_Type,0))*INDEX(Escalators!$I$44:$U$49,MATCH(AW$4,Escalators!$C$44:$C$49,0),MATCH(AW$5,Escalators!$I$43:$U$43,0))</f>
        <v>0</v>
      </c>
      <c r="AX7" s="128">
        <f>INDEX(Direct_Cost_Splits_Network,MATCH($H7,RIN_Asset_Cat_Network,0),MATCH($AY$4,Direct_Cost_Type,0))*$M7*INDEX(Act_Type_Augex_Splits,MATCH($I7,Act_Type_Augex,0),MATCH(AX$4,Mat_Type,0))*INDEX(Escalators!$I$44:$U$49,MATCH(AX$4,Escalators!$C$44:$C$49,0),MATCH(AX$5,Escalators!$I$43:$U$43,0))</f>
        <v>0</v>
      </c>
      <c r="AY7" s="128">
        <f t="shared" ref="AY7:AY13" si="13">SUM(AT7:AX7)</f>
        <v>0</v>
      </c>
      <c r="AZ7" s="128">
        <f>INDEX(Direct_Cost_Splits_Network,MATCH($H7,RIN_Asset_Cat_Network,0),MATCH($BE$4,Direct_Cost_Type,0))*$N7*INDEX(Act_Type_Augex_Splits,MATCH($I7,Act_Type_Augex,0),MATCH(AZ$4,Mat_Type,0))*INDEX(Escalators!$I$44:$U$49,MATCH(AZ$4,Escalators!$C$44:$C$49,0),MATCH(AZ$5,Escalators!$I$43:$U$43,0))</f>
        <v>0</v>
      </c>
      <c r="BA7" s="128">
        <f>INDEX(Direct_Cost_Splits_Network,MATCH($H7,RIN_Asset_Cat_Network,0),MATCH($BE$4,Direct_Cost_Type,0))*$N7*INDEX(Act_Type_Augex_Splits,MATCH($I7,Act_Type_Augex,0),MATCH(BA$4,Mat_Type,0))*INDEX(Escalators!$I$44:$U$49,MATCH(BA$4,Escalators!$C$44:$C$49,0),MATCH(BA$5,Escalators!$I$43:$U$43,0))</f>
        <v>0</v>
      </c>
      <c r="BB7" s="128">
        <f>INDEX(Direct_Cost_Splits_Network,MATCH($H7,RIN_Asset_Cat_Network,0),MATCH($BE$4,Direct_Cost_Type,0))*$N7*INDEX(Act_Type_Augex_Splits,MATCH($I7,Act_Type_Augex,0),MATCH(BB$4,Mat_Type,0))*INDEX(Escalators!$I$44:$U$49,MATCH(BB$4,Escalators!$C$44:$C$49,0),MATCH(BB$5,Escalators!$I$43:$U$43,0))</f>
        <v>0</v>
      </c>
      <c r="BC7" s="128">
        <f>INDEX(Direct_Cost_Splits_Network,MATCH($H7,RIN_Asset_Cat_Network,0),MATCH($BE$4,Direct_Cost_Type,0))*$N7*INDEX(Act_Type_Augex_Splits,MATCH($I7,Act_Type_Augex,0),MATCH(BC$4,Mat_Type,0))*INDEX(Escalators!$I$44:$U$49,MATCH(BC$4,Escalators!$C$44:$C$49,0),MATCH(BC$5,Escalators!$I$43:$U$43,0))</f>
        <v>0</v>
      </c>
      <c r="BD7" s="128">
        <f>INDEX(Direct_Cost_Splits_Network,MATCH($H7,RIN_Asset_Cat_Network,0),MATCH($BE$4,Direct_Cost_Type,0))*$N7*INDEX(Act_Type_Augex_Splits,MATCH($I7,Act_Type_Augex,0),MATCH(BD$4,Mat_Type,0))*INDEX(Escalators!$I$44:$U$49,MATCH(BD$4,Escalators!$C$44:$C$49,0),MATCH(BD$5,Escalators!$I$43:$U$43,0))</f>
        <v>0</v>
      </c>
      <c r="BE7" s="128">
        <f t="shared" ref="BE7:BE13" si="14">SUM(AZ7:BD7)</f>
        <v>0</v>
      </c>
      <c r="BF7" s="128">
        <f>INDEX(Direct_Cost_Splits_Network,MATCH($H7,RIN_Asset_Cat_Network,0),MATCH($BK$4,Direct_Cost_Type,0))*$O7*INDEX(Act_Type_Augex_Splits,MATCH($I7,Act_Type_Augex,0),MATCH(BF$4,Mat_Type,0))*INDEX(Escalators!$I$44:$U$49,MATCH(BF$4,Escalators!$C$44:$C$49,0),MATCH(BF$5,Escalators!$I$43:$U$43,0))</f>
        <v>0</v>
      </c>
      <c r="BG7" s="128">
        <f>INDEX(Direct_Cost_Splits_Network,MATCH($H7,RIN_Asset_Cat_Network,0),MATCH($BK$4,Direct_Cost_Type,0))*$O7*INDEX(Act_Type_Augex_Splits,MATCH($I7,Act_Type_Augex,0),MATCH(BG$4,Mat_Type,0))*INDEX(Escalators!$I$44:$U$49,MATCH(BG$4,Escalators!$C$44:$C$49,0),MATCH(BG$5,Escalators!$I$43:$U$43,0))</f>
        <v>0</v>
      </c>
      <c r="BH7" s="128">
        <f>INDEX(Direct_Cost_Splits_Network,MATCH($H7,RIN_Asset_Cat_Network,0),MATCH($BK$4,Direct_Cost_Type,0))*$O7*INDEX(Act_Type_Augex_Splits,MATCH($I7,Act_Type_Augex,0),MATCH(BH$4,Mat_Type,0))*INDEX(Escalators!$I$44:$U$49,MATCH(BH$4,Escalators!$C$44:$C$49,0),MATCH(BH$5,Escalators!$I$43:$U$43,0))</f>
        <v>0</v>
      </c>
      <c r="BI7" s="128">
        <f>INDEX(Direct_Cost_Splits_Network,MATCH($H7,RIN_Asset_Cat_Network,0),MATCH($BK$4,Direct_Cost_Type,0))*$O7*INDEX(Act_Type_Augex_Splits,MATCH($I7,Act_Type_Augex,0),MATCH(BI$4,Mat_Type,0))*INDEX(Escalators!$I$44:$U$49,MATCH(BI$4,Escalators!$C$44:$C$49,0),MATCH(BI$5,Escalators!$I$43:$U$43,0))</f>
        <v>0</v>
      </c>
      <c r="BJ7" s="128">
        <f>INDEX(Direct_Cost_Splits_Network,MATCH($H7,RIN_Asset_Cat_Network,0),MATCH($BK$4,Direct_Cost_Type,0))*$O7*INDEX(Act_Type_Augex_Splits,MATCH($I7,Act_Type_Augex,0),MATCH(BJ$4,Mat_Type,0))*INDEX(Escalators!$I$44:$U$49,MATCH(BJ$4,Escalators!$C$44:$C$49,0),MATCH(BJ$5,Escalators!$I$43:$U$43,0))</f>
        <v>0</v>
      </c>
      <c r="BK7" s="128">
        <f t="shared" ref="BK7:BK13" si="15">SUM(BF7:BJ7)</f>
        <v>0</v>
      </c>
      <c r="BL7" s="128">
        <f>INDEX(Direct_Cost_Splits_Network,MATCH($H7,RIN_Asset_Cat_Network,0),MATCH($BQ$4,Direct_Cost_Type,0))*$P7*INDEX(Act_Type_Augex_Splits,MATCH($I7,Act_Type_Augex,0),MATCH(BL$4,Mat_Type,0))*INDEX(Escalators!$I$44:$U$49,MATCH(BL$4,Escalators!$C$44:$C$49,0),MATCH(BL$5,Escalators!$I$43:$U$43,0))</f>
        <v>0</v>
      </c>
      <c r="BM7" s="128">
        <f>INDEX(Direct_Cost_Splits_Network,MATCH($H7,RIN_Asset_Cat_Network,0),MATCH($BQ$4,Direct_Cost_Type,0))*$P7*INDEX(Act_Type_Augex_Splits,MATCH($I7,Act_Type_Augex,0),MATCH(BM$4,Mat_Type,0))*INDEX(Escalators!$I$44:$U$49,MATCH(BM$4,Escalators!$C$44:$C$49,0),MATCH(BM$5,Escalators!$I$43:$U$43,0))</f>
        <v>0</v>
      </c>
      <c r="BN7" s="128">
        <f>INDEX(Direct_Cost_Splits_Network,MATCH($H7,RIN_Asset_Cat_Network,0),MATCH($BQ$4,Direct_Cost_Type,0))*$P7*INDEX(Act_Type_Augex_Splits,MATCH($I7,Act_Type_Augex,0),MATCH(BN$4,Mat_Type,0))*INDEX(Escalators!$I$44:$U$49,MATCH(BN$4,Escalators!$C$44:$C$49,0),MATCH(BN$5,Escalators!$I$43:$U$43,0))</f>
        <v>0</v>
      </c>
      <c r="BO7" s="128">
        <f>INDEX(Direct_Cost_Splits_Network,MATCH($H7,RIN_Asset_Cat_Network,0),MATCH($BQ$4,Direct_Cost_Type,0))*$P7*INDEX(Act_Type_Augex_Splits,MATCH($I7,Act_Type_Augex,0),MATCH(BO$4,Mat_Type,0))*INDEX(Escalators!$I$44:$U$49,MATCH(BO$4,Escalators!$C$44:$C$49,0),MATCH(BO$5,Escalators!$I$43:$U$43,0))</f>
        <v>0</v>
      </c>
      <c r="BP7" s="128">
        <f>INDEX(Direct_Cost_Splits_Network,MATCH($H7,RIN_Asset_Cat_Network,0),MATCH($BQ$4,Direct_Cost_Type,0))*$P7*INDEX(Act_Type_Augex_Splits,MATCH($I7,Act_Type_Augex,0),MATCH(BP$4,Mat_Type,0))*INDEX(Escalators!$I$44:$U$49,MATCH(BP$4,Escalators!$C$44:$C$49,0),MATCH(BP$5,Escalators!$I$43:$U$43,0))</f>
        <v>0</v>
      </c>
      <c r="BQ7" s="128">
        <f t="shared" ref="BQ7:BQ13" si="16">SUM(BL7:BP7)</f>
        <v>0</v>
      </c>
      <c r="BR7" s="128">
        <f>INDEX(Direct_Cost_Splits_Network,MATCH($H7,RIN_Asset_Cat_Network,0),MATCH($BW$4,Direct_Cost_Type,0))*$Q7*INDEX(Act_Type_Augex_Splits,MATCH($I7,Act_Type_Augex,0),MATCH(BR$4,Mat_Type,0))*INDEX(Escalators!$I$44:$U$49,MATCH(BR$4,Escalators!$C$44:$C$49,0),MATCH(BR$5,Escalators!$I$43:$U$43,0))</f>
        <v>0</v>
      </c>
      <c r="BS7" s="128">
        <f>INDEX(Direct_Cost_Splits_Network,MATCH($H7,RIN_Asset_Cat_Network,0),MATCH($BW$4,Direct_Cost_Type,0))*$Q7*INDEX(Act_Type_Augex_Splits,MATCH($I7,Act_Type_Augex,0),MATCH(BS$4,Mat_Type,0))*INDEX(Escalators!$I$44:$U$49,MATCH(BS$4,Escalators!$C$44:$C$49,0),MATCH(BS$5,Escalators!$I$43:$U$43,0))</f>
        <v>0</v>
      </c>
      <c r="BT7" s="128">
        <f>INDEX(Direct_Cost_Splits_Network,MATCH($H7,RIN_Asset_Cat_Network,0),MATCH($BW$4,Direct_Cost_Type,0))*$Q7*INDEX(Act_Type_Augex_Splits,MATCH($I7,Act_Type_Augex,0),MATCH(BT$4,Mat_Type,0))*INDEX(Escalators!$I$44:$U$49,MATCH(BT$4,Escalators!$C$44:$C$49,0),MATCH(BT$5,Escalators!$I$43:$U$43,0))</f>
        <v>0</v>
      </c>
      <c r="BU7" s="128">
        <f>INDEX(Direct_Cost_Splits_Network,MATCH($H7,RIN_Asset_Cat_Network,0),MATCH($BW$4,Direct_Cost_Type,0))*$Q7*INDEX(Act_Type_Augex_Splits,MATCH($I7,Act_Type_Augex,0),MATCH(BU$4,Mat_Type,0))*INDEX(Escalators!$I$44:$U$49,MATCH(BU$4,Escalators!$C$44:$C$49,0),MATCH(BU$5,Escalators!$I$43:$U$43,0))</f>
        <v>0</v>
      </c>
      <c r="BV7" s="128">
        <f>INDEX(Direct_Cost_Splits_Network,MATCH($H7,RIN_Asset_Cat_Network,0),MATCH($BW$4,Direct_Cost_Type,0))*$Q7*INDEX(Act_Type_Augex_Splits,MATCH($I7,Act_Type_Augex,0),MATCH(BV$4,Mat_Type,0))*INDEX(Escalators!$I$44:$U$49,MATCH(BV$4,Escalators!$C$44:$C$49,0),MATCH(BV$5,Escalators!$I$43:$U$43,0))</f>
        <v>0</v>
      </c>
      <c r="BW7" s="128">
        <f t="shared" ref="BW7:BW13" si="17">SUM(BR7:BV7)</f>
        <v>0</v>
      </c>
      <c r="BX7" s="129"/>
      <c r="BY7" s="128">
        <f>INDEX(Direct_Cost_Splits_Network,MATCH($H7,RIN_Asset_Cat_Network,0),MATCH($BY$4,Direct_Cost_Type,0))*J7*HLOOKUP(BY$5,Escalators!$I$25:$U$30,6,FALSE)</f>
        <v>0</v>
      </c>
      <c r="BZ7" s="128">
        <f>INDEX(Direct_Cost_Splits_Network,MATCH($H7,RIN_Asset_Cat_Network,0),MATCH($BY$4,Direct_Cost_Type,0))*K7*HLOOKUP(BZ$5,Escalators!$I$25:$U$30,6,FALSE)</f>
        <v>0</v>
      </c>
      <c r="CA7" s="128">
        <f>INDEX(Direct_Cost_Splits_Network,MATCH($H7,RIN_Asset_Cat_Network,0),MATCH($BY$4,Direct_Cost_Type,0))*L7*HLOOKUP(CA$5,Escalators!$I$25:$U$30,6,FALSE)</f>
        <v>0</v>
      </c>
      <c r="CB7" s="128">
        <f>INDEX(Direct_Cost_Splits_Network,MATCH($H7,RIN_Asset_Cat_Network,0),MATCH($BY$4,Direct_Cost_Type,0))*M7*HLOOKUP(CB$5,Escalators!$I$25:$U$30,6,FALSE)</f>
        <v>0</v>
      </c>
      <c r="CC7" s="128">
        <f>INDEX(Direct_Cost_Splits_Network,MATCH($H7,RIN_Asset_Cat_Network,0),MATCH($BY$4,Direct_Cost_Type,0))*N7*HLOOKUP(CC$5,Escalators!$I$25:$U$30,6,FALSE)</f>
        <v>0</v>
      </c>
      <c r="CD7" s="128">
        <f>INDEX(Direct_Cost_Splits_Network,MATCH($H7,RIN_Asset_Cat_Network,0),MATCH($BY$4,Direct_Cost_Type,0))*O7*HLOOKUP(CD$5,Escalators!$I$25:$U$30,6,FALSE)</f>
        <v>0</v>
      </c>
      <c r="CE7" s="128">
        <f>INDEX(Direct_Cost_Splits_Network,MATCH($H7,RIN_Asset_Cat_Network,0),MATCH($BY$4,Direct_Cost_Type,0))*P7*HLOOKUP(CE$5,Escalators!$I$25:$U$30,6,FALSE)</f>
        <v>0</v>
      </c>
      <c r="CF7" s="128">
        <f>INDEX(Direct_Cost_Splits_Network,MATCH($H7,RIN_Asset_Cat_Network,0),MATCH($BY$4,Direct_Cost_Type,0))*Q7*HLOOKUP(CF$5,Escalators!$I$25:$U$30,6,FALSE)</f>
        <v>0</v>
      </c>
      <c r="CG7" s="129"/>
      <c r="CH7" s="763">
        <f t="shared" si="8"/>
        <v>0</v>
      </c>
      <c r="CI7" s="763">
        <f t="shared" si="8"/>
        <v>0</v>
      </c>
      <c r="CJ7" s="763">
        <f t="shared" si="8"/>
        <v>0</v>
      </c>
      <c r="CK7" s="763">
        <f t="shared" si="8"/>
        <v>0</v>
      </c>
      <c r="CL7" s="763">
        <f t="shared" si="8"/>
        <v>0</v>
      </c>
      <c r="CM7" s="763">
        <f t="shared" si="8"/>
        <v>0</v>
      </c>
      <c r="CN7" s="763">
        <f t="shared" si="8"/>
        <v>0</v>
      </c>
      <c r="CO7" s="763">
        <f t="shared" si="8"/>
        <v>0</v>
      </c>
      <c r="CP7" s="129"/>
      <c r="CQ7" s="128">
        <f t="shared" ref="CQ7:CQ36" si="18">S7+AG7+BY7+CH7</f>
        <v>0</v>
      </c>
      <c r="CR7" s="128">
        <f t="shared" si="9"/>
        <v>0</v>
      </c>
      <c r="CS7" s="128">
        <f t="shared" ref="CS7:CS36" si="19">U7+AS7+CA7+CJ7</f>
        <v>0</v>
      </c>
      <c r="CT7" s="128">
        <f t="shared" ref="CT7:CT36" si="20">V7+AY7+CB7+CK7</f>
        <v>0</v>
      </c>
      <c r="CU7" s="128">
        <f t="shared" ref="CU7:CU36" si="21">W7+BE7+CC7+CL7</f>
        <v>0</v>
      </c>
      <c r="CV7" s="128">
        <f t="shared" ref="CV7:CV36" si="22">X7+BK7+CD7+CM7</f>
        <v>0</v>
      </c>
      <c r="CW7" s="128">
        <f t="shared" ref="CW7:CW36" si="23">Y7+BQ7+CE7+CN7</f>
        <v>0</v>
      </c>
      <c r="CX7" s="128">
        <f t="shared" ref="CX7:CX36" si="24">Z7+BW7+CF7+CO7</f>
        <v>0</v>
      </c>
      <c r="CZ7" s="316"/>
      <c r="DA7" s="316"/>
      <c r="DB7" s="316"/>
      <c r="DC7" s="316"/>
      <c r="DD7" s="316"/>
      <c r="DE7" s="39"/>
    </row>
    <row r="8" spans="1:109" x14ac:dyDescent="0.25">
      <c r="B8" s="75" t="s">
        <v>427</v>
      </c>
      <c r="C8" s="75" t="s">
        <v>537</v>
      </c>
      <c r="D8" s="75"/>
      <c r="E8" s="75" t="s">
        <v>44</v>
      </c>
      <c r="F8" s="75" t="s">
        <v>51</v>
      </c>
      <c r="G8" s="75" t="s">
        <v>10</v>
      </c>
      <c r="H8" s="75" t="s">
        <v>164</v>
      </c>
      <c r="I8" s="75" t="s">
        <v>214</v>
      </c>
      <c r="J8" s="128"/>
      <c r="K8" s="128"/>
      <c r="L8" s="128"/>
      <c r="M8" s="128">
        <v>150</v>
      </c>
      <c r="N8" s="128">
        <v>125</v>
      </c>
      <c r="O8" s="128">
        <v>0</v>
      </c>
      <c r="P8" s="128">
        <v>0</v>
      </c>
      <c r="Q8" s="128">
        <v>0</v>
      </c>
      <c r="R8" s="129"/>
      <c r="S8" s="128">
        <f>INDEX(Direct_Cost_Splits_Network,MATCH($H8,RIN_Asset_Cat_Network,0),MATCH($S$4,Direct_Cost_Type,0))*J8*HLOOKUP(S$5,Escalators!$I$25:$U$30,3,FALSE)</f>
        <v>0</v>
      </c>
      <c r="T8" s="128">
        <f>INDEX(Direct_Cost_Splits_Network,MATCH($H8,RIN_Asset_Cat_Network,0),MATCH($S$4,Direct_Cost_Type,0))*K8*HLOOKUP(T$5,Escalators!$I$25:$U$30,3,FALSE)</f>
        <v>0</v>
      </c>
      <c r="U8" s="128">
        <f>INDEX(Direct_Cost_Splits_Network,MATCH($H8,RIN_Asset_Cat_Network,0),MATCH($S$4,Direct_Cost_Type,0))*L8*HLOOKUP(U$5,Escalators!$I$25:$U$30,3,FALSE)</f>
        <v>0</v>
      </c>
      <c r="V8" s="128">
        <f>INDEX(Direct_Cost_Splits_Network,MATCH($H8,RIN_Asset_Cat_Network,0),MATCH($S$4,Direct_Cost_Type,0))*M8*HLOOKUP(V$5,Escalators!$I$25:$U$30,3,FALSE)</f>
        <v>23.653572024166845</v>
      </c>
      <c r="W8" s="128">
        <f>INDEX(Direct_Cost_Splits_Network,MATCH($H8,RIN_Asset_Cat_Network,0),MATCH($S$4,Direct_Cost_Type,0))*N8*HLOOKUP(W$5,Escalators!$I$25:$U$30,3,FALSE)</f>
        <v>19.662076363018144</v>
      </c>
      <c r="X8" s="128">
        <f>INDEX(Direct_Cost_Splits_Network,MATCH($H8,RIN_Asset_Cat_Network,0),MATCH($S$4,Direct_Cost_Type,0))*O8*HLOOKUP(X$5,Escalators!$I$25:$U$30,3,FALSE)</f>
        <v>0</v>
      </c>
      <c r="Y8" s="128">
        <f>INDEX(Direct_Cost_Splits_Network,MATCH($H8,RIN_Asset_Cat_Network,0),MATCH($S$4,Direct_Cost_Type,0))*P8*HLOOKUP(Y$5,Escalators!$I$25:$U$30,3,FALSE)</f>
        <v>0</v>
      </c>
      <c r="Z8" s="128">
        <f>INDEX(Direct_Cost_Splits_Network,MATCH($H8,RIN_Asset_Cat_Network,0),MATCH($S$4,Direct_Cost_Type,0))*Q8*HLOOKUP(Z$5,Escalators!$I$25:$U$30,3,FALSE)</f>
        <v>0</v>
      </c>
      <c r="AA8" s="129"/>
      <c r="AB8" s="128">
        <f>INDEX(Direct_Cost_Splits_Network,MATCH($H8,RIN_Asset_Cat_Network,0),MATCH($AG$4,Direct_Cost_Type,0))*$J8*INDEX(Act_Type_Augex_Splits,MATCH($I8,Act_Type_Augex,0),MATCH(AB$4,Mat_Type,0))*INDEX(Escalators!$I$44:$U$49,MATCH(AB$4,Escalators!$C$44:$C$49,0),MATCH(AB$5,Escalators!$I$43:$U$43,0))</f>
        <v>0</v>
      </c>
      <c r="AC8" s="128">
        <f>INDEX(Direct_Cost_Splits_Network,MATCH($H8,RIN_Asset_Cat_Network,0),MATCH($AG$4,Direct_Cost_Type,0))*$J8*INDEX(Act_Type_Augex_Splits,MATCH($I8,Act_Type_Augex,0),MATCH(AC$4,Mat_Type,0))*INDEX(Escalators!$I$44:$U$49,MATCH(AC$4,Escalators!$C$44:$C$49,0),MATCH(AC$5,Escalators!$I$43:$U$43,0))</f>
        <v>0</v>
      </c>
      <c r="AD8" s="128">
        <f>INDEX(Direct_Cost_Splits_Network,MATCH($H8,RIN_Asset_Cat_Network,0),MATCH($AG$4,Direct_Cost_Type,0))*$J8*INDEX(Act_Type_Augex_Splits,MATCH($I8,Act_Type_Augex,0),MATCH(AD$4,Mat_Type,0))*INDEX(Escalators!$I$44:$U$49,MATCH(AD$4,Escalators!$C$44:$C$49,0),MATCH(AD$5,Escalators!$I$43:$U$43,0))</f>
        <v>0</v>
      </c>
      <c r="AE8" s="128">
        <f>INDEX(Direct_Cost_Splits_Network,MATCH($H8,RIN_Asset_Cat_Network,0),MATCH($AG$4,Direct_Cost_Type,0))*$J8*INDEX(Act_Type_Augex_Splits,MATCH($I8,Act_Type_Augex,0),MATCH(AE$4,Mat_Type,0))*INDEX(Escalators!$I$44:$U$49,MATCH(AE$4,Escalators!$C$44:$C$49,0),MATCH(AE$5,Escalators!$I$43:$U$43,0))</f>
        <v>0</v>
      </c>
      <c r="AF8" s="128">
        <f>INDEX(Direct_Cost_Splits_Network,MATCH($H8,RIN_Asset_Cat_Network,0),MATCH($AG$4,Direct_Cost_Type,0))*$J8*INDEX(Act_Type_Augex_Splits,MATCH($I8,Act_Type_Augex,0),MATCH(AF$4,Mat_Type,0))*INDEX(Escalators!$I$44:$U$49,MATCH(AF$4,Escalators!$C$44:$C$49,0),MATCH(AF$5,Escalators!$I$43:$U$43,0))</f>
        <v>0</v>
      </c>
      <c r="AG8" s="128">
        <f t="shared" si="10"/>
        <v>0</v>
      </c>
      <c r="AH8" s="128">
        <f>INDEX(Direct_Cost_Splits_Network,MATCH($H8,RIN_Asset_Cat_Network,0),MATCH($AY$4,Direct_Cost_Type,0))*$K8*INDEX(Act_Type_Augex_Splits,MATCH($I8,Act_Type_Augex,0),MATCH(AH$4,Mat_Type,0))*INDEX(Escalators!$I$44:$U$49,MATCH(AH$4,Escalators!$C$44:$C$49,0),MATCH(AH$5,Escalators!$I$43:$U$43,0))</f>
        <v>0</v>
      </c>
      <c r="AI8" s="128">
        <f>INDEX(Direct_Cost_Splits_Network,MATCH($H8,RIN_Asset_Cat_Network,0),MATCH($AY$4,Direct_Cost_Type,0))*$K8*INDEX(Act_Type_Augex_Splits,MATCH($I8,Act_Type_Augex,0),MATCH(AI$4,Mat_Type,0))*INDEX(Escalators!$I$44:$U$49,MATCH(AI$4,Escalators!$C$44:$C$49,0),MATCH(AI$5,Escalators!$I$43:$U$43,0))</f>
        <v>0</v>
      </c>
      <c r="AJ8" s="128">
        <f>INDEX(Direct_Cost_Splits_Network,MATCH($H8,RIN_Asset_Cat_Network,0),MATCH($AY$4,Direct_Cost_Type,0))*$K8*INDEX(Act_Type_Augex_Splits,MATCH($I8,Act_Type_Augex,0),MATCH(AJ$4,Mat_Type,0))*INDEX(Escalators!$I$44:$U$49,MATCH(AJ$4,Escalators!$C$44:$C$49,0),MATCH(AJ$5,Escalators!$I$43:$U$43,0))</f>
        <v>0</v>
      </c>
      <c r="AK8" s="128">
        <f>INDEX(Direct_Cost_Splits_Network,MATCH($H8,RIN_Asset_Cat_Network,0),MATCH($AY$4,Direct_Cost_Type,0))*$K8*INDEX(Act_Type_Augex_Splits,MATCH($I8,Act_Type_Augex,0),MATCH(AK$4,Mat_Type,0))*INDEX(Escalators!$I$44:$U$49,MATCH(AK$4,Escalators!$C$44:$C$49,0),MATCH(AK$5,Escalators!$I$43:$U$43,0))</f>
        <v>0</v>
      </c>
      <c r="AL8" s="128">
        <f>INDEX(Direct_Cost_Splits_Network,MATCH($H8,RIN_Asset_Cat_Network,0),MATCH($AY$4,Direct_Cost_Type,0))*$K8*INDEX(Act_Type_Augex_Splits,MATCH($I8,Act_Type_Augex,0),MATCH(AL$4,Mat_Type,0))*INDEX(Escalators!$I$44:$U$49,MATCH(AL$4,Escalators!$C$44:$C$49,0),MATCH(AL$5,Escalators!$I$43:$U$43,0))</f>
        <v>0</v>
      </c>
      <c r="AM8" s="128">
        <f t="shared" si="11"/>
        <v>0</v>
      </c>
      <c r="AN8" s="128">
        <f>INDEX(Direct_Cost_Splits_Network,MATCH($H8,RIN_Asset_Cat_Network,0),MATCH($AY$4,Direct_Cost_Type,0))*$L8*INDEX(Act_Type_Augex_Splits,MATCH($I8,Act_Type_Augex,0),MATCH(AN$4,Mat_Type,0))*INDEX(Escalators!$I$44:$U$49,MATCH(AN$4,Escalators!$C$44:$C$49,0),MATCH(AN$5,Escalators!$I$43:$U$43,0))</f>
        <v>0</v>
      </c>
      <c r="AO8" s="128">
        <f>INDEX(Direct_Cost_Splits_Network,MATCH($H8,RIN_Asset_Cat_Network,0),MATCH($AY$4,Direct_Cost_Type,0))*$L8*INDEX(Act_Type_Augex_Splits,MATCH($I8,Act_Type_Augex,0),MATCH(AO$4,Mat_Type,0))*INDEX(Escalators!$I$44:$U$49,MATCH(AO$4,Escalators!$C$44:$C$49,0),MATCH(AO$5,Escalators!$I$43:$U$43,0))</f>
        <v>0</v>
      </c>
      <c r="AP8" s="128">
        <f>INDEX(Direct_Cost_Splits_Network,MATCH($H8,RIN_Asset_Cat_Network,0),MATCH($AY$4,Direct_Cost_Type,0))*$L8*INDEX(Act_Type_Augex_Splits,MATCH($I8,Act_Type_Augex,0),MATCH(AP$4,Mat_Type,0))*INDEX(Escalators!$I$44:$U$49,MATCH(AP$4,Escalators!$C$44:$C$49,0),MATCH(AP$5,Escalators!$I$43:$U$43,0))</f>
        <v>0</v>
      </c>
      <c r="AQ8" s="128">
        <f>INDEX(Direct_Cost_Splits_Network,MATCH($H8,RIN_Asset_Cat_Network,0),MATCH($AY$4,Direct_Cost_Type,0))*$L8*INDEX(Act_Type_Augex_Splits,MATCH($I8,Act_Type_Augex,0),MATCH(AQ$4,Mat_Type,0))*INDEX(Escalators!$I$44:$U$49,MATCH(AQ$4,Escalators!$C$44:$C$49,0),MATCH(AQ$5,Escalators!$I$43:$U$43,0))</f>
        <v>0</v>
      </c>
      <c r="AR8" s="128">
        <f>INDEX(Direct_Cost_Splits_Network,MATCH($H8,RIN_Asset_Cat_Network,0),MATCH($AY$4,Direct_Cost_Type,0))*$L8*INDEX(Act_Type_Augex_Splits,MATCH($I8,Act_Type_Augex,0),MATCH(AR$4,Mat_Type,0))*INDEX(Escalators!$I$44:$U$49,MATCH(AR$4,Escalators!$C$44:$C$49,0),MATCH(AR$5,Escalators!$I$43:$U$43,0))</f>
        <v>0</v>
      </c>
      <c r="AS8" s="128">
        <f t="shared" si="12"/>
        <v>0</v>
      </c>
      <c r="AT8" s="128">
        <f>INDEX(Direct_Cost_Splits_Network,MATCH($H8,RIN_Asset_Cat_Network,0),MATCH($AY$4,Direct_Cost_Type,0))*$M8*INDEX(Act_Type_Augex_Splits,MATCH($I8,Act_Type_Augex,0),MATCH(AT$4,Mat_Type,0))*INDEX(Escalators!$I$44:$U$49,MATCH(AT$4,Escalators!$C$44:$C$49,0),MATCH(AT$5,Escalators!$I$43:$U$43,0))</f>
        <v>31.036319303973357</v>
      </c>
      <c r="AU8" s="128">
        <f>INDEX(Direct_Cost_Splits_Network,MATCH($H8,RIN_Asset_Cat_Network,0),MATCH($AY$4,Direct_Cost_Type,0))*$M8*INDEX(Act_Type_Augex_Splits,MATCH($I8,Act_Type_Augex,0),MATCH(AU$4,Mat_Type,0))*INDEX(Escalators!$I$44:$U$49,MATCH(AU$4,Escalators!$C$44:$C$49,0),MATCH(AU$5,Escalators!$I$43:$U$43,0))</f>
        <v>0</v>
      </c>
      <c r="AV8" s="128">
        <f>INDEX(Direct_Cost_Splits_Network,MATCH($H8,RIN_Asset_Cat_Network,0),MATCH($AY$4,Direct_Cost_Type,0))*$M8*INDEX(Act_Type_Augex_Splits,MATCH($I8,Act_Type_Augex,0),MATCH(AV$4,Mat_Type,0))*INDEX(Escalators!$I$44:$U$49,MATCH(AV$4,Escalators!$C$44:$C$49,0),MATCH(AV$5,Escalators!$I$43:$U$43,0))</f>
        <v>6.0219724022634873</v>
      </c>
      <c r="AW8" s="128">
        <f>INDEX(Direct_Cost_Splits_Network,MATCH($H8,RIN_Asset_Cat_Network,0),MATCH($AY$4,Direct_Cost_Type,0))*$M8*INDEX(Act_Type_Augex_Splits,MATCH($I8,Act_Type_Augex,0),MATCH(AW$4,Mat_Type,0))*INDEX(Escalators!$I$44:$U$49,MATCH(AW$4,Escalators!$C$44:$C$49,0),MATCH(AW$5,Escalators!$I$43:$U$43,0))</f>
        <v>0</v>
      </c>
      <c r="AX8" s="128">
        <f>INDEX(Direct_Cost_Splits_Network,MATCH($H8,RIN_Asset_Cat_Network,0),MATCH($AY$4,Direct_Cost_Type,0))*$M8*INDEX(Act_Type_Augex_Splits,MATCH($I8,Act_Type_Augex,0),MATCH(AX$4,Mat_Type,0))*INDEX(Escalators!$I$44:$U$49,MATCH(AX$4,Escalators!$C$44:$C$49,0),MATCH(AX$5,Escalators!$I$43:$U$43,0))</f>
        <v>9.2645729265592109</v>
      </c>
      <c r="AY8" s="128">
        <f t="shared" si="13"/>
        <v>46.322864632796055</v>
      </c>
      <c r="AZ8" s="128">
        <f>INDEX(Direct_Cost_Splits_Network,MATCH($H8,RIN_Asset_Cat_Network,0),MATCH($BE$4,Direct_Cost_Type,0))*$N8*INDEX(Act_Type_Augex_Splits,MATCH($I8,Act_Type_Augex,0),MATCH(AZ$4,Mat_Type,0))*INDEX(Escalators!$I$44:$U$49,MATCH(AZ$4,Escalators!$C$44:$C$49,0),MATCH(AZ$5,Escalators!$I$43:$U$43,0))</f>
        <v>25.863599419977799</v>
      </c>
      <c r="BA8" s="128">
        <f>INDEX(Direct_Cost_Splits_Network,MATCH($H8,RIN_Asset_Cat_Network,0),MATCH($BE$4,Direct_Cost_Type,0))*$N8*INDEX(Act_Type_Augex_Splits,MATCH($I8,Act_Type_Augex,0),MATCH(BA$4,Mat_Type,0))*INDEX(Escalators!$I$44:$U$49,MATCH(BA$4,Escalators!$C$44:$C$49,0),MATCH(BA$5,Escalators!$I$43:$U$43,0))</f>
        <v>0</v>
      </c>
      <c r="BB8" s="128">
        <f>INDEX(Direct_Cost_Splits_Network,MATCH($H8,RIN_Asset_Cat_Network,0),MATCH($BE$4,Direct_Cost_Type,0))*$N8*INDEX(Act_Type_Augex_Splits,MATCH($I8,Act_Type_Augex,0),MATCH(BB$4,Mat_Type,0))*INDEX(Escalators!$I$44:$U$49,MATCH(BB$4,Escalators!$C$44:$C$49,0),MATCH(BB$5,Escalators!$I$43:$U$43,0))</f>
        <v>5.0183103352195726</v>
      </c>
      <c r="BC8" s="128">
        <f>INDEX(Direct_Cost_Splits_Network,MATCH($H8,RIN_Asset_Cat_Network,0),MATCH($BE$4,Direct_Cost_Type,0))*$N8*INDEX(Act_Type_Augex_Splits,MATCH($I8,Act_Type_Augex,0),MATCH(BC$4,Mat_Type,0))*INDEX(Escalators!$I$44:$U$49,MATCH(BC$4,Escalators!$C$44:$C$49,0),MATCH(BC$5,Escalators!$I$43:$U$43,0))</f>
        <v>0</v>
      </c>
      <c r="BD8" s="128">
        <f>INDEX(Direct_Cost_Splits_Network,MATCH($H8,RIN_Asset_Cat_Network,0),MATCH($BE$4,Direct_Cost_Type,0))*$N8*INDEX(Act_Type_Augex_Splits,MATCH($I8,Act_Type_Augex,0),MATCH(BD$4,Mat_Type,0))*INDEX(Escalators!$I$44:$U$49,MATCH(BD$4,Escalators!$C$44:$C$49,0),MATCH(BD$5,Escalators!$I$43:$U$43,0))</f>
        <v>7.7204774387993425</v>
      </c>
      <c r="BE8" s="128">
        <f t="shared" si="14"/>
        <v>38.602387193996712</v>
      </c>
      <c r="BF8" s="128">
        <f>INDEX(Direct_Cost_Splits_Network,MATCH($H8,RIN_Asset_Cat_Network,0),MATCH($BK$4,Direct_Cost_Type,0))*$O8*INDEX(Act_Type_Augex_Splits,MATCH($I8,Act_Type_Augex,0),MATCH(BF$4,Mat_Type,0))*INDEX(Escalators!$I$44:$U$49,MATCH(BF$4,Escalators!$C$44:$C$49,0),MATCH(BF$5,Escalators!$I$43:$U$43,0))</f>
        <v>0</v>
      </c>
      <c r="BG8" s="128">
        <f>INDEX(Direct_Cost_Splits_Network,MATCH($H8,RIN_Asset_Cat_Network,0),MATCH($BK$4,Direct_Cost_Type,0))*$O8*INDEX(Act_Type_Augex_Splits,MATCH($I8,Act_Type_Augex,0),MATCH(BG$4,Mat_Type,0))*INDEX(Escalators!$I$44:$U$49,MATCH(BG$4,Escalators!$C$44:$C$49,0),MATCH(BG$5,Escalators!$I$43:$U$43,0))</f>
        <v>0</v>
      </c>
      <c r="BH8" s="128">
        <f>INDEX(Direct_Cost_Splits_Network,MATCH($H8,RIN_Asset_Cat_Network,0),MATCH($BK$4,Direct_Cost_Type,0))*$O8*INDEX(Act_Type_Augex_Splits,MATCH($I8,Act_Type_Augex,0),MATCH(BH$4,Mat_Type,0))*INDEX(Escalators!$I$44:$U$49,MATCH(BH$4,Escalators!$C$44:$C$49,0),MATCH(BH$5,Escalators!$I$43:$U$43,0))</f>
        <v>0</v>
      </c>
      <c r="BI8" s="128">
        <f>INDEX(Direct_Cost_Splits_Network,MATCH($H8,RIN_Asset_Cat_Network,0),MATCH($BK$4,Direct_Cost_Type,0))*$O8*INDEX(Act_Type_Augex_Splits,MATCH($I8,Act_Type_Augex,0),MATCH(BI$4,Mat_Type,0))*INDEX(Escalators!$I$44:$U$49,MATCH(BI$4,Escalators!$C$44:$C$49,0),MATCH(BI$5,Escalators!$I$43:$U$43,0))</f>
        <v>0</v>
      </c>
      <c r="BJ8" s="128">
        <f>INDEX(Direct_Cost_Splits_Network,MATCH($H8,RIN_Asset_Cat_Network,0),MATCH($BK$4,Direct_Cost_Type,0))*$O8*INDEX(Act_Type_Augex_Splits,MATCH($I8,Act_Type_Augex,0),MATCH(BJ$4,Mat_Type,0))*INDEX(Escalators!$I$44:$U$49,MATCH(BJ$4,Escalators!$C$44:$C$49,0),MATCH(BJ$5,Escalators!$I$43:$U$43,0))</f>
        <v>0</v>
      </c>
      <c r="BK8" s="128">
        <f t="shared" si="15"/>
        <v>0</v>
      </c>
      <c r="BL8" s="128">
        <f>INDEX(Direct_Cost_Splits_Network,MATCH($H8,RIN_Asset_Cat_Network,0),MATCH($BQ$4,Direct_Cost_Type,0))*$P8*INDEX(Act_Type_Augex_Splits,MATCH($I8,Act_Type_Augex,0),MATCH(BL$4,Mat_Type,0))*INDEX(Escalators!$I$44:$U$49,MATCH(BL$4,Escalators!$C$44:$C$49,0),MATCH(BL$5,Escalators!$I$43:$U$43,0))</f>
        <v>0</v>
      </c>
      <c r="BM8" s="128">
        <f>INDEX(Direct_Cost_Splits_Network,MATCH($H8,RIN_Asset_Cat_Network,0),MATCH($BQ$4,Direct_Cost_Type,0))*$P8*INDEX(Act_Type_Augex_Splits,MATCH($I8,Act_Type_Augex,0),MATCH(BM$4,Mat_Type,0))*INDEX(Escalators!$I$44:$U$49,MATCH(BM$4,Escalators!$C$44:$C$49,0),MATCH(BM$5,Escalators!$I$43:$U$43,0))</f>
        <v>0</v>
      </c>
      <c r="BN8" s="128">
        <f>INDEX(Direct_Cost_Splits_Network,MATCH($H8,RIN_Asset_Cat_Network,0),MATCH($BQ$4,Direct_Cost_Type,0))*$P8*INDEX(Act_Type_Augex_Splits,MATCH($I8,Act_Type_Augex,0),MATCH(BN$4,Mat_Type,0))*INDEX(Escalators!$I$44:$U$49,MATCH(BN$4,Escalators!$C$44:$C$49,0),MATCH(BN$5,Escalators!$I$43:$U$43,0))</f>
        <v>0</v>
      </c>
      <c r="BO8" s="128">
        <f>INDEX(Direct_Cost_Splits_Network,MATCH($H8,RIN_Asset_Cat_Network,0),MATCH($BQ$4,Direct_Cost_Type,0))*$P8*INDEX(Act_Type_Augex_Splits,MATCH($I8,Act_Type_Augex,0),MATCH(BO$4,Mat_Type,0))*INDEX(Escalators!$I$44:$U$49,MATCH(BO$4,Escalators!$C$44:$C$49,0),MATCH(BO$5,Escalators!$I$43:$U$43,0))</f>
        <v>0</v>
      </c>
      <c r="BP8" s="128">
        <f>INDEX(Direct_Cost_Splits_Network,MATCH($H8,RIN_Asset_Cat_Network,0),MATCH($BQ$4,Direct_Cost_Type,0))*$P8*INDEX(Act_Type_Augex_Splits,MATCH($I8,Act_Type_Augex,0),MATCH(BP$4,Mat_Type,0))*INDEX(Escalators!$I$44:$U$49,MATCH(BP$4,Escalators!$C$44:$C$49,0),MATCH(BP$5,Escalators!$I$43:$U$43,0))</f>
        <v>0</v>
      </c>
      <c r="BQ8" s="128">
        <f t="shared" si="16"/>
        <v>0</v>
      </c>
      <c r="BR8" s="128">
        <f>INDEX(Direct_Cost_Splits_Network,MATCH($H8,RIN_Asset_Cat_Network,0),MATCH($BW$4,Direct_Cost_Type,0))*$Q8*INDEX(Act_Type_Augex_Splits,MATCH($I8,Act_Type_Augex,0),MATCH(BR$4,Mat_Type,0))*INDEX(Escalators!$I$44:$U$49,MATCH(BR$4,Escalators!$C$44:$C$49,0),MATCH(BR$5,Escalators!$I$43:$U$43,0))</f>
        <v>0</v>
      </c>
      <c r="BS8" s="128">
        <f>INDEX(Direct_Cost_Splits_Network,MATCH($H8,RIN_Asset_Cat_Network,0),MATCH($BW$4,Direct_Cost_Type,0))*$Q8*INDEX(Act_Type_Augex_Splits,MATCH($I8,Act_Type_Augex,0),MATCH(BS$4,Mat_Type,0))*INDEX(Escalators!$I$44:$U$49,MATCH(BS$4,Escalators!$C$44:$C$49,0),MATCH(BS$5,Escalators!$I$43:$U$43,0))</f>
        <v>0</v>
      </c>
      <c r="BT8" s="128">
        <f>INDEX(Direct_Cost_Splits_Network,MATCH($H8,RIN_Asset_Cat_Network,0),MATCH($BW$4,Direct_Cost_Type,0))*$Q8*INDEX(Act_Type_Augex_Splits,MATCH($I8,Act_Type_Augex,0),MATCH(BT$4,Mat_Type,0))*INDEX(Escalators!$I$44:$U$49,MATCH(BT$4,Escalators!$C$44:$C$49,0),MATCH(BT$5,Escalators!$I$43:$U$43,0))</f>
        <v>0</v>
      </c>
      <c r="BU8" s="128">
        <f>INDEX(Direct_Cost_Splits_Network,MATCH($H8,RIN_Asset_Cat_Network,0),MATCH($BW$4,Direct_Cost_Type,0))*$Q8*INDEX(Act_Type_Augex_Splits,MATCH($I8,Act_Type_Augex,0),MATCH(BU$4,Mat_Type,0))*INDEX(Escalators!$I$44:$U$49,MATCH(BU$4,Escalators!$C$44:$C$49,0),MATCH(BU$5,Escalators!$I$43:$U$43,0))</f>
        <v>0</v>
      </c>
      <c r="BV8" s="128">
        <f>INDEX(Direct_Cost_Splits_Network,MATCH($H8,RIN_Asset_Cat_Network,0),MATCH($BW$4,Direct_Cost_Type,0))*$Q8*INDEX(Act_Type_Augex_Splits,MATCH($I8,Act_Type_Augex,0),MATCH(BV$4,Mat_Type,0))*INDEX(Escalators!$I$44:$U$49,MATCH(BV$4,Escalators!$C$44:$C$49,0),MATCH(BV$5,Escalators!$I$43:$U$43,0))</f>
        <v>0</v>
      </c>
      <c r="BW8" s="128">
        <f t="shared" si="17"/>
        <v>0</v>
      </c>
      <c r="BX8" s="129"/>
      <c r="BY8" s="128">
        <f>INDEX(Direct_Cost_Splits_Network,MATCH($H8,RIN_Asset_Cat_Network,0),MATCH($BY$4,Direct_Cost_Type,0))*J8*HLOOKUP(BY$5,Escalators!$I$25:$U$30,6,FALSE)</f>
        <v>0</v>
      </c>
      <c r="BZ8" s="128">
        <f>INDEX(Direct_Cost_Splits_Network,MATCH($H8,RIN_Asset_Cat_Network,0),MATCH($BY$4,Direct_Cost_Type,0))*K8*HLOOKUP(BZ$5,Escalators!$I$25:$U$30,6,FALSE)</f>
        <v>0</v>
      </c>
      <c r="CA8" s="128">
        <f>INDEX(Direct_Cost_Splits_Network,MATCH($H8,RIN_Asset_Cat_Network,0),MATCH($BY$4,Direct_Cost_Type,0))*L8*HLOOKUP(CA$5,Escalators!$I$25:$U$30,6,FALSE)</f>
        <v>0</v>
      </c>
      <c r="CB8" s="128">
        <f>INDEX(Direct_Cost_Splits_Network,MATCH($H8,RIN_Asset_Cat_Network,0),MATCH($BY$4,Direct_Cost_Type,0))*M8*HLOOKUP(CB$5,Escalators!$I$25:$U$30,6,FALSE)</f>
        <v>63.105716730641262</v>
      </c>
      <c r="CC8" s="128">
        <f>INDEX(Direct_Cost_Splits_Network,MATCH($H8,RIN_Asset_Cat_Network,0),MATCH($BY$4,Direct_Cost_Type,0))*N8*HLOOKUP(CC$5,Escalators!$I$25:$U$30,6,FALSE)</f>
        <v>52.588097275534388</v>
      </c>
      <c r="CD8" s="128">
        <f>INDEX(Direct_Cost_Splits_Network,MATCH($H8,RIN_Asset_Cat_Network,0),MATCH($BY$4,Direct_Cost_Type,0))*O8*HLOOKUP(CD$5,Escalators!$I$25:$U$30,6,FALSE)</f>
        <v>0</v>
      </c>
      <c r="CE8" s="128">
        <f>INDEX(Direct_Cost_Splits_Network,MATCH($H8,RIN_Asset_Cat_Network,0),MATCH($BY$4,Direct_Cost_Type,0))*P8*HLOOKUP(CE$5,Escalators!$I$25:$U$30,6,FALSE)</f>
        <v>0</v>
      </c>
      <c r="CF8" s="128">
        <f>INDEX(Direct_Cost_Splits_Network,MATCH($H8,RIN_Asset_Cat_Network,0),MATCH($BY$4,Direct_Cost_Type,0))*Q8*HLOOKUP(CF$5,Escalators!$I$25:$U$30,6,FALSE)</f>
        <v>0</v>
      </c>
      <c r="CG8" s="129"/>
      <c r="CH8" s="763">
        <f t="shared" si="8"/>
        <v>0</v>
      </c>
      <c r="CI8" s="763">
        <f t="shared" si="8"/>
        <v>0</v>
      </c>
      <c r="CJ8" s="763">
        <f t="shared" si="8"/>
        <v>0</v>
      </c>
      <c r="CK8" s="763">
        <f t="shared" si="8"/>
        <v>17.337419958837021</v>
      </c>
      <c r="CL8" s="763">
        <f t="shared" si="8"/>
        <v>14.447849965697518</v>
      </c>
      <c r="CM8" s="763">
        <f t="shared" si="8"/>
        <v>0</v>
      </c>
      <c r="CN8" s="763">
        <f t="shared" si="8"/>
        <v>0</v>
      </c>
      <c r="CO8" s="763">
        <f t="shared" si="8"/>
        <v>0</v>
      </c>
      <c r="CP8" s="129"/>
      <c r="CQ8" s="128">
        <f t="shared" si="18"/>
        <v>0</v>
      </c>
      <c r="CR8" s="128">
        <f t="shared" si="9"/>
        <v>0</v>
      </c>
      <c r="CS8" s="128">
        <f t="shared" si="19"/>
        <v>0</v>
      </c>
      <c r="CT8" s="128">
        <f t="shared" si="20"/>
        <v>150.41957334644118</v>
      </c>
      <c r="CU8" s="128">
        <f t="shared" si="21"/>
        <v>125.30041079824676</v>
      </c>
      <c r="CV8" s="128">
        <f t="shared" si="22"/>
        <v>0</v>
      </c>
      <c r="CW8" s="128">
        <f t="shared" si="23"/>
        <v>0</v>
      </c>
      <c r="CX8" s="128">
        <f t="shared" si="24"/>
        <v>0</v>
      </c>
      <c r="CZ8" s="39"/>
      <c r="DA8" s="39"/>
      <c r="DB8" s="39"/>
      <c r="DC8" s="39"/>
      <c r="DD8" s="39"/>
      <c r="DE8" s="39"/>
    </row>
    <row r="9" spans="1:109" x14ac:dyDescent="0.25">
      <c r="B9" s="75" t="s">
        <v>428</v>
      </c>
      <c r="C9" s="75" t="s">
        <v>418</v>
      </c>
      <c r="D9" s="75"/>
      <c r="E9" s="75" t="s">
        <v>45</v>
      </c>
      <c r="F9" s="75" t="s">
        <v>51</v>
      </c>
      <c r="G9" s="75" t="s">
        <v>10</v>
      </c>
      <c r="H9" s="75" t="s">
        <v>164</v>
      </c>
      <c r="I9" s="75" t="s">
        <v>214</v>
      </c>
      <c r="J9" s="128"/>
      <c r="K9" s="128"/>
      <c r="L9" s="128"/>
      <c r="M9" s="128">
        <v>1838.5</v>
      </c>
      <c r="N9" s="128">
        <v>3102.7</v>
      </c>
      <c r="O9" s="128">
        <v>2510.5</v>
      </c>
      <c r="P9" s="128">
        <v>1135.5</v>
      </c>
      <c r="Q9" s="128">
        <v>1106</v>
      </c>
      <c r="R9" s="129"/>
      <c r="S9" s="128">
        <f>INDEX(Direct_Cost_Splits_Network,MATCH($H9,RIN_Asset_Cat_Network,0),MATCH($S$4,Direct_Cost_Type,0))*J9*HLOOKUP(S$5,Escalators!$I$25:$U$30,3,FALSE)</f>
        <v>0</v>
      </c>
      <c r="T9" s="128">
        <f>INDEX(Direct_Cost_Splits_Network,MATCH($H9,RIN_Asset_Cat_Network,0),MATCH($S$4,Direct_Cost_Type,0))*K9*HLOOKUP(T$5,Escalators!$I$25:$U$30,3,FALSE)</f>
        <v>0</v>
      </c>
      <c r="U9" s="128">
        <f>INDEX(Direct_Cost_Splits_Network,MATCH($H9,RIN_Asset_Cat_Network,0),MATCH($S$4,Direct_Cost_Type,0))*L9*HLOOKUP(U$5,Escalators!$I$25:$U$30,3,FALSE)</f>
        <v>0</v>
      </c>
      <c r="V9" s="128">
        <f>INDEX(Direct_Cost_Splits_Network,MATCH($H9,RIN_Asset_Cat_Network,0),MATCH($S$4,Direct_Cost_Type,0))*M9*HLOOKUP(V$5,Escalators!$I$25:$U$30,3,FALSE)</f>
        <v>289.91394777620496</v>
      </c>
      <c r="W9" s="128">
        <f>INDEX(Direct_Cost_Splits_Network,MATCH($H9,RIN_Asset_Cat_Network,0),MATCH($S$4,Direct_Cost_Type,0))*N9*HLOOKUP(W$5,Escalators!$I$25:$U$30,3,FALSE)</f>
        <v>488.04419465229114</v>
      </c>
      <c r="X9" s="128">
        <f>INDEX(Direct_Cost_Splits_Network,MATCH($H9,RIN_Asset_Cat_Network,0),MATCH($S$4,Direct_Cost_Type,0))*O9*HLOOKUP(X$5,Escalators!$I$25:$U$30,3,FALSE)</f>
        <v>394.60632819434568</v>
      </c>
      <c r="Y9" s="128">
        <f>INDEX(Direct_Cost_Splits_Network,MATCH($H9,RIN_Asset_Cat_Network,0),MATCH($S$4,Direct_Cost_Type,0))*P9*HLOOKUP(Y$5,Escalators!$I$25:$U$30,3,FALSE)</f>
        <v>179.13609006980397</v>
      </c>
      <c r="Z9" s="128">
        <f>INDEX(Direct_Cost_Splits_Network,MATCH($H9,RIN_Asset_Cat_Network,0),MATCH($S$4,Direct_Cost_Type,0))*Q9*HLOOKUP(Z$5,Escalators!$I$25:$U$30,3,FALSE)</f>
        <v>176.22105802398605</v>
      </c>
      <c r="AA9" s="129"/>
      <c r="AB9" s="128">
        <f>INDEX(Direct_Cost_Splits_Network,MATCH($H9,RIN_Asset_Cat_Network,0),MATCH($AG$4,Direct_Cost_Type,0))*$J9*INDEX(Act_Type_Augex_Splits,MATCH($I9,Act_Type_Augex,0),MATCH(AB$4,Mat_Type,0))*INDEX(Escalators!$I$44:$U$49,MATCH(AB$4,Escalators!$C$44:$C$49,0),MATCH(AB$5,Escalators!$I$43:$U$43,0))</f>
        <v>0</v>
      </c>
      <c r="AC9" s="128">
        <f>INDEX(Direct_Cost_Splits_Network,MATCH($H9,RIN_Asset_Cat_Network,0),MATCH($AG$4,Direct_Cost_Type,0))*$J9*INDEX(Act_Type_Augex_Splits,MATCH($I9,Act_Type_Augex,0),MATCH(AC$4,Mat_Type,0))*INDEX(Escalators!$I$44:$U$49,MATCH(AC$4,Escalators!$C$44:$C$49,0),MATCH(AC$5,Escalators!$I$43:$U$43,0))</f>
        <v>0</v>
      </c>
      <c r="AD9" s="128">
        <f>INDEX(Direct_Cost_Splits_Network,MATCH($H9,RIN_Asset_Cat_Network,0),MATCH($AG$4,Direct_Cost_Type,0))*$J9*INDEX(Act_Type_Augex_Splits,MATCH($I9,Act_Type_Augex,0),MATCH(AD$4,Mat_Type,0))*INDEX(Escalators!$I$44:$U$49,MATCH(AD$4,Escalators!$C$44:$C$49,0),MATCH(AD$5,Escalators!$I$43:$U$43,0))</f>
        <v>0</v>
      </c>
      <c r="AE9" s="128">
        <f>INDEX(Direct_Cost_Splits_Network,MATCH($H9,RIN_Asset_Cat_Network,0),MATCH($AG$4,Direct_Cost_Type,0))*$J9*INDEX(Act_Type_Augex_Splits,MATCH($I9,Act_Type_Augex,0),MATCH(AE$4,Mat_Type,0))*INDEX(Escalators!$I$44:$U$49,MATCH(AE$4,Escalators!$C$44:$C$49,0),MATCH(AE$5,Escalators!$I$43:$U$43,0))</f>
        <v>0</v>
      </c>
      <c r="AF9" s="128">
        <f>INDEX(Direct_Cost_Splits_Network,MATCH($H9,RIN_Asset_Cat_Network,0),MATCH($AG$4,Direct_Cost_Type,0))*$J9*INDEX(Act_Type_Augex_Splits,MATCH($I9,Act_Type_Augex,0),MATCH(AF$4,Mat_Type,0))*INDEX(Escalators!$I$44:$U$49,MATCH(AF$4,Escalators!$C$44:$C$49,0),MATCH(AF$5,Escalators!$I$43:$U$43,0))</f>
        <v>0</v>
      </c>
      <c r="AG9" s="128">
        <f t="shared" ref="AG9" si="25">SUM(AB9:AF9)</f>
        <v>0</v>
      </c>
      <c r="AH9" s="128">
        <f>INDEX(Direct_Cost_Splits_Network,MATCH($H9,RIN_Asset_Cat_Network,0),MATCH($AY$4,Direct_Cost_Type,0))*$K9*INDEX(Act_Type_Augex_Splits,MATCH($I9,Act_Type_Augex,0),MATCH(AH$4,Mat_Type,0))*INDEX(Escalators!$I$44:$U$49,MATCH(AH$4,Escalators!$C$44:$C$49,0),MATCH(AH$5,Escalators!$I$43:$U$43,0))</f>
        <v>0</v>
      </c>
      <c r="AI9" s="128">
        <f>INDEX(Direct_Cost_Splits_Network,MATCH($H9,RIN_Asset_Cat_Network,0),MATCH($AY$4,Direct_Cost_Type,0))*$K9*INDEX(Act_Type_Augex_Splits,MATCH($I9,Act_Type_Augex,0),MATCH(AI$4,Mat_Type,0))*INDEX(Escalators!$I$44:$U$49,MATCH(AI$4,Escalators!$C$44:$C$49,0),MATCH(AI$5,Escalators!$I$43:$U$43,0))</f>
        <v>0</v>
      </c>
      <c r="AJ9" s="128">
        <f>INDEX(Direct_Cost_Splits_Network,MATCH($H9,RIN_Asset_Cat_Network,0),MATCH($AY$4,Direct_Cost_Type,0))*$K9*INDEX(Act_Type_Augex_Splits,MATCH($I9,Act_Type_Augex,0),MATCH(AJ$4,Mat_Type,0))*INDEX(Escalators!$I$44:$U$49,MATCH(AJ$4,Escalators!$C$44:$C$49,0),MATCH(AJ$5,Escalators!$I$43:$U$43,0))</f>
        <v>0</v>
      </c>
      <c r="AK9" s="128">
        <f>INDEX(Direct_Cost_Splits_Network,MATCH($H9,RIN_Asset_Cat_Network,0),MATCH($AY$4,Direct_Cost_Type,0))*$K9*INDEX(Act_Type_Augex_Splits,MATCH($I9,Act_Type_Augex,0),MATCH(AK$4,Mat_Type,0))*INDEX(Escalators!$I$44:$U$49,MATCH(AK$4,Escalators!$C$44:$C$49,0),MATCH(AK$5,Escalators!$I$43:$U$43,0))</f>
        <v>0</v>
      </c>
      <c r="AL9" s="128">
        <f>INDEX(Direct_Cost_Splits_Network,MATCH($H9,RIN_Asset_Cat_Network,0),MATCH($AY$4,Direct_Cost_Type,0))*$K9*INDEX(Act_Type_Augex_Splits,MATCH($I9,Act_Type_Augex,0),MATCH(AL$4,Mat_Type,0))*INDEX(Escalators!$I$44:$U$49,MATCH(AL$4,Escalators!$C$44:$C$49,0),MATCH(AL$5,Escalators!$I$43:$U$43,0))</f>
        <v>0</v>
      </c>
      <c r="AM9" s="128">
        <f t="shared" ref="AM9" si="26">SUM(AH9:AL9)</f>
        <v>0</v>
      </c>
      <c r="AN9" s="128">
        <f>INDEX(Direct_Cost_Splits_Network,MATCH($H9,RIN_Asset_Cat_Network,0),MATCH($AY$4,Direct_Cost_Type,0))*$L9*INDEX(Act_Type_Augex_Splits,MATCH($I9,Act_Type_Augex,0),MATCH(AN$4,Mat_Type,0))*INDEX(Escalators!$I$44:$U$49,MATCH(AN$4,Escalators!$C$44:$C$49,0),MATCH(AN$5,Escalators!$I$43:$U$43,0))</f>
        <v>0</v>
      </c>
      <c r="AO9" s="128">
        <f>INDEX(Direct_Cost_Splits_Network,MATCH($H9,RIN_Asset_Cat_Network,0),MATCH($AY$4,Direct_Cost_Type,0))*$L9*INDEX(Act_Type_Augex_Splits,MATCH($I9,Act_Type_Augex,0),MATCH(AO$4,Mat_Type,0))*INDEX(Escalators!$I$44:$U$49,MATCH(AO$4,Escalators!$C$44:$C$49,0),MATCH(AO$5,Escalators!$I$43:$U$43,0))</f>
        <v>0</v>
      </c>
      <c r="AP9" s="128">
        <f>INDEX(Direct_Cost_Splits_Network,MATCH($H9,RIN_Asset_Cat_Network,0),MATCH($AY$4,Direct_Cost_Type,0))*$L9*INDEX(Act_Type_Augex_Splits,MATCH($I9,Act_Type_Augex,0),MATCH(AP$4,Mat_Type,0))*INDEX(Escalators!$I$44:$U$49,MATCH(AP$4,Escalators!$C$44:$C$49,0),MATCH(AP$5,Escalators!$I$43:$U$43,0))</f>
        <v>0</v>
      </c>
      <c r="AQ9" s="128">
        <f>INDEX(Direct_Cost_Splits_Network,MATCH($H9,RIN_Asset_Cat_Network,0),MATCH($AY$4,Direct_Cost_Type,0))*$L9*INDEX(Act_Type_Augex_Splits,MATCH($I9,Act_Type_Augex,0),MATCH(AQ$4,Mat_Type,0))*INDEX(Escalators!$I$44:$U$49,MATCH(AQ$4,Escalators!$C$44:$C$49,0),MATCH(AQ$5,Escalators!$I$43:$U$43,0))</f>
        <v>0</v>
      </c>
      <c r="AR9" s="128">
        <f>INDEX(Direct_Cost_Splits_Network,MATCH($H9,RIN_Asset_Cat_Network,0),MATCH($AY$4,Direct_Cost_Type,0))*$L9*INDEX(Act_Type_Augex_Splits,MATCH($I9,Act_Type_Augex,0),MATCH(AR$4,Mat_Type,0))*INDEX(Escalators!$I$44:$U$49,MATCH(AR$4,Escalators!$C$44:$C$49,0),MATCH(AR$5,Escalators!$I$43:$U$43,0))</f>
        <v>0</v>
      </c>
      <c r="AS9" s="128">
        <f t="shared" si="12"/>
        <v>0</v>
      </c>
      <c r="AT9" s="128">
        <f>INDEX(Direct_Cost_Splits_Network,MATCH($H9,RIN_Asset_Cat_Network,0),MATCH($AY$4,Direct_Cost_Type,0))*$M9*INDEX(Act_Type_Augex_Splits,MATCH($I9,Act_Type_Augex,0),MATCH(AT$4,Mat_Type,0))*INDEX(Escalators!$I$44:$U$49,MATCH(AT$4,Escalators!$C$44:$C$49,0),MATCH(AT$5,Escalators!$I$43:$U$43,0))</f>
        <v>380.40182026903341</v>
      </c>
      <c r="AU9" s="128">
        <f>INDEX(Direct_Cost_Splits_Network,MATCH($H9,RIN_Asset_Cat_Network,0),MATCH($AY$4,Direct_Cost_Type,0))*$M9*INDEX(Act_Type_Augex_Splits,MATCH($I9,Act_Type_Augex,0),MATCH(AU$4,Mat_Type,0))*INDEX(Escalators!$I$44:$U$49,MATCH(AU$4,Escalators!$C$44:$C$49,0),MATCH(AU$5,Escalators!$I$43:$U$43,0))</f>
        <v>0</v>
      </c>
      <c r="AV9" s="128">
        <f>INDEX(Direct_Cost_Splits_Network,MATCH($H9,RIN_Asset_Cat_Network,0),MATCH($AY$4,Direct_Cost_Type,0))*$M9*INDEX(Act_Type_Augex_Splits,MATCH($I9,Act_Type_Augex,0),MATCH(AV$4,Mat_Type,0))*INDEX(Escalators!$I$44:$U$49,MATCH(AV$4,Escalators!$C$44:$C$49,0),MATCH(AV$5,Escalators!$I$43:$U$43,0))</f>
        <v>73.809308410409471</v>
      </c>
      <c r="AW9" s="128">
        <f>INDEX(Direct_Cost_Splits_Network,MATCH($H9,RIN_Asset_Cat_Network,0),MATCH($AY$4,Direct_Cost_Type,0))*$M9*INDEX(Act_Type_Augex_Splits,MATCH($I9,Act_Type_Augex,0),MATCH(AW$4,Mat_Type,0))*INDEX(Escalators!$I$44:$U$49,MATCH(AW$4,Escalators!$C$44:$C$49,0),MATCH(AW$5,Escalators!$I$43:$U$43,0))</f>
        <v>0</v>
      </c>
      <c r="AX9" s="128">
        <f>INDEX(Direct_Cost_Splits_Network,MATCH($H9,RIN_Asset_Cat_Network,0),MATCH($AY$4,Direct_Cost_Type,0))*$M9*INDEX(Act_Type_Augex_Splits,MATCH($I9,Act_Type_Augex,0),MATCH(AX$4,Mat_Type,0))*INDEX(Escalators!$I$44:$U$49,MATCH(AX$4,Escalators!$C$44:$C$49,0),MATCH(AX$5,Escalators!$I$43:$U$43,0))</f>
        <v>113.55278216986072</v>
      </c>
      <c r="AY9" s="128">
        <f t="shared" ref="AY9" si="27">SUM(AT9:AX9)</f>
        <v>567.76391084930356</v>
      </c>
      <c r="AZ9" s="128">
        <f>INDEX(Direct_Cost_Splits_Network,MATCH($H9,RIN_Asset_Cat_Network,0),MATCH($BE$4,Direct_Cost_Type,0))*$N9*INDEX(Act_Type_Augex_Splits,MATCH($I9,Act_Type_Augex,0),MATCH(AZ$4,Mat_Type,0))*INDEX(Escalators!$I$44:$U$49,MATCH(AZ$4,Escalators!$C$44:$C$49,0),MATCH(AZ$5,Escalators!$I$43:$U$43,0))</f>
        <v>641.97591936292088</v>
      </c>
      <c r="BA9" s="128">
        <f>INDEX(Direct_Cost_Splits_Network,MATCH($H9,RIN_Asset_Cat_Network,0),MATCH($BE$4,Direct_Cost_Type,0))*$N9*INDEX(Act_Type_Augex_Splits,MATCH($I9,Act_Type_Augex,0),MATCH(BA$4,Mat_Type,0))*INDEX(Escalators!$I$44:$U$49,MATCH(BA$4,Escalators!$C$44:$C$49,0),MATCH(BA$5,Escalators!$I$43:$U$43,0))</f>
        <v>0</v>
      </c>
      <c r="BB9" s="128">
        <f>INDEX(Direct_Cost_Splits_Network,MATCH($H9,RIN_Asset_Cat_Network,0),MATCH($BE$4,Direct_Cost_Type,0))*$N9*INDEX(Act_Type_Augex_Splits,MATCH($I9,Act_Type_Augex,0),MATCH(BB$4,Mat_Type,0))*INDEX(Escalators!$I$44:$U$49,MATCH(BB$4,Escalators!$C$44:$C$49,0),MATCH(BB$5,Escalators!$I$43:$U$43,0))</f>
        <v>124.56249181668613</v>
      </c>
      <c r="BC9" s="128">
        <f>INDEX(Direct_Cost_Splits_Network,MATCH($H9,RIN_Asset_Cat_Network,0),MATCH($BE$4,Direct_Cost_Type,0))*$N9*INDEX(Act_Type_Augex_Splits,MATCH($I9,Act_Type_Augex,0),MATCH(BC$4,Mat_Type,0))*INDEX(Escalators!$I$44:$U$49,MATCH(BC$4,Escalators!$C$44:$C$49,0),MATCH(BC$5,Escalators!$I$43:$U$43,0))</f>
        <v>0</v>
      </c>
      <c r="BD9" s="128">
        <f>INDEX(Direct_Cost_Splits_Network,MATCH($H9,RIN_Asset_Cat_Network,0),MATCH($BE$4,Direct_Cost_Type,0))*$N9*INDEX(Act_Type_Augex_Splits,MATCH($I9,Act_Type_Augex,0),MATCH(BD$4,Mat_Type,0))*INDEX(Escalators!$I$44:$U$49,MATCH(BD$4,Escalators!$C$44:$C$49,0),MATCH(BD$5,Escalators!$I$43:$U$43,0))</f>
        <v>191.63460279490175</v>
      </c>
      <c r="BE9" s="128">
        <f t="shared" ref="BE9" si="28">SUM(AZ9:BD9)</f>
        <v>958.17301397450876</v>
      </c>
      <c r="BF9" s="128">
        <f>INDEX(Direct_Cost_Splits_Network,MATCH($H9,RIN_Asset_Cat_Network,0),MATCH($BK$4,Direct_Cost_Type,0))*$O9*INDEX(Act_Type_Augex_Splits,MATCH($I9,Act_Type_Augex,0),MATCH(BF$4,Mat_Type,0))*INDEX(Escalators!$I$44:$U$49,MATCH(BF$4,Escalators!$C$44:$C$49,0),MATCH(BF$5,Escalators!$I$43:$U$43,0))</f>
        <v>519.44453075083413</v>
      </c>
      <c r="BG9" s="128">
        <f>INDEX(Direct_Cost_Splits_Network,MATCH($H9,RIN_Asset_Cat_Network,0),MATCH($BK$4,Direct_Cost_Type,0))*$O9*INDEX(Act_Type_Augex_Splits,MATCH($I9,Act_Type_Augex,0),MATCH(BG$4,Mat_Type,0))*INDEX(Escalators!$I$44:$U$49,MATCH(BG$4,Escalators!$C$44:$C$49,0),MATCH(BG$5,Escalators!$I$43:$U$43,0))</f>
        <v>0</v>
      </c>
      <c r="BH9" s="128">
        <f>INDEX(Direct_Cost_Splits_Network,MATCH($H9,RIN_Asset_Cat_Network,0),MATCH($BK$4,Direct_Cost_Type,0))*$O9*INDEX(Act_Type_Augex_Splits,MATCH($I9,Act_Type_Augex,0),MATCH(BH$4,Mat_Type,0))*INDEX(Escalators!$I$44:$U$49,MATCH(BH$4,Escalators!$C$44:$C$49,0),MATCH(BH$5,Escalators!$I$43:$U$43,0))</f>
        <v>100.7877447725499</v>
      </c>
      <c r="BI9" s="128">
        <f>INDEX(Direct_Cost_Splits_Network,MATCH($H9,RIN_Asset_Cat_Network,0),MATCH($BK$4,Direct_Cost_Type,0))*$O9*INDEX(Act_Type_Augex_Splits,MATCH($I9,Act_Type_Augex,0),MATCH(BI$4,Mat_Type,0))*INDEX(Escalators!$I$44:$U$49,MATCH(BI$4,Escalators!$C$44:$C$49,0),MATCH(BI$5,Escalators!$I$43:$U$43,0))</f>
        <v>0</v>
      </c>
      <c r="BJ9" s="128">
        <f>INDEX(Direct_Cost_Splits_Network,MATCH($H9,RIN_Asset_Cat_Network,0),MATCH($BK$4,Direct_Cost_Type,0))*$O9*INDEX(Act_Type_Augex_Splits,MATCH($I9,Act_Type_Augex,0),MATCH(BJ$4,Mat_Type,0))*INDEX(Escalators!$I$44:$U$49,MATCH(BJ$4,Escalators!$C$44:$C$49,0),MATCH(BJ$5,Escalators!$I$43:$U$43,0))</f>
        <v>155.05806888084601</v>
      </c>
      <c r="BK9" s="128">
        <f t="shared" ref="BK9" si="29">SUM(BF9:BJ9)</f>
        <v>775.29034440423004</v>
      </c>
      <c r="BL9" s="128">
        <f>INDEX(Direct_Cost_Splits_Network,MATCH($H9,RIN_Asset_Cat_Network,0),MATCH($BQ$4,Direct_Cost_Type,0))*$P9*INDEX(Act_Type_Augex_Splits,MATCH($I9,Act_Type_Augex,0),MATCH(BL$4,Mat_Type,0))*INDEX(Escalators!$I$44:$U$49,MATCH(BL$4,Escalators!$C$44:$C$49,0),MATCH(BL$5,Escalators!$I$43:$U$43,0))</f>
        <v>234.94493713107832</v>
      </c>
      <c r="BM9" s="128">
        <f>INDEX(Direct_Cost_Splits_Network,MATCH($H9,RIN_Asset_Cat_Network,0),MATCH($BQ$4,Direct_Cost_Type,0))*$P9*INDEX(Act_Type_Augex_Splits,MATCH($I9,Act_Type_Augex,0),MATCH(BM$4,Mat_Type,0))*INDEX(Escalators!$I$44:$U$49,MATCH(BM$4,Escalators!$C$44:$C$49,0),MATCH(BM$5,Escalators!$I$43:$U$43,0))</f>
        <v>0</v>
      </c>
      <c r="BN9" s="128">
        <f>INDEX(Direct_Cost_Splits_Network,MATCH($H9,RIN_Asset_Cat_Network,0),MATCH($BQ$4,Direct_Cost_Type,0))*$P9*INDEX(Act_Type_Augex_Splits,MATCH($I9,Act_Type_Augex,0),MATCH(BN$4,Mat_Type,0))*INDEX(Escalators!$I$44:$U$49,MATCH(BN$4,Escalators!$C$44:$C$49,0),MATCH(BN$5,Escalators!$I$43:$U$43,0))</f>
        <v>45.586331085134596</v>
      </c>
      <c r="BO9" s="128">
        <f>INDEX(Direct_Cost_Splits_Network,MATCH($H9,RIN_Asset_Cat_Network,0),MATCH($BQ$4,Direct_Cost_Type,0))*$P9*INDEX(Act_Type_Augex_Splits,MATCH($I9,Act_Type_Augex,0),MATCH(BO$4,Mat_Type,0))*INDEX(Escalators!$I$44:$U$49,MATCH(BO$4,Escalators!$C$44:$C$49,0),MATCH(BO$5,Escalators!$I$43:$U$43,0))</f>
        <v>0</v>
      </c>
      <c r="BP9" s="128">
        <f>INDEX(Direct_Cost_Splits_Network,MATCH($H9,RIN_Asset_Cat_Network,0),MATCH($BQ$4,Direct_Cost_Type,0))*$P9*INDEX(Act_Type_Augex_Splits,MATCH($I9,Act_Type_Augex,0),MATCH(BP$4,Mat_Type,0))*INDEX(Escalators!$I$44:$U$49,MATCH(BP$4,Escalators!$C$44:$C$49,0),MATCH(BP$5,Escalators!$I$43:$U$43,0))</f>
        <v>70.132817054053234</v>
      </c>
      <c r="BQ9" s="128">
        <f t="shared" ref="BQ9" si="30">SUM(BL9:BP9)</f>
        <v>350.66408527026618</v>
      </c>
      <c r="BR9" s="128">
        <f>INDEX(Direct_Cost_Splits_Network,MATCH($H9,RIN_Asset_Cat_Network,0),MATCH($BW$4,Direct_Cost_Type,0))*$Q9*INDEX(Act_Type_Augex_Splits,MATCH($I9,Act_Type_Augex,0),MATCH(BR$4,Mat_Type,0))*INDEX(Escalators!$I$44:$U$49,MATCH(BR$4,Escalators!$C$44:$C$49,0),MATCH(BR$5,Escalators!$I$43:$U$43,0))</f>
        <v>228.84112766796355</v>
      </c>
      <c r="BS9" s="128">
        <f>INDEX(Direct_Cost_Splits_Network,MATCH($H9,RIN_Asset_Cat_Network,0),MATCH($BW$4,Direct_Cost_Type,0))*$Q9*INDEX(Act_Type_Augex_Splits,MATCH($I9,Act_Type_Augex,0),MATCH(BS$4,Mat_Type,0))*INDEX(Escalators!$I$44:$U$49,MATCH(BS$4,Escalators!$C$44:$C$49,0),MATCH(BS$5,Escalators!$I$43:$U$43,0))</f>
        <v>0</v>
      </c>
      <c r="BT9" s="128">
        <f>INDEX(Direct_Cost_Splits_Network,MATCH($H9,RIN_Asset_Cat_Network,0),MATCH($BW$4,Direct_Cost_Type,0))*$Q9*INDEX(Act_Type_Augex_Splits,MATCH($I9,Act_Type_Augex,0),MATCH(BT$4,Mat_Type,0))*INDEX(Escalators!$I$44:$U$49,MATCH(BT$4,Escalators!$C$44:$C$49,0),MATCH(BT$5,Escalators!$I$43:$U$43,0))</f>
        <v>44.402009846022779</v>
      </c>
      <c r="BU9" s="128">
        <f>INDEX(Direct_Cost_Splits_Network,MATCH($H9,RIN_Asset_Cat_Network,0),MATCH($BW$4,Direct_Cost_Type,0))*$Q9*INDEX(Act_Type_Augex_Splits,MATCH($I9,Act_Type_Augex,0),MATCH(BU$4,Mat_Type,0))*INDEX(Escalators!$I$44:$U$49,MATCH(BU$4,Escalators!$C$44:$C$49,0),MATCH(BU$5,Escalators!$I$43:$U$43,0))</f>
        <v>0</v>
      </c>
      <c r="BV9" s="128">
        <f>INDEX(Direct_Cost_Splits_Network,MATCH($H9,RIN_Asset_Cat_Network,0),MATCH($BW$4,Direct_Cost_Type,0))*$Q9*INDEX(Act_Type_Augex_Splits,MATCH($I9,Act_Type_Augex,0),MATCH(BV$4,Mat_Type,0))*INDEX(Escalators!$I$44:$U$49,MATCH(BV$4,Escalators!$C$44:$C$49,0),MATCH(BV$5,Escalators!$I$43:$U$43,0))</f>
        <v>68.310784378496578</v>
      </c>
      <c r="BW9" s="128">
        <f t="shared" ref="BW9" si="31">SUM(BR9:BV9)</f>
        <v>341.55392189248289</v>
      </c>
      <c r="BX9" s="129"/>
      <c r="BY9" s="128">
        <f>INDEX(Direct_Cost_Splits_Network,MATCH($H9,RIN_Asset_Cat_Network,0),MATCH($BY$4,Direct_Cost_Type,0))*J9*HLOOKUP(BY$5,Escalators!$I$25:$U$30,6,FALSE)</f>
        <v>0</v>
      </c>
      <c r="BZ9" s="128">
        <f>INDEX(Direct_Cost_Splits_Network,MATCH($H9,RIN_Asset_Cat_Network,0),MATCH($BY$4,Direct_Cost_Type,0))*K9*HLOOKUP(BZ$5,Escalators!$I$25:$U$30,6,FALSE)</f>
        <v>0</v>
      </c>
      <c r="CA9" s="128">
        <f>INDEX(Direct_Cost_Splits_Network,MATCH($H9,RIN_Asset_Cat_Network,0),MATCH($BY$4,Direct_Cost_Type,0))*L9*HLOOKUP(CA$5,Escalators!$I$25:$U$30,6,FALSE)</f>
        <v>0</v>
      </c>
      <c r="CB9" s="128">
        <f>INDEX(Direct_Cost_Splits_Network,MATCH($H9,RIN_Asset_Cat_Network,0),MATCH($BY$4,Direct_Cost_Type,0))*M9*HLOOKUP(CB$5,Escalators!$I$25:$U$30,6,FALSE)</f>
        <v>773.46573472855982</v>
      </c>
      <c r="CC9" s="128">
        <f>INDEX(Direct_Cost_Splits_Network,MATCH($H9,RIN_Asset_Cat_Network,0),MATCH($BY$4,Direct_Cost_Type,0))*N9*HLOOKUP(CC$5,Escalators!$I$25:$U$30,6,FALSE)</f>
        <v>1305.3207153344042</v>
      </c>
      <c r="CD9" s="128">
        <f>INDEX(Direct_Cost_Splits_Network,MATCH($H9,RIN_Asset_Cat_Network,0),MATCH($BY$4,Direct_Cost_Type,0))*O9*HLOOKUP(CD$5,Escalators!$I$25:$U$30,6,FALSE)</f>
        <v>1056.1793456818327</v>
      </c>
      <c r="CE9" s="128">
        <f>INDEX(Direct_Cost_Splits_Network,MATCH($H9,RIN_Asset_Cat_Network,0),MATCH($BY$4,Direct_Cost_Type,0))*P9*HLOOKUP(CE$5,Escalators!$I$25:$U$30,6,FALSE)</f>
        <v>477.71027565095437</v>
      </c>
      <c r="CF9" s="128">
        <f>INDEX(Direct_Cost_Splits_Network,MATCH($H9,RIN_Asset_Cat_Network,0),MATCH($BY$4,Direct_Cost_Type,0))*Q9*HLOOKUP(CF$5,Escalators!$I$25:$U$30,6,FALSE)</f>
        <v>465.29948469392826</v>
      </c>
      <c r="CG9" s="129"/>
      <c r="CH9" s="763">
        <f t="shared" ref="CH9" si="32">INDEX(Direct_Cost_Splits_Network,MATCH($H9,RIN_Asset_Cat_Network,0),MATCH($CH$4,Direct_Cost_Type,0))*J9</f>
        <v>0</v>
      </c>
      <c r="CI9" s="763">
        <f t="shared" ref="CI9:CJ11" si="33">INDEX(Direct_Cost_Splits_Network,MATCH($H9,RIN_Asset_Cat_Network,0),MATCH($CH$4,Direct_Cost_Type,0))*K9</f>
        <v>0</v>
      </c>
      <c r="CJ9" s="763">
        <f t="shared" si="33"/>
        <v>0</v>
      </c>
      <c r="CK9" s="763">
        <f t="shared" ref="CK9" si="34">INDEX(Direct_Cost_Splits_Network,MATCH($H9,RIN_Asset_Cat_Network,0),MATCH($CH$4,Direct_Cost_Type,0))*M9</f>
        <v>212.49897729547911</v>
      </c>
      <c r="CL9" s="763">
        <f t="shared" ref="CL9" si="35">INDEX(Direct_Cost_Splits_Network,MATCH($H9,RIN_Asset_Cat_Network,0),MATCH($CH$4,Direct_Cost_Type,0))*N9</f>
        <v>358.61875270855751</v>
      </c>
      <c r="CM9" s="763">
        <f t="shared" ref="CM9" si="36">INDEX(Direct_Cost_Splits_Network,MATCH($H9,RIN_Asset_Cat_Network,0),MATCH($CH$4,Direct_Cost_Type,0))*O9</f>
        <v>290.17061871106898</v>
      </c>
      <c r="CN9" s="763">
        <f t="shared" ref="CN9" si="37">INDEX(Direct_Cost_Splits_Network,MATCH($H9,RIN_Asset_Cat_Network,0),MATCH($CH$4,Direct_Cost_Type,0))*P9</f>
        <v>131.24426908839627</v>
      </c>
      <c r="CO9" s="763">
        <f t="shared" ref="CO9" si="38">INDEX(Direct_Cost_Splits_Network,MATCH($H9,RIN_Asset_Cat_Network,0),MATCH($CH$4,Direct_Cost_Type,0))*Q9</f>
        <v>127.83457649649165</v>
      </c>
      <c r="CP9" s="129"/>
      <c r="CQ9" s="128">
        <f t="shared" si="18"/>
        <v>0</v>
      </c>
      <c r="CR9" s="128">
        <f t="shared" si="9"/>
        <v>0</v>
      </c>
      <c r="CS9" s="128">
        <f t="shared" si="19"/>
        <v>0</v>
      </c>
      <c r="CT9" s="128">
        <f t="shared" si="20"/>
        <v>1843.6425706495475</v>
      </c>
      <c r="CU9" s="128">
        <f t="shared" si="21"/>
        <v>3110.1566766697615</v>
      </c>
      <c r="CV9" s="128">
        <f t="shared" si="22"/>
        <v>2516.2466369914773</v>
      </c>
      <c r="CW9" s="128">
        <f t="shared" si="23"/>
        <v>1138.7547200794208</v>
      </c>
      <c r="CX9" s="128">
        <f t="shared" si="24"/>
        <v>1110.9090411068887</v>
      </c>
      <c r="CZ9" s="39"/>
      <c r="DA9" s="39"/>
      <c r="DB9" s="39"/>
      <c r="DC9" s="39"/>
      <c r="DD9" s="39"/>
      <c r="DE9" s="39"/>
    </row>
    <row r="10" spans="1:109" x14ac:dyDescent="0.25">
      <c r="B10" s="75" t="s">
        <v>428</v>
      </c>
      <c r="C10" s="75" t="s">
        <v>567</v>
      </c>
      <c r="D10" s="75"/>
      <c r="E10" s="75" t="s">
        <v>45</v>
      </c>
      <c r="F10" s="75" t="s">
        <v>51</v>
      </c>
      <c r="G10" s="75" t="s">
        <v>10</v>
      </c>
      <c r="H10" s="75" t="s">
        <v>164</v>
      </c>
      <c r="I10" s="75" t="s">
        <v>214</v>
      </c>
      <c r="J10" s="128"/>
      <c r="K10" s="128"/>
      <c r="L10" s="128"/>
      <c r="M10" s="128">
        <v>750</v>
      </c>
      <c r="N10" s="128">
        <v>250</v>
      </c>
      <c r="O10" s="128">
        <v>0</v>
      </c>
      <c r="P10" s="128">
        <v>0</v>
      </c>
      <c r="Q10" s="128">
        <v>0</v>
      </c>
      <c r="R10" s="129"/>
      <c r="S10" s="128">
        <f>INDEX(Direct_Cost_Splits_Network,MATCH($H10,RIN_Asset_Cat_Network,0),MATCH($S$4,Direct_Cost_Type,0))*J10*HLOOKUP(S$5,Escalators!$I$25:$U$30,3,FALSE)</f>
        <v>0</v>
      </c>
      <c r="T10" s="128">
        <f>INDEX(Direct_Cost_Splits_Network,MATCH($H10,RIN_Asset_Cat_Network,0),MATCH($S$4,Direct_Cost_Type,0))*K10*HLOOKUP(T$5,Escalators!$I$25:$U$30,3,FALSE)</f>
        <v>0</v>
      </c>
      <c r="U10" s="128">
        <f>INDEX(Direct_Cost_Splits_Network,MATCH($H10,RIN_Asset_Cat_Network,0),MATCH($S$4,Direct_Cost_Type,0))*L10*HLOOKUP(U$5,Escalators!$I$25:$U$30,3,FALSE)</f>
        <v>0</v>
      </c>
      <c r="V10" s="128">
        <f>INDEX(Direct_Cost_Splits_Network,MATCH($H10,RIN_Asset_Cat_Network,0),MATCH($S$4,Direct_Cost_Type,0))*M10*HLOOKUP(V$5,Escalators!$I$25:$U$30,3,FALSE)</f>
        <v>118.26786012083423</v>
      </c>
      <c r="W10" s="128">
        <f>INDEX(Direct_Cost_Splits_Network,MATCH($H10,RIN_Asset_Cat_Network,0),MATCH($S$4,Direct_Cost_Type,0))*N10*HLOOKUP(W$5,Escalators!$I$25:$U$30,3,FALSE)</f>
        <v>39.324152726036289</v>
      </c>
      <c r="X10" s="128">
        <f>INDEX(Direct_Cost_Splits_Network,MATCH($H10,RIN_Asset_Cat_Network,0),MATCH($S$4,Direct_Cost_Type,0))*O10*HLOOKUP(X$5,Escalators!$I$25:$U$30,3,FALSE)</f>
        <v>0</v>
      </c>
      <c r="Y10" s="128">
        <f>INDEX(Direct_Cost_Splits_Network,MATCH($H10,RIN_Asset_Cat_Network,0),MATCH($S$4,Direct_Cost_Type,0))*P10*HLOOKUP(Y$5,Escalators!$I$25:$U$30,3,FALSE)</f>
        <v>0</v>
      </c>
      <c r="Z10" s="128">
        <f>INDEX(Direct_Cost_Splits_Network,MATCH($H10,RIN_Asset_Cat_Network,0),MATCH($S$4,Direct_Cost_Type,0))*Q10*HLOOKUP(Z$5,Escalators!$I$25:$U$30,3,FALSE)</f>
        <v>0</v>
      </c>
      <c r="AA10" s="129"/>
      <c r="AB10" s="128">
        <f>INDEX(Direct_Cost_Splits_Network,MATCH($H10,RIN_Asset_Cat_Network,0),MATCH($AG$4,Direct_Cost_Type,0))*$J10*INDEX(Act_Type_Augex_Splits,MATCH($I10,Act_Type_Augex,0),MATCH(AB$4,Mat_Type,0))*INDEX(Escalators!$I$44:$U$49,MATCH(AB$4,Escalators!$C$44:$C$49,0),MATCH(AB$5,Escalators!$I$43:$U$43,0))</f>
        <v>0</v>
      </c>
      <c r="AC10" s="128">
        <f>INDEX(Direct_Cost_Splits_Network,MATCH($H10,RIN_Asset_Cat_Network,0),MATCH($AG$4,Direct_Cost_Type,0))*$J10*INDEX(Act_Type_Augex_Splits,MATCH($I10,Act_Type_Augex,0),MATCH(AC$4,Mat_Type,0))*INDEX(Escalators!$I$44:$U$49,MATCH(AC$4,Escalators!$C$44:$C$49,0),MATCH(AC$5,Escalators!$I$43:$U$43,0))</f>
        <v>0</v>
      </c>
      <c r="AD10" s="128">
        <f>INDEX(Direct_Cost_Splits_Network,MATCH($H10,RIN_Asset_Cat_Network,0),MATCH($AG$4,Direct_Cost_Type,0))*$J10*INDEX(Act_Type_Augex_Splits,MATCH($I10,Act_Type_Augex,0),MATCH(AD$4,Mat_Type,0))*INDEX(Escalators!$I$44:$U$49,MATCH(AD$4,Escalators!$C$44:$C$49,0),MATCH(AD$5,Escalators!$I$43:$U$43,0))</f>
        <v>0</v>
      </c>
      <c r="AE10" s="128">
        <f>INDEX(Direct_Cost_Splits_Network,MATCH($H10,RIN_Asset_Cat_Network,0),MATCH($AG$4,Direct_Cost_Type,0))*$J10*INDEX(Act_Type_Augex_Splits,MATCH($I10,Act_Type_Augex,0),MATCH(AE$4,Mat_Type,0))*INDEX(Escalators!$I$44:$U$49,MATCH(AE$4,Escalators!$C$44:$C$49,0),MATCH(AE$5,Escalators!$I$43:$U$43,0))</f>
        <v>0</v>
      </c>
      <c r="AF10" s="128">
        <f>INDEX(Direct_Cost_Splits_Network,MATCH($H10,RIN_Asset_Cat_Network,0),MATCH($AG$4,Direct_Cost_Type,0))*$J10*INDEX(Act_Type_Augex_Splits,MATCH($I10,Act_Type_Augex,0),MATCH(AF$4,Mat_Type,0))*INDEX(Escalators!$I$44:$U$49,MATCH(AF$4,Escalators!$C$44:$C$49,0),MATCH(AF$5,Escalators!$I$43:$U$43,0))</f>
        <v>0</v>
      </c>
      <c r="AG10" s="128">
        <f t="shared" si="10"/>
        <v>0</v>
      </c>
      <c r="AH10" s="128">
        <f>INDEX(Direct_Cost_Splits_Network,MATCH($H10,RIN_Asset_Cat_Network,0),MATCH($AY$4,Direct_Cost_Type,0))*$K10*INDEX(Act_Type_Augex_Splits,MATCH($I10,Act_Type_Augex,0),MATCH(AH$4,Mat_Type,0))*INDEX(Escalators!$I$44:$U$49,MATCH(AH$4,Escalators!$C$44:$C$49,0),MATCH(AH$5,Escalators!$I$43:$U$43,0))</f>
        <v>0</v>
      </c>
      <c r="AI10" s="128">
        <f>INDEX(Direct_Cost_Splits_Network,MATCH($H10,RIN_Asset_Cat_Network,0),MATCH($AY$4,Direct_Cost_Type,0))*$K10*INDEX(Act_Type_Augex_Splits,MATCH($I10,Act_Type_Augex,0),MATCH(AI$4,Mat_Type,0))*INDEX(Escalators!$I$44:$U$49,MATCH(AI$4,Escalators!$C$44:$C$49,0),MATCH(AI$5,Escalators!$I$43:$U$43,0))</f>
        <v>0</v>
      </c>
      <c r="AJ10" s="128">
        <f>INDEX(Direct_Cost_Splits_Network,MATCH($H10,RIN_Asset_Cat_Network,0),MATCH($AY$4,Direct_Cost_Type,0))*$K10*INDEX(Act_Type_Augex_Splits,MATCH($I10,Act_Type_Augex,0),MATCH(AJ$4,Mat_Type,0))*INDEX(Escalators!$I$44:$U$49,MATCH(AJ$4,Escalators!$C$44:$C$49,0),MATCH(AJ$5,Escalators!$I$43:$U$43,0))</f>
        <v>0</v>
      </c>
      <c r="AK10" s="128">
        <f>INDEX(Direct_Cost_Splits_Network,MATCH($H10,RIN_Asset_Cat_Network,0),MATCH($AY$4,Direct_Cost_Type,0))*$K10*INDEX(Act_Type_Augex_Splits,MATCH($I10,Act_Type_Augex,0),MATCH(AK$4,Mat_Type,0))*INDEX(Escalators!$I$44:$U$49,MATCH(AK$4,Escalators!$C$44:$C$49,0),MATCH(AK$5,Escalators!$I$43:$U$43,0))</f>
        <v>0</v>
      </c>
      <c r="AL10" s="128">
        <f>INDEX(Direct_Cost_Splits_Network,MATCH($H10,RIN_Asset_Cat_Network,0),MATCH($AY$4,Direct_Cost_Type,0))*$K10*INDEX(Act_Type_Augex_Splits,MATCH($I10,Act_Type_Augex,0),MATCH(AL$4,Mat_Type,0))*INDEX(Escalators!$I$44:$U$49,MATCH(AL$4,Escalators!$C$44:$C$49,0),MATCH(AL$5,Escalators!$I$43:$U$43,0))</f>
        <v>0</v>
      </c>
      <c r="AM10" s="128">
        <f t="shared" si="11"/>
        <v>0</v>
      </c>
      <c r="AN10" s="128">
        <f>INDEX(Direct_Cost_Splits_Network,MATCH($H10,RIN_Asset_Cat_Network,0),MATCH($AY$4,Direct_Cost_Type,0))*$L10*INDEX(Act_Type_Augex_Splits,MATCH($I10,Act_Type_Augex,0),MATCH(AN$4,Mat_Type,0))*INDEX(Escalators!$I$44:$U$49,MATCH(AN$4,Escalators!$C$44:$C$49,0),MATCH(AN$5,Escalators!$I$43:$U$43,0))</f>
        <v>0</v>
      </c>
      <c r="AO10" s="128">
        <f>INDEX(Direct_Cost_Splits_Network,MATCH($H10,RIN_Asset_Cat_Network,0),MATCH($AY$4,Direct_Cost_Type,0))*$L10*INDEX(Act_Type_Augex_Splits,MATCH($I10,Act_Type_Augex,0),MATCH(AO$4,Mat_Type,0))*INDEX(Escalators!$I$44:$U$49,MATCH(AO$4,Escalators!$C$44:$C$49,0),MATCH(AO$5,Escalators!$I$43:$U$43,0))</f>
        <v>0</v>
      </c>
      <c r="AP10" s="128">
        <f>INDEX(Direct_Cost_Splits_Network,MATCH($H10,RIN_Asset_Cat_Network,0),MATCH($AY$4,Direct_Cost_Type,0))*$L10*INDEX(Act_Type_Augex_Splits,MATCH($I10,Act_Type_Augex,0),MATCH(AP$4,Mat_Type,0))*INDEX(Escalators!$I$44:$U$49,MATCH(AP$4,Escalators!$C$44:$C$49,0),MATCH(AP$5,Escalators!$I$43:$U$43,0))</f>
        <v>0</v>
      </c>
      <c r="AQ10" s="128">
        <f>INDEX(Direct_Cost_Splits_Network,MATCH($H10,RIN_Asset_Cat_Network,0),MATCH($AY$4,Direct_Cost_Type,0))*$L10*INDEX(Act_Type_Augex_Splits,MATCH($I10,Act_Type_Augex,0),MATCH(AQ$4,Mat_Type,0))*INDEX(Escalators!$I$44:$U$49,MATCH(AQ$4,Escalators!$C$44:$C$49,0),MATCH(AQ$5,Escalators!$I$43:$U$43,0))</f>
        <v>0</v>
      </c>
      <c r="AR10" s="128">
        <f>INDEX(Direct_Cost_Splits_Network,MATCH($H10,RIN_Asset_Cat_Network,0),MATCH($AY$4,Direct_Cost_Type,0))*$L10*INDEX(Act_Type_Augex_Splits,MATCH($I10,Act_Type_Augex,0),MATCH(AR$4,Mat_Type,0))*INDEX(Escalators!$I$44:$U$49,MATCH(AR$4,Escalators!$C$44:$C$49,0),MATCH(AR$5,Escalators!$I$43:$U$43,0))</f>
        <v>0</v>
      </c>
      <c r="AS10" s="128">
        <f t="shared" si="12"/>
        <v>0</v>
      </c>
      <c r="AT10" s="128">
        <f>INDEX(Direct_Cost_Splits_Network,MATCH($H10,RIN_Asset_Cat_Network,0),MATCH($AY$4,Direct_Cost_Type,0))*$M10*INDEX(Act_Type_Augex_Splits,MATCH($I10,Act_Type_Augex,0),MATCH(AT$4,Mat_Type,0))*INDEX(Escalators!$I$44:$U$49,MATCH(AT$4,Escalators!$C$44:$C$49,0),MATCH(AT$5,Escalators!$I$43:$U$43,0))</f>
        <v>155.18159651986679</v>
      </c>
      <c r="AU10" s="128">
        <f>INDEX(Direct_Cost_Splits_Network,MATCH($H10,RIN_Asset_Cat_Network,0),MATCH($AY$4,Direct_Cost_Type,0))*$M10*INDEX(Act_Type_Augex_Splits,MATCH($I10,Act_Type_Augex,0),MATCH(AU$4,Mat_Type,0))*INDEX(Escalators!$I$44:$U$49,MATCH(AU$4,Escalators!$C$44:$C$49,0),MATCH(AU$5,Escalators!$I$43:$U$43,0))</f>
        <v>0</v>
      </c>
      <c r="AV10" s="128">
        <f>INDEX(Direct_Cost_Splits_Network,MATCH($H10,RIN_Asset_Cat_Network,0),MATCH($AY$4,Direct_Cost_Type,0))*$M10*INDEX(Act_Type_Augex_Splits,MATCH($I10,Act_Type_Augex,0),MATCH(AV$4,Mat_Type,0))*INDEX(Escalators!$I$44:$U$49,MATCH(AV$4,Escalators!$C$44:$C$49,0),MATCH(AV$5,Escalators!$I$43:$U$43,0))</f>
        <v>30.109862011317436</v>
      </c>
      <c r="AW10" s="128">
        <f>INDEX(Direct_Cost_Splits_Network,MATCH($H10,RIN_Asset_Cat_Network,0),MATCH($AY$4,Direct_Cost_Type,0))*$M10*INDEX(Act_Type_Augex_Splits,MATCH($I10,Act_Type_Augex,0),MATCH(AW$4,Mat_Type,0))*INDEX(Escalators!$I$44:$U$49,MATCH(AW$4,Escalators!$C$44:$C$49,0),MATCH(AW$5,Escalators!$I$43:$U$43,0))</f>
        <v>0</v>
      </c>
      <c r="AX10" s="128">
        <f>INDEX(Direct_Cost_Splits_Network,MATCH($H10,RIN_Asset_Cat_Network,0),MATCH($AY$4,Direct_Cost_Type,0))*$M10*INDEX(Act_Type_Augex_Splits,MATCH($I10,Act_Type_Augex,0),MATCH(AX$4,Mat_Type,0))*INDEX(Escalators!$I$44:$U$49,MATCH(AX$4,Escalators!$C$44:$C$49,0),MATCH(AX$5,Escalators!$I$43:$U$43,0))</f>
        <v>46.322864632796055</v>
      </c>
      <c r="AY10" s="128">
        <f t="shared" si="13"/>
        <v>231.61432316398026</v>
      </c>
      <c r="AZ10" s="128">
        <f>INDEX(Direct_Cost_Splits_Network,MATCH($H10,RIN_Asset_Cat_Network,0),MATCH($BE$4,Direct_Cost_Type,0))*$N10*INDEX(Act_Type_Augex_Splits,MATCH($I10,Act_Type_Augex,0),MATCH(AZ$4,Mat_Type,0))*INDEX(Escalators!$I$44:$U$49,MATCH(AZ$4,Escalators!$C$44:$C$49,0),MATCH(AZ$5,Escalators!$I$43:$U$43,0))</f>
        <v>51.727198839955598</v>
      </c>
      <c r="BA10" s="128">
        <f>INDEX(Direct_Cost_Splits_Network,MATCH($H10,RIN_Asset_Cat_Network,0),MATCH($BE$4,Direct_Cost_Type,0))*$N10*INDEX(Act_Type_Augex_Splits,MATCH($I10,Act_Type_Augex,0),MATCH(BA$4,Mat_Type,0))*INDEX(Escalators!$I$44:$U$49,MATCH(BA$4,Escalators!$C$44:$C$49,0),MATCH(BA$5,Escalators!$I$43:$U$43,0))</f>
        <v>0</v>
      </c>
      <c r="BB10" s="128">
        <f>INDEX(Direct_Cost_Splits_Network,MATCH($H10,RIN_Asset_Cat_Network,0),MATCH($BE$4,Direct_Cost_Type,0))*$N10*INDEX(Act_Type_Augex_Splits,MATCH($I10,Act_Type_Augex,0),MATCH(BB$4,Mat_Type,0))*INDEX(Escalators!$I$44:$U$49,MATCH(BB$4,Escalators!$C$44:$C$49,0),MATCH(BB$5,Escalators!$I$43:$U$43,0))</f>
        <v>10.036620670439145</v>
      </c>
      <c r="BC10" s="128">
        <f>INDEX(Direct_Cost_Splits_Network,MATCH($H10,RIN_Asset_Cat_Network,0),MATCH($BE$4,Direct_Cost_Type,0))*$N10*INDEX(Act_Type_Augex_Splits,MATCH($I10,Act_Type_Augex,0),MATCH(BC$4,Mat_Type,0))*INDEX(Escalators!$I$44:$U$49,MATCH(BC$4,Escalators!$C$44:$C$49,0),MATCH(BC$5,Escalators!$I$43:$U$43,0))</f>
        <v>0</v>
      </c>
      <c r="BD10" s="128">
        <f>INDEX(Direct_Cost_Splits_Network,MATCH($H10,RIN_Asset_Cat_Network,0),MATCH($BE$4,Direct_Cost_Type,0))*$N10*INDEX(Act_Type_Augex_Splits,MATCH($I10,Act_Type_Augex,0),MATCH(BD$4,Mat_Type,0))*INDEX(Escalators!$I$44:$U$49,MATCH(BD$4,Escalators!$C$44:$C$49,0),MATCH(BD$5,Escalators!$I$43:$U$43,0))</f>
        <v>15.440954877598685</v>
      </c>
      <c r="BE10" s="128">
        <f t="shared" si="14"/>
        <v>77.204774387993425</v>
      </c>
      <c r="BF10" s="128">
        <f>INDEX(Direct_Cost_Splits_Network,MATCH($H10,RIN_Asset_Cat_Network,0),MATCH($BK$4,Direct_Cost_Type,0))*$O10*INDEX(Act_Type_Augex_Splits,MATCH($I10,Act_Type_Augex,0),MATCH(BF$4,Mat_Type,0))*INDEX(Escalators!$I$44:$U$49,MATCH(BF$4,Escalators!$C$44:$C$49,0),MATCH(BF$5,Escalators!$I$43:$U$43,0))</f>
        <v>0</v>
      </c>
      <c r="BG10" s="128">
        <f>INDEX(Direct_Cost_Splits_Network,MATCH($H10,RIN_Asset_Cat_Network,0),MATCH($BK$4,Direct_Cost_Type,0))*$O10*INDEX(Act_Type_Augex_Splits,MATCH($I10,Act_Type_Augex,0),MATCH(BG$4,Mat_Type,0))*INDEX(Escalators!$I$44:$U$49,MATCH(BG$4,Escalators!$C$44:$C$49,0),MATCH(BG$5,Escalators!$I$43:$U$43,0))</f>
        <v>0</v>
      </c>
      <c r="BH10" s="128">
        <f>INDEX(Direct_Cost_Splits_Network,MATCH($H10,RIN_Asset_Cat_Network,0),MATCH($BK$4,Direct_Cost_Type,0))*$O10*INDEX(Act_Type_Augex_Splits,MATCH($I10,Act_Type_Augex,0),MATCH(BH$4,Mat_Type,0))*INDEX(Escalators!$I$44:$U$49,MATCH(BH$4,Escalators!$C$44:$C$49,0),MATCH(BH$5,Escalators!$I$43:$U$43,0))</f>
        <v>0</v>
      </c>
      <c r="BI10" s="128">
        <f>INDEX(Direct_Cost_Splits_Network,MATCH($H10,RIN_Asset_Cat_Network,0),MATCH($BK$4,Direct_Cost_Type,0))*$O10*INDEX(Act_Type_Augex_Splits,MATCH($I10,Act_Type_Augex,0),MATCH(BI$4,Mat_Type,0))*INDEX(Escalators!$I$44:$U$49,MATCH(BI$4,Escalators!$C$44:$C$49,0),MATCH(BI$5,Escalators!$I$43:$U$43,0))</f>
        <v>0</v>
      </c>
      <c r="BJ10" s="128">
        <f>INDEX(Direct_Cost_Splits_Network,MATCH($H10,RIN_Asset_Cat_Network,0),MATCH($BK$4,Direct_Cost_Type,0))*$O10*INDEX(Act_Type_Augex_Splits,MATCH($I10,Act_Type_Augex,0),MATCH(BJ$4,Mat_Type,0))*INDEX(Escalators!$I$44:$U$49,MATCH(BJ$4,Escalators!$C$44:$C$49,0),MATCH(BJ$5,Escalators!$I$43:$U$43,0))</f>
        <v>0</v>
      </c>
      <c r="BK10" s="128">
        <f t="shared" si="15"/>
        <v>0</v>
      </c>
      <c r="BL10" s="128">
        <f>INDEX(Direct_Cost_Splits_Network,MATCH($H10,RIN_Asset_Cat_Network,0),MATCH($BQ$4,Direct_Cost_Type,0))*$P10*INDEX(Act_Type_Augex_Splits,MATCH($I10,Act_Type_Augex,0),MATCH(BL$4,Mat_Type,0))*INDEX(Escalators!$I$44:$U$49,MATCH(BL$4,Escalators!$C$44:$C$49,0),MATCH(BL$5,Escalators!$I$43:$U$43,0))</f>
        <v>0</v>
      </c>
      <c r="BM10" s="128">
        <f>INDEX(Direct_Cost_Splits_Network,MATCH($H10,RIN_Asset_Cat_Network,0),MATCH($BQ$4,Direct_Cost_Type,0))*$P10*INDEX(Act_Type_Augex_Splits,MATCH($I10,Act_Type_Augex,0),MATCH(BM$4,Mat_Type,0))*INDEX(Escalators!$I$44:$U$49,MATCH(BM$4,Escalators!$C$44:$C$49,0),MATCH(BM$5,Escalators!$I$43:$U$43,0))</f>
        <v>0</v>
      </c>
      <c r="BN10" s="128">
        <f>INDEX(Direct_Cost_Splits_Network,MATCH($H10,RIN_Asset_Cat_Network,0),MATCH($BQ$4,Direct_Cost_Type,0))*$P10*INDEX(Act_Type_Augex_Splits,MATCH($I10,Act_Type_Augex,0),MATCH(BN$4,Mat_Type,0))*INDEX(Escalators!$I$44:$U$49,MATCH(BN$4,Escalators!$C$44:$C$49,0),MATCH(BN$5,Escalators!$I$43:$U$43,0))</f>
        <v>0</v>
      </c>
      <c r="BO10" s="128">
        <f>INDEX(Direct_Cost_Splits_Network,MATCH($H10,RIN_Asset_Cat_Network,0),MATCH($BQ$4,Direct_Cost_Type,0))*$P10*INDEX(Act_Type_Augex_Splits,MATCH($I10,Act_Type_Augex,0),MATCH(BO$4,Mat_Type,0))*INDEX(Escalators!$I$44:$U$49,MATCH(BO$4,Escalators!$C$44:$C$49,0),MATCH(BO$5,Escalators!$I$43:$U$43,0))</f>
        <v>0</v>
      </c>
      <c r="BP10" s="128">
        <f>INDEX(Direct_Cost_Splits_Network,MATCH($H10,RIN_Asset_Cat_Network,0),MATCH($BQ$4,Direct_Cost_Type,0))*$P10*INDEX(Act_Type_Augex_Splits,MATCH($I10,Act_Type_Augex,0),MATCH(BP$4,Mat_Type,0))*INDEX(Escalators!$I$44:$U$49,MATCH(BP$4,Escalators!$C$44:$C$49,0),MATCH(BP$5,Escalators!$I$43:$U$43,0))</f>
        <v>0</v>
      </c>
      <c r="BQ10" s="128">
        <f t="shared" si="16"/>
        <v>0</v>
      </c>
      <c r="BR10" s="128">
        <f>INDEX(Direct_Cost_Splits_Network,MATCH($H10,RIN_Asset_Cat_Network,0),MATCH($BW$4,Direct_Cost_Type,0))*$Q10*INDEX(Act_Type_Augex_Splits,MATCH($I10,Act_Type_Augex,0),MATCH(BR$4,Mat_Type,0))*INDEX(Escalators!$I$44:$U$49,MATCH(BR$4,Escalators!$C$44:$C$49,0),MATCH(BR$5,Escalators!$I$43:$U$43,0))</f>
        <v>0</v>
      </c>
      <c r="BS10" s="128">
        <f>INDEX(Direct_Cost_Splits_Network,MATCH($H10,RIN_Asset_Cat_Network,0),MATCH($BW$4,Direct_Cost_Type,0))*$Q10*INDEX(Act_Type_Augex_Splits,MATCH($I10,Act_Type_Augex,0),MATCH(BS$4,Mat_Type,0))*INDEX(Escalators!$I$44:$U$49,MATCH(BS$4,Escalators!$C$44:$C$49,0),MATCH(BS$5,Escalators!$I$43:$U$43,0))</f>
        <v>0</v>
      </c>
      <c r="BT10" s="128">
        <f>INDEX(Direct_Cost_Splits_Network,MATCH($H10,RIN_Asset_Cat_Network,0),MATCH($BW$4,Direct_Cost_Type,0))*$Q10*INDEX(Act_Type_Augex_Splits,MATCH($I10,Act_Type_Augex,0),MATCH(BT$4,Mat_Type,0))*INDEX(Escalators!$I$44:$U$49,MATCH(BT$4,Escalators!$C$44:$C$49,0),MATCH(BT$5,Escalators!$I$43:$U$43,0))</f>
        <v>0</v>
      </c>
      <c r="BU10" s="128">
        <f>INDEX(Direct_Cost_Splits_Network,MATCH($H10,RIN_Asset_Cat_Network,0),MATCH($BW$4,Direct_Cost_Type,0))*$Q10*INDEX(Act_Type_Augex_Splits,MATCH($I10,Act_Type_Augex,0),MATCH(BU$4,Mat_Type,0))*INDEX(Escalators!$I$44:$U$49,MATCH(BU$4,Escalators!$C$44:$C$49,0),MATCH(BU$5,Escalators!$I$43:$U$43,0))</f>
        <v>0</v>
      </c>
      <c r="BV10" s="128">
        <f>INDEX(Direct_Cost_Splits_Network,MATCH($H10,RIN_Asset_Cat_Network,0),MATCH($BW$4,Direct_Cost_Type,0))*$Q10*INDEX(Act_Type_Augex_Splits,MATCH($I10,Act_Type_Augex,0),MATCH(BV$4,Mat_Type,0))*INDEX(Escalators!$I$44:$U$49,MATCH(BV$4,Escalators!$C$44:$C$49,0),MATCH(BV$5,Escalators!$I$43:$U$43,0))</f>
        <v>0</v>
      </c>
      <c r="BW10" s="128">
        <f t="shared" si="17"/>
        <v>0</v>
      </c>
      <c r="BX10" s="129"/>
      <c r="BY10" s="128">
        <f>INDEX(Direct_Cost_Splits_Network,MATCH($H10,RIN_Asset_Cat_Network,0),MATCH($BY$4,Direct_Cost_Type,0))*J10*HLOOKUP(BY$5,Escalators!$I$25:$U$30,6,FALSE)</f>
        <v>0</v>
      </c>
      <c r="BZ10" s="128">
        <f>INDEX(Direct_Cost_Splits_Network,MATCH($H10,RIN_Asset_Cat_Network,0),MATCH($BY$4,Direct_Cost_Type,0))*K10*HLOOKUP(BZ$5,Escalators!$I$25:$U$30,6,FALSE)</f>
        <v>0</v>
      </c>
      <c r="CA10" s="128">
        <f>INDEX(Direct_Cost_Splits_Network,MATCH($H10,RIN_Asset_Cat_Network,0),MATCH($BY$4,Direct_Cost_Type,0))*L10*HLOOKUP(CA$5,Escalators!$I$25:$U$30,6,FALSE)</f>
        <v>0</v>
      </c>
      <c r="CB10" s="128">
        <f>INDEX(Direct_Cost_Splits_Network,MATCH($H10,RIN_Asset_Cat_Network,0),MATCH($BY$4,Direct_Cost_Type,0))*M10*HLOOKUP(CB$5,Escalators!$I$25:$U$30,6,FALSE)</f>
        <v>315.52858365320634</v>
      </c>
      <c r="CC10" s="128">
        <f>INDEX(Direct_Cost_Splits_Network,MATCH($H10,RIN_Asset_Cat_Network,0),MATCH($BY$4,Direct_Cost_Type,0))*N10*HLOOKUP(CC$5,Escalators!$I$25:$U$30,6,FALSE)</f>
        <v>105.17619455106878</v>
      </c>
      <c r="CD10" s="128">
        <f>INDEX(Direct_Cost_Splits_Network,MATCH($H10,RIN_Asset_Cat_Network,0),MATCH($BY$4,Direct_Cost_Type,0))*O10*HLOOKUP(CD$5,Escalators!$I$25:$U$30,6,FALSE)</f>
        <v>0</v>
      </c>
      <c r="CE10" s="128">
        <f>INDEX(Direct_Cost_Splits_Network,MATCH($H10,RIN_Asset_Cat_Network,0),MATCH($BY$4,Direct_Cost_Type,0))*P10*HLOOKUP(CE$5,Escalators!$I$25:$U$30,6,FALSE)</f>
        <v>0</v>
      </c>
      <c r="CF10" s="128">
        <f>INDEX(Direct_Cost_Splits_Network,MATCH($H10,RIN_Asset_Cat_Network,0),MATCH($BY$4,Direct_Cost_Type,0))*Q10*HLOOKUP(CF$5,Escalators!$I$25:$U$30,6,FALSE)</f>
        <v>0</v>
      </c>
      <c r="CG10" s="129"/>
      <c r="CH10" s="763">
        <f>INDEX(Direct_Cost_Splits_Network,MATCH($H10,RIN_Asset_Cat_Network,0),MATCH($CH$4,Direct_Cost_Type,0))*J10</f>
        <v>0</v>
      </c>
      <c r="CI10" s="763">
        <f t="shared" si="33"/>
        <v>0</v>
      </c>
      <c r="CJ10" s="763">
        <f t="shared" si="33"/>
        <v>0</v>
      </c>
      <c r="CK10" s="763">
        <f t="shared" ref="CK10:CO11" si="39">INDEX(Direct_Cost_Splits_Network,MATCH($H10,RIN_Asset_Cat_Network,0),MATCH($CH$4,Direct_Cost_Type,0))*M10</f>
        <v>86.687099794185116</v>
      </c>
      <c r="CL10" s="763">
        <f t="shared" si="39"/>
        <v>28.895699931395036</v>
      </c>
      <c r="CM10" s="763">
        <f t="shared" si="39"/>
        <v>0</v>
      </c>
      <c r="CN10" s="763">
        <f t="shared" si="39"/>
        <v>0</v>
      </c>
      <c r="CO10" s="763">
        <f t="shared" si="39"/>
        <v>0</v>
      </c>
      <c r="CP10" s="129"/>
      <c r="CQ10" s="128">
        <f t="shared" si="18"/>
        <v>0</v>
      </c>
      <c r="CR10" s="128">
        <f t="shared" si="9"/>
        <v>0</v>
      </c>
      <c r="CS10" s="128">
        <f t="shared" si="19"/>
        <v>0</v>
      </c>
      <c r="CT10" s="128">
        <f t="shared" si="20"/>
        <v>752.09786673220583</v>
      </c>
      <c r="CU10" s="128">
        <f t="shared" si="21"/>
        <v>250.60082159649352</v>
      </c>
      <c r="CV10" s="128">
        <f t="shared" si="22"/>
        <v>0</v>
      </c>
      <c r="CW10" s="128">
        <f t="shared" si="23"/>
        <v>0</v>
      </c>
      <c r="CX10" s="128">
        <f t="shared" si="24"/>
        <v>0</v>
      </c>
      <c r="CZ10" s="39"/>
      <c r="DA10" s="39"/>
      <c r="DB10" s="39"/>
      <c r="DC10" s="39"/>
      <c r="DD10" s="39"/>
      <c r="DE10" s="39"/>
    </row>
    <row r="11" spans="1:109" x14ac:dyDescent="0.25">
      <c r="B11" s="75" t="s">
        <v>428</v>
      </c>
      <c r="C11" s="75" t="s">
        <v>419</v>
      </c>
      <c r="D11" s="75"/>
      <c r="E11" s="75" t="s">
        <v>48</v>
      </c>
      <c r="F11" s="75" t="s">
        <v>51</v>
      </c>
      <c r="G11" s="75" t="s">
        <v>10</v>
      </c>
      <c r="H11" s="75" t="s">
        <v>165</v>
      </c>
      <c r="I11" s="75" t="s">
        <v>5</v>
      </c>
      <c r="J11" s="128"/>
      <c r="K11" s="128"/>
      <c r="L11" s="128"/>
      <c r="M11" s="128">
        <v>376.8</v>
      </c>
      <c r="N11" s="128">
        <v>0</v>
      </c>
      <c r="O11" s="128">
        <v>0</v>
      </c>
      <c r="P11" s="128">
        <v>0</v>
      </c>
      <c r="Q11" s="128">
        <v>0</v>
      </c>
      <c r="R11" s="129"/>
      <c r="S11" s="128">
        <f>INDEX(Direct_Cost_Splits_Network,MATCH($H11,RIN_Asset_Cat_Network,0),MATCH($S$4,Direct_Cost_Type,0))*J11*HLOOKUP(S$5,Escalators!$I$25:$U$30,3,FALSE)</f>
        <v>0</v>
      </c>
      <c r="T11" s="128">
        <f>INDEX(Direct_Cost_Splits_Network,MATCH($H11,RIN_Asset_Cat_Network,0),MATCH($S$4,Direct_Cost_Type,0))*K11*HLOOKUP(T$5,Escalators!$I$25:$U$30,3,FALSE)</f>
        <v>0</v>
      </c>
      <c r="U11" s="128">
        <f>INDEX(Direct_Cost_Splits_Network,MATCH($H11,RIN_Asset_Cat_Network,0),MATCH($S$4,Direct_Cost_Type,0))*L11*HLOOKUP(U$5,Escalators!$I$25:$U$30,3,FALSE)</f>
        <v>0</v>
      </c>
      <c r="V11" s="128">
        <f>INDEX(Direct_Cost_Splits_Network,MATCH($H11,RIN_Asset_Cat_Network,0),MATCH($S$4,Direct_Cost_Type,0))*M11*HLOOKUP(V$5,Escalators!$I$25:$U$30,3,FALSE)</f>
        <v>59.417772924707094</v>
      </c>
      <c r="W11" s="128">
        <f>INDEX(Direct_Cost_Splits_Network,MATCH($H11,RIN_Asset_Cat_Network,0),MATCH($S$4,Direct_Cost_Type,0))*N11*HLOOKUP(W$5,Escalators!$I$25:$U$30,3,FALSE)</f>
        <v>0</v>
      </c>
      <c r="X11" s="128">
        <f>INDEX(Direct_Cost_Splits_Network,MATCH($H11,RIN_Asset_Cat_Network,0),MATCH($S$4,Direct_Cost_Type,0))*O11*HLOOKUP(X$5,Escalators!$I$25:$U$30,3,FALSE)</f>
        <v>0</v>
      </c>
      <c r="Y11" s="128">
        <f>INDEX(Direct_Cost_Splits_Network,MATCH($H11,RIN_Asset_Cat_Network,0),MATCH($S$4,Direct_Cost_Type,0))*P11*HLOOKUP(Y$5,Escalators!$I$25:$U$30,3,FALSE)</f>
        <v>0</v>
      </c>
      <c r="Z11" s="128">
        <f>INDEX(Direct_Cost_Splits_Network,MATCH($H11,RIN_Asset_Cat_Network,0),MATCH($S$4,Direct_Cost_Type,0))*Q11*HLOOKUP(Z$5,Escalators!$I$25:$U$30,3,FALSE)</f>
        <v>0</v>
      </c>
      <c r="AA11" s="129"/>
      <c r="AB11" s="128">
        <f>INDEX(Direct_Cost_Splits_Network,MATCH($H11,RIN_Asset_Cat_Network,0),MATCH($AG$4,Direct_Cost_Type,0))*$J11*INDEX(Act_Type_Augex_Splits,MATCH($I11,Act_Type_Augex,0),MATCH(AB$4,Mat_Type,0))*INDEX(Escalators!$I$44:$U$49,MATCH(AB$4,Escalators!$C$44:$C$49,0),MATCH(AB$5,Escalators!$I$43:$U$43,0))</f>
        <v>0</v>
      </c>
      <c r="AC11" s="128">
        <f>INDEX(Direct_Cost_Splits_Network,MATCH($H11,RIN_Asset_Cat_Network,0),MATCH($AG$4,Direct_Cost_Type,0))*$J11*INDEX(Act_Type_Augex_Splits,MATCH($I11,Act_Type_Augex,0),MATCH(AC$4,Mat_Type,0))*INDEX(Escalators!$I$44:$U$49,MATCH(AC$4,Escalators!$C$44:$C$49,0),MATCH(AC$5,Escalators!$I$43:$U$43,0))</f>
        <v>0</v>
      </c>
      <c r="AD11" s="128">
        <f>INDEX(Direct_Cost_Splits_Network,MATCH($H11,RIN_Asset_Cat_Network,0),MATCH($AG$4,Direct_Cost_Type,0))*$J11*INDEX(Act_Type_Augex_Splits,MATCH($I11,Act_Type_Augex,0),MATCH(AD$4,Mat_Type,0))*INDEX(Escalators!$I$44:$U$49,MATCH(AD$4,Escalators!$C$44:$C$49,0),MATCH(AD$5,Escalators!$I$43:$U$43,0))</f>
        <v>0</v>
      </c>
      <c r="AE11" s="128">
        <f>INDEX(Direct_Cost_Splits_Network,MATCH($H11,RIN_Asset_Cat_Network,0),MATCH($AG$4,Direct_Cost_Type,0))*$J11*INDEX(Act_Type_Augex_Splits,MATCH($I11,Act_Type_Augex,0),MATCH(AE$4,Mat_Type,0))*INDEX(Escalators!$I$44:$U$49,MATCH(AE$4,Escalators!$C$44:$C$49,0),MATCH(AE$5,Escalators!$I$43:$U$43,0))</f>
        <v>0</v>
      </c>
      <c r="AF11" s="128">
        <f>INDEX(Direct_Cost_Splits_Network,MATCH($H11,RIN_Asset_Cat_Network,0),MATCH($AG$4,Direct_Cost_Type,0))*$J11*INDEX(Act_Type_Augex_Splits,MATCH($I11,Act_Type_Augex,0),MATCH(AF$4,Mat_Type,0))*INDEX(Escalators!$I$44:$U$49,MATCH(AF$4,Escalators!$C$44:$C$49,0),MATCH(AF$5,Escalators!$I$43:$U$43,0))</f>
        <v>0</v>
      </c>
      <c r="AG11" s="128">
        <f t="shared" si="10"/>
        <v>0</v>
      </c>
      <c r="AH11" s="128">
        <f>INDEX(Direct_Cost_Splits_Network,MATCH($H11,RIN_Asset_Cat_Network,0),MATCH($AY$4,Direct_Cost_Type,0))*$K11*INDEX(Act_Type_Augex_Splits,MATCH($I11,Act_Type_Augex,0),MATCH(AH$4,Mat_Type,0))*INDEX(Escalators!$I$44:$U$49,MATCH(AH$4,Escalators!$C$44:$C$49,0),MATCH(AH$5,Escalators!$I$43:$U$43,0))</f>
        <v>0</v>
      </c>
      <c r="AI11" s="128">
        <f>INDEX(Direct_Cost_Splits_Network,MATCH($H11,RIN_Asset_Cat_Network,0),MATCH($AY$4,Direct_Cost_Type,0))*$K11*INDEX(Act_Type_Augex_Splits,MATCH($I11,Act_Type_Augex,0),MATCH(AI$4,Mat_Type,0))*INDEX(Escalators!$I$44:$U$49,MATCH(AI$4,Escalators!$C$44:$C$49,0),MATCH(AI$5,Escalators!$I$43:$U$43,0))</f>
        <v>0</v>
      </c>
      <c r="AJ11" s="128">
        <f>INDEX(Direct_Cost_Splits_Network,MATCH($H11,RIN_Asset_Cat_Network,0),MATCH($AY$4,Direct_Cost_Type,0))*$K11*INDEX(Act_Type_Augex_Splits,MATCH($I11,Act_Type_Augex,0),MATCH(AJ$4,Mat_Type,0))*INDEX(Escalators!$I$44:$U$49,MATCH(AJ$4,Escalators!$C$44:$C$49,0),MATCH(AJ$5,Escalators!$I$43:$U$43,0))</f>
        <v>0</v>
      </c>
      <c r="AK11" s="128">
        <f>INDEX(Direct_Cost_Splits_Network,MATCH($H11,RIN_Asset_Cat_Network,0),MATCH($AY$4,Direct_Cost_Type,0))*$K11*INDEX(Act_Type_Augex_Splits,MATCH($I11,Act_Type_Augex,0),MATCH(AK$4,Mat_Type,0))*INDEX(Escalators!$I$44:$U$49,MATCH(AK$4,Escalators!$C$44:$C$49,0),MATCH(AK$5,Escalators!$I$43:$U$43,0))</f>
        <v>0</v>
      </c>
      <c r="AL11" s="128">
        <f>INDEX(Direct_Cost_Splits_Network,MATCH($H11,RIN_Asset_Cat_Network,0),MATCH($AY$4,Direct_Cost_Type,0))*$K11*INDEX(Act_Type_Augex_Splits,MATCH($I11,Act_Type_Augex,0),MATCH(AL$4,Mat_Type,0))*INDEX(Escalators!$I$44:$U$49,MATCH(AL$4,Escalators!$C$44:$C$49,0),MATCH(AL$5,Escalators!$I$43:$U$43,0))</f>
        <v>0</v>
      </c>
      <c r="AM11" s="128">
        <f t="shared" si="11"/>
        <v>0</v>
      </c>
      <c r="AN11" s="128">
        <f>INDEX(Direct_Cost_Splits_Network,MATCH($H11,RIN_Asset_Cat_Network,0),MATCH($AY$4,Direct_Cost_Type,0))*$L11*INDEX(Act_Type_Augex_Splits,MATCH($I11,Act_Type_Augex,0),MATCH(AN$4,Mat_Type,0))*INDEX(Escalators!$I$44:$U$49,MATCH(AN$4,Escalators!$C$44:$C$49,0),MATCH(AN$5,Escalators!$I$43:$U$43,0))</f>
        <v>0</v>
      </c>
      <c r="AO11" s="128">
        <f>INDEX(Direct_Cost_Splits_Network,MATCH($H11,RIN_Asset_Cat_Network,0),MATCH($AY$4,Direct_Cost_Type,0))*$L11*INDEX(Act_Type_Augex_Splits,MATCH($I11,Act_Type_Augex,0),MATCH(AO$4,Mat_Type,0))*INDEX(Escalators!$I$44:$U$49,MATCH(AO$4,Escalators!$C$44:$C$49,0),MATCH(AO$5,Escalators!$I$43:$U$43,0))</f>
        <v>0</v>
      </c>
      <c r="AP11" s="128">
        <f>INDEX(Direct_Cost_Splits_Network,MATCH($H11,RIN_Asset_Cat_Network,0),MATCH($AY$4,Direct_Cost_Type,0))*$L11*INDEX(Act_Type_Augex_Splits,MATCH($I11,Act_Type_Augex,0),MATCH(AP$4,Mat_Type,0))*INDEX(Escalators!$I$44:$U$49,MATCH(AP$4,Escalators!$C$44:$C$49,0),MATCH(AP$5,Escalators!$I$43:$U$43,0))</f>
        <v>0</v>
      </c>
      <c r="AQ11" s="128">
        <f>INDEX(Direct_Cost_Splits_Network,MATCH($H11,RIN_Asset_Cat_Network,0),MATCH($AY$4,Direct_Cost_Type,0))*$L11*INDEX(Act_Type_Augex_Splits,MATCH($I11,Act_Type_Augex,0),MATCH(AQ$4,Mat_Type,0))*INDEX(Escalators!$I$44:$U$49,MATCH(AQ$4,Escalators!$C$44:$C$49,0),MATCH(AQ$5,Escalators!$I$43:$U$43,0))</f>
        <v>0</v>
      </c>
      <c r="AR11" s="128">
        <f>INDEX(Direct_Cost_Splits_Network,MATCH($H11,RIN_Asset_Cat_Network,0),MATCH($AY$4,Direct_Cost_Type,0))*$L11*INDEX(Act_Type_Augex_Splits,MATCH($I11,Act_Type_Augex,0),MATCH(AR$4,Mat_Type,0))*INDEX(Escalators!$I$44:$U$49,MATCH(AR$4,Escalators!$C$44:$C$49,0),MATCH(AR$5,Escalators!$I$43:$U$43,0))</f>
        <v>0</v>
      </c>
      <c r="AS11" s="128">
        <f t="shared" si="12"/>
        <v>0</v>
      </c>
      <c r="AT11" s="128">
        <f>INDEX(Direct_Cost_Splits_Network,MATCH($H11,RIN_Asset_Cat_Network,0),MATCH($AY$4,Direct_Cost_Type,0))*$M11*INDEX(Act_Type_Augex_Splits,MATCH($I11,Act_Type_Augex,0),MATCH(AT$4,Mat_Type,0))*INDEX(Escalators!$I$44:$U$49,MATCH(AT$4,Escalators!$C$44:$C$49,0),MATCH(AT$5,Escalators!$I$43:$U$43,0))</f>
        <v>11.636303595758367</v>
      </c>
      <c r="AU11" s="128">
        <f>INDEX(Direct_Cost_Splits_Network,MATCH($H11,RIN_Asset_Cat_Network,0),MATCH($AY$4,Direct_Cost_Type,0))*$M11*INDEX(Act_Type_Augex_Splits,MATCH($I11,Act_Type_Augex,0),MATCH(AU$4,Mat_Type,0))*INDEX(Escalators!$I$44:$U$49,MATCH(AU$4,Escalators!$C$44:$C$49,0),MATCH(AU$5,Escalators!$I$43:$U$43,0))</f>
        <v>11.636303595758367</v>
      </c>
      <c r="AV11" s="128">
        <f>INDEX(Direct_Cost_Splits_Network,MATCH($H11,RIN_Asset_Cat_Network,0),MATCH($AY$4,Direct_Cost_Type,0))*$M11*INDEX(Act_Type_Augex_Splits,MATCH($I11,Act_Type_Augex,0),MATCH(AV$4,Mat_Type,0))*INDEX(Escalators!$I$44:$U$49,MATCH(AV$4,Escalators!$C$44:$C$49,0),MATCH(AV$5,Escalators!$I$43:$U$43,0))</f>
        <v>11.636303595758367</v>
      </c>
      <c r="AW11" s="128">
        <f>INDEX(Direct_Cost_Splits_Network,MATCH($H11,RIN_Asset_Cat_Network,0),MATCH($AY$4,Direct_Cost_Type,0))*$M11*INDEX(Act_Type_Augex_Splits,MATCH($I11,Act_Type_Augex,0),MATCH(AW$4,Mat_Type,0))*INDEX(Escalators!$I$44:$U$49,MATCH(AW$4,Escalators!$C$44:$C$49,0),MATCH(AW$5,Escalators!$I$43:$U$43,0))</f>
        <v>0</v>
      </c>
      <c r="AX11" s="128">
        <f>INDEX(Direct_Cost_Splits_Network,MATCH($H11,RIN_Asset_Cat_Network,0),MATCH($AY$4,Direct_Cost_Type,0))*$M11*INDEX(Act_Type_Augex_Splits,MATCH($I11,Act_Type_Augex,0),MATCH(AX$4,Mat_Type,0))*INDEX(Escalators!$I$44:$U$49,MATCH(AX$4,Escalators!$C$44:$C$49,0),MATCH(AX$5,Escalators!$I$43:$U$43,0))</f>
        <v>81.454125170308558</v>
      </c>
      <c r="AY11" s="128">
        <f t="shared" si="13"/>
        <v>116.36303595758366</v>
      </c>
      <c r="AZ11" s="128">
        <f>INDEX(Direct_Cost_Splits_Network,MATCH($H11,RIN_Asset_Cat_Network,0),MATCH($BE$4,Direct_Cost_Type,0))*$N11*INDEX(Act_Type_Augex_Splits,MATCH($I11,Act_Type_Augex,0),MATCH(AZ$4,Mat_Type,0))*INDEX(Escalators!$I$44:$U$49,MATCH(AZ$4,Escalators!$C$44:$C$49,0),MATCH(AZ$5,Escalators!$I$43:$U$43,0))</f>
        <v>0</v>
      </c>
      <c r="BA11" s="128">
        <f>INDEX(Direct_Cost_Splits_Network,MATCH($H11,RIN_Asset_Cat_Network,0),MATCH($BE$4,Direct_Cost_Type,0))*$N11*INDEX(Act_Type_Augex_Splits,MATCH($I11,Act_Type_Augex,0),MATCH(BA$4,Mat_Type,0))*INDEX(Escalators!$I$44:$U$49,MATCH(BA$4,Escalators!$C$44:$C$49,0),MATCH(BA$5,Escalators!$I$43:$U$43,0))</f>
        <v>0</v>
      </c>
      <c r="BB11" s="128">
        <f>INDEX(Direct_Cost_Splits_Network,MATCH($H11,RIN_Asset_Cat_Network,0),MATCH($BE$4,Direct_Cost_Type,0))*$N11*INDEX(Act_Type_Augex_Splits,MATCH($I11,Act_Type_Augex,0),MATCH(BB$4,Mat_Type,0))*INDEX(Escalators!$I$44:$U$49,MATCH(BB$4,Escalators!$C$44:$C$49,0),MATCH(BB$5,Escalators!$I$43:$U$43,0))</f>
        <v>0</v>
      </c>
      <c r="BC11" s="128">
        <f>INDEX(Direct_Cost_Splits_Network,MATCH($H11,RIN_Asset_Cat_Network,0),MATCH($BE$4,Direct_Cost_Type,0))*$N11*INDEX(Act_Type_Augex_Splits,MATCH($I11,Act_Type_Augex,0),MATCH(BC$4,Mat_Type,0))*INDEX(Escalators!$I$44:$U$49,MATCH(BC$4,Escalators!$C$44:$C$49,0),MATCH(BC$5,Escalators!$I$43:$U$43,0))</f>
        <v>0</v>
      </c>
      <c r="BD11" s="128">
        <f>INDEX(Direct_Cost_Splits_Network,MATCH($H11,RIN_Asset_Cat_Network,0),MATCH($BE$4,Direct_Cost_Type,0))*$N11*INDEX(Act_Type_Augex_Splits,MATCH($I11,Act_Type_Augex,0),MATCH(BD$4,Mat_Type,0))*INDEX(Escalators!$I$44:$U$49,MATCH(BD$4,Escalators!$C$44:$C$49,0),MATCH(BD$5,Escalators!$I$43:$U$43,0))</f>
        <v>0</v>
      </c>
      <c r="BE11" s="128">
        <f t="shared" si="14"/>
        <v>0</v>
      </c>
      <c r="BF11" s="128">
        <f>INDEX(Direct_Cost_Splits_Network,MATCH($H11,RIN_Asset_Cat_Network,0),MATCH($BK$4,Direct_Cost_Type,0))*$O11*INDEX(Act_Type_Augex_Splits,MATCH($I11,Act_Type_Augex,0),MATCH(BF$4,Mat_Type,0))*INDEX(Escalators!$I$44:$U$49,MATCH(BF$4,Escalators!$C$44:$C$49,0),MATCH(BF$5,Escalators!$I$43:$U$43,0))</f>
        <v>0</v>
      </c>
      <c r="BG11" s="128">
        <f>INDEX(Direct_Cost_Splits_Network,MATCH($H11,RIN_Asset_Cat_Network,0),MATCH($BK$4,Direct_Cost_Type,0))*$O11*INDEX(Act_Type_Augex_Splits,MATCH($I11,Act_Type_Augex,0),MATCH(BG$4,Mat_Type,0))*INDEX(Escalators!$I$44:$U$49,MATCH(BG$4,Escalators!$C$44:$C$49,0),MATCH(BG$5,Escalators!$I$43:$U$43,0))</f>
        <v>0</v>
      </c>
      <c r="BH11" s="128">
        <f>INDEX(Direct_Cost_Splits_Network,MATCH($H11,RIN_Asset_Cat_Network,0),MATCH($BK$4,Direct_Cost_Type,0))*$O11*INDEX(Act_Type_Augex_Splits,MATCH($I11,Act_Type_Augex,0),MATCH(BH$4,Mat_Type,0))*INDEX(Escalators!$I$44:$U$49,MATCH(BH$4,Escalators!$C$44:$C$49,0),MATCH(BH$5,Escalators!$I$43:$U$43,0))</f>
        <v>0</v>
      </c>
      <c r="BI11" s="128">
        <f>INDEX(Direct_Cost_Splits_Network,MATCH($H11,RIN_Asset_Cat_Network,0),MATCH($BK$4,Direct_Cost_Type,0))*$O11*INDEX(Act_Type_Augex_Splits,MATCH($I11,Act_Type_Augex,0),MATCH(BI$4,Mat_Type,0))*INDEX(Escalators!$I$44:$U$49,MATCH(BI$4,Escalators!$C$44:$C$49,0),MATCH(BI$5,Escalators!$I$43:$U$43,0))</f>
        <v>0</v>
      </c>
      <c r="BJ11" s="128">
        <f>INDEX(Direct_Cost_Splits_Network,MATCH($H11,RIN_Asset_Cat_Network,0),MATCH($BK$4,Direct_Cost_Type,0))*$O11*INDEX(Act_Type_Augex_Splits,MATCH($I11,Act_Type_Augex,0),MATCH(BJ$4,Mat_Type,0))*INDEX(Escalators!$I$44:$U$49,MATCH(BJ$4,Escalators!$C$44:$C$49,0),MATCH(BJ$5,Escalators!$I$43:$U$43,0))</f>
        <v>0</v>
      </c>
      <c r="BK11" s="128">
        <f t="shared" si="15"/>
        <v>0</v>
      </c>
      <c r="BL11" s="128">
        <f>INDEX(Direct_Cost_Splits_Network,MATCH($H11,RIN_Asset_Cat_Network,0),MATCH($BQ$4,Direct_Cost_Type,0))*$P11*INDEX(Act_Type_Augex_Splits,MATCH($I11,Act_Type_Augex,0),MATCH(BL$4,Mat_Type,0))*INDEX(Escalators!$I$44:$U$49,MATCH(BL$4,Escalators!$C$44:$C$49,0),MATCH(BL$5,Escalators!$I$43:$U$43,0))</f>
        <v>0</v>
      </c>
      <c r="BM11" s="128">
        <f>INDEX(Direct_Cost_Splits_Network,MATCH($H11,RIN_Asset_Cat_Network,0),MATCH($BQ$4,Direct_Cost_Type,0))*$P11*INDEX(Act_Type_Augex_Splits,MATCH($I11,Act_Type_Augex,0),MATCH(BM$4,Mat_Type,0))*INDEX(Escalators!$I$44:$U$49,MATCH(BM$4,Escalators!$C$44:$C$49,0),MATCH(BM$5,Escalators!$I$43:$U$43,0))</f>
        <v>0</v>
      </c>
      <c r="BN11" s="128">
        <f>INDEX(Direct_Cost_Splits_Network,MATCH($H11,RIN_Asset_Cat_Network,0),MATCH($BQ$4,Direct_Cost_Type,0))*$P11*INDEX(Act_Type_Augex_Splits,MATCH($I11,Act_Type_Augex,0),MATCH(BN$4,Mat_Type,0))*INDEX(Escalators!$I$44:$U$49,MATCH(BN$4,Escalators!$C$44:$C$49,0),MATCH(BN$5,Escalators!$I$43:$U$43,0))</f>
        <v>0</v>
      </c>
      <c r="BO11" s="128">
        <f>INDEX(Direct_Cost_Splits_Network,MATCH($H11,RIN_Asset_Cat_Network,0),MATCH($BQ$4,Direct_Cost_Type,0))*$P11*INDEX(Act_Type_Augex_Splits,MATCH($I11,Act_Type_Augex,0),MATCH(BO$4,Mat_Type,0))*INDEX(Escalators!$I$44:$U$49,MATCH(BO$4,Escalators!$C$44:$C$49,0),MATCH(BO$5,Escalators!$I$43:$U$43,0))</f>
        <v>0</v>
      </c>
      <c r="BP11" s="128">
        <f>INDEX(Direct_Cost_Splits_Network,MATCH($H11,RIN_Asset_Cat_Network,0),MATCH($BQ$4,Direct_Cost_Type,0))*$P11*INDEX(Act_Type_Augex_Splits,MATCH($I11,Act_Type_Augex,0),MATCH(BP$4,Mat_Type,0))*INDEX(Escalators!$I$44:$U$49,MATCH(BP$4,Escalators!$C$44:$C$49,0),MATCH(BP$5,Escalators!$I$43:$U$43,0))</f>
        <v>0</v>
      </c>
      <c r="BQ11" s="128">
        <f t="shared" si="16"/>
        <v>0</v>
      </c>
      <c r="BR11" s="128">
        <f>INDEX(Direct_Cost_Splits_Network,MATCH($H11,RIN_Asset_Cat_Network,0),MATCH($BW$4,Direct_Cost_Type,0))*$Q11*INDEX(Act_Type_Augex_Splits,MATCH($I11,Act_Type_Augex,0),MATCH(BR$4,Mat_Type,0))*INDEX(Escalators!$I$44:$U$49,MATCH(BR$4,Escalators!$C$44:$C$49,0),MATCH(BR$5,Escalators!$I$43:$U$43,0))</f>
        <v>0</v>
      </c>
      <c r="BS11" s="128">
        <f>INDEX(Direct_Cost_Splits_Network,MATCH($H11,RIN_Asset_Cat_Network,0),MATCH($BW$4,Direct_Cost_Type,0))*$Q11*INDEX(Act_Type_Augex_Splits,MATCH($I11,Act_Type_Augex,0),MATCH(BS$4,Mat_Type,0))*INDEX(Escalators!$I$44:$U$49,MATCH(BS$4,Escalators!$C$44:$C$49,0),MATCH(BS$5,Escalators!$I$43:$U$43,0))</f>
        <v>0</v>
      </c>
      <c r="BT11" s="128">
        <f>INDEX(Direct_Cost_Splits_Network,MATCH($H11,RIN_Asset_Cat_Network,0),MATCH($BW$4,Direct_Cost_Type,0))*$Q11*INDEX(Act_Type_Augex_Splits,MATCH($I11,Act_Type_Augex,0),MATCH(BT$4,Mat_Type,0))*INDEX(Escalators!$I$44:$U$49,MATCH(BT$4,Escalators!$C$44:$C$49,0),MATCH(BT$5,Escalators!$I$43:$U$43,0))</f>
        <v>0</v>
      </c>
      <c r="BU11" s="128">
        <f>INDEX(Direct_Cost_Splits_Network,MATCH($H11,RIN_Asset_Cat_Network,0),MATCH($BW$4,Direct_Cost_Type,0))*$Q11*INDEX(Act_Type_Augex_Splits,MATCH($I11,Act_Type_Augex,0),MATCH(BU$4,Mat_Type,0))*INDEX(Escalators!$I$44:$U$49,MATCH(BU$4,Escalators!$C$44:$C$49,0),MATCH(BU$5,Escalators!$I$43:$U$43,0))</f>
        <v>0</v>
      </c>
      <c r="BV11" s="128">
        <f>INDEX(Direct_Cost_Splits_Network,MATCH($H11,RIN_Asset_Cat_Network,0),MATCH($BW$4,Direct_Cost_Type,0))*$Q11*INDEX(Act_Type_Augex_Splits,MATCH($I11,Act_Type_Augex,0),MATCH(BV$4,Mat_Type,0))*INDEX(Escalators!$I$44:$U$49,MATCH(BV$4,Escalators!$C$44:$C$49,0),MATCH(BV$5,Escalators!$I$43:$U$43,0))</f>
        <v>0</v>
      </c>
      <c r="BW11" s="128">
        <f t="shared" si="17"/>
        <v>0</v>
      </c>
      <c r="BX11" s="129"/>
      <c r="BY11" s="128">
        <f>INDEX(Direct_Cost_Splits_Network,MATCH($H11,RIN_Asset_Cat_Network,0),MATCH($BY$4,Direct_Cost_Type,0))*J11*HLOOKUP(BY$5,Escalators!$I$25:$U$30,6,FALSE)</f>
        <v>0</v>
      </c>
      <c r="BZ11" s="128">
        <f>INDEX(Direct_Cost_Splits_Network,MATCH($H11,RIN_Asset_Cat_Network,0),MATCH($BY$4,Direct_Cost_Type,0))*K11*HLOOKUP(BZ$5,Escalators!$I$25:$U$30,6,FALSE)</f>
        <v>0</v>
      </c>
      <c r="CA11" s="128">
        <f>INDEX(Direct_Cost_Splits_Network,MATCH($H11,RIN_Asset_Cat_Network,0),MATCH($BY$4,Direct_Cost_Type,0))*L11*HLOOKUP(CA$5,Escalators!$I$25:$U$30,6,FALSE)</f>
        <v>0</v>
      </c>
      <c r="CB11" s="128">
        <f>INDEX(Direct_Cost_Splits_Network,MATCH($H11,RIN_Asset_Cat_Network,0),MATCH($BY$4,Direct_Cost_Type,0))*M11*HLOOKUP(CB$5,Escalators!$I$25:$U$30,6,FALSE)</f>
        <v>158.52156042737082</v>
      </c>
      <c r="CC11" s="128">
        <f>INDEX(Direct_Cost_Splits_Network,MATCH($H11,RIN_Asset_Cat_Network,0),MATCH($BY$4,Direct_Cost_Type,0))*N11*HLOOKUP(CC$5,Escalators!$I$25:$U$30,6,FALSE)</f>
        <v>0</v>
      </c>
      <c r="CD11" s="128">
        <f>INDEX(Direct_Cost_Splits_Network,MATCH($H11,RIN_Asset_Cat_Network,0),MATCH($BY$4,Direct_Cost_Type,0))*O11*HLOOKUP(CD$5,Escalators!$I$25:$U$30,6,FALSE)</f>
        <v>0</v>
      </c>
      <c r="CE11" s="128">
        <f>INDEX(Direct_Cost_Splits_Network,MATCH($H11,RIN_Asset_Cat_Network,0),MATCH($BY$4,Direct_Cost_Type,0))*P11*HLOOKUP(CE$5,Escalators!$I$25:$U$30,6,FALSE)</f>
        <v>0</v>
      </c>
      <c r="CF11" s="128">
        <f>INDEX(Direct_Cost_Splits_Network,MATCH($H11,RIN_Asset_Cat_Network,0),MATCH($BY$4,Direct_Cost_Type,0))*Q11*HLOOKUP(CF$5,Escalators!$I$25:$U$30,6,FALSE)</f>
        <v>0</v>
      </c>
      <c r="CG11" s="129"/>
      <c r="CH11" s="763">
        <f>INDEX(Direct_Cost_Splits_Network,MATCH($H11,RIN_Asset_Cat_Network,0),MATCH($CH$4,Direct_Cost_Type,0))*J11</f>
        <v>0</v>
      </c>
      <c r="CI11" s="763">
        <f t="shared" si="33"/>
        <v>0</v>
      </c>
      <c r="CJ11" s="763">
        <f t="shared" si="33"/>
        <v>0</v>
      </c>
      <c r="CK11" s="763">
        <f t="shared" si="39"/>
        <v>43.551598936598594</v>
      </c>
      <c r="CL11" s="763">
        <f t="shared" si="39"/>
        <v>0</v>
      </c>
      <c r="CM11" s="763">
        <f t="shared" si="39"/>
        <v>0</v>
      </c>
      <c r="CN11" s="763">
        <f t="shared" si="39"/>
        <v>0</v>
      </c>
      <c r="CO11" s="763">
        <f t="shared" si="39"/>
        <v>0</v>
      </c>
      <c r="CP11" s="129"/>
      <c r="CQ11" s="128">
        <f t="shared" si="18"/>
        <v>0</v>
      </c>
      <c r="CR11" s="128">
        <f t="shared" si="9"/>
        <v>0</v>
      </c>
      <c r="CS11" s="128">
        <f t="shared" si="19"/>
        <v>0</v>
      </c>
      <c r="CT11" s="128">
        <f t="shared" si="20"/>
        <v>377.85396824626014</v>
      </c>
      <c r="CU11" s="128">
        <f t="shared" si="21"/>
        <v>0</v>
      </c>
      <c r="CV11" s="128">
        <f t="shared" si="22"/>
        <v>0</v>
      </c>
      <c r="CW11" s="128">
        <f t="shared" si="23"/>
        <v>0</v>
      </c>
      <c r="CX11" s="128">
        <f t="shared" si="24"/>
        <v>0</v>
      </c>
      <c r="CZ11" s="39"/>
      <c r="DA11" s="39"/>
      <c r="DB11" s="39"/>
      <c r="DC11" s="39"/>
      <c r="DD11" s="39"/>
      <c r="DE11" s="39"/>
    </row>
    <row r="12" spans="1:109" x14ac:dyDescent="0.25">
      <c r="B12" s="75"/>
      <c r="C12" s="75"/>
      <c r="D12" s="75"/>
      <c r="E12" s="75"/>
      <c r="F12" s="75"/>
      <c r="G12" s="75"/>
      <c r="H12" s="75"/>
      <c r="I12" s="75"/>
      <c r="J12" s="128"/>
      <c r="K12" s="128"/>
      <c r="L12" s="128"/>
      <c r="M12" s="128"/>
      <c r="N12" s="128"/>
      <c r="O12" s="128"/>
      <c r="P12" s="128"/>
      <c r="Q12" s="128"/>
      <c r="R12" s="129"/>
      <c r="S12" s="128"/>
      <c r="T12" s="128"/>
      <c r="U12" s="128"/>
      <c r="V12" s="128"/>
      <c r="W12" s="128"/>
      <c r="X12" s="128"/>
      <c r="Y12" s="128"/>
      <c r="Z12" s="128"/>
      <c r="AA12" s="129"/>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9"/>
      <c r="BY12" s="128"/>
      <c r="BZ12" s="128"/>
      <c r="CA12" s="128"/>
      <c r="CB12" s="128"/>
      <c r="CC12" s="128"/>
      <c r="CD12" s="128"/>
      <c r="CE12" s="128"/>
      <c r="CF12" s="128"/>
      <c r="CG12" s="129"/>
      <c r="CH12" s="763"/>
      <c r="CI12" s="763"/>
      <c r="CJ12" s="763"/>
      <c r="CK12" s="763"/>
      <c r="CL12" s="763"/>
      <c r="CM12" s="763"/>
      <c r="CN12" s="763"/>
      <c r="CO12" s="763"/>
      <c r="CP12" s="129"/>
      <c r="CQ12" s="128">
        <f t="shared" si="18"/>
        <v>0</v>
      </c>
      <c r="CR12" s="128">
        <f t="shared" si="9"/>
        <v>0</v>
      </c>
      <c r="CS12" s="128">
        <f t="shared" si="19"/>
        <v>0</v>
      </c>
      <c r="CT12" s="128">
        <f t="shared" si="20"/>
        <v>0</v>
      </c>
      <c r="CU12" s="128">
        <f t="shared" si="21"/>
        <v>0</v>
      </c>
      <c r="CV12" s="128">
        <f t="shared" si="22"/>
        <v>0</v>
      </c>
      <c r="CW12" s="128">
        <f t="shared" si="23"/>
        <v>0</v>
      </c>
      <c r="CX12" s="128">
        <f t="shared" si="24"/>
        <v>0</v>
      </c>
      <c r="CZ12" s="39"/>
      <c r="DA12" s="39"/>
      <c r="DB12" s="39"/>
      <c r="DC12" s="39"/>
      <c r="DD12" s="39"/>
      <c r="DE12" s="39"/>
    </row>
    <row r="13" spans="1:109" x14ac:dyDescent="0.25">
      <c r="B13" s="75" t="s">
        <v>429</v>
      </c>
      <c r="C13" s="75" t="s">
        <v>420</v>
      </c>
      <c r="D13" s="75" t="s">
        <v>429</v>
      </c>
      <c r="E13" s="75" t="s">
        <v>45</v>
      </c>
      <c r="F13" s="75" t="s">
        <v>51</v>
      </c>
      <c r="G13" s="75" t="s">
        <v>10</v>
      </c>
      <c r="H13" s="75" t="s">
        <v>164</v>
      </c>
      <c r="I13" s="75" t="s">
        <v>5</v>
      </c>
      <c r="J13" s="128"/>
      <c r="K13" s="128"/>
      <c r="L13" s="128"/>
      <c r="M13" s="128">
        <v>3840</v>
      </c>
      <c r="N13" s="128">
        <v>3840</v>
      </c>
      <c r="O13" s="128">
        <v>3840</v>
      </c>
      <c r="P13" s="128">
        <v>3840</v>
      </c>
      <c r="Q13" s="128">
        <v>3840</v>
      </c>
      <c r="R13" s="129"/>
      <c r="S13" s="128">
        <f>INDEX(Direct_Cost_Splits_Network,MATCH($H13,RIN_Asset_Cat_Network,0),MATCH($S$4,Direct_Cost_Type,0))*J13*HLOOKUP(S$5,Escalators!$I$25:$U$30,3,FALSE)</f>
        <v>0</v>
      </c>
      <c r="T13" s="128">
        <f>INDEX(Direct_Cost_Splits_Network,MATCH($H13,RIN_Asset_Cat_Network,0),MATCH($S$4,Direct_Cost_Type,0))*K13*HLOOKUP(T$5,Escalators!$I$25:$U$30,3,FALSE)</f>
        <v>0</v>
      </c>
      <c r="U13" s="128">
        <f>INDEX(Direct_Cost_Splits_Network,MATCH($H13,RIN_Asset_Cat_Network,0),MATCH($S$4,Direct_Cost_Type,0))*L13*HLOOKUP(U$5,Escalators!$I$25:$U$30,3,FALSE)</f>
        <v>0</v>
      </c>
      <c r="V13" s="128">
        <f>INDEX(Direct_Cost_Splits_Network,MATCH($H13,RIN_Asset_Cat_Network,0),MATCH($S$4,Direct_Cost_Type,0))*M13*HLOOKUP(V$5,Escalators!$I$25:$U$30,3,FALSE)</f>
        <v>605.53144381867116</v>
      </c>
      <c r="W13" s="128">
        <f>INDEX(Direct_Cost_Splits_Network,MATCH($H13,RIN_Asset_Cat_Network,0),MATCH($S$4,Direct_Cost_Type,0))*N13*HLOOKUP(W$5,Escalators!$I$25:$U$30,3,FALSE)</f>
        <v>604.01898587191738</v>
      </c>
      <c r="X13" s="128">
        <f>INDEX(Direct_Cost_Splits_Network,MATCH($H13,RIN_Asset_Cat_Network,0),MATCH($S$4,Direct_Cost_Type,0))*O13*HLOOKUP(X$5,Escalators!$I$25:$U$30,3,FALSE)</f>
        <v>603.58028291825826</v>
      </c>
      <c r="Y13" s="128">
        <f>INDEX(Direct_Cost_Splits_Network,MATCH($H13,RIN_Asset_Cat_Network,0),MATCH($S$4,Direct_Cost_Type,0))*P13*HLOOKUP(Y$5,Escalators!$I$25:$U$30,3,FALSE)</f>
        <v>605.79708134570421</v>
      </c>
      <c r="Z13" s="128">
        <f>INDEX(Direct_Cost_Splits_Network,MATCH($H13,RIN_Asset_Cat_Network,0),MATCH($S$4,Direct_Cost_Type,0))*Q13*HLOOKUP(Z$5,Escalators!$I$25:$U$30,3,FALSE)</f>
        <v>611.8344148391559</v>
      </c>
      <c r="AA13" s="129"/>
      <c r="AB13" s="128">
        <f>INDEX(Direct_Cost_Splits_Network,MATCH($H13,RIN_Asset_Cat_Network,0),MATCH($AG$4,Direct_Cost_Type,0))*$J13*INDEX(Act_Type_Augex_Splits,MATCH($I13,Act_Type_Augex,0),MATCH(AB$4,Mat_Type,0))*INDEX(Escalators!$I$44:$U$49,MATCH(AB$4,Escalators!$C$44:$C$49,0),MATCH(AB$5,Escalators!$I$43:$U$43,0))</f>
        <v>0</v>
      </c>
      <c r="AC13" s="128">
        <f>INDEX(Direct_Cost_Splits_Network,MATCH($H13,RIN_Asset_Cat_Network,0),MATCH($AG$4,Direct_Cost_Type,0))*$J13*INDEX(Act_Type_Augex_Splits,MATCH($I13,Act_Type_Augex,0),MATCH(AC$4,Mat_Type,0))*INDEX(Escalators!$I$44:$U$49,MATCH(AC$4,Escalators!$C$44:$C$49,0),MATCH(AC$5,Escalators!$I$43:$U$43,0))</f>
        <v>0</v>
      </c>
      <c r="AD13" s="128">
        <f>INDEX(Direct_Cost_Splits_Network,MATCH($H13,RIN_Asset_Cat_Network,0),MATCH($AG$4,Direct_Cost_Type,0))*$J13*INDEX(Act_Type_Augex_Splits,MATCH($I13,Act_Type_Augex,0),MATCH(AD$4,Mat_Type,0))*INDEX(Escalators!$I$44:$U$49,MATCH(AD$4,Escalators!$C$44:$C$49,0),MATCH(AD$5,Escalators!$I$43:$U$43,0))</f>
        <v>0</v>
      </c>
      <c r="AE13" s="128">
        <f>INDEX(Direct_Cost_Splits_Network,MATCH($H13,RIN_Asset_Cat_Network,0),MATCH($AG$4,Direct_Cost_Type,0))*$J13*INDEX(Act_Type_Augex_Splits,MATCH($I13,Act_Type_Augex,0),MATCH(AE$4,Mat_Type,0))*INDEX(Escalators!$I$44:$U$49,MATCH(AE$4,Escalators!$C$44:$C$49,0),MATCH(AE$5,Escalators!$I$43:$U$43,0))</f>
        <v>0</v>
      </c>
      <c r="AF13" s="128">
        <f>INDEX(Direct_Cost_Splits_Network,MATCH($H13,RIN_Asset_Cat_Network,0),MATCH($AG$4,Direct_Cost_Type,0))*$J13*INDEX(Act_Type_Augex_Splits,MATCH($I13,Act_Type_Augex,0),MATCH(AF$4,Mat_Type,0))*INDEX(Escalators!$I$44:$U$49,MATCH(AF$4,Escalators!$C$44:$C$49,0),MATCH(AF$5,Escalators!$I$43:$U$43,0))</f>
        <v>0</v>
      </c>
      <c r="AG13" s="128">
        <f t="shared" si="10"/>
        <v>0</v>
      </c>
      <c r="AH13" s="128">
        <f>INDEX(Direct_Cost_Splits_Network,MATCH($H13,RIN_Asset_Cat_Network,0),MATCH($AY$4,Direct_Cost_Type,0))*$K13*INDEX(Act_Type_Augex_Splits,MATCH($I13,Act_Type_Augex,0),MATCH(AH$4,Mat_Type,0))*INDEX(Escalators!$I$44:$U$49,MATCH(AH$4,Escalators!$C$44:$C$49,0),MATCH(AH$5,Escalators!$I$43:$U$43,0))</f>
        <v>0</v>
      </c>
      <c r="AI13" s="128">
        <f>INDEX(Direct_Cost_Splits_Network,MATCH($H13,RIN_Asset_Cat_Network,0),MATCH($AY$4,Direct_Cost_Type,0))*$K13*INDEX(Act_Type_Augex_Splits,MATCH($I13,Act_Type_Augex,0),MATCH(AI$4,Mat_Type,0))*INDEX(Escalators!$I$44:$U$49,MATCH(AI$4,Escalators!$C$44:$C$49,0),MATCH(AI$5,Escalators!$I$43:$U$43,0))</f>
        <v>0</v>
      </c>
      <c r="AJ13" s="128">
        <f>INDEX(Direct_Cost_Splits_Network,MATCH($H13,RIN_Asset_Cat_Network,0),MATCH($AY$4,Direct_Cost_Type,0))*$K13*INDEX(Act_Type_Augex_Splits,MATCH($I13,Act_Type_Augex,0),MATCH(AJ$4,Mat_Type,0))*INDEX(Escalators!$I$44:$U$49,MATCH(AJ$4,Escalators!$C$44:$C$49,0),MATCH(AJ$5,Escalators!$I$43:$U$43,0))</f>
        <v>0</v>
      </c>
      <c r="AK13" s="128">
        <f>INDEX(Direct_Cost_Splits_Network,MATCH($H13,RIN_Asset_Cat_Network,0),MATCH($AY$4,Direct_Cost_Type,0))*$K13*INDEX(Act_Type_Augex_Splits,MATCH($I13,Act_Type_Augex,0),MATCH(AK$4,Mat_Type,0))*INDEX(Escalators!$I$44:$U$49,MATCH(AK$4,Escalators!$C$44:$C$49,0),MATCH(AK$5,Escalators!$I$43:$U$43,0))</f>
        <v>0</v>
      </c>
      <c r="AL13" s="128">
        <f>INDEX(Direct_Cost_Splits_Network,MATCH($H13,RIN_Asset_Cat_Network,0),MATCH($AY$4,Direct_Cost_Type,0))*$K13*INDEX(Act_Type_Augex_Splits,MATCH($I13,Act_Type_Augex,0),MATCH(AL$4,Mat_Type,0))*INDEX(Escalators!$I$44:$U$49,MATCH(AL$4,Escalators!$C$44:$C$49,0),MATCH(AL$5,Escalators!$I$43:$U$43,0))</f>
        <v>0</v>
      </c>
      <c r="AM13" s="128">
        <f t="shared" si="11"/>
        <v>0</v>
      </c>
      <c r="AN13" s="128">
        <f>INDEX(Direct_Cost_Splits_Network,MATCH($H13,RIN_Asset_Cat_Network,0),MATCH($AY$4,Direct_Cost_Type,0))*$L13*INDEX(Act_Type_Augex_Splits,MATCH($I13,Act_Type_Augex,0),MATCH(AN$4,Mat_Type,0))*INDEX(Escalators!$I$44:$U$49,MATCH(AN$4,Escalators!$C$44:$C$49,0),MATCH(AN$5,Escalators!$I$43:$U$43,0))</f>
        <v>0</v>
      </c>
      <c r="AO13" s="128">
        <f>INDEX(Direct_Cost_Splits_Network,MATCH($H13,RIN_Asset_Cat_Network,0),MATCH($AY$4,Direct_Cost_Type,0))*$L13*INDEX(Act_Type_Augex_Splits,MATCH($I13,Act_Type_Augex,0),MATCH(AO$4,Mat_Type,0))*INDEX(Escalators!$I$44:$U$49,MATCH(AO$4,Escalators!$C$44:$C$49,0),MATCH(AO$5,Escalators!$I$43:$U$43,0))</f>
        <v>0</v>
      </c>
      <c r="AP13" s="128">
        <f>INDEX(Direct_Cost_Splits_Network,MATCH($H13,RIN_Asset_Cat_Network,0),MATCH($AY$4,Direct_Cost_Type,0))*$L13*INDEX(Act_Type_Augex_Splits,MATCH($I13,Act_Type_Augex,0),MATCH(AP$4,Mat_Type,0))*INDEX(Escalators!$I$44:$U$49,MATCH(AP$4,Escalators!$C$44:$C$49,0),MATCH(AP$5,Escalators!$I$43:$U$43,0))</f>
        <v>0</v>
      </c>
      <c r="AQ13" s="128">
        <f>INDEX(Direct_Cost_Splits_Network,MATCH($H13,RIN_Asset_Cat_Network,0),MATCH($AY$4,Direct_Cost_Type,0))*$L13*INDEX(Act_Type_Augex_Splits,MATCH($I13,Act_Type_Augex,0),MATCH(AQ$4,Mat_Type,0))*INDEX(Escalators!$I$44:$U$49,MATCH(AQ$4,Escalators!$C$44:$C$49,0),MATCH(AQ$5,Escalators!$I$43:$U$43,0))</f>
        <v>0</v>
      </c>
      <c r="AR13" s="128">
        <f>INDEX(Direct_Cost_Splits_Network,MATCH($H13,RIN_Asset_Cat_Network,0),MATCH($AY$4,Direct_Cost_Type,0))*$L13*INDEX(Act_Type_Augex_Splits,MATCH($I13,Act_Type_Augex,0),MATCH(AR$4,Mat_Type,0))*INDEX(Escalators!$I$44:$U$49,MATCH(AR$4,Escalators!$C$44:$C$49,0),MATCH(AR$5,Escalators!$I$43:$U$43,0))</f>
        <v>0</v>
      </c>
      <c r="AS13" s="128">
        <f t="shared" ref="AS13:AS15" si="40">SUM(AN13:AR13)</f>
        <v>0</v>
      </c>
      <c r="AT13" s="128">
        <f>INDEX(Direct_Cost_Splits_Network,MATCH($H13,RIN_Asset_Cat_Network,0),MATCH($AY$4,Direct_Cost_Type,0))*$M13*INDEX(Act_Type_Augex_Splits,MATCH($I13,Act_Type_Augex,0),MATCH(AT$4,Mat_Type,0))*INDEX(Escalators!$I$44:$U$49,MATCH(AT$4,Escalators!$C$44:$C$49,0),MATCH(AT$5,Escalators!$I$43:$U$43,0))</f>
        <v>118.58653345995791</v>
      </c>
      <c r="AU13" s="128">
        <f>INDEX(Direct_Cost_Splits_Network,MATCH($H13,RIN_Asset_Cat_Network,0),MATCH($AY$4,Direct_Cost_Type,0))*$M13*INDEX(Act_Type_Augex_Splits,MATCH($I13,Act_Type_Augex,0),MATCH(AU$4,Mat_Type,0))*INDEX(Escalators!$I$44:$U$49,MATCH(AU$4,Escalators!$C$44:$C$49,0),MATCH(AU$5,Escalators!$I$43:$U$43,0))</f>
        <v>118.58653345995791</v>
      </c>
      <c r="AV13" s="128">
        <f>INDEX(Direct_Cost_Splits_Network,MATCH($H13,RIN_Asset_Cat_Network,0),MATCH($AY$4,Direct_Cost_Type,0))*$M13*INDEX(Act_Type_Augex_Splits,MATCH($I13,Act_Type_Augex,0),MATCH(AV$4,Mat_Type,0))*INDEX(Escalators!$I$44:$U$49,MATCH(AV$4,Escalators!$C$44:$C$49,0),MATCH(AV$5,Escalators!$I$43:$U$43,0))</f>
        <v>118.58653345995791</v>
      </c>
      <c r="AW13" s="128">
        <f>INDEX(Direct_Cost_Splits_Network,MATCH($H13,RIN_Asset_Cat_Network,0),MATCH($AY$4,Direct_Cost_Type,0))*$M13*INDEX(Act_Type_Augex_Splits,MATCH($I13,Act_Type_Augex,0),MATCH(AW$4,Mat_Type,0))*INDEX(Escalators!$I$44:$U$49,MATCH(AW$4,Escalators!$C$44:$C$49,0),MATCH(AW$5,Escalators!$I$43:$U$43,0))</f>
        <v>0</v>
      </c>
      <c r="AX13" s="128">
        <f>INDEX(Direct_Cost_Splits_Network,MATCH($H13,RIN_Asset_Cat_Network,0),MATCH($AY$4,Direct_Cost_Type,0))*$M13*INDEX(Act_Type_Augex_Splits,MATCH($I13,Act_Type_Augex,0),MATCH(AX$4,Mat_Type,0))*INDEX(Escalators!$I$44:$U$49,MATCH(AX$4,Escalators!$C$44:$C$49,0),MATCH(AX$5,Escalators!$I$43:$U$43,0))</f>
        <v>830.10573421970525</v>
      </c>
      <c r="AY13" s="128">
        <f t="shared" si="13"/>
        <v>1185.865334599579</v>
      </c>
      <c r="AZ13" s="128">
        <f>INDEX(Direct_Cost_Splits_Network,MATCH($H13,RIN_Asset_Cat_Network,0),MATCH($BE$4,Direct_Cost_Type,0))*$N13*INDEX(Act_Type_Augex_Splits,MATCH($I13,Act_Type_Augex,0),MATCH(AZ$4,Mat_Type,0))*INDEX(Escalators!$I$44:$U$49,MATCH(AZ$4,Escalators!$C$44:$C$49,0),MATCH(AZ$5,Escalators!$I$43:$U$43,0))</f>
        <v>118.58653345995791</v>
      </c>
      <c r="BA13" s="128">
        <f>INDEX(Direct_Cost_Splits_Network,MATCH($H13,RIN_Asset_Cat_Network,0),MATCH($BE$4,Direct_Cost_Type,0))*$N13*INDEX(Act_Type_Augex_Splits,MATCH($I13,Act_Type_Augex,0),MATCH(BA$4,Mat_Type,0))*INDEX(Escalators!$I$44:$U$49,MATCH(BA$4,Escalators!$C$44:$C$49,0),MATCH(BA$5,Escalators!$I$43:$U$43,0))</f>
        <v>118.58653345995791</v>
      </c>
      <c r="BB13" s="128">
        <f>INDEX(Direct_Cost_Splits_Network,MATCH($H13,RIN_Asset_Cat_Network,0),MATCH($BE$4,Direct_Cost_Type,0))*$N13*INDEX(Act_Type_Augex_Splits,MATCH($I13,Act_Type_Augex,0),MATCH(BB$4,Mat_Type,0))*INDEX(Escalators!$I$44:$U$49,MATCH(BB$4,Escalators!$C$44:$C$49,0),MATCH(BB$5,Escalators!$I$43:$U$43,0))</f>
        <v>118.58653345995791</v>
      </c>
      <c r="BC13" s="128">
        <f>INDEX(Direct_Cost_Splits_Network,MATCH($H13,RIN_Asset_Cat_Network,0),MATCH($BE$4,Direct_Cost_Type,0))*$N13*INDEX(Act_Type_Augex_Splits,MATCH($I13,Act_Type_Augex,0),MATCH(BC$4,Mat_Type,0))*INDEX(Escalators!$I$44:$U$49,MATCH(BC$4,Escalators!$C$44:$C$49,0),MATCH(BC$5,Escalators!$I$43:$U$43,0))</f>
        <v>0</v>
      </c>
      <c r="BD13" s="128">
        <f>INDEX(Direct_Cost_Splits_Network,MATCH($H13,RIN_Asset_Cat_Network,0),MATCH($BE$4,Direct_Cost_Type,0))*$N13*INDEX(Act_Type_Augex_Splits,MATCH($I13,Act_Type_Augex,0),MATCH(BD$4,Mat_Type,0))*INDEX(Escalators!$I$44:$U$49,MATCH(BD$4,Escalators!$C$44:$C$49,0),MATCH(BD$5,Escalators!$I$43:$U$43,0))</f>
        <v>830.10573421970525</v>
      </c>
      <c r="BE13" s="128">
        <f t="shared" si="14"/>
        <v>1185.865334599579</v>
      </c>
      <c r="BF13" s="128">
        <f>INDEX(Direct_Cost_Splits_Network,MATCH($H13,RIN_Asset_Cat_Network,0),MATCH($BK$4,Direct_Cost_Type,0))*$O13*INDEX(Act_Type_Augex_Splits,MATCH($I13,Act_Type_Augex,0),MATCH(BF$4,Mat_Type,0))*INDEX(Escalators!$I$44:$U$49,MATCH(BF$4,Escalators!$C$44:$C$49,0),MATCH(BF$5,Escalators!$I$43:$U$43,0))</f>
        <v>118.58653345995791</v>
      </c>
      <c r="BG13" s="128">
        <f>INDEX(Direct_Cost_Splits_Network,MATCH($H13,RIN_Asset_Cat_Network,0),MATCH($BK$4,Direct_Cost_Type,0))*$O13*INDEX(Act_Type_Augex_Splits,MATCH($I13,Act_Type_Augex,0),MATCH(BG$4,Mat_Type,0))*INDEX(Escalators!$I$44:$U$49,MATCH(BG$4,Escalators!$C$44:$C$49,0),MATCH(BG$5,Escalators!$I$43:$U$43,0))</f>
        <v>118.58653345995791</v>
      </c>
      <c r="BH13" s="128">
        <f>INDEX(Direct_Cost_Splits_Network,MATCH($H13,RIN_Asset_Cat_Network,0),MATCH($BK$4,Direct_Cost_Type,0))*$O13*INDEX(Act_Type_Augex_Splits,MATCH($I13,Act_Type_Augex,0),MATCH(BH$4,Mat_Type,0))*INDEX(Escalators!$I$44:$U$49,MATCH(BH$4,Escalators!$C$44:$C$49,0),MATCH(BH$5,Escalators!$I$43:$U$43,0))</f>
        <v>118.58653345995791</v>
      </c>
      <c r="BI13" s="128">
        <f>INDEX(Direct_Cost_Splits_Network,MATCH($H13,RIN_Asset_Cat_Network,0),MATCH($BK$4,Direct_Cost_Type,0))*$O13*INDEX(Act_Type_Augex_Splits,MATCH($I13,Act_Type_Augex,0),MATCH(BI$4,Mat_Type,0))*INDEX(Escalators!$I$44:$U$49,MATCH(BI$4,Escalators!$C$44:$C$49,0),MATCH(BI$5,Escalators!$I$43:$U$43,0))</f>
        <v>0</v>
      </c>
      <c r="BJ13" s="128">
        <f>INDEX(Direct_Cost_Splits_Network,MATCH($H13,RIN_Asset_Cat_Network,0),MATCH($BK$4,Direct_Cost_Type,0))*$O13*INDEX(Act_Type_Augex_Splits,MATCH($I13,Act_Type_Augex,0),MATCH(BJ$4,Mat_Type,0))*INDEX(Escalators!$I$44:$U$49,MATCH(BJ$4,Escalators!$C$44:$C$49,0),MATCH(BJ$5,Escalators!$I$43:$U$43,0))</f>
        <v>830.10573421970525</v>
      </c>
      <c r="BK13" s="128">
        <f t="shared" si="15"/>
        <v>1185.865334599579</v>
      </c>
      <c r="BL13" s="128">
        <f>INDEX(Direct_Cost_Splits_Network,MATCH($H13,RIN_Asset_Cat_Network,0),MATCH($BQ$4,Direct_Cost_Type,0))*$P13*INDEX(Act_Type_Augex_Splits,MATCH($I13,Act_Type_Augex,0),MATCH(BL$4,Mat_Type,0))*INDEX(Escalators!$I$44:$U$49,MATCH(BL$4,Escalators!$C$44:$C$49,0),MATCH(BL$5,Escalators!$I$43:$U$43,0))</f>
        <v>118.58653345995791</v>
      </c>
      <c r="BM13" s="128">
        <f>INDEX(Direct_Cost_Splits_Network,MATCH($H13,RIN_Asset_Cat_Network,0),MATCH($BQ$4,Direct_Cost_Type,0))*$P13*INDEX(Act_Type_Augex_Splits,MATCH($I13,Act_Type_Augex,0),MATCH(BM$4,Mat_Type,0))*INDEX(Escalators!$I$44:$U$49,MATCH(BM$4,Escalators!$C$44:$C$49,0),MATCH(BM$5,Escalators!$I$43:$U$43,0))</f>
        <v>118.58653345995791</v>
      </c>
      <c r="BN13" s="128">
        <f>INDEX(Direct_Cost_Splits_Network,MATCH($H13,RIN_Asset_Cat_Network,0),MATCH($BQ$4,Direct_Cost_Type,0))*$P13*INDEX(Act_Type_Augex_Splits,MATCH($I13,Act_Type_Augex,0),MATCH(BN$4,Mat_Type,0))*INDEX(Escalators!$I$44:$U$49,MATCH(BN$4,Escalators!$C$44:$C$49,0),MATCH(BN$5,Escalators!$I$43:$U$43,0))</f>
        <v>118.58653345995791</v>
      </c>
      <c r="BO13" s="128">
        <f>INDEX(Direct_Cost_Splits_Network,MATCH($H13,RIN_Asset_Cat_Network,0),MATCH($BQ$4,Direct_Cost_Type,0))*$P13*INDEX(Act_Type_Augex_Splits,MATCH($I13,Act_Type_Augex,0),MATCH(BO$4,Mat_Type,0))*INDEX(Escalators!$I$44:$U$49,MATCH(BO$4,Escalators!$C$44:$C$49,0),MATCH(BO$5,Escalators!$I$43:$U$43,0))</f>
        <v>0</v>
      </c>
      <c r="BP13" s="128">
        <f>INDEX(Direct_Cost_Splits_Network,MATCH($H13,RIN_Asset_Cat_Network,0),MATCH($BQ$4,Direct_Cost_Type,0))*$P13*INDEX(Act_Type_Augex_Splits,MATCH($I13,Act_Type_Augex,0),MATCH(BP$4,Mat_Type,0))*INDEX(Escalators!$I$44:$U$49,MATCH(BP$4,Escalators!$C$44:$C$49,0),MATCH(BP$5,Escalators!$I$43:$U$43,0))</f>
        <v>830.10573421970525</v>
      </c>
      <c r="BQ13" s="128">
        <f t="shared" si="16"/>
        <v>1185.865334599579</v>
      </c>
      <c r="BR13" s="128">
        <f>INDEX(Direct_Cost_Splits_Network,MATCH($H13,RIN_Asset_Cat_Network,0),MATCH($BW$4,Direct_Cost_Type,0))*$Q13*INDEX(Act_Type_Augex_Splits,MATCH($I13,Act_Type_Augex,0),MATCH(BR$4,Mat_Type,0))*INDEX(Escalators!$I$44:$U$49,MATCH(BR$4,Escalators!$C$44:$C$49,0),MATCH(BR$5,Escalators!$I$43:$U$43,0))</f>
        <v>118.58653345995791</v>
      </c>
      <c r="BS13" s="128">
        <f>INDEX(Direct_Cost_Splits_Network,MATCH($H13,RIN_Asset_Cat_Network,0),MATCH($BW$4,Direct_Cost_Type,0))*$Q13*INDEX(Act_Type_Augex_Splits,MATCH($I13,Act_Type_Augex,0),MATCH(BS$4,Mat_Type,0))*INDEX(Escalators!$I$44:$U$49,MATCH(BS$4,Escalators!$C$44:$C$49,0),MATCH(BS$5,Escalators!$I$43:$U$43,0))</f>
        <v>118.58653345995791</v>
      </c>
      <c r="BT13" s="128">
        <f>INDEX(Direct_Cost_Splits_Network,MATCH($H13,RIN_Asset_Cat_Network,0),MATCH($BW$4,Direct_Cost_Type,0))*$Q13*INDEX(Act_Type_Augex_Splits,MATCH($I13,Act_Type_Augex,0),MATCH(BT$4,Mat_Type,0))*INDEX(Escalators!$I$44:$U$49,MATCH(BT$4,Escalators!$C$44:$C$49,0),MATCH(BT$5,Escalators!$I$43:$U$43,0))</f>
        <v>118.58653345995791</v>
      </c>
      <c r="BU13" s="128">
        <f>INDEX(Direct_Cost_Splits_Network,MATCH($H13,RIN_Asset_Cat_Network,0),MATCH($BW$4,Direct_Cost_Type,0))*$Q13*INDEX(Act_Type_Augex_Splits,MATCH($I13,Act_Type_Augex,0),MATCH(BU$4,Mat_Type,0))*INDEX(Escalators!$I$44:$U$49,MATCH(BU$4,Escalators!$C$44:$C$49,0),MATCH(BU$5,Escalators!$I$43:$U$43,0))</f>
        <v>0</v>
      </c>
      <c r="BV13" s="128">
        <f>INDEX(Direct_Cost_Splits_Network,MATCH($H13,RIN_Asset_Cat_Network,0),MATCH($BW$4,Direct_Cost_Type,0))*$Q13*INDEX(Act_Type_Augex_Splits,MATCH($I13,Act_Type_Augex,0),MATCH(BV$4,Mat_Type,0))*INDEX(Escalators!$I$44:$U$49,MATCH(BV$4,Escalators!$C$44:$C$49,0),MATCH(BV$5,Escalators!$I$43:$U$43,0))</f>
        <v>830.10573421970525</v>
      </c>
      <c r="BW13" s="128">
        <f t="shared" si="17"/>
        <v>1185.865334599579</v>
      </c>
      <c r="BX13" s="129"/>
      <c r="BY13" s="128">
        <f>INDEX(Direct_Cost_Splits_Network,MATCH($H13,RIN_Asset_Cat_Network,0),MATCH($BY$4,Direct_Cost_Type,0))*J13*HLOOKUP(BY$5,Escalators!$I$25:$U$30,6,FALSE)</f>
        <v>0</v>
      </c>
      <c r="BZ13" s="128">
        <f>INDEX(Direct_Cost_Splits_Network,MATCH($H13,RIN_Asset_Cat_Network,0),MATCH($BY$4,Direct_Cost_Type,0))*K13*HLOOKUP(BZ$5,Escalators!$I$25:$U$30,6,FALSE)</f>
        <v>0</v>
      </c>
      <c r="CA13" s="128">
        <f>INDEX(Direct_Cost_Splits_Network,MATCH($H13,RIN_Asset_Cat_Network,0),MATCH($BY$4,Direct_Cost_Type,0))*L13*HLOOKUP(CA$5,Escalators!$I$25:$U$30,6,FALSE)</f>
        <v>0</v>
      </c>
      <c r="CB13" s="128">
        <f>INDEX(Direct_Cost_Splits_Network,MATCH($H13,RIN_Asset_Cat_Network,0),MATCH($BY$4,Direct_Cost_Type,0))*M13*HLOOKUP(CB$5,Escalators!$I$25:$U$30,6,FALSE)</f>
        <v>1615.5063483044164</v>
      </c>
      <c r="CC13" s="128">
        <f>INDEX(Direct_Cost_Splits_Network,MATCH($H13,RIN_Asset_Cat_Network,0),MATCH($BY$4,Direct_Cost_Type,0))*N13*HLOOKUP(CC$5,Escalators!$I$25:$U$30,6,FALSE)</f>
        <v>1615.5063483044164</v>
      </c>
      <c r="CD13" s="128">
        <f>INDEX(Direct_Cost_Splits_Network,MATCH($H13,RIN_Asset_Cat_Network,0),MATCH($BY$4,Direct_Cost_Type,0))*O13*HLOOKUP(CD$5,Escalators!$I$25:$U$30,6,FALSE)</f>
        <v>1615.5063483044164</v>
      </c>
      <c r="CE13" s="128">
        <f>INDEX(Direct_Cost_Splits_Network,MATCH($H13,RIN_Asset_Cat_Network,0),MATCH($BY$4,Direct_Cost_Type,0))*P13*HLOOKUP(CE$5,Escalators!$I$25:$U$30,6,FALSE)</f>
        <v>1615.5063483044164</v>
      </c>
      <c r="CF13" s="128">
        <f>INDEX(Direct_Cost_Splits_Network,MATCH($H13,RIN_Asset_Cat_Network,0),MATCH($BY$4,Direct_Cost_Type,0))*Q13*HLOOKUP(CF$5,Escalators!$I$25:$U$30,6,FALSE)</f>
        <v>1615.5063483044164</v>
      </c>
      <c r="CG13" s="129"/>
      <c r="CH13" s="763">
        <f t="shared" ref="CH13:CO13" si="41">INDEX(Direct_Cost_Splits_Network,MATCH($H13,RIN_Asset_Cat_Network,0),MATCH($CH$4,Direct_Cost_Type,0))*J13</f>
        <v>0</v>
      </c>
      <c r="CI13" s="763">
        <f t="shared" si="41"/>
        <v>0</v>
      </c>
      <c r="CJ13" s="763">
        <f t="shared" si="41"/>
        <v>0</v>
      </c>
      <c r="CK13" s="763">
        <f t="shared" si="41"/>
        <v>443.83795094622781</v>
      </c>
      <c r="CL13" s="763">
        <f t="shared" si="41"/>
        <v>443.83795094622781</v>
      </c>
      <c r="CM13" s="763">
        <f t="shared" si="41"/>
        <v>443.83795094622781</v>
      </c>
      <c r="CN13" s="763">
        <f t="shared" si="41"/>
        <v>443.83795094622781</v>
      </c>
      <c r="CO13" s="763">
        <f t="shared" si="41"/>
        <v>443.83795094622781</v>
      </c>
      <c r="CP13" s="129"/>
      <c r="CQ13" s="128">
        <f t="shared" si="18"/>
        <v>0</v>
      </c>
      <c r="CR13" s="128">
        <f t="shared" si="9"/>
        <v>0</v>
      </c>
      <c r="CS13" s="128">
        <f t="shared" si="19"/>
        <v>0</v>
      </c>
      <c r="CT13" s="128">
        <f t="shared" si="20"/>
        <v>3850.7410776688944</v>
      </c>
      <c r="CU13" s="128">
        <f t="shared" si="21"/>
        <v>3849.2286197221406</v>
      </c>
      <c r="CV13" s="128">
        <f t="shared" si="22"/>
        <v>3848.7899167684814</v>
      </c>
      <c r="CW13" s="128">
        <f t="shared" si="23"/>
        <v>3851.0067151959274</v>
      </c>
      <c r="CX13" s="128">
        <f t="shared" si="24"/>
        <v>3857.044048689379</v>
      </c>
      <c r="CZ13" s="39"/>
      <c r="DB13" s="39"/>
      <c r="DC13" s="39"/>
      <c r="DD13" s="39"/>
      <c r="DE13" s="39"/>
    </row>
    <row r="14" spans="1:109" x14ac:dyDescent="0.25">
      <c r="B14" s="75" t="s">
        <v>429</v>
      </c>
      <c r="C14" s="75" t="s">
        <v>582</v>
      </c>
      <c r="D14" s="75" t="s">
        <v>429</v>
      </c>
      <c r="E14" s="75" t="s">
        <v>45</v>
      </c>
      <c r="F14" s="75" t="s">
        <v>51</v>
      </c>
      <c r="G14" s="75" t="s">
        <v>10</v>
      </c>
      <c r="H14" s="75" t="s">
        <v>164</v>
      </c>
      <c r="I14" s="75" t="s">
        <v>5</v>
      </c>
      <c r="J14" s="128"/>
      <c r="K14" s="128"/>
      <c r="L14" s="128"/>
      <c r="M14" s="128">
        <v>3780</v>
      </c>
      <c r="N14" s="128">
        <v>3780</v>
      </c>
      <c r="O14" s="128">
        <v>3780</v>
      </c>
      <c r="P14" s="128">
        <v>3780</v>
      </c>
      <c r="Q14" s="128">
        <v>3780</v>
      </c>
      <c r="R14" s="129"/>
      <c r="S14" s="128">
        <f>INDEX(Direct_Cost_Splits_Network,MATCH($H14,RIN_Asset_Cat_Network,0),MATCH($S$4,Direct_Cost_Type,0))*J14*HLOOKUP(S$5,Escalators!$I$25:$U$30,3,FALSE)</f>
        <v>0</v>
      </c>
      <c r="T14" s="128">
        <f>INDEX(Direct_Cost_Splits_Network,MATCH($H14,RIN_Asset_Cat_Network,0),MATCH($S$4,Direct_Cost_Type,0))*K14*HLOOKUP(T$5,Escalators!$I$25:$U$30,3,FALSE)</f>
        <v>0</v>
      </c>
      <c r="U14" s="128">
        <f>INDEX(Direct_Cost_Splits_Network,MATCH($H14,RIN_Asset_Cat_Network,0),MATCH($S$4,Direct_Cost_Type,0))*L14*HLOOKUP(U$5,Escalators!$I$25:$U$30,3,FALSE)</f>
        <v>0</v>
      </c>
      <c r="V14" s="128">
        <f>INDEX(Direct_Cost_Splits_Network,MATCH($H14,RIN_Asset_Cat_Network,0),MATCH($S$4,Direct_Cost_Type,0))*M14*HLOOKUP(V$5,Escalators!$I$25:$U$30,3,FALSE)</f>
        <v>596.07001500900446</v>
      </c>
      <c r="W14" s="128">
        <f>INDEX(Direct_Cost_Splits_Network,MATCH($H14,RIN_Asset_Cat_Network,0),MATCH($S$4,Direct_Cost_Type,0))*N14*HLOOKUP(W$5,Escalators!$I$25:$U$30,3,FALSE)</f>
        <v>594.58118921766868</v>
      </c>
      <c r="X14" s="128">
        <f>INDEX(Direct_Cost_Splits_Network,MATCH($H14,RIN_Asset_Cat_Network,0),MATCH($S$4,Direct_Cost_Type,0))*O14*HLOOKUP(X$5,Escalators!$I$25:$U$30,3,FALSE)</f>
        <v>594.14934099766049</v>
      </c>
      <c r="Y14" s="128">
        <f>INDEX(Direct_Cost_Splits_Network,MATCH($H14,RIN_Asset_Cat_Network,0),MATCH($S$4,Direct_Cost_Type,0))*P14*HLOOKUP(Y$5,Escalators!$I$25:$U$30,3,FALSE)</f>
        <v>596.33150194967766</v>
      </c>
      <c r="Z14" s="128">
        <f>INDEX(Direct_Cost_Splits_Network,MATCH($H14,RIN_Asset_Cat_Network,0),MATCH($S$4,Direct_Cost_Type,0))*Q14*HLOOKUP(Z$5,Escalators!$I$25:$U$30,3,FALSE)</f>
        <v>602.2745021072941</v>
      </c>
      <c r="AA14" s="129"/>
      <c r="AB14" s="128">
        <f>INDEX(Direct_Cost_Splits_Network,MATCH($H14,RIN_Asset_Cat_Network,0),MATCH($AG$4,Direct_Cost_Type,0))*$J14*INDEX(Act_Type_Augex_Splits,MATCH($I14,Act_Type_Augex,0),MATCH(AB$4,Mat_Type,0))*INDEX(Escalators!$I$44:$U$49,MATCH(AB$4,Escalators!$C$44:$C$49,0),MATCH(AB$5,Escalators!$I$43:$U$43,0))</f>
        <v>0</v>
      </c>
      <c r="AC14" s="128">
        <f>INDEX(Direct_Cost_Splits_Network,MATCH($H14,RIN_Asset_Cat_Network,0),MATCH($AG$4,Direct_Cost_Type,0))*$J14*INDEX(Act_Type_Augex_Splits,MATCH($I14,Act_Type_Augex,0),MATCH(AC$4,Mat_Type,0))*INDEX(Escalators!$I$44:$U$49,MATCH(AC$4,Escalators!$C$44:$C$49,0),MATCH(AC$5,Escalators!$I$43:$U$43,0))</f>
        <v>0</v>
      </c>
      <c r="AD14" s="128">
        <f>INDEX(Direct_Cost_Splits_Network,MATCH($H14,RIN_Asset_Cat_Network,0),MATCH($AG$4,Direct_Cost_Type,0))*$J14*INDEX(Act_Type_Augex_Splits,MATCH($I14,Act_Type_Augex,0),MATCH(AD$4,Mat_Type,0))*INDEX(Escalators!$I$44:$U$49,MATCH(AD$4,Escalators!$C$44:$C$49,0),MATCH(AD$5,Escalators!$I$43:$U$43,0))</f>
        <v>0</v>
      </c>
      <c r="AE14" s="128">
        <f>INDEX(Direct_Cost_Splits_Network,MATCH($H14,RIN_Asset_Cat_Network,0),MATCH($AG$4,Direct_Cost_Type,0))*$J14*INDEX(Act_Type_Augex_Splits,MATCH($I14,Act_Type_Augex,0),MATCH(AE$4,Mat_Type,0))*INDEX(Escalators!$I$44:$U$49,MATCH(AE$4,Escalators!$C$44:$C$49,0),MATCH(AE$5,Escalators!$I$43:$U$43,0))</f>
        <v>0</v>
      </c>
      <c r="AF14" s="128">
        <f>INDEX(Direct_Cost_Splits_Network,MATCH($H14,RIN_Asset_Cat_Network,0),MATCH($AG$4,Direct_Cost_Type,0))*$J14*INDEX(Act_Type_Augex_Splits,MATCH($I14,Act_Type_Augex,0),MATCH(AF$4,Mat_Type,0))*INDEX(Escalators!$I$44:$U$49,MATCH(AF$4,Escalators!$C$44:$C$49,0),MATCH(AF$5,Escalators!$I$43:$U$43,0))</f>
        <v>0</v>
      </c>
      <c r="AG14" s="128">
        <f t="shared" ref="AG14" si="42">SUM(AB14:AF14)</f>
        <v>0</v>
      </c>
      <c r="AH14" s="128">
        <f>INDEX(Direct_Cost_Splits_Network,MATCH($H14,RIN_Asset_Cat_Network,0),MATCH($AY$4,Direct_Cost_Type,0))*$K14*INDEX(Act_Type_Augex_Splits,MATCH($I14,Act_Type_Augex,0),MATCH(AH$4,Mat_Type,0))*INDEX(Escalators!$I$44:$U$49,MATCH(AH$4,Escalators!$C$44:$C$49,0),MATCH(AH$5,Escalators!$I$43:$U$43,0))</f>
        <v>0</v>
      </c>
      <c r="AI14" s="128">
        <f>INDEX(Direct_Cost_Splits_Network,MATCH($H14,RIN_Asset_Cat_Network,0),MATCH($AY$4,Direct_Cost_Type,0))*$K14*INDEX(Act_Type_Augex_Splits,MATCH($I14,Act_Type_Augex,0),MATCH(AI$4,Mat_Type,0))*INDEX(Escalators!$I$44:$U$49,MATCH(AI$4,Escalators!$C$44:$C$49,0),MATCH(AI$5,Escalators!$I$43:$U$43,0))</f>
        <v>0</v>
      </c>
      <c r="AJ14" s="128">
        <f>INDEX(Direct_Cost_Splits_Network,MATCH($H14,RIN_Asset_Cat_Network,0),MATCH($AY$4,Direct_Cost_Type,0))*$K14*INDEX(Act_Type_Augex_Splits,MATCH($I14,Act_Type_Augex,0),MATCH(AJ$4,Mat_Type,0))*INDEX(Escalators!$I$44:$U$49,MATCH(AJ$4,Escalators!$C$44:$C$49,0),MATCH(AJ$5,Escalators!$I$43:$U$43,0))</f>
        <v>0</v>
      </c>
      <c r="AK14" s="128">
        <f>INDEX(Direct_Cost_Splits_Network,MATCH($H14,RIN_Asset_Cat_Network,0),MATCH($AY$4,Direct_Cost_Type,0))*$K14*INDEX(Act_Type_Augex_Splits,MATCH($I14,Act_Type_Augex,0),MATCH(AK$4,Mat_Type,0))*INDEX(Escalators!$I$44:$U$49,MATCH(AK$4,Escalators!$C$44:$C$49,0),MATCH(AK$5,Escalators!$I$43:$U$43,0))</f>
        <v>0</v>
      </c>
      <c r="AL14" s="128">
        <f>INDEX(Direct_Cost_Splits_Network,MATCH($H14,RIN_Asset_Cat_Network,0),MATCH($AY$4,Direct_Cost_Type,0))*$K14*INDEX(Act_Type_Augex_Splits,MATCH($I14,Act_Type_Augex,0),MATCH(AL$4,Mat_Type,0))*INDEX(Escalators!$I$44:$U$49,MATCH(AL$4,Escalators!$C$44:$C$49,0),MATCH(AL$5,Escalators!$I$43:$U$43,0))</f>
        <v>0</v>
      </c>
      <c r="AM14" s="128">
        <f t="shared" ref="AM14" si="43">SUM(AH14:AL14)</f>
        <v>0</v>
      </c>
      <c r="AN14" s="128">
        <f>INDEX(Direct_Cost_Splits_Network,MATCH($H14,RIN_Asset_Cat_Network,0),MATCH($AY$4,Direct_Cost_Type,0))*$L14*INDEX(Act_Type_Augex_Splits,MATCH($I14,Act_Type_Augex,0),MATCH(AN$4,Mat_Type,0))*INDEX(Escalators!$I$44:$U$49,MATCH(AN$4,Escalators!$C$44:$C$49,0),MATCH(AN$5,Escalators!$I$43:$U$43,0))</f>
        <v>0</v>
      </c>
      <c r="AO14" s="128">
        <f>INDEX(Direct_Cost_Splits_Network,MATCH($H14,RIN_Asset_Cat_Network,0),MATCH($AY$4,Direct_Cost_Type,0))*$L14*INDEX(Act_Type_Augex_Splits,MATCH($I14,Act_Type_Augex,0),MATCH(AO$4,Mat_Type,0))*INDEX(Escalators!$I$44:$U$49,MATCH(AO$4,Escalators!$C$44:$C$49,0),MATCH(AO$5,Escalators!$I$43:$U$43,0))</f>
        <v>0</v>
      </c>
      <c r="AP14" s="128">
        <f>INDEX(Direct_Cost_Splits_Network,MATCH($H14,RIN_Asset_Cat_Network,0),MATCH($AY$4,Direct_Cost_Type,0))*$L14*INDEX(Act_Type_Augex_Splits,MATCH($I14,Act_Type_Augex,0),MATCH(AP$4,Mat_Type,0))*INDEX(Escalators!$I$44:$U$49,MATCH(AP$4,Escalators!$C$44:$C$49,0),MATCH(AP$5,Escalators!$I$43:$U$43,0))</f>
        <v>0</v>
      </c>
      <c r="AQ14" s="128">
        <f>INDEX(Direct_Cost_Splits_Network,MATCH($H14,RIN_Asset_Cat_Network,0),MATCH($AY$4,Direct_Cost_Type,0))*$L14*INDEX(Act_Type_Augex_Splits,MATCH($I14,Act_Type_Augex,0),MATCH(AQ$4,Mat_Type,0))*INDEX(Escalators!$I$44:$U$49,MATCH(AQ$4,Escalators!$C$44:$C$49,0),MATCH(AQ$5,Escalators!$I$43:$U$43,0))</f>
        <v>0</v>
      </c>
      <c r="AR14" s="128">
        <f>INDEX(Direct_Cost_Splits_Network,MATCH($H14,RIN_Asset_Cat_Network,0),MATCH($AY$4,Direct_Cost_Type,0))*$L14*INDEX(Act_Type_Augex_Splits,MATCH($I14,Act_Type_Augex,0),MATCH(AR$4,Mat_Type,0))*INDEX(Escalators!$I$44:$U$49,MATCH(AR$4,Escalators!$C$44:$C$49,0),MATCH(AR$5,Escalators!$I$43:$U$43,0))</f>
        <v>0</v>
      </c>
      <c r="AS14" s="128">
        <f t="shared" si="40"/>
        <v>0</v>
      </c>
      <c r="AT14" s="128">
        <f>INDEX(Direct_Cost_Splits_Network,MATCH($H14,RIN_Asset_Cat_Network,0),MATCH($AY$4,Direct_Cost_Type,0))*$M14*INDEX(Act_Type_Augex_Splits,MATCH($I14,Act_Type_Augex,0),MATCH(AT$4,Mat_Type,0))*INDEX(Escalators!$I$44:$U$49,MATCH(AT$4,Escalators!$C$44:$C$49,0),MATCH(AT$5,Escalators!$I$43:$U$43,0))</f>
        <v>116.73361887464606</v>
      </c>
      <c r="AU14" s="128">
        <f>INDEX(Direct_Cost_Splits_Network,MATCH($H14,RIN_Asset_Cat_Network,0),MATCH($AY$4,Direct_Cost_Type,0))*$M14*INDEX(Act_Type_Augex_Splits,MATCH($I14,Act_Type_Augex,0),MATCH(AU$4,Mat_Type,0))*INDEX(Escalators!$I$44:$U$49,MATCH(AU$4,Escalators!$C$44:$C$49,0),MATCH(AU$5,Escalators!$I$43:$U$43,0))</f>
        <v>116.73361887464606</v>
      </c>
      <c r="AV14" s="128">
        <f>INDEX(Direct_Cost_Splits_Network,MATCH($H14,RIN_Asset_Cat_Network,0),MATCH($AY$4,Direct_Cost_Type,0))*$M14*INDEX(Act_Type_Augex_Splits,MATCH($I14,Act_Type_Augex,0),MATCH(AV$4,Mat_Type,0))*INDEX(Escalators!$I$44:$U$49,MATCH(AV$4,Escalators!$C$44:$C$49,0),MATCH(AV$5,Escalators!$I$43:$U$43,0))</f>
        <v>116.73361887464606</v>
      </c>
      <c r="AW14" s="128">
        <f>INDEX(Direct_Cost_Splits_Network,MATCH($H14,RIN_Asset_Cat_Network,0),MATCH($AY$4,Direct_Cost_Type,0))*$M14*INDEX(Act_Type_Augex_Splits,MATCH($I14,Act_Type_Augex,0),MATCH(AW$4,Mat_Type,0))*INDEX(Escalators!$I$44:$U$49,MATCH(AW$4,Escalators!$C$44:$C$49,0),MATCH(AW$5,Escalators!$I$43:$U$43,0))</f>
        <v>0</v>
      </c>
      <c r="AX14" s="128">
        <f>INDEX(Direct_Cost_Splits_Network,MATCH($H14,RIN_Asset_Cat_Network,0),MATCH($AY$4,Direct_Cost_Type,0))*$M14*INDEX(Act_Type_Augex_Splits,MATCH($I14,Act_Type_Augex,0),MATCH(AX$4,Mat_Type,0))*INDEX(Escalators!$I$44:$U$49,MATCH(AX$4,Escalators!$C$44:$C$49,0),MATCH(AX$5,Escalators!$I$43:$U$43,0))</f>
        <v>817.1353321225223</v>
      </c>
      <c r="AY14" s="128">
        <f t="shared" ref="AY14" si="44">SUM(AT14:AX14)</f>
        <v>1167.3361887464605</v>
      </c>
      <c r="AZ14" s="128">
        <f>INDEX(Direct_Cost_Splits_Network,MATCH($H14,RIN_Asset_Cat_Network,0),MATCH($BE$4,Direct_Cost_Type,0))*$N14*INDEX(Act_Type_Augex_Splits,MATCH($I14,Act_Type_Augex,0),MATCH(AZ$4,Mat_Type,0))*INDEX(Escalators!$I$44:$U$49,MATCH(AZ$4,Escalators!$C$44:$C$49,0),MATCH(AZ$5,Escalators!$I$43:$U$43,0))</f>
        <v>116.73361887464606</v>
      </c>
      <c r="BA14" s="128">
        <f>INDEX(Direct_Cost_Splits_Network,MATCH($H14,RIN_Asset_Cat_Network,0),MATCH($BE$4,Direct_Cost_Type,0))*$N14*INDEX(Act_Type_Augex_Splits,MATCH($I14,Act_Type_Augex,0),MATCH(BA$4,Mat_Type,0))*INDEX(Escalators!$I$44:$U$49,MATCH(BA$4,Escalators!$C$44:$C$49,0),MATCH(BA$5,Escalators!$I$43:$U$43,0))</f>
        <v>116.73361887464606</v>
      </c>
      <c r="BB14" s="128">
        <f>INDEX(Direct_Cost_Splits_Network,MATCH($H14,RIN_Asset_Cat_Network,0),MATCH($BE$4,Direct_Cost_Type,0))*$N14*INDEX(Act_Type_Augex_Splits,MATCH($I14,Act_Type_Augex,0),MATCH(BB$4,Mat_Type,0))*INDEX(Escalators!$I$44:$U$49,MATCH(BB$4,Escalators!$C$44:$C$49,0),MATCH(BB$5,Escalators!$I$43:$U$43,0))</f>
        <v>116.73361887464606</v>
      </c>
      <c r="BC14" s="128">
        <f>INDEX(Direct_Cost_Splits_Network,MATCH($H14,RIN_Asset_Cat_Network,0),MATCH($BE$4,Direct_Cost_Type,0))*$N14*INDEX(Act_Type_Augex_Splits,MATCH($I14,Act_Type_Augex,0),MATCH(BC$4,Mat_Type,0))*INDEX(Escalators!$I$44:$U$49,MATCH(BC$4,Escalators!$C$44:$C$49,0),MATCH(BC$5,Escalators!$I$43:$U$43,0))</f>
        <v>0</v>
      </c>
      <c r="BD14" s="128">
        <f>INDEX(Direct_Cost_Splits_Network,MATCH($H14,RIN_Asset_Cat_Network,0),MATCH($BE$4,Direct_Cost_Type,0))*$N14*INDEX(Act_Type_Augex_Splits,MATCH($I14,Act_Type_Augex,0),MATCH(BD$4,Mat_Type,0))*INDEX(Escalators!$I$44:$U$49,MATCH(BD$4,Escalators!$C$44:$C$49,0),MATCH(BD$5,Escalators!$I$43:$U$43,0))</f>
        <v>817.1353321225223</v>
      </c>
      <c r="BE14" s="128">
        <f t="shared" ref="BE14" si="45">SUM(AZ14:BD14)</f>
        <v>1167.3361887464605</v>
      </c>
      <c r="BF14" s="128">
        <f>INDEX(Direct_Cost_Splits_Network,MATCH($H14,RIN_Asset_Cat_Network,0),MATCH($BK$4,Direct_Cost_Type,0))*$O14*INDEX(Act_Type_Augex_Splits,MATCH($I14,Act_Type_Augex,0),MATCH(BF$4,Mat_Type,0))*INDEX(Escalators!$I$44:$U$49,MATCH(BF$4,Escalators!$C$44:$C$49,0),MATCH(BF$5,Escalators!$I$43:$U$43,0))</f>
        <v>116.73361887464606</v>
      </c>
      <c r="BG14" s="128">
        <f>INDEX(Direct_Cost_Splits_Network,MATCH($H14,RIN_Asset_Cat_Network,0),MATCH($BK$4,Direct_Cost_Type,0))*$O14*INDEX(Act_Type_Augex_Splits,MATCH($I14,Act_Type_Augex,0),MATCH(BG$4,Mat_Type,0))*INDEX(Escalators!$I$44:$U$49,MATCH(BG$4,Escalators!$C$44:$C$49,0),MATCH(BG$5,Escalators!$I$43:$U$43,0))</f>
        <v>116.73361887464606</v>
      </c>
      <c r="BH14" s="128">
        <f>INDEX(Direct_Cost_Splits_Network,MATCH($H14,RIN_Asset_Cat_Network,0),MATCH($BK$4,Direct_Cost_Type,0))*$O14*INDEX(Act_Type_Augex_Splits,MATCH($I14,Act_Type_Augex,0),MATCH(BH$4,Mat_Type,0))*INDEX(Escalators!$I$44:$U$49,MATCH(BH$4,Escalators!$C$44:$C$49,0),MATCH(BH$5,Escalators!$I$43:$U$43,0))</f>
        <v>116.73361887464606</v>
      </c>
      <c r="BI14" s="128">
        <f>INDEX(Direct_Cost_Splits_Network,MATCH($H14,RIN_Asset_Cat_Network,0),MATCH($BK$4,Direct_Cost_Type,0))*$O14*INDEX(Act_Type_Augex_Splits,MATCH($I14,Act_Type_Augex,0),MATCH(BI$4,Mat_Type,0))*INDEX(Escalators!$I$44:$U$49,MATCH(BI$4,Escalators!$C$44:$C$49,0),MATCH(BI$5,Escalators!$I$43:$U$43,0))</f>
        <v>0</v>
      </c>
      <c r="BJ14" s="128">
        <f>INDEX(Direct_Cost_Splits_Network,MATCH($H14,RIN_Asset_Cat_Network,0),MATCH($BK$4,Direct_Cost_Type,0))*$O14*INDEX(Act_Type_Augex_Splits,MATCH($I14,Act_Type_Augex,0),MATCH(BJ$4,Mat_Type,0))*INDEX(Escalators!$I$44:$U$49,MATCH(BJ$4,Escalators!$C$44:$C$49,0),MATCH(BJ$5,Escalators!$I$43:$U$43,0))</f>
        <v>817.1353321225223</v>
      </c>
      <c r="BK14" s="128">
        <f t="shared" ref="BK14" si="46">SUM(BF14:BJ14)</f>
        <v>1167.3361887464605</v>
      </c>
      <c r="BL14" s="128">
        <f>INDEX(Direct_Cost_Splits_Network,MATCH($H14,RIN_Asset_Cat_Network,0),MATCH($BQ$4,Direct_Cost_Type,0))*$P14*INDEX(Act_Type_Augex_Splits,MATCH($I14,Act_Type_Augex,0),MATCH(BL$4,Mat_Type,0))*INDEX(Escalators!$I$44:$U$49,MATCH(BL$4,Escalators!$C$44:$C$49,0),MATCH(BL$5,Escalators!$I$43:$U$43,0))</f>
        <v>116.73361887464606</v>
      </c>
      <c r="BM14" s="128">
        <f>INDEX(Direct_Cost_Splits_Network,MATCH($H14,RIN_Asset_Cat_Network,0),MATCH($BQ$4,Direct_Cost_Type,0))*$P14*INDEX(Act_Type_Augex_Splits,MATCH($I14,Act_Type_Augex,0),MATCH(BM$4,Mat_Type,0))*INDEX(Escalators!$I$44:$U$49,MATCH(BM$4,Escalators!$C$44:$C$49,0),MATCH(BM$5,Escalators!$I$43:$U$43,0))</f>
        <v>116.73361887464606</v>
      </c>
      <c r="BN14" s="128">
        <f>INDEX(Direct_Cost_Splits_Network,MATCH($H14,RIN_Asset_Cat_Network,0),MATCH($BQ$4,Direct_Cost_Type,0))*$P14*INDEX(Act_Type_Augex_Splits,MATCH($I14,Act_Type_Augex,0),MATCH(BN$4,Mat_Type,0))*INDEX(Escalators!$I$44:$U$49,MATCH(BN$4,Escalators!$C$44:$C$49,0),MATCH(BN$5,Escalators!$I$43:$U$43,0))</f>
        <v>116.73361887464606</v>
      </c>
      <c r="BO14" s="128">
        <f>INDEX(Direct_Cost_Splits_Network,MATCH($H14,RIN_Asset_Cat_Network,0),MATCH($BQ$4,Direct_Cost_Type,0))*$P14*INDEX(Act_Type_Augex_Splits,MATCH($I14,Act_Type_Augex,0),MATCH(BO$4,Mat_Type,0))*INDEX(Escalators!$I$44:$U$49,MATCH(BO$4,Escalators!$C$44:$C$49,0),MATCH(BO$5,Escalators!$I$43:$U$43,0))</f>
        <v>0</v>
      </c>
      <c r="BP14" s="128">
        <f>INDEX(Direct_Cost_Splits_Network,MATCH($H14,RIN_Asset_Cat_Network,0),MATCH($BQ$4,Direct_Cost_Type,0))*$P14*INDEX(Act_Type_Augex_Splits,MATCH($I14,Act_Type_Augex,0),MATCH(BP$4,Mat_Type,0))*INDEX(Escalators!$I$44:$U$49,MATCH(BP$4,Escalators!$C$44:$C$49,0),MATCH(BP$5,Escalators!$I$43:$U$43,0))</f>
        <v>817.1353321225223</v>
      </c>
      <c r="BQ14" s="128">
        <f t="shared" ref="BQ14" si="47">SUM(BL14:BP14)</f>
        <v>1167.3361887464605</v>
      </c>
      <c r="BR14" s="128">
        <f>INDEX(Direct_Cost_Splits_Network,MATCH($H14,RIN_Asset_Cat_Network,0),MATCH($BW$4,Direct_Cost_Type,0))*$Q14*INDEX(Act_Type_Augex_Splits,MATCH($I14,Act_Type_Augex,0),MATCH(BR$4,Mat_Type,0))*INDEX(Escalators!$I$44:$U$49,MATCH(BR$4,Escalators!$C$44:$C$49,0),MATCH(BR$5,Escalators!$I$43:$U$43,0))</f>
        <v>116.73361887464606</v>
      </c>
      <c r="BS14" s="128">
        <f>INDEX(Direct_Cost_Splits_Network,MATCH($H14,RIN_Asset_Cat_Network,0),MATCH($BW$4,Direct_Cost_Type,0))*$Q14*INDEX(Act_Type_Augex_Splits,MATCH($I14,Act_Type_Augex,0),MATCH(BS$4,Mat_Type,0))*INDEX(Escalators!$I$44:$U$49,MATCH(BS$4,Escalators!$C$44:$C$49,0),MATCH(BS$5,Escalators!$I$43:$U$43,0))</f>
        <v>116.73361887464606</v>
      </c>
      <c r="BT14" s="128">
        <f>INDEX(Direct_Cost_Splits_Network,MATCH($H14,RIN_Asset_Cat_Network,0),MATCH($BW$4,Direct_Cost_Type,0))*$Q14*INDEX(Act_Type_Augex_Splits,MATCH($I14,Act_Type_Augex,0),MATCH(BT$4,Mat_Type,0))*INDEX(Escalators!$I$44:$U$49,MATCH(BT$4,Escalators!$C$44:$C$49,0),MATCH(BT$5,Escalators!$I$43:$U$43,0))</f>
        <v>116.73361887464606</v>
      </c>
      <c r="BU14" s="128">
        <f>INDEX(Direct_Cost_Splits_Network,MATCH($H14,RIN_Asset_Cat_Network,0),MATCH($BW$4,Direct_Cost_Type,0))*$Q14*INDEX(Act_Type_Augex_Splits,MATCH($I14,Act_Type_Augex,0),MATCH(BU$4,Mat_Type,0))*INDEX(Escalators!$I$44:$U$49,MATCH(BU$4,Escalators!$C$44:$C$49,0),MATCH(BU$5,Escalators!$I$43:$U$43,0))</f>
        <v>0</v>
      </c>
      <c r="BV14" s="128">
        <f>INDEX(Direct_Cost_Splits_Network,MATCH($H14,RIN_Asset_Cat_Network,0),MATCH($BW$4,Direct_Cost_Type,0))*$Q14*INDEX(Act_Type_Augex_Splits,MATCH($I14,Act_Type_Augex,0),MATCH(BV$4,Mat_Type,0))*INDEX(Escalators!$I$44:$U$49,MATCH(BV$4,Escalators!$C$44:$C$49,0),MATCH(BV$5,Escalators!$I$43:$U$43,0))</f>
        <v>817.1353321225223</v>
      </c>
      <c r="BW14" s="128">
        <f t="shared" ref="BW14" si="48">SUM(BR14:BV14)</f>
        <v>1167.3361887464605</v>
      </c>
      <c r="BX14" s="129"/>
      <c r="BY14" s="128">
        <f>INDEX(Direct_Cost_Splits_Network,MATCH($H14,RIN_Asset_Cat_Network,0),MATCH($BY$4,Direct_Cost_Type,0))*J14*HLOOKUP(BY$5,Escalators!$I$25:$U$30,6,FALSE)</f>
        <v>0</v>
      </c>
      <c r="BZ14" s="128">
        <f>INDEX(Direct_Cost_Splits_Network,MATCH($H14,RIN_Asset_Cat_Network,0),MATCH($BY$4,Direct_Cost_Type,0))*K14*HLOOKUP(BZ$5,Escalators!$I$25:$U$30,6,FALSE)</f>
        <v>0</v>
      </c>
      <c r="CA14" s="128">
        <f>INDEX(Direct_Cost_Splits_Network,MATCH($H14,RIN_Asset_Cat_Network,0),MATCH($BY$4,Direct_Cost_Type,0))*L14*HLOOKUP(CA$5,Escalators!$I$25:$U$30,6,FALSE)</f>
        <v>0</v>
      </c>
      <c r="CB14" s="128">
        <f>INDEX(Direct_Cost_Splits_Network,MATCH($H14,RIN_Asset_Cat_Network,0),MATCH($BY$4,Direct_Cost_Type,0))*M14*HLOOKUP(CB$5,Escalators!$I$25:$U$30,6,FALSE)</f>
        <v>1590.2640616121598</v>
      </c>
      <c r="CC14" s="128">
        <f>INDEX(Direct_Cost_Splits_Network,MATCH($H14,RIN_Asset_Cat_Network,0),MATCH($BY$4,Direct_Cost_Type,0))*N14*HLOOKUP(CC$5,Escalators!$I$25:$U$30,6,FALSE)</f>
        <v>1590.2640616121598</v>
      </c>
      <c r="CD14" s="128">
        <f>INDEX(Direct_Cost_Splits_Network,MATCH($H14,RIN_Asset_Cat_Network,0),MATCH($BY$4,Direct_Cost_Type,0))*O14*HLOOKUP(CD$5,Escalators!$I$25:$U$30,6,FALSE)</f>
        <v>1590.2640616121598</v>
      </c>
      <c r="CE14" s="128">
        <f>INDEX(Direct_Cost_Splits_Network,MATCH($H14,RIN_Asset_Cat_Network,0),MATCH($BY$4,Direct_Cost_Type,0))*P14*HLOOKUP(CE$5,Escalators!$I$25:$U$30,6,FALSE)</f>
        <v>1590.2640616121598</v>
      </c>
      <c r="CF14" s="128">
        <f>INDEX(Direct_Cost_Splits_Network,MATCH($H14,RIN_Asset_Cat_Network,0),MATCH($BY$4,Direct_Cost_Type,0))*Q14*HLOOKUP(CF$5,Escalators!$I$25:$U$30,6,FALSE)</f>
        <v>1590.2640616121598</v>
      </c>
      <c r="CG14" s="129"/>
      <c r="CH14" s="763">
        <f t="shared" ref="CH14" si="49">INDEX(Direct_Cost_Splits_Network,MATCH($H14,RIN_Asset_Cat_Network,0),MATCH($CH$4,Direct_Cost_Type,0))*J14</f>
        <v>0</v>
      </c>
      <c r="CI14" s="763">
        <f>INDEX(Direct_Cost_Splits_Network,MATCH($H14,RIN_Asset_Cat_Network,0),MATCH($CH$4,Direct_Cost_Type,0))*K14</f>
        <v>0</v>
      </c>
      <c r="CJ14" s="763">
        <f>INDEX(Direct_Cost_Splits_Network,MATCH($H14,RIN_Asset_Cat_Network,0),MATCH($CH$4,Direct_Cost_Type,0))*L14</f>
        <v>0</v>
      </c>
      <c r="CK14" s="763">
        <f t="shared" ref="CK14" si="50">INDEX(Direct_Cost_Splits_Network,MATCH($H14,RIN_Asset_Cat_Network,0),MATCH($CH$4,Direct_Cost_Type,0))*M14</f>
        <v>436.90298296269299</v>
      </c>
      <c r="CL14" s="763">
        <f t="shared" ref="CL14" si="51">INDEX(Direct_Cost_Splits_Network,MATCH($H14,RIN_Asset_Cat_Network,0),MATCH($CH$4,Direct_Cost_Type,0))*N14</f>
        <v>436.90298296269299</v>
      </c>
      <c r="CM14" s="763">
        <f t="shared" ref="CM14" si="52">INDEX(Direct_Cost_Splits_Network,MATCH($H14,RIN_Asset_Cat_Network,0),MATCH($CH$4,Direct_Cost_Type,0))*O14</f>
        <v>436.90298296269299</v>
      </c>
      <c r="CN14" s="763">
        <f t="shared" ref="CN14" si="53">INDEX(Direct_Cost_Splits_Network,MATCH($H14,RIN_Asset_Cat_Network,0),MATCH($CH$4,Direct_Cost_Type,0))*P14</f>
        <v>436.90298296269299</v>
      </c>
      <c r="CO14" s="763">
        <f t="shared" ref="CO14" si="54">INDEX(Direct_Cost_Splits_Network,MATCH($H14,RIN_Asset_Cat_Network,0),MATCH($CH$4,Direct_Cost_Type,0))*Q14</f>
        <v>436.90298296269299</v>
      </c>
      <c r="CP14" s="129"/>
      <c r="CQ14" s="128">
        <f t="shared" si="18"/>
        <v>0</v>
      </c>
      <c r="CR14" s="128">
        <f t="shared" si="9"/>
        <v>0</v>
      </c>
      <c r="CS14" s="128">
        <f t="shared" si="19"/>
        <v>0</v>
      </c>
      <c r="CT14" s="128">
        <f t="shared" si="20"/>
        <v>3790.5732483303177</v>
      </c>
      <c r="CU14" s="128">
        <f t="shared" si="21"/>
        <v>3789.0844225389819</v>
      </c>
      <c r="CV14" s="128">
        <f t="shared" si="22"/>
        <v>3788.6525743189736</v>
      </c>
      <c r="CW14" s="128">
        <f t="shared" si="23"/>
        <v>3790.8347352709911</v>
      </c>
      <c r="CX14" s="128">
        <f t="shared" si="24"/>
        <v>3796.7777354286072</v>
      </c>
      <c r="CZ14" s="39"/>
    </row>
    <row r="15" spans="1:109" x14ac:dyDescent="0.25">
      <c r="B15" s="75" t="s">
        <v>429</v>
      </c>
      <c r="C15" s="75" t="s">
        <v>568</v>
      </c>
      <c r="D15" s="75" t="s">
        <v>429</v>
      </c>
      <c r="E15" s="75" t="s">
        <v>48</v>
      </c>
      <c r="F15" s="75" t="s">
        <v>51</v>
      </c>
      <c r="G15" s="75" t="s">
        <v>10</v>
      </c>
      <c r="H15" s="75" t="s">
        <v>154</v>
      </c>
      <c r="I15" s="75" t="s">
        <v>5</v>
      </c>
      <c r="J15" s="128"/>
      <c r="K15" s="128"/>
      <c r="L15" s="128"/>
      <c r="M15" s="128"/>
      <c r="N15" s="128"/>
      <c r="O15" s="128"/>
      <c r="P15" s="128"/>
      <c r="Q15" s="128"/>
      <c r="R15" s="129"/>
      <c r="S15" s="128">
        <f>INDEX(Direct_Cost_Splits_Network,MATCH($H15,RIN_Asset_Cat_Network,0),MATCH($S$4,Direct_Cost_Type,0))*J15*HLOOKUP(S$5,Escalators!$I$25:$U$30,3,FALSE)</f>
        <v>0</v>
      </c>
      <c r="T15" s="128">
        <f>INDEX(Direct_Cost_Splits_Network,MATCH($H15,RIN_Asset_Cat_Network,0),MATCH($S$4,Direct_Cost_Type,0))*K15*HLOOKUP(T$5,Escalators!$I$25:$U$30,3,FALSE)</f>
        <v>0</v>
      </c>
      <c r="U15" s="128">
        <f>INDEX(Direct_Cost_Splits_Network,MATCH($H15,RIN_Asset_Cat_Network,0),MATCH($S$4,Direct_Cost_Type,0))*L15*HLOOKUP(U$5,Escalators!$I$25:$U$30,3,FALSE)</f>
        <v>0</v>
      </c>
      <c r="V15" s="128">
        <f>INDEX(Direct_Cost_Splits_Network,MATCH($H15,RIN_Asset_Cat_Network,0),MATCH($S$4,Direct_Cost_Type,0))*M15*HLOOKUP(V$5,Escalators!$I$25:$U$30,3,FALSE)</f>
        <v>0</v>
      </c>
      <c r="W15" s="128">
        <f>INDEX(Direct_Cost_Splits_Network,MATCH($H15,RIN_Asset_Cat_Network,0),MATCH($S$4,Direct_Cost_Type,0))*N15*HLOOKUP(W$5,Escalators!$I$25:$U$30,3,FALSE)</f>
        <v>0</v>
      </c>
      <c r="X15" s="128">
        <f>INDEX(Direct_Cost_Splits_Network,MATCH($H15,RIN_Asset_Cat_Network,0),MATCH($S$4,Direct_Cost_Type,0))*O15*HLOOKUP(X$5,Escalators!$I$25:$U$30,3,FALSE)</f>
        <v>0</v>
      </c>
      <c r="Y15" s="128">
        <f>INDEX(Direct_Cost_Splits_Network,MATCH($H15,RIN_Asset_Cat_Network,0),MATCH($S$4,Direct_Cost_Type,0))*P15*HLOOKUP(Y$5,Escalators!$I$25:$U$30,3,FALSE)</f>
        <v>0</v>
      </c>
      <c r="Z15" s="128">
        <f>INDEX(Direct_Cost_Splits_Network,MATCH($H15,RIN_Asset_Cat_Network,0),MATCH($S$4,Direct_Cost_Type,0))*Q15*HLOOKUP(Z$5,Escalators!$I$25:$U$30,3,FALSE)</f>
        <v>0</v>
      </c>
      <c r="AA15" s="129"/>
      <c r="AB15" s="75"/>
      <c r="AC15" s="75"/>
      <c r="AD15" s="75"/>
      <c r="AE15" s="75"/>
      <c r="AF15" s="75"/>
      <c r="AG15" s="128">
        <f t="shared" ref="AG15" si="55">SUM(AB15:AF15)</f>
        <v>0</v>
      </c>
      <c r="AH15" s="128">
        <f>INDEX(Direct_Cost_Splits_Network,MATCH($H15,RIN_Asset_Cat_Network,0),MATCH($AY$4,Direct_Cost_Type,0))*$K15*INDEX(Act_Type_Augex_Splits,MATCH($I15,Act_Type_Augex,0),MATCH(AH$4,Mat_Type,0))*INDEX(Escalators!$I$44:$U$49,MATCH(AH$4,Escalators!$C$44:$C$49,0),MATCH(AH$5,Escalators!$I$43:$U$43,0))</f>
        <v>0</v>
      </c>
      <c r="AI15" s="128">
        <f>INDEX(Direct_Cost_Splits_Network,MATCH($H15,RIN_Asset_Cat_Network,0),MATCH($AY$4,Direct_Cost_Type,0))*$K15*INDEX(Act_Type_Augex_Splits,MATCH($I15,Act_Type_Augex,0),MATCH(AI$4,Mat_Type,0))*INDEX(Escalators!$I$44:$U$49,MATCH(AI$4,Escalators!$C$44:$C$49,0),MATCH(AI$5,Escalators!$I$43:$U$43,0))</f>
        <v>0</v>
      </c>
      <c r="AJ15" s="128">
        <f>INDEX(Direct_Cost_Splits_Network,MATCH($H15,RIN_Asset_Cat_Network,0),MATCH($AY$4,Direct_Cost_Type,0))*$K15*INDEX(Act_Type_Augex_Splits,MATCH($I15,Act_Type_Augex,0),MATCH(AJ$4,Mat_Type,0))*INDEX(Escalators!$I$44:$U$49,MATCH(AJ$4,Escalators!$C$44:$C$49,0),MATCH(AJ$5,Escalators!$I$43:$U$43,0))</f>
        <v>0</v>
      </c>
      <c r="AK15" s="128">
        <f>INDEX(Direct_Cost_Splits_Network,MATCH($H15,RIN_Asset_Cat_Network,0),MATCH($AY$4,Direct_Cost_Type,0))*$K15*INDEX(Act_Type_Augex_Splits,MATCH($I15,Act_Type_Augex,0),MATCH(AK$4,Mat_Type,0))*INDEX(Escalators!$I$44:$U$49,MATCH(AK$4,Escalators!$C$44:$C$49,0),MATCH(AK$5,Escalators!$I$43:$U$43,0))</f>
        <v>0</v>
      </c>
      <c r="AL15" s="128">
        <f>INDEX(Direct_Cost_Splits_Network,MATCH($H15,RIN_Asset_Cat_Network,0),MATCH($AY$4,Direct_Cost_Type,0))*$K15*INDEX(Act_Type_Augex_Splits,MATCH($I15,Act_Type_Augex,0),MATCH(AL$4,Mat_Type,0))*INDEX(Escalators!$I$44:$U$49,MATCH(AL$4,Escalators!$C$44:$C$49,0),MATCH(AL$5,Escalators!$I$43:$U$43,0))</f>
        <v>0</v>
      </c>
      <c r="AM15" s="128">
        <f t="shared" ref="AM15" si="56">SUM(AH15:AL15)</f>
        <v>0</v>
      </c>
      <c r="AN15" s="128">
        <f>INDEX(Direct_Cost_Splits_Network,MATCH($H15,RIN_Asset_Cat_Network,0),MATCH($AY$4,Direct_Cost_Type,0))*$L15*INDEX(Act_Type_Augex_Splits,MATCH($I15,Act_Type_Augex,0),MATCH(AN$4,Mat_Type,0))*INDEX(Escalators!$I$44:$U$49,MATCH(AN$4,Escalators!$C$44:$C$49,0),MATCH(AN$5,Escalators!$I$43:$U$43,0))</f>
        <v>0</v>
      </c>
      <c r="AO15" s="128">
        <f>INDEX(Direct_Cost_Splits_Network,MATCH($H15,RIN_Asset_Cat_Network,0),MATCH($AY$4,Direct_Cost_Type,0))*$L15*INDEX(Act_Type_Augex_Splits,MATCH($I15,Act_Type_Augex,0),MATCH(AO$4,Mat_Type,0))*INDEX(Escalators!$I$44:$U$49,MATCH(AO$4,Escalators!$C$44:$C$49,0),MATCH(AO$5,Escalators!$I$43:$U$43,0))</f>
        <v>0</v>
      </c>
      <c r="AP15" s="128">
        <f>INDEX(Direct_Cost_Splits_Network,MATCH($H15,RIN_Asset_Cat_Network,0),MATCH($AY$4,Direct_Cost_Type,0))*$L15*INDEX(Act_Type_Augex_Splits,MATCH($I15,Act_Type_Augex,0),MATCH(AP$4,Mat_Type,0))*INDEX(Escalators!$I$44:$U$49,MATCH(AP$4,Escalators!$C$44:$C$49,0),MATCH(AP$5,Escalators!$I$43:$U$43,0))</f>
        <v>0</v>
      </c>
      <c r="AQ15" s="128">
        <f>INDEX(Direct_Cost_Splits_Network,MATCH($H15,RIN_Asset_Cat_Network,0),MATCH($AY$4,Direct_Cost_Type,0))*$L15*INDEX(Act_Type_Augex_Splits,MATCH($I15,Act_Type_Augex,0),MATCH(AQ$4,Mat_Type,0))*INDEX(Escalators!$I$44:$U$49,MATCH(AQ$4,Escalators!$C$44:$C$49,0),MATCH(AQ$5,Escalators!$I$43:$U$43,0))</f>
        <v>0</v>
      </c>
      <c r="AR15" s="128">
        <f>INDEX(Direct_Cost_Splits_Network,MATCH($H15,RIN_Asset_Cat_Network,0),MATCH($AY$4,Direct_Cost_Type,0))*$L15*INDEX(Act_Type_Augex_Splits,MATCH($I15,Act_Type_Augex,0),MATCH(AR$4,Mat_Type,0))*INDEX(Escalators!$I$44:$U$49,MATCH(AR$4,Escalators!$C$44:$C$49,0),MATCH(AR$5,Escalators!$I$43:$U$43,0))</f>
        <v>0</v>
      </c>
      <c r="AS15" s="128">
        <f t="shared" si="40"/>
        <v>0</v>
      </c>
      <c r="AT15" s="128">
        <f>INDEX(Direct_Cost_Splits_Network,MATCH($H15,RIN_Asset_Cat_Network,0),MATCH($AY$4,Direct_Cost_Type,0))*$M15*INDEX(Act_Type_Augex_Splits,MATCH($I15,Act_Type_Augex,0),MATCH(AT$4,Mat_Type,0))*INDEX(Escalators!$I$44:$U$49,MATCH(AT$4,Escalators!$C$44:$C$49,0),MATCH(AT$5,Escalators!$I$43:$U$43,0))</f>
        <v>0</v>
      </c>
      <c r="AU15" s="128">
        <f>INDEX(Direct_Cost_Splits_Network,MATCH($H15,RIN_Asset_Cat_Network,0),MATCH($AY$4,Direct_Cost_Type,0))*$M15*INDEX(Act_Type_Augex_Splits,MATCH($I15,Act_Type_Augex,0),MATCH(AU$4,Mat_Type,0))*INDEX(Escalators!$I$44:$U$49,MATCH(AU$4,Escalators!$C$44:$C$49,0),MATCH(AU$5,Escalators!$I$43:$U$43,0))</f>
        <v>0</v>
      </c>
      <c r="AV15" s="128">
        <f>INDEX(Direct_Cost_Splits_Network,MATCH($H15,RIN_Asset_Cat_Network,0),MATCH($AY$4,Direct_Cost_Type,0))*$M15*INDEX(Act_Type_Augex_Splits,MATCH($I15,Act_Type_Augex,0),MATCH(AV$4,Mat_Type,0))*INDEX(Escalators!$I$44:$U$49,MATCH(AV$4,Escalators!$C$44:$C$49,0),MATCH(AV$5,Escalators!$I$43:$U$43,0))</f>
        <v>0</v>
      </c>
      <c r="AW15" s="128">
        <f>INDEX(Direct_Cost_Splits_Network,MATCH($H15,RIN_Asset_Cat_Network,0),MATCH($AY$4,Direct_Cost_Type,0))*$M15*INDEX(Act_Type_Augex_Splits,MATCH($I15,Act_Type_Augex,0),MATCH(AW$4,Mat_Type,0))*INDEX(Escalators!$I$44:$U$49,MATCH(AW$4,Escalators!$C$44:$C$49,0),MATCH(AW$5,Escalators!$I$43:$U$43,0))</f>
        <v>0</v>
      </c>
      <c r="AX15" s="128">
        <f>INDEX(Direct_Cost_Splits_Network,MATCH($H15,RIN_Asset_Cat_Network,0),MATCH($AY$4,Direct_Cost_Type,0))*$M15*INDEX(Act_Type_Augex_Splits,MATCH($I15,Act_Type_Augex,0),MATCH(AX$4,Mat_Type,0))*INDEX(Escalators!$I$44:$U$49,MATCH(AX$4,Escalators!$C$44:$C$49,0),MATCH(AX$5,Escalators!$I$43:$U$43,0))</f>
        <v>0</v>
      </c>
      <c r="AY15" s="128">
        <f t="shared" ref="AY15" si="57">SUM(AT15:AX15)</f>
        <v>0</v>
      </c>
      <c r="AZ15" s="128">
        <f>INDEX(Direct_Cost_Splits_Network,MATCH($H15,RIN_Asset_Cat_Network,0),MATCH($BE$4,Direct_Cost_Type,0))*$N15*INDEX(Act_Type_Augex_Splits,MATCH($I15,Act_Type_Augex,0),MATCH(AZ$4,Mat_Type,0))*INDEX(Escalators!$I$44:$U$49,MATCH(AZ$4,Escalators!$C$44:$C$49,0),MATCH(AZ$5,Escalators!$I$43:$U$43,0))</f>
        <v>0</v>
      </c>
      <c r="BA15" s="128">
        <f>INDEX(Direct_Cost_Splits_Network,MATCH($H15,RIN_Asset_Cat_Network,0),MATCH($BE$4,Direct_Cost_Type,0))*$N15*INDEX(Act_Type_Augex_Splits,MATCH($I15,Act_Type_Augex,0),MATCH(BA$4,Mat_Type,0))*INDEX(Escalators!$I$44:$U$49,MATCH(BA$4,Escalators!$C$44:$C$49,0),MATCH(BA$5,Escalators!$I$43:$U$43,0))</f>
        <v>0</v>
      </c>
      <c r="BB15" s="128">
        <f>INDEX(Direct_Cost_Splits_Network,MATCH($H15,RIN_Asset_Cat_Network,0),MATCH($BE$4,Direct_Cost_Type,0))*$N15*INDEX(Act_Type_Augex_Splits,MATCH($I15,Act_Type_Augex,0),MATCH(BB$4,Mat_Type,0))*INDEX(Escalators!$I$44:$U$49,MATCH(BB$4,Escalators!$C$44:$C$49,0),MATCH(BB$5,Escalators!$I$43:$U$43,0))</f>
        <v>0</v>
      </c>
      <c r="BC15" s="128">
        <f>INDEX(Direct_Cost_Splits_Network,MATCH($H15,RIN_Asset_Cat_Network,0),MATCH($BE$4,Direct_Cost_Type,0))*$N15*INDEX(Act_Type_Augex_Splits,MATCH($I15,Act_Type_Augex,0),MATCH(BC$4,Mat_Type,0))*INDEX(Escalators!$I$44:$U$49,MATCH(BC$4,Escalators!$C$44:$C$49,0),MATCH(BC$5,Escalators!$I$43:$U$43,0))</f>
        <v>0</v>
      </c>
      <c r="BD15" s="128">
        <f>INDEX(Direct_Cost_Splits_Network,MATCH($H15,RIN_Asset_Cat_Network,0),MATCH($BE$4,Direct_Cost_Type,0))*$N15*INDEX(Act_Type_Augex_Splits,MATCH($I15,Act_Type_Augex,0),MATCH(BD$4,Mat_Type,0))*INDEX(Escalators!$I$44:$U$49,MATCH(BD$4,Escalators!$C$44:$C$49,0),MATCH(BD$5,Escalators!$I$43:$U$43,0))</f>
        <v>0</v>
      </c>
      <c r="BE15" s="128">
        <f t="shared" ref="BE15" si="58">SUM(AZ15:BD15)</f>
        <v>0</v>
      </c>
      <c r="BF15" s="128">
        <f>INDEX(Direct_Cost_Splits_Network,MATCH($H15,RIN_Asset_Cat_Network,0),MATCH($BK$4,Direct_Cost_Type,0))*$O15*INDEX(Act_Type_Augex_Splits,MATCH($I15,Act_Type_Augex,0),MATCH(BF$4,Mat_Type,0))*INDEX(Escalators!$I$44:$U$49,MATCH(BF$4,Escalators!$C$44:$C$49,0),MATCH(BF$5,Escalators!$I$43:$U$43,0))</f>
        <v>0</v>
      </c>
      <c r="BG15" s="128">
        <f>INDEX(Direct_Cost_Splits_Network,MATCH($H15,RIN_Asset_Cat_Network,0),MATCH($BK$4,Direct_Cost_Type,0))*$O15*INDEX(Act_Type_Augex_Splits,MATCH($I15,Act_Type_Augex,0),MATCH(BG$4,Mat_Type,0))*INDEX(Escalators!$I$44:$U$49,MATCH(BG$4,Escalators!$C$44:$C$49,0),MATCH(BG$5,Escalators!$I$43:$U$43,0))</f>
        <v>0</v>
      </c>
      <c r="BH15" s="128">
        <f>INDEX(Direct_Cost_Splits_Network,MATCH($H15,RIN_Asset_Cat_Network,0),MATCH($BK$4,Direct_Cost_Type,0))*$O15*INDEX(Act_Type_Augex_Splits,MATCH($I15,Act_Type_Augex,0),MATCH(BH$4,Mat_Type,0))*INDEX(Escalators!$I$44:$U$49,MATCH(BH$4,Escalators!$C$44:$C$49,0),MATCH(BH$5,Escalators!$I$43:$U$43,0))</f>
        <v>0</v>
      </c>
      <c r="BI15" s="128">
        <f>INDEX(Direct_Cost_Splits_Network,MATCH($H15,RIN_Asset_Cat_Network,0),MATCH($BK$4,Direct_Cost_Type,0))*$O15*INDEX(Act_Type_Augex_Splits,MATCH($I15,Act_Type_Augex,0),MATCH(BI$4,Mat_Type,0))*INDEX(Escalators!$I$44:$U$49,MATCH(BI$4,Escalators!$C$44:$C$49,0),MATCH(BI$5,Escalators!$I$43:$U$43,0))</f>
        <v>0</v>
      </c>
      <c r="BJ15" s="128">
        <f>INDEX(Direct_Cost_Splits_Network,MATCH($H15,RIN_Asset_Cat_Network,0),MATCH($BK$4,Direct_Cost_Type,0))*$O15*INDEX(Act_Type_Augex_Splits,MATCH($I15,Act_Type_Augex,0),MATCH(BJ$4,Mat_Type,0))*INDEX(Escalators!$I$44:$U$49,MATCH(BJ$4,Escalators!$C$44:$C$49,0),MATCH(BJ$5,Escalators!$I$43:$U$43,0))</f>
        <v>0</v>
      </c>
      <c r="BK15" s="128">
        <f t="shared" ref="BK15" si="59">SUM(BF15:BJ15)</f>
        <v>0</v>
      </c>
      <c r="BL15" s="128">
        <f>INDEX(Direct_Cost_Splits_Network,MATCH($H15,RIN_Asset_Cat_Network,0),MATCH($BQ$4,Direct_Cost_Type,0))*$P15*INDEX(Act_Type_Augex_Splits,MATCH($I15,Act_Type_Augex,0),MATCH(BL$4,Mat_Type,0))*INDEX(Escalators!$I$44:$U$49,MATCH(BL$4,Escalators!$C$44:$C$49,0),MATCH(BL$5,Escalators!$I$43:$U$43,0))</f>
        <v>0</v>
      </c>
      <c r="BM15" s="128">
        <f>INDEX(Direct_Cost_Splits_Network,MATCH($H15,RIN_Asset_Cat_Network,0),MATCH($BQ$4,Direct_Cost_Type,0))*$P15*INDEX(Act_Type_Augex_Splits,MATCH($I15,Act_Type_Augex,0),MATCH(BM$4,Mat_Type,0))*INDEX(Escalators!$I$44:$U$49,MATCH(BM$4,Escalators!$C$44:$C$49,0),MATCH(BM$5,Escalators!$I$43:$U$43,0))</f>
        <v>0</v>
      </c>
      <c r="BN15" s="128">
        <f>INDEX(Direct_Cost_Splits_Network,MATCH($H15,RIN_Asset_Cat_Network,0),MATCH($BQ$4,Direct_Cost_Type,0))*$P15*INDEX(Act_Type_Augex_Splits,MATCH($I15,Act_Type_Augex,0),MATCH(BN$4,Mat_Type,0))*INDEX(Escalators!$I$44:$U$49,MATCH(BN$4,Escalators!$C$44:$C$49,0),MATCH(BN$5,Escalators!$I$43:$U$43,0))</f>
        <v>0</v>
      </c>
      <c r="BO15" s="128">
        <f>INDEX(Direct_Cost_Splits_Network,MATCH($H15,RIN_Asset_Cat_Network,0),MATCH($BQ$4,Direct_Cost_Type,0))*$P15*INDEX(Act_Type_Augex_Splits,MATCH($I15,Act_Type_Augex,0),MATCH(BO$4,Mat_Type,0))*INDEX(Escalators!$I$44:$U$49,MATCH(BO$4,Escalators!$C$44:$C$49,0),MATCH(BO$5,Escalators!$I$43:$U$43,0))</f>
        <v>0</v>
      </c>
      <c r="BP15" s="128">
        <f>INDEX(Direct_Cost_Splits_Network,MATCH($H15,RIN_Asset_Cat_Network,0),MATCH($BQ$4,Direct_Cost_Type,0))*$P15*INDEX(Act_Type_Augex_Splits,MATCH($I15,Act_Type_Augex,0),MATCH(BP$4,Mat_Type,0))*INDEX(Escalators!$I$44:$U$49,MATCH(BP$4,Escalators!$C$44:$C$49,0),MATCH(BP$5,Escalators!$I$43:$U$43,0))</f>
        <v>0</v>
      </c>
      <c r="BQ15" s="128">
        <f t="shared" ref="BQ15" si="60">SUM(BL15:BP15)</f>
        <v>0</v>
      </c>
      <c r="BR15" s="128">
        <f>INDEX(Direct_Cost_Splits_Network,MATCH($H15,RIN_Asset_Cat_Network,0),MATCH($BW$4,Direct_Cost_Type,0))*$Q15*INDEX(Act_Type_Augex_Splits,MATCH($I15,Act_Type_Augex,0),MATCH(BR$4,Mat_Type,0))*INDEX(Escalators!$I$44:$U$49,MATCH(BR$4,Escalators!$C$44:$C$49,0),MATCH(BR$5,Escalators!$I$43:$U$43,0))</f>
        <v>0</v>
      </c>
      <c r="BS15" s="128">
        <f>INDEX(Direct_Cost_Splits_Network,MATCH($H15,RIN_Asset_Cat_Network,0),MATCH($BW$4,Direct_Cost_Type,0))*$Q15*INDEX(Act_Type_Augex_Splits,MATCH($I15,Act_Type_Augex,0),MATCH(BS$4,Mat_Type,0))*INDEX(Escalators!$I$44:$U$49,MATCH(BS$4,Escalators!$C$44:$C$49,0),MATCH(BS$5,Escalators!$I$43:$U$43,0))</f>
        <v>0</v>
      </c>
      <c r="BT15" s="128">
        <f>INDEX(Direct_Cost_Splits_Network,MATCH($H15,RIN_Asset_Cat_Network,0),MATCH($BW$4,Direct_Cost_Type,0))*$Q15*INDEX(Act_Type_Augex_Splits,MATCH($I15,Act_Type_Augex,0),MATCH(BT$4,Mat_Type,0))*INDEX(Escalators!$I$44:$U$49,MATCH(BT$4,Escalators!$C$44:$C$49,0),MATCH(BT$5,Escalators!$I$43:$U$43,0))</f>
        <v>0</v>
      </c>
      <c r="BU15" s="128">
        <f>INDEX(Direct_Cost_Splits_Network,MATCH($H15,RIN_Asset_Cat_Network,0),MATCH($BW$4,Direct_Cost_Type,0))*$Q15*INDEX(Act_Type_Augex_Splits,MATCH($I15,Act_Type_Augex,0),MATCH(BU$4,Mat_Type,0))*INDEX(Escalators!$I$44:$U$49,MATCH(BU$4,Escalators!$C$44:$C$49,0),MATCH(BU$5,Escalators!$I$43:$U$43,0))</f>
        <v>0</v>
      </c>
      <c r="BV15" s="128">
        <f>INDEX(Direct_Cost_Splits_Network,MATCH($H15,RIN_Asset_Cat_Network,0),MATCH($BW$4,Direct_Cost_Type,0))*$Q15*INDEX(Act_Type_Augex_Splits,MATCH($I15,Act_Type_Augex,0),MATCH(BV$4,Mat_Type,0))*INDEX(Escalators!$I$44:$U$49,MATCH(BV$4,Escalators!$C$44:$C$49,0),MATCH(BV$5,Escalators!$I$43:$U$43,0))</f>
        <v>0</v>
      </c>
      <c r="BW15" s="128">
        <f t="shared" ref="BW15" si="61">SUM(BR15:BV15)</f>
        <v>0</v>
      </c>
      <c r="BX15" s="129"/>
      <c r="BY15" s="128">
        <f>INDEX(Direct_Cost_Splits_Network,MATCH($H15,RIN_Asset_Cat_Network,0),MATCH($BY$4,Direct_Cost_Type,0))*J15*HLOOKUP(BY$5,Escalators!$I$25:$U$30,6,FALSE)</f>
        <v>0</v>
      </c>
      <c r="BZ15" s="128">
        <f>INDEX(Direct_Cost_Splits_Network,MATCH($H15,RIN_Asset_Cat_Network,0),MATCH($BY$4,Direct_Cost_Type,0))*K15*HLOOKUP(BZ$5,Escalators!$I$25:$U$30,6,FALSE)</f>
        <v>0</v>
      </c>
      <c r="CA15" s="128">
        <f>INDEX(Direct_Cost_Splits_Network,MATCH($H15,RIN_Asset_Cat_Network,0),MATCH($BY$4,Direct_Cost_Type,0))*L15*HLOOKUP(CA$5,Escalators!$I$25:$U$30,6,FALSE)</f>
        <v>0</v>
      </c>
      <c r="CB15" s="128">
        <f>INDEX(Direct_Cost_Splits_Network,MATCH($H15,RIN_Asset_Cat_Network,0),MATCH($BY$4,Direct_Cost_Type,0))*M15*HLOOKUP(CB$5,Escalators!$I$25:$U$30,6,FALSE)</f>
        <v>0</v>
      </c>
      <c r="CC15" s="128">
        <f>INDEX(Direct_Cost_Splits_Network,MATCH($H15,RIN_Asset_Cat_Network,0),MATCH($BY$4,Direct_Cost_Type,0))*N15*HLOOKUP(CC$5,Escalators!$I$25:$U$30,6,FALSE)</f>
        <v>0</v>
      </c>
      <c r="CD15" s="128">
        <f>INDEX(Direct_Cost_Splits_Network,MATCH($H15,RIN_Asset_Cat_Network,0),MATCH($BY$4,Direct_Cost_Type,0))*O15*HLOOKUP(CD$5,Escalators!$I$25:$U$30,6,FALSE)</f>
        <v>0</v>
      </c>
      <c r="CE15" s="128">
        <f>INDEX(Direct_Cost_Splits_Network,MATCH($H15,RIN_Asset_Cat_Network,0),MATCH($BY$4,Direct_Cost_Type,0))*P15*HLOOKUP(CE$5,Escalators!$I$25:$U$30,6,FALSE)</f>
        <v>0</v>
      </c>
      <c r="CF15" s="128">
        <f>INDEX(Direct_Cost_Splits_Network,MATCH($H15,RIN_Asset_Cat_Network,0),MATCH($BY$4,Direct_Cost_Type,0))*Q15*HLOOKUP(CF$5,Escalators!$I$25:$U$30,6,FALSE)</f>
        <v>0</v>
      </c>
      <c r="CG15" s="129"/>
      <c r="CH15" s="763">
        <f t="shared" ref="CH15" si="62">INDEX(Direct_Cost_Splits_Network,MATCH($H15,RIN_Asset_Cat_Network,0),MATCH($CH$4,Direct_Cost_Type,0))*J15</f>
        <v>0</v>
      </c>
      <c r="CI15" s="763">
        <f>INDEX(Direct_Cost_Splits_Network,MATCH($H15,RIN_Asset_Cat_Network,0),MATCH($CH$4,Direct_Cost_Type,0))*K15</f>
        <v>0</v>
      </c>
      <c r="CJ15" s="763">
        <f>INDEX(Direct_Cost_Splits_Network,MATCH($H15,RIN_Asset_Cat_Network,0),MATCH($CH$4,Direct_Cost_Type,0))*L15</f>
        <v>0</v>
      </c>
      <c r="CK15" s="763">
        <f t="shared" ref="CK15" si="63">INDEX(Direct_Cost_Splits_Network,MATCH($H15,RIN_Asset_Cat_Network,0),MATCH($CH$4,Direct_Cost_Type,0))*M15</f>
        <v>0</v>
      </c>
      <c r="CL15" s="763">
        <f t="shared" ref="CL15" si="64">INDEX(Direct_Cost_Splits_Network,MATCH($H15,RIN_Asset_Cat_Network,0),MATCH($CH$4,Direct_Cost_Type,0))*N15</f>
        <v>0</v>
      </c>
      <c r="CM15" s="763">
        <f t="shared" ref="CM15" si="65">INDEX(Direct_Cost_Splits_Network,MATCH($H15,RIN_Asset_Cat_Network,0),MATCH($CH$4,Direct_Cost_Type,0))*O15</f>
        <v>0</v>
      </c>
      <c r="CN15" s="763">
        <f t="shared" ref="CN15" si="66">INDEX(Direct_Cost_Splits_Network,MATCH($H15,RIN_Asset_Cat_Network,0),MATCH($CH$4,Direct_Cost_Type,0))*P15</f>
        <v>0</v>
      </c>
      <c r="CO15" s="763">
        <f t="shared" ref="CO15" si="67">INDEX(Direct_Cost_Splits_Network,MATCH($H15,RIN_Asset_Cat_Network,0),MATCH($CH$4,Direct_Cost_Type,0))*Q15</f>
        <v>0</v>
      </c>
      <c r="CP15" s="129"/>
      <c r="CQ15" s="128">
        <f t="shared" si="18"/>
        <v>0</v>
      </c>
      <c r="CR15" s="128">
        <f t="shared" si="9"/>
        <v>0</v>
      </c>
      <c r="CS15" s="128">
        <f t="shared" si="19"/>
        <v>0</v>
      </c>
      <c r="CT15" s="128">
        <f t="shared" si="20"/>
        <v>0</v>
      </c>
      <c r="CU15" s="128">
        <f t="shared" si="21"/>
        <v>0</v>
      </c>
      <c r="CV15" s="128">
        <f t="shared" si="22"/>
        <v>0</v>
      </c>
      <c r="CW15" s="128">
        <f t="shared" si="23"/>
        <v>0</v>
      </c>
      <c r="CX15" s="128">
        <f t="shared" si="24"/>
        <v>0</v>
      </c>
      <c r="CZ15" s="39"/>
    </row>
    <row r="16" spans="1:109" x14ac:dyDescent="0.25">
      <c r="B16" s="75"/>
      <c r="C16" s="75"/>
      <c r="D16" s="75"/>
      <c r="E16" s="75"/>
      <c r="F16" s="75"/>
      <c r="G16" s="75"/>
      <c r="H16" s="75"/>
      <c r="I16" s="75"/>
      <c r="J16" s="128"/>
      <c r="K16" s="128"/>
      <c r="L16" s="128"/>
      <c r="M16" s="128"/>
      <c r="N16" s="128"/>
      <c r="O16" s="128"/>
      <c r="P16" s="128"/>
      <c r="Q16" s="128"/>
      <c r="R16" s="129"/>
      <c r="S16" s="128"/>
      <c r="T16" s="128"/>
      <c r="U16" s="128"/>
      <c r="V16" s="128"/>
      <c r="W16" s="128"/>
      <c r="X16" s="128"/>
      <c r="Y16" s="128"/>
      <c r="Z16" s="128"/>
      <c r="AA16" s="129"/>
      <c r="AB16" s="75"/>
      <c r="AC16" s="75"/>
      <c r="AD16" s="75"/>
      <c r="AE16" s="75"/>
      <c r="AF16" s="75"/>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9"/>
      <c r="BY16" s="128"/>
      <c r="BZ16" s="128"/>
      <c r="CA16" s="128"/>
      <c r="CB16" s="128"/>
      <c r="CC16" s="128"/>
      <c r="CD16" s="128"/>
      <c r="CE16" s="128"/>
      <c r="CF16" s="128"/>
      <c r="CG16" s="129"/>
      <c r="CH16" s="128"/>
      <c r="CI16" s="128"/>
      <c r="CJ16" s="128"/>
      <c r="CK16" s="128"/>
      <c r="CL16" s="128"/>
      <c r="CM16" s="128"/>
      <c r="CN16" s="128"/>
      <c r="CO16" s="128"/>
      <c r="CP16" s="129"/>
      <c r="CQ16" s="128">
        <f t="shared" si="18"/>
        <v>0</v>
      </c>
      <c r="CR16" s="128">
        <f t="shared" si="9"/>
        <v>0</v>
      </c>
      <c r="CS16" s="128">
        <f t="shared" si="19"/>
        <v>0</v>
      </c>
      <c r="CT16" s="128">
        <f t="shared" si="20"/>
        <v>0</v>
      </c>
      <c r="CU16" s="128">
        <f t="shared" si="21"/>
        <v>0</v>
      </c>
      <c r="CV16" s="128">
        <f t="shared" si="22"/>
        <v>0</v>
      </c>
      <c r="CW16" s="128">
        <f t="shared" si="23"/>
        <v>0</v>
      </c>
      <c r="CX16" s="128">
        <f t="shared" si="24"/>
        <v>0</v>
      </c>
      <c r="CZ16" s="39"/>
    </row>
    <row r="17" spans="2:104" x14ac:dyDescent="0.25">
      <c r="B17" s="75" t="s">
        <v>430</v>
      </c>
      <c r="C17" s="75" t="s">
        <v>421</v>
      </c>
      <c r="D17" s="75" t="s">
        <v>543</v>
      </c>
      <c r="E17" s="75" t="s">
        <v>45</v>
      </c>
      <c r="F17" s="75" t="s">
        <v>51</v>
      </c>
      <c r="G17" s="75" t="s">
        <v>10</v>
      </c>
      <c r="H17" s="75" t="s">
        <v>164</v>
      </c>
      <c r="I17" s="75" t="s">
        <v>214</v>
      </c>
      <c r="J17" s="128"/>
      <c r="K17" s="128"/>
      <c r="L17" s="128"/>
      <c r="M17" s="128"/>
      <c r="N17" s="128"/>
      <c r="O17" s="128"/>
      <c r="P17" s="128"/>
      <c r="Q17" s="128"/>
      <c r="R17" s="129"/>
      <c r="S17" s="128">
        <f>INDEX(Direct_Cost_Splits_Network,MATCH($H17,RIN_Asset_Cat_Network,0),MATCH($S$4,Direct_Cost_Type,0))*J17*HLOOKUP(S$5,Escalators!$I$25:$U$30,3,FALSE)</f>
        <v>0</v>
      </c>
      <c r="T17" s="128">
        <f>INDEX(Direct_Cost_Splits_Network,MATCH($H17,RIN_Asset_Cat_Network,0),MATCH($S$4,Direct_Cost_Type,0))*K17*HLOOKUP(T$5,Escalators!$I$25:$U$30,3,FALSE)</f>
        <v>0</v>
      </c>
      <c r="U17" s="128">
        <f>INDEX(Direct_Cost_Splits_Network,MATCH($H17,RIN_Asset_Cat_Network,0),MATCH($S$4,Direct_Cost_Type,0))*L17*HLOOKUP(U$5,Escalators!$I$25:$U$30,3,FALSE)</f>
        <v>0</v>
      </c>
      <c r="V17" s="128">
        <f>INDEX(Direct_Cost_Splits_Network,MATCH($H17,RIN_Asset_Cat_Network,0),MATCH($S$4,Direct_Cost_Type,0))*M17*HLOOKUP(V$5,Escalators!$I$25:$U$30,3,FALSE)</f>
        <v>0</v>
      </c>
      <c r="W17" s="128">
        <f>INDEX(Direct_Cost_Splits_Network,MATCH($H17,RIN_Asset_Cat_Network,0),MATCH($S$4,Direct_Cost_Type,0))*N17*HLOOKUP(W$5,Escalators!$I$25:$U$30,3,FALSE)</f>
        <v>0</v>
      </c>
      <c r="X17" s="128">
        <f>INDEX(Direct_Cost_Splits_Network,MATCH($H17,RIN_Asset_Cat_Network,0),MATCH($S$4,Direct_Cost_Type,0))*O17*HLOOKUP(X$5,Escalators!$I$25:$U$30,3,FALSE)</f>
        <v>0</v>
      </c>
      <c r="Y17" s="128">
        <f>INDEX(Direct_Cost_Splits_Network,MATCH($H17,RIN_Asset_Cat_Network,0),MATCH($S$4,Direct_Cost_Type,0))*P17*HLOOKUP(Y$5,Escalators!$I$25:$U$30,3,FALSE)</f>
        <v>0</v>
      </c>
      <c r="Z17" s="128">
        <f>INDEX(Direct_Cost_Splits_Network,MATCH($H17,RIN_Asset_Cat_Network,0),MATCH($S$4,Direct_Cost_Type,0))*Q17*HLOOKUP(Z$5,Escalators!$I$25:$U$30,3,FALSE)</f>
        <v>0</v>
      </c>
      <c r="AA17" s="129"/>
      <c r="AB17" s="128">
        <f>INDEX(Direct_Cost_Splits_Network,MATCH($H17,RIN_Asset_Cat_Network,0),MATCH($AG$4,Direct_Cost_Type,0))*$J17*INDEX(Act_Type_Augex_Splits,MATCH($I17,Act_Type_Augex,0),MATCH(AB$4,Mat_Type,0))*INDEX(Escalators!$I$44:$U$49,MATCH(AB$4,Escalators!$C$44:$C$49,0),MATCH(AB$5,Escalators!$I$43:$U$43,0))</f>
        <v>0</v>
      </c>
      <c r="AC17" s="128">
        <f>INDEX(Direct_Cost_Splits_Network,MATCH($H17,RIN_Asset_Cat_Network,0),MATCH($AG$4,Direct_Cost_Type,0))*$J17*INDEX(Act_Type_Augex_Splits,MATCH($I17,Act_Type_Augex,0),MATCH(AC$4,Mat_Type,0))*INDEX(Escalators!$I$44:$U$49,MATCH(AC$4,Escalators!$C$44:$C$49,0),MATCH(AC$5,Escalators!$I$43:$U$43,0))</f>
        <v>0</v>
      </c>
      <c r="AD17" s="128">
        <f>INDEX(Direct_Cost_Splits_Network,MATCH($H17,RIN_Asset_Cat_Network,0),MATCH($AG$4,Direct_Cost_Type,0))*$J17*INDEX(Act_Type_Augex_Splits,MATCH($I17,Act_Type_Augex,0),MATCH(AD$4,Mat_Type,0))*INDEX(Escalators!$I$44:$U$49,MATCH(AD$4,Escalators!$C$44:$C$49,0),MATCH(AD$5,Escalators!$I$43:$U$43,0))</f>
        <v>0</v>
      </c>
      <c r="AE17" s="128">
        <f>INDEX(Direct_Cost_Splits_Network,MATCH($H17,RIN_Asset_Cat_Network,0),MATCH($AG$4,Direct_Cost_Type,0))*$J17*INDEX(Act_Type_Augex_Splits,MATCH($I17,Act_Type_Augex,0),MATCH(AE$4,Mat_Type,0))*INDEX(Escalators!$I$44:$U$49,MATCH(AE$4,Escalators!$C$44:$C$49,0),MATCH(AE$5,Escalators!$I$43:$U$43,0))</f>
        <v>0</v>
      </c>
      <c r="AF17" s="128">
        <f>INDEX(Direct_Cost_Splits_Network,MATCH($H17,RIN_Asset_Cat_Network,0),MATCH($AG$4,Direct_Cost_Type,0))*$J17*INDEX(Act_Type_Augex_Splits,MATCH($I17,Act_Type_Augex,0),MATCH(AF$4,Mat_Type,0))*INDEX(Escalators!$I$44:$U$49,MATCH(AF$4,Escalators!$C$44:$C$49,0),MATCH(AF$5,Escalators!$I$43:$U$43,0))</f>
        <v>0</v>
      </c>
      <c r="AG17" s="128">
        <f t="shared" ref="AG17:AG27" si="68">SUM(AB17:AF17)</f>
        <v>0</v>
      </c>
      <c r="AH17" s="128">
        <f>INDEX(Direct_Cost_Splits_Network,MATCH($H17,RIN_Asset_Cat_Network,0),MATCH($AY$4,Direct_Cost_Type,0))*$K17*INDEX(Act_Type_Augex_Splits,MATCH($I17,Act_Type_Augex,0),MATCH(AH$4,Mat_Type,0))*INDEX(Escalators!$I$44:$U$49,MATCH(AH$4,Escalators!$C$44:$C$49,0),MATCH(AH$5,Escalators!$I$43:$U$43,0))</f>
        <v>0</v>
      </c>
      <c r="AI17" s="128">
        <f>INDEX(Direct_Cost_Splits_Network,MATCH($H17,RIN_Asset_Cat_Network,0),MATCH($AY$4,Direct_Cost_Type,0))*$K17*INDEX(Act_Type_Augex_Splits,MATCH($I17,Act_Type_Augex,0),MATCH(AI$4,Mat_Type,0))*INDEX(Escalators!$I$44:$U$49,MATCH(AI$4,Escalators!$C$44:$C$49,0),MATCH(AI$5,Escalators!$I$43:$U$43,0))</f>
        <v>0</v>
      </c>
      <c r="AJ17" s="128">
        <f>INDEX(Direct_Cost_Splits_Network,MATCH($H17,RIN_Asset_Cat_Network,0),MATCH($AY$4,Direct_Cost_Type,0))*$K17*INDEX(Act_Type_Augex_Splits,MATCH($I17,Act_Type_Augex,0),MATCH(AJ$4,Mat_Type,0))*INDEX(Escalators!$I$44:$U$49,MATCH(AJ$4,Escalators!$C$44:$C$49,0),MATCH(AJ$5,Escalators!$I$43:$U$43,0))</f>
        <v>0</v>
      </c>
      <c r="AK17" s="128">
        <f>INDEX(Direct_Cost_Splits_Network,MATCH($H17,RIN_Asset_Cat_Network,0),MATCH($AY$4,Direct_Cost_Type,0))*$K17*INDEX(Act_Type_Augex_Splits,MATCH($I17,Act_Type_Augex,0),MATCH(AK$4,Mat_Type,0))*INDEX(Escalators!$I$44:$U$49,MATCH(AK$4,Escalators!$C$44:$C$49,0),MATCH(AK$5,Escalators!$I$43:$U$43,0))</f>
        <v>0</v>
      </c>
      <c r="AL17" s="128">
        <f>INDEX(Direct_Cost_Splits_Network,MATCH($H17,RIN_Asset_Cat_Network,0),MATCH($AY$4,Direct_Cost_Type,0))*$K17*INDEX(Act_Type_Augex_Splits,MATCH($I17,Act_Type_Augex,0),MATCH(AL$4,Mat_Type,0))*INDEX(Escalators!$I$44:$U$49,MATCH(AL$4,Escalators!$C$44:$C$49,0),MATCH(AL$5,Escalators!$I$43:$U$43,0))</f>
        <v>0</v>
      </c>
      <c r="AM17" s="128">
        <f t="shared" ref="AM17:AM27" si="69">SUM(AH17:AL17)</f>
        <v>0</v>
      </c>
      <c r="AN17" s="128">
        <f>INDEX(Direct_Cost_Splits_Network,MATCH($H17,RIN_Asset_Cat_Network,0),MATCH($AY$4,Direct_Cost_Type,0))*$L17*INDEX(Act_Type_Augex_Splits,MATCH($I17,Act_Type_Augex,0),MATCH(AN$4,Mat_Type,0))*INDEX(Escalators!$I$44:$U$49,MATCH(AN$4,Escalators!$C$44:$C$49,0),MATCH(AN$5,Escalators!$I$43:$U$43,0))</f>
        <v>0</v>
      </c>
      <c r="AO17" s="128">
        <f>INDEX(Direct_Cost_Splits_Network,MATCH($H17,RIN_Asset_Cat_Network,0),MATCH($AY$4,Direct_Cost_Type,0))*$L17*INDEX(Act_Type_Augex_Splits,MATCH($I17,Act_Type_Augex,0),MATCH(AO$4,Mat_Type,0))*INDEX(Escalators!$I$44:$U$49,MATCH(AO$4,Escalators!$C$44:$C$49,0),MATCH(AO$5,Escalators!$I$43:$U$43,0))</f>
        <v>0</v>
      </c>
      <c r="AP17" s="128">
        <f>INDEX(Direct_Cost_Splits_Network,MATCH($H17,RIN_Asset_Cat_Network,0),MATCH($AY$4,Direct_Cost_Type,0))*$L17*INDEX(Act_Type_Augex_Splits,MATCH($I17,Act_Type_Augex,0),MATCH(AP$4,Mat_Type,0))*INDEX(Escalators!$I$44:$U$49,MATCH(AP$4,Escalators!$C$44:$C$49,0),MATCH(AP$5,Escalators!$I$43:$U$43,0))</f>
        <v>0</v>
      </c>
      <c r="AQ17" s="128">
        <f>INDEX(Direct_Cost_Splits_Network,MATCH($H17,RIN_Asset_Cat_Network,0),MATCH($AY$4,Direct_Cost_Type,0))*$L17*INDEX(Act_Type_Augex_Splits,MATCH($I17,Act_Type_Augex,0),MATCH(AQ$4,Mat_Type,0))*INDEX(Escalators!$I$44:$U$49,MATCH(AQ$4,Escalators!$C$44:$C$49,0),MATCH(AQ$5,Escalators!$I$43:$U$43,0))</f>
        <v>0</v>
      </c>
      <c r="AR17" s="128">
        <f>INDEX(Direct_Cost_Splits_Network,MATCH($H17,RIN_Asset_Cat_Network,0),MATCH($AY$4,Direct_Cost_Type,0))*$L17*INDEX(Act_Type_Augex_Splits,MATCH($I17,Act_Type_Augex,0),MATCH(AR$4,Mat_Type,0))*INDEX(Escalators!$I$44:$U$49,MATCH(AR$4,Escalators!$C$44:$C$49,0),MATCH(AR$5,Escalators!$I$43:$U$43,0))</f>
        <v>0</v>
      </c>
      <c r="AS17" s="128">
        <f t="shared" ref="AS17:AS29" si="70">SUM(AN17:AR17)</f>
        <v>0</v>
      </c>
      <c r="AT17" s="128">
        <f>INDEX(Direct_Cost_Splits_Network,MATCH($H17,RIN_Asset_Cat_Network,0),MATCH($AY$4,Direct_Cost_Type,0))*$M17*INDEX(Act_Type_Augex_Splits,MATCH($I17,Act_Type_Augex,0),MATCH(AT$4,Mat_Type,0))*INDEX(Escalators!$I$44:$U$49,MATCH(AT$4,Escalators!$C$44:$C$49,0),MATCH(AT$5,Escalators!$I$43:$U$43,0))</f>
        <v>0</v>
      </c>
      <c r="AU17" s="128">
        <f>INDEX(Direct_Cost_Splits_Network,MATCH($H17,RIN_Asset_Cat_Network,0),MATCH($AY$4,Direct_Cost_Type,0))*$M17*INDEX(Act_Type_Augex_Splits,MATCH($I17,Act_Type_Augex,0),MATCH(AU$4,Mat_Type,0))*INDEX(Escalators!$I$44:$U$49,MATCH(AU$4,Escalators!$C$44:$C$49,0),MATCH(AU$5,Escalators!$I$43:$U$43,0))</f>
        <v>0</v>
      </c>
      <c r="AV17" s="128">
        <f>INDEX(Direct_Cost_Splits_Network,MATCH($H17,RIN_Asset_Cat_Network,0),MATCH($AY$4,Direct_Cost_Type,0))*$M17*INDEX(Act_Type_Augex_Splits,MATCH($I17,Act_Type_Augex,0),MATCH(AV$4,Mat_Type,0))*INDEX(Escalators!$I$44:$U$49,MATCH(AV$4,Escalators!$C$44:$C$49,0),MATCH(AV$5,Escalators!$I$43:$U$43,0))</f>
        <v>0</v>
      </c>
      <c r="AW17" s="128">
        <f>INDEX(Direct_Cost_Splits_Network,MATCH($H17,RIN_Asset_Cat_Network,0),MATCH($AY$4,Direct_Cost_Type,0))*$M17*INDEX(Act_Type_Augex_Splits,MATCH($I17,Act_Type_Augex,0),MATCH(AW$4,Mat_Type,0))*INDEX(Escalators!$I$44:$U$49,MATCH(AW$4,Escalators!$C$44:$C$49,0),MATCH(AW$5,Escalators!$I$43:$U$43,0))</f>
        <v>0</v>
      </c>
      <c r="AX17" s="128">
        <f>INDEX(Direct_Cost_Splits_Network,MATCH($H17,RIN_Asset_Cat_Network,0),MATCH($AY$4,Direct_Cost_Type,0))*$M17*INDEX(Act_Type_Augex_Splits,MATCH($I17,Act_Type_Augex,0),MATCH(AX$4,Mat_Type,0))*INDEX(Escalators!$I$44:$U$49,MATCH(AX$4,Escalators!$C$44:$C$49,0),MATCH(AX$5,Escalators!$I$43:$U$43,0))</f>
        <v>0</v>
      </c>
      <c r="AY17" s="128">
        <f t="shared" ref="AY17:AY27" si="71">SUM(AT17:AX17)</f>
        <v>0</v>
      </c>
      <c r="AZ17" s="128">
        <f>INDEX(Direct_Cost_Splits_Network,MATCH($H17,RIN_Asset_Cat_Network,0),MATCH($BE$4,Direct_Cost_Type,0))*$N17*INDEX(Act_Type_Augex_Splits,MATCH($I17,Act_Type_Augex,0),MATCH(AZ$4,Mat_Type,0))*INDEX(Escalators!$I$44:$U$49,MATCH(AZ$4,Escalators!$C$44:$C$49,0),MATCH(AZ$5,Escalators!$I$43:$U$43,0))</f>
        <v>0</v>
      </c>
      <c r="BA17" s="128">
        <f>INDEX(Direct_Cost_Splits_Network,MATCH($H17,RIN_Asset_Cat_Network,0),MATCH($BE$4,Direct_Cost_Type,0))*$N17*INDEX(Act_Type_Augex_Splits,MATCH($I17,Act_Type_Augex,0),MATCH(BA$4,Mat_Type,0))*INDEX(Escalators!$I$44:$U$49,MATCH(BA$4,Escalators!$C$44:$C$49,0),MATCH(BA$5,Escalators!$I$43:$U$43,0))</f>
        <v>0</v>
      </c>
      <c r="BB17" s="128">
        <f>INDEX(Direct_Cost_Splits_Network,MATCH($H17,RIN_Asset_Cat_Network,0),MATCH($BE$4,Direct_Cost_Type,0))*$N17*INDEX(Act_Type_Augex_Splits,MATCH($I17,Act_Type_Augex,0),MATCH(BB$4,Mat_Type,0))*INDEX(Escalators!$I$44:$U$49,MATCH(BB$4,Escalators!$C$44:$C$49,0),MATCH(BB$5,Escalators!$I$43:$U$43,0))</f>
        <v>0</v>
      </c>
      <c r="BC17" s="128">
        <f>INDEX(Direct_Cost_Splits_Network,MATCH($H17,RIN_Asset_Cat_Network,0),MATCH($BE$4,Direct_Cost_Type,0))*$N17*INDEX(Act_Type_Augex_Splits,MATCH($I17,Act_Type_Augex,0),MATCH(BC$4,Mat_Type,0))*INDEX(Escalators!$I$44:$U$49,MATCH(BC$4,Escalators!$C$44:$C$49,0),MATCH(BC$5,Escalators!$I$43:$U$43,0))</f>
        <v>0</v>
      </c>
      <c r="BD17" s="128">
        <f>INDEX(Direct_Cost_Splits_Network,MATCH($H17,RIN_Asset_Cat_Network,0),MATCH($BE$4,Direct_Cost_Type,0))*$N17*INDEX(Act_Type_Augex_Splits,MATCH($I17,Act_Type_Augex,0),MATCH(BD$4,Mat_Type,0))*INDEX(Escalators!$I$44:$U$49,MATCH(BD$4,Escalators!$C$44:$C$49,0),MATCH(BD$5,Escalators!$I$43:$U$43,0))</f>
        <v>0</v>
      </c>
      <c r="BE17" s="128">
        <f t="shared" ref="BE17:BE27" si="72">SUM(AZ17:BD17)</f>
        <v>0</v>
      </c>
      <c r="BF17" s="128">
        <f>INDEX(Direct_Cost_Splits_Network,MATCH($H17,RIN_Asset_Cat_Network,0),MATCH($BK$4,Direct_Cost_Type,0))*$O17*INDEX(Act_Type_Augex_Splits,MATCH($I17,Act_Type_Augex,0),MATCH(BF$4,Mat_Type,0))*INDEX(Escalators!$I$44:$U$49,MATCH(BF$4,Escalators!$C$44:$C$49,0),MATCH(BF$5,Escalators!$I$43:$U$43,0))</f>
        <v>0</v>
      </c>
      <c r="BG17" s="128">
        <f>INDEX(Direct_Cost_Splits_Network,MATCH($H17,RIN_Asset_Cat_Network,0),MATCH($BK$4,Direct_Cost_Type,0))*$O17*INDEX(Act_Type_Augex_Splits,MATCH($I17,Act_Type_Augex,0),MATCH(BG$4,Mat_Type,0))*INDEX(Escalators!$I$44:$U$49,MATCH(BG$4,Escalators!$C$44:$C$49,0),MATCH(BG$5,Escalators!$I$43:$U$43,0))</f>
        <v>0</v>
      </c>
      <c r="BH17" s="128">
        <f>INDEX(Direct_Cost_Splits_Network,MATCH($H17,RIN_Asset_Cat_Network,0),MATCH($BK$4,Direct_Cost_Type,0))*$O17*INDEX(Act_Type_Augex_Splits,MATCH($I17,Act_Type_Augex,0),MATCH(BH$4,Mat_Type,0))*INDEX(Escalators!$I$44:$U$49,MATCH(BH$4,Escalators!$C$44:$C$49,0),MATCH(BH$5,Escalators!$I$43:$U$43,0))</f>
        <v>0</v>
      </c>
      <c r="BI17" s="128">
        <f>INDEX(Direct_Cost_Splits_Network,MATCH($H17,RIN_Asset_Cat_Network,0),MATCH($BK$4,Direct_Cost_Type,0))*$O17*INDEX(Act_Type_Augex_Splits,MATCH($I17,Act_Type_Augex,0),MATCH(BI$4,Mat_Type,0))*INDEX(Escalators!$I$44:$U$49,MATCH(BI$4,Escalators!$C$44:$C$49,0),MATCH(BI$5,Escalators!$I$43:$U$43,0))</f>
        <v>0</v>
      </c>
      <c r="BJ17" s="128">
        <f>INDEX(Direct_Cost_Splits_Network,MATCH($H17,RIN_Asset_Cat_Network,0),MATCH($BK$4,Direct_Cost_Type,0))*$O17*INDEX(Act_Type_Augex_Splits,MATCH($I17,Act_Type_Augex,0),MATCH(BJ$4,Mat_Type,0))*INDEX(Escalators!$I$44:$U$49,MATCH(BJ$4,Escalators!$C$44:$C$49,0),MATCH(BJ$5,Escalators!$I$43:$U$43,0))</f>
        <v>0</v>
      </c>
      <c r="BK17" s="128">
        <f t="shared" ref="BK17:BK27" si="73">SUM(BF17:BJ17)</f>
        <v>0</v>
      </c>
      <c r="BL17" s="128">
        <f>INDEX(Direct_Cost_Splits_Network,MATCH($H17,RIN_Asset_Cat_Network,0),MATCH($BQ$4,Direct_Cost_Type,0))*$P17*INDEX(Act_Type_Augex_Splits,MATCH($I17,Act_Type_Augex,0),MATCH(BL$4,Mat_Type,0))*INDEX(Escalators!$I$44:$U$49,MATCH(BL$4,Escalators!$C$44:$C$49,0),MATCH(BL$5,Escalators!$I$43:$U$43,0))</f>
        <v>0</v>
      </c>
      <c r="BM17" s="128">
        <f>INDEX(Direct_Cost_Splits_Network,MATCH($H17,RIN_Asset_Cat_Network,0),MATCH($BQ$4,Direct_Cost_Type,0))*$P17*INDEX(Act_Type_Augex_Splits,MATCH($I17,Act_Type_Augex,0),MATCH(BM$4,Mat_Type,0))*INDEX(Escalators!$I$44:$U$49,MATCH(BM$4,Escalators!$C$44:$C$49,0),MATCH(BM$5,Escalators!$I$43:$U$43,0))</f>
        <v>0</v>
      </c>
      <c r="BN17" s="128">
        <f>INDEX(Direct_Cost_Splits_Network,MATCH($H17,RIN_Asset_Cat_Network,0),MATCH($BQ$4,Direct_Cost_Type,0))*$P17*INDEX(Act_Type_Augex_Splits,MATCH($I17,Act_Type_Augex,0),MATCH(BN$4,Mat_Type,0))*INDEX(Escalators!$I$44:$U$49,MATCH(BN$4,Escalators!$C$44:$C$49,0),MATCH(BN$5,Escalators!$I$43:$U$43,0))</f>
        <v>0</v>
      </c>
      <c r="BO17" s="128">
        <f>INDEX(Direct_Cost_Splits_Network,MATCH($H17,RIN_Asset_Cat_Network,0),MATCH($BQ$4,Direct_Cost_Type,0))*$P17*INDEX(Act_Type_Augex_Splits,MATCH($I17,Act_Type_Augex,0),MATCH(BO$4,Mat_Type,0))*INDEX(Escalators!$I$44:$U$49,MATCH(BO$4,Escalators!$C$44:$C$49,0),MATCH(BO$5,Escalators!$I$43:$U$43,0))</f>
        <v>0</v>
      </c>
      <c r="BP17" s="128">
        <f>INDEX(Direct_Cost_Splits_Network,MATCH($H17,RIN_Asset_Cat_Network,0),MATCH($BQ$4,Direct_Cost_Type,0))*$P17*INDEX(Act_Type_Augex_Splits,MATCH($I17,Act_Type_Augex,0),MATCH(BP$4,Mat_Type,0))*INDEX(Escalators!$I$44:$U$49,MATCH(BP$4,Escalators!$C$44:$C$49,0),MATCH(BP$5,Escalators!$I$43:$U$43,0))</f>
        <v>0</v>
      </c>
      <c r="BQ17" s="128">
        <f t="shared" ref="BQ17:BQ27" si="74">SUM(BL17:BP17)</f>
        <v>0</v>
      </c>
      <c r="BR17" s="128">
        <f>INDEX(Direct_Cost_Splits_Network,MATCH($H17,RIN_Asset_Cat_Network,0),MATCH($BW$4,Direct_Cost_Type,0))*$Q17*INDEX(Act_Type_Augex_Splits,MATCH($I17,Act_Type_Augex,0),MATCH(BR$4,Mat_Type,0))*INDEX(Escalators!$I$44:$U$49,MATCH(BR$4,Escalators!$C$44:$C$49,0),MATCH(BR$5,Escalators!$I$43:$U$43,0))</f>
        <v>0</v>
      </c>
      <c r="BS17" s="128">
        <f>INDEX(Direct_Cost_Splits_Network,MATCH($H17,RIN_Asset_Cat_Network,0),MATCH($BW$4,Direct_Cost_Type,0))*$Q17*INDEX(Act_Type_Augex_Splits,MATCH($I17,Act_Type_Augex,0),MATCH(BS$4,Mat_Type,0))*INDEX(Escalators!$I$44:$U$49,MATCH(BS$4,Escalators!$C$44:$C$49,0),MATCH(BS$5,Escalators!$I$43:$U$43,0))</f>
        <v>0</v>
      </c>
      <c r="BT17" s="128">
        <f>INDEX(Direct_Cost_Splits_Network,MATCH($H17,RIN_Asset_Cat_Network,0),MATCH($BW$4,Direct_Cost_Type,0))*$Q17*INDEX(Act_Type_Augex_Splits,MATCH($I17,Act_Type_Augex,0),MATCH(BT$4,Mat_Type,0))*INDEX(Escalators!$I$44:$U$49,MATCH(BT$4,Escalators!$C$44:$C$49,0),MATCH(BT$5,Escalators!$I$43:$U$43,0))</f>
        <v>0</v>
      </c>
      <c r="BU17" s="128">
        <f>INDEX(Direct_Cost_Splits_Network,MATCH($H17,RIN_Asset_Cat_Network,0),MATCH($BW$4,Direct_Cost_Type,0))*$Q17*INDEX(Act_Type_Augex_Splits,MATCH($I17,Act_Type_Augex,0),MATCH(BU$4,Mat_Type,0))*INDEX(Escalators!$I$44:$U$49,MATCH(BU$4,Escalators!$C$44:$C$49,0),MATCH(BU$5,Escalators!$I$43:$U$43,0))</f>
        <v>0</v>
      </c>
      <c r="BV17" s="128">
        <f>INDEX(Direct_Cost_Splits_Network,MATCH($H17,RIN_Asset_Cat_Network,0),MATCH($BW$4,Direct_Cost_Type,0))*$Q17*INDEX(Act_Type_Augex_Splits,MATCH($I17,Act_Type_Augex,0),MATCH(BV$4,Mat_Type,0))*INDEX(Escalators!$I$44:$U$49,MATCH(BV$4,Escalators!$C$44:$C$49,0),MATCH(BV$5,Escalators!$I$43:$U$43,0))</f>
        <v>0</v>
      </c>
      <c r="BW17" s="128">
        <f t="shared" ref="BW17:BW27" si="75">SUM(BR17:BV17)</f>
        <v>0</v>
      </c>
      <c r="BX17" s="129"/>
      <c r="BY17" s="128">
        <f>INDEX(Direct_Cost_Splits_Network,MATCH($H17,RIN_Asset_Cat_Network,0),MATCH($BY$4,Direct_Cost_Type,0))*J17*HLOOKUP(BY$5,Escalators!$I$25:$U$30,6,FALSE)</f>
        <v>0</v>
      </c>
      <c r="BZ17" s="128">
        <f>INDEX(Direct_Cost_Splits_Network,MATCH($H17,RIN_Asset_Cat_Network,0),MATCH($BY$4,Direct_Cost_Type,0))*K17*HLOOKUP(BZ$5,Escalators!$I$25:$U$30,6,FALSE)</f>
        <v>0</v>
      </c>
      <c r="CA17" s="128">
        <f>INDEX(Direct_Cost_Splits_Network,MATCH($H17,RIN_Asset_Cat_Network,0),MATCH($BY$4,Direct_Cost_Type,0))*L17*HLOOKUP(CA$5,Escalators!$I$25:$U$30,6,FALSE)</f>
        <v>0</v>
      </c>
      <c r="CB17" s="128">
        <f>INDEX(Direct_Cost_Splits_Network,MATCH($H17,RIN_Asset_Cat_Network,0),MATCH($BY$4,Direct_Cost_Type,0))*M17*HLOOKUP(CB$5,Escalators!$I$25:$U$30,6,FALSE)</f>
        <v>0</v>
      </c>
      <c r="CC17" s="128">
        <f>INDEX(Direct_Cost_Splits_Network,MATCH($H17,RIN_Asset_Cat_Network,0),MATCH($BY$4,Direct_Cost_Type,0))*N17*HLOOKUP(CC$5,Escalators!$I$25:$U$30,6,FALSE)</f>
        <v>0</v>
      </c>
      <c r="CD17" s="128">
        <f>INDEX(Direct_Cost_Splits_Network,MATCH($H17,RIN_Asset_Cat_Network,0),MATCH($BY$4,Direct_Cost_Type,0))*O17*HLOOKUP(CD$5,Escalators!$I$25:$U$30,6,FALSE)</f>
        <v>0</v>
      </c>
      <c r="CE17" s="128">
        <f>INDEX(Direct_Cost_Splits_Network,MATCH($H17,RIN_Asset_Cat_Network,0),MATCH($BY$4,Direct_Cost_Type,0))*P17*HLOOKUP(CE$5,Escalators!$I$25:$U$30,6,FALSE)</f>
        <v>0</v>
      </c>
      <c r="CF17" s="128">
        <f>INDEX(Direct_Cost_Splits_Network,MATCH($H17,RIN_Asset_Cat_Network,0),MATCH($BY$4,Direct_Cost_Type,0))*Q17*HLOOKUP(CF$5,Escalators!$I$25:$U$30,6,FALSE)</f>
        <v>0</v>
      </c>
      <c r="CG17" s="129"/>
      <c r="CH17" s="763">
        <f t="shared" ref="CH17:CH27" si="76">INDEX(Direct_Cost_Splits_Network,MATCH($H17,RIN_Asset_Cat_Network,0),MATCH($CH$4,Direct_Cost_Type,0))*J17</f>
        <v>0</v>
      </c>
      <c r="CI17" s="763">
        <f t="shared" ref="CI17:CI29" si="77">INDEX(Direct_Cost_Splits_Network,MATCH($H17,RIN_Asset_Cat_Network,0),MATCH($CH$4,Direct_Cost_Type,0))*K17</f>
        <v>0</v>
      </c>
      <c r="CJ17" s="763">
        <f t="shared" ref="CJ17:CJ29" si="78">INDEX(Direct_Cost_Splits_Network,MATCH($H17,RIN_Asset_Cat_Network,0),MATCH($CH$4,Direct_Cost_Type,0))*L17</f>
        <v>0</v>
      </c>
      <c r="CK17" s="763">
        <f t="shared" ref="CK17:CK27" si="79">INDEX(Direct_Cost_Splits_Network,MATCH($H17,RIN_Asset_Cat_Network,0),MATCH($CH$4,Direct_Cost_Type,0))*M17</f>
        <v>0</v>
      </c>
      <c r="CL17" s="763">
        <f t="shared" ref="CL17:CL27" si="80">INDEX(Direct_Cost_Splits_Network,MATCH($H17,RIN_Asset_Cat_Network,0),MATCH($CH$4,Direct_Cost_Type,0))*N17</f>
        <v>0</v>
      </c>
      <c r="CM17" s="763">
        <f t="shared" ref="CM17:CM27" si="81">INDEX(Direct_Cost_Splits_Network,MATCH($H17,RIN_Asset_Cat_Network,0),MATCH($CH$4,Direct_Cost_Type,0))*O17</f>
        <v>0</v>
      </c>
      <c r="CN17" s="763">
        <f t="shared" ref="CN17:CN27" si="82">INDEX(Direct_Cost_Splits_Network,MATCH($H17,RIN_Asset_Cat_Network,0),MATCH($CH$4,Direct_Cost_Type,0))*P17</f>
        <v>0</v>
      </c>
      <c r="CO17" s="763">
        <f t="shared" ref="CO17:CO27" si="83">INDEX(Direct_Cost_Splits_Network,MATCH($H17,RIN_Asset_Cat_Network,0),MATCH($CH$4,Direct_Cost_Type,0))*Q17</f>
        <v>0</v>
      </c>
      <c r="CP17" s="129"/>
      <c r="CQ17" s="128">
        <f t="shared" si="18"/>
        <v>0</v>
      </c>
      <c r="CR17" s="128">
        <f t="shared" si="9"/>
        <v>0</v>
      </c>
      <c r="CS17" s="128">
        <f t="shared" si="19"/>
        <v>0</v>
      </c>
      <c r="CT17" s="128">
        <f t="shared" si="20"/>
        <v>0</v>
      </c>
      <c r="CU17" s="128">
        <f t="shared" si="21"/>
        <v>0</v>
      </c>
      <c r="CV17" s="128">
        <f t="shared" si="22"/>
        <v>0</v>
      </c>
      <c r="CW17" s="128">
        <f t="shared" si="23"/>
        <v>0</v>
      </c>
      <c r="CX17" s="128">
        <f t="shared" si="24"/>
        <v>0</v>
      </c>
      <c r="CZ17" s="39"/>
    </row>
    <row r="18" spans="2:104" x14ac:dyDescent="0.25">
      <c r="B18" s="75" t="s">
        <v>430</v>
      </c>
      <c r="C18" s="75" t="s">
        <v>422</v>
      </c>
      <c r="D18" s="75" t="s">
        <v>543</v>
      </c>
      <c r="E18" s="75" t="s">
        <v>45</v>
      </c>
      <c r="F18" s="75" t="s">
        <v>51</v>
      </c>
      <c r="G18" s="75" t="s">
        <v>10</v>
      </c>
      <c r="H18" s="75" t="s">
        <v>164</v>
      </c>
      <c r="I18" s="75" t="s">
        <v>214</v>
      </c>
      <c r="J18" s="128"/>
      <c r="K18" s="128"/>
      <c r="L18" s="128"/>
      <c r="M18" s="128"/>
      <c r="N18" s="128"/>
      <c r="O18" s="128"/>
      <c r="P18" s="128"/>
      <c r="Q18" s="128"/>
      <c r="R18" s="129"/>
      <c r="S18" s="128">
        <f>INDEX(Direct_Cost_Splits_Network,MATCH($H18,RIN_Asset_Cat_Network,0),MATCH($S$4,Direct_Cost_Type,0))*J18*HLOOKUP(S$5,Escalators!$I$25:$U$30,3,FALSE)</f>
        <v>0</v>
      </c>
      <c r="T18" s="128">
        <f>INDEX(Direct_Cost_Splits_Network,MATCH($H18,RIN_Asset_Cat_Network,0),MATCH($S$4,Direct_Cost_Type,0))*K18*HLOOKUP(T$5,Escalators!$I$25:$U$30,3,FALSE)</f>
        <v>0</v>
      </c>
      <c r="U18" s="128">
        <f>INDEX(Direct_Cost_Splits_Network,MATCH($H18,RIN_Asset_Cat_Network,0),MATCH($S$4,Direct_Cost_Type,0))*L18*HLOOKUP(U$5,Escalators!$I$25:$U$30,3,FALSE)</f>
        <v>0</v>
      </c>
      <c r="V18" s="128">
        <f>INDEX(Direct_Cost_Splits_Network,MATCH($H18,RIN_Asset_Cat_Network,0),MATCH($S$4,Direct_Cost_Type,0))*M18*HLOOKUP(V$5,Escalators!$I$25:$U$30,3,FALSE)</f>
        <v>0</v>
      </c>
      <c r="W18" s="128">
        <f>INDEX(Direct_Cost_Splits_Network,MATCH($H18,RIN_Asset_Cat_Network,0),MATCH($S$4,Direct_Cost_Type,0))*N18*HLOOKUP(W$5,Escalators!$I$25:$U$30,3,FALSE)</f>
        <v>0</v>
      </c>
      <c r="X18" s="128">
        <f>INDEX(Direct_Cost_Splits_Network,MATCH($H18,RIN_Asset_Cat_Network,0),MATCH($S$4,Direct_Cost_Type,0))*O18*HLOOKUP(X$5,Escalators!$I$25:$U$30,3,FALSE)</f>
        <v>0</v>
      </c>
      <c r="Y18" s="128">
        <f>INDEX(Direct_Cost_Splits_Network,MATCH($H18,RIN_Asset_Cat_Network,0),MATCH($S$4,Direct_Cost_Type,0))*P18*HLOOKUP(Y$5,Escalators!$I$25:$U$30,3,FALSE)</f>
        <v>0</v>
      </c>
      <c r="Z18" s="128">
        <f>INDEX(Direct_Cost_Splits_Network,MATCH($H18,RIN_Asset_Cat_Network,0),MATCH($S$4,Direct_Cost_Type,0))*Q18*HLOOKUP(Z$5,Escalators!$I$25:$U$30,3,FALSE)</f>
        <v>0</v>
      </c>
      <c r="AA18" s="129"/>
      <c r="AB18" s="128">
        <f>INDEX(Direct_Cost_Splits_Network,MATCH($H18,RIN_Asset_Cat_Network,0),MATCH($AG$4,Direct_Cost_Type,0))*$J18*INDEX(Act_Type_Augex_Splits,MATCH($I18,Act_Type_Augex,0),MATCH(AB$4,Mat_Type,0))*INDEX(Escalators!$I$44:$U$49,MATCH(AB$4,Escalators!$C$44:$C$49,0),MATCH(AB$5,Escalators!$I$43:$U$43,0))</f>
        <v>0</v>
      </c>
      <c r="AC18" s="128">
        <f>INDEX(Direct_Cost_Splits_Network,MATCH($H18,RIN_Asset_Cat_Network,0),MATCH($AG$4,Direct_Cost_Type,0))*$J18*INDEX(Act_Type_Augex_Splits,MATCH($I18,Act_Type_Augex,0),MATCH(AC$4,Mat_Type,0))*INDEX(Escalators!$I$44:$U$49,MATCH(AC$4,Escalators!$C$44:$C$49,0),MATCH(AC$5,Escalators!$I$43:$U$43,0))</f>
        <v>0</v>
      </c>
      <c r="AD18" s="128">
        <f>INDEX(Direct_Cost_Splits_Network,MATCH($H18,RIN_Asset_Cat_Network,0),MATCH($AG$4,Direct_Cost_Type,0))*$J18*INDEX(Act_Type_Augex_Splits,MATCH($I18,Act_Type_Augex,0),MATCH(AD$4,Mat_Type,0))*INDEX(Escalators!$I$44:$U$49,MATCH(AD$4,Escalators!$C$44:$C$49,0),MATCH(AD$5,Escalators!$I$43:$U$43,0))</f>
        <v>0</v>
      </c>
      <c r="AE18" s="128">
        <f>INDEX(Direct_Cost_Splits_Network,MATCH($H18,RIN_Asset_Cat_Network,0),MATCH($AG$4,Direct_Cost_Type,0))*$J18*INDEX(Act_Type_Augex_Splits,MATCH($I18,Act_Type_Augex,0),MATCH(AE$4,Mat_Type,0))*INDEX(Escalators!$I$44:$U$49,MATCH(AE$4,Escalators!$C$44:$C$49,0),MATCH(AE$5,Escalators!$I$43:$U$43,0))</f>
        <v>0</v>
      </c>
      <c r="AF18" s="128">
        <f>INDEX(Direct_Cost_Splits_Network,MATCH($H18,RIN_Asset_Cat_Network,0),MATCH($AG$4,Direct_Cost_Type,0))*$J18*INDEX(Act_Type_Augex_Splits,MATCH($I18,Act_Type_Augex,0),MATCH(AF$4,Mat_Type,0))*INDEX(Escalators!$I$44:$U$49,MATCH(AF$4,Escalators!$C$44:$C$49,0),MATCH(AF$5,Escalators!$I$43:$U$43,0))</f>
        <v>0</v>
      </c>
      <c r="AG18" s="128">
        <f t="shared" si="68"/>
        <v>0</v>
      </c>
      <c r="AH18" s="128">
        <f>INDEX(Direct_Cost_Splits_Network,MATCH($H18,RIN_Asset_Cat_Network,0),MATCH($AY$4,Direct_Cost_Type,0))*$K18*INDEX(Act_Type_Augex_Splits,MATCH($I18,Act_Type_Augex,0),MATCH(AH$4,Mat_Type,0))*INDEX(Escalators!$I$44:$U$49,MATCH(AH$4,Escalators!$C$44:$C$49,0),MATCH(AH$5,Escalators!$I$43:$U$43,0))</f>
        <v>0</v>
      </c>
      <c r="AI18" s="128">
        <f>INDEX(Direct_Cost_Splits_Network,MATCH($H18,RIN_Asset_Cat_Network,0),MATCH($AY$4,Direct_Cost_Type,0))*$K18*INDEX(Act_Type_Augex_Splits,MATCH($I18,Act_Type_Augex,0),MATCH(AI$4,Mat_Type,0))*INDEX(Escalators!$I$44:$U$49,MATCH(AI$4,Escalators!$C$44:$C$49,0),MATCH(AI$5,Escalators!$I$43:$U$43,0))</f>
        <v>0</v>
      </c>
      <c r="AJ18" s="128">
        <f>INDEX(Direct_Cost_Splits_Network,MATCH($H18,RIN_Asset_Cat_Network,0),MATCH($AY$4,Direct_Cost_Type,0))*$K18*INDEX(Act_Type_Augex_Splits,MATCH($I18,Act_Type_Augex,0),MATCH(AJ$4,Mat_Type,0))*INDEX(Escalators!$I$44:$U$49,MATCH(AJ$4,Escalators!$C$44:$C$49,0),MATCH(AJ$5,Escalators!$I$43:$U$43,0))</f>
        <v>0</v>
      </c>
      <c r="AK18" s="128">
        <f>INDEX(Direct_Cost_Splits_Network,MATCH($H18,RIN_Asset_Cat_Network,0),MATCH($AY$4,Direct_Cost_Type,0))*$K18*INDEX(Act_Type_Augex_Splits,MATCH($I18,Act_Type_Augex,0),MATCH(AK$4,Mat_Type,0))*INDEX(Escalators!$I$44:$U$49,MATCH(AK$4,Escalators!$C$44:$C$49,0),MATCH(AK$5,Escalators!$I$43:$U$43,0))</f>
        <v>0</v>
      </c>
      <c r="AL18" s="128">
        <f>INDEX(Direct_Cost_Splits_Network,MATCH($H18,RIN_Asset_Cat_Network,0),MATCH($AY$4,Direct_Cost_Type,0))*$K18*INDEX(Act_Type_Augex_Splits,MATCH($I18,Act_Type_Augex,0),MATCH(AL$4,Mat_Type,0))*INDEX(Escalators!$I$44:$U$49,MATCH(AL$4,Escalators!$C$44:$C$49,0),MATCH(AL$5,Escalators!$I$43:$U$43,0))</f>
        <v>0</v>
      </c>
      <c r="AM18" s="128">
        <f t="shared" si="69"/>
        <v>0</v>
      </c>
      <c r="AN18" s="128">
        <f>INDEX(Direct_Cost_Splits_Network,MATCH($H18,RIN_Asset_Cat_Network,0),MATCH($AY$4,Direct_Cost_Type,0))*$L18*INDEX(Act_Type_Augex_Splits,MATCH($I18,Act_Type_Augex,0),MATCH(AN$4,Mat_Type,0))*INDEX(Escalators!$I$44:$U$49,MATCH(AN$4,Escalators!$C$44:$C$49,0),MATCH(AN$5,Escalators!$I$43:$U$43,0))</f>
        <v>0</v>
      </c>
      <c r="AO18" s="128">
        <f>INDEX(Direct_Cost_Splits_Network,MATCH($H18,RIN_Asset_Cat_Network,0),MATCH($AY$4,Direct_Cost_Type,0))*$L18*INDEX(Act_Type_Augex_Splits,MATCH($I18,Act_Type_Augex,0),MATCH(AO$4,Mat_Type,0))*INDEX(Escalators!$I$44:$U$49,MATCH(AO$4,Escalators!$C$44:$C$49,0),MATCH(AO$5,Escalators!$I$43:$U$43,0))</f>
        <v>0</v>
      </c>
      <c r="AP18" s="128">
        <f>INDEX(Direct_Cost_Splits_Network,MATCH($H18,RIN_Asset_Cat_Network,0),MATCH($AY$4,Direct_Cost_Type,0))*$L18*INDEX(Act_Type_Augex_Splits,MATCH($I18,Act_Type_Augex,0),MATCH(AP$4,Mat_Type,0))*INDEX(Escalators!$I$44:$U$49,MATCH(AP$4,Escalators!$C$44:$C$49,0),MATCH(AP$5,Escalators!$I$43:$U$43,0))</f>
        <v>0</v>
      </c>
      <c r="AQ18" s="128">
        <f>INDEX(Direct_Cost_Splits_Network,MATCH($H18,RIN_Asset_Cat_Network,0),MATCH($AY$4,Direct_Cost_Type,0))*$L18*INDEX(Act_Type_Augex_Splits,MATCH($I18,Act_Type_Augex,0),MATCH(AQ$4,Mat_Type,0))*INDEX(Escalators!$I$44:$U$49,MATCH(AQ$4,Escalators!$C$44:$C$49,0),MATCH(AQ$5,Escalators!$I$43:$U$43,0))</f>
        <v>0</v>
      </c>
      <c r="AR18" s="128">
        <f>INDEX(Direct_Cost_Splits_Network,MATCH($H18,RIN_Asset_Cat_Network,0),MATCH($AY$4,Direct_Cost_Type,0))*$L18*INDEX(Act_Type_Augex_Splits,MATCH($I18,Act_Type_Augex,0),MATCH(AR$4,Mat_Type,0))*INDEX(Escalators!$I$44:$U$49,MATCH(AR$4,Escalators!$C$44:$C$49,0),MATCH(AR$5,Escalators!$I$43:$U$43,0))</f>
        <v>0</v>
      </c>
      <c r="AS18" s="128">
        <f t="shared" si="70"/>
        <v>0</v>
      </c>
      <c r="AT18" s="128">
        <f>INDEX(Direct_Cost_Splits_Network,MATCH($H18,RIN_Asset_Cat_Network,0),MATCH($AY$4,Direct_Cost_Type,0))*$M18*INDEX(Act_Type_Augex_Splits,MATCH($I18,Act_Type_Augex,0),MATCH(AT$4,Mat_Type,0))*INDEX(Escalators!$I$44:$U$49,MATCH(AT$4,Escalators!$C$44:$C$49,0),MATCH(AT$5,Escalators!$I$43:$U$43,0))</f>
        <v>0</v>
      </c>
      <c r="AU18" s="128">
        <f>INDEX(Direct_Cost_Splits_Network,MATCH($H18,RIN_Asset_Cat_Network,0),MATCH($AY$4,Direct_Cost_Type,0))*$M18*INDEX(Act_Type_Augex_Splits,MATCH($I18,Act_Type_Augex,0),MATCH(AU$4,Mat_Type,0))*INDEX(Escalators!$I$44:$U$49,MATCH(AU$4,Escalators!$C$44:$C$49,0),MATCH(AU$5,Escalators!$I$43:$U$43,0))</f>
        <v>0</v>
      </c>
      <c r="AV18" s="128">
        <f>INDEX(Direct_Cost_Splits_Network,MATCH($H18,RIN_Asset_Cat_Network,0),MATCH($AY$4,Direct_Cost_Type,0))*$M18*INDEX(Act_Type_Augex_Splits,MATCH($I18,Act_Type_Augex,0),MATCH(AV$4,Mat_Type,0))*INDEX(Escalators!$I$44:$U$49,MATCH(AV$4,Escalators!$C$44:$C$49,0),MATCH(AV$5,Escalators!$I$43:$U$43,0))</f>
        <v>0</v>
      </c>
      <c r="AW18" s="128">
        <f>INDEX(Direct_Cost_Splits_Network,MATCH($H18,RIN_Asset_Cat_Network,0),MATCH($AY$4,Direct_Cost_Type,0))*$M18*INDEX(Act_Type_Augex_Splits,MATCH($I18,Act_Type_Augex,0),MATCH(AW$4,Mat_Type,0))*INDEX(Escalators!$I$44:$U$49,MATCH(AW$4,Escalators!$C$44:$C$49,0),MATCH(AW$5,Escalators!$I$43:$U$43,0))</f>
        <v>0</v>
      </c>
      <c r="AX18" s="128">
        <f>INDEX(Direct_Cost_Splits_Network,MATCH($H18,RIN_Asset_Cat_Network,0),MATCH($AY$4,Direct_Cost_Type,0))*$M18*INDEX(Act_Type_Augex_Splits,MATCH($I18,Act_Type_Augex,0),MATCH(AX$4,Mat_Type,0))*INDEX(Escalators!$I$44:$U$49,MATCH(AX$4,Escalators!$C$44:$C$49,0),MATCH(AX$5,Escalators!$I$43:$U$43,0))</f>
        <v>0</v>
      </c>
      <c r="AY18" s="128">
        <f t="shared" si="71"/>
        <v>0</v>
      </c>
      <c r="AZ18" s="128">
        <f>INDEX(Direct_Cost_Splits_Network,MATCH($H18,RIN_Asset_Cat_Network,0),MATCH($BE$4,Direct_Cost_Type,0))*$N18*INDEX(Act_Type_Augex_Splits,MATCH($I18,Act_Type_Augex,0),MATCH(AZ$4,Mat_Type,0))*INDEX(Escalators!$I$44:$U$49,MATCH(AZ$4,Escalators!$C$44:$C$49,0),MATCH(AZ$5,Escalators!$I$43:$U$43,0))</f>
        <v>0</v>
      </c>
      <c r="BA18" s="128">
        <f>INDEX(Direct_Cost_Splits_Network,MATCH($H18,RIN_Asset_Cat_Network,0),MATCH($BE$4,Direct_Cost_Type,0))*$N18*INDEX(Act_Type_Augex_Splits,MATCH($I18,Act_Type_Augex,0),MATCH(BA$4,Mat_Type,0))*INDEX(Escalators!$I$44:$U$49,MATCH(BA$4,Escalators!$C$44:$C$49,0),MATCH(BA$5,Escalators!$I$43:$U$43,0))</f>
        <v>0</v>
      </c>
      <c r="BB18" s="128">
        <f>INDEX(Direct_Cost_Splits_Network,MATCH($H18,RIN_Asset_Cat_Network,0),MATCH($BE$4,Direct_Cost_Type,0))*$N18*INDEX(Act_Type_Augex_Splits,MATCH($I18,Act_Type_Augex,0),MATCH(BB$4,Mat_Type,0))*INDEX(Escalators!$I$44:$U$49,MATCH(BB$4,Escalators!$C$44:$C$49,0),MATCH(BB$5,Escalators!$I$43:$U$43,0))</f>
        <v>0</v>
      </c>
      <c r="BC18" s="128">
        <f>INDEX(Direct_Cost_Splits_Network,MATCH($H18,RIN_Asset_Cat_Network,0),MATCH($BE$4,Direct_Cost_Type,0))*$N18*INDEX(Act_Type_Augex_Splits,MATCH($I18,Act_Type_Augex,0),MATCH(BC$4,Mat_Type,0))*INDEX(Escalators!$I$44:$U$49,MATCH(BC$4,Escalators!$C$44:$C$49,0),MATCH(BC$5,Escalators!$I$43:$U$43,0))</f>
        <v>0</v>
      </c>
      <c r="BD18" s="128">
        <f>INDEX(Direct_Cost_Splits_Network,MATCH($H18,RIN_Asset_Cat_Network,0),MATCH($BE$4,Direct_Cost_Type,0))*$N18*INDEX(Act_Type_Augex_Splits,MATCH($I18,Act_Type_Augex,0),MATCH(BD$4,Mat_Type,0))*INDEX(Escalators!$I$44:$U$49,MATCH(BD$4,Escalators!$C$44:$C$49,0),MATCH(BD$5,Escalators!$I$43:$U$43,0))</f>
        <v>0</v>
      </c>
      <c r="BE18" s="128">
        <f t="shared" si="72"/>
        <v>0</v>
      </c>
      <c r="BF18" s="128">
        <f>INDEX(Direct_Cost_Splits_Network,MATCH($H18,RIN_Asset_Cat_Network,0),MATCH($BK$4,Direct_Cost_Type,0))*$O18*INDEX(Act_Type_Augex_Splits,MATCH($I18,Act_Type_Augex,0),MATCH(BF$4,Mat_Type,0))*INDEX(Escalators!$I$44:$U$49,MATCH(BF$4,Escalators!$C$44:$C$49,0),MATCH(BF$5,Escalators!$I$43:$U$43,0))</f>
        <v>0</v>
      </c>
      <c r="BG18" s="128">
        <f>INDEX(Direct_Cost_Splits_Network,MATCH($H18,RIN_Asset_Cat_Network,0),MATCH($BK$4,Direct_Cost_Type,0))*$O18*INDEX(Act_Type_Augex_Splits,MATCH($I18,Act_Type_Augex,0),MATCH(BG$4,Mat_Type,0))*INDEX(Escalators!$I$44:$U$49,MATCH(BG$4,Escalators!$C$44:$C$49,0),MATCH(BG$5,Escalators!$I$43:$U$43,0))</f>
        <v>0</v>
      </c>
      <c r="BH18" s="128">
        <f>INDEX(Direct_Cost_Splits_Network,MATCH($H18,RIN_Asset_Cat_Network,0),MATCH($BK$4,Direct_Cost_Type,0))*$O18*INDEX(Act_Type_Augex_Splits,MATCH($I18,Act_Type_Augex,0),MATCH(BH$4,Mat_Type,0))*INDEX(Escalators!$I$44:$U$49,MATCH(BH$4,Escalators!$C$44:$C$49,0),MATCH(BH$5,Escalators!$I$43:$U$43,0))</f>
        <v>0</v>
      </c>
      <c r="BI18" s="128">
        <f>INDEX(Direct_Cost_Splits_Network,MATCH($H18,RIN_Asset_Cat_Network,0),MATCH($BK$4,Direct_Cost_Type,0))*$O18*INDEX(Act_Type_Augex_Splits,MATCH($I18,Act_Type_Augex,0),MATCH(BI$4,Mat_Type,0))*INDEX(Escalators!$I$44:$U$49,MATCH(BI$4,Escalators!$C$44:$C$49,0),MATCH(BI$5,Escalators!$I$43:$U$43,0))</f>
        <v>0</v>
      </c>
      <c r="BJ18" s="128">
        <f>INDEX(Direct_Cost_Splits_Network,MATCH($H18,RIN_Asset_Cat_Network,0),MATCH($BK$4,Direct_Cost_Type,0))*$O18*INDEX(Act_Type_Augex_Splits,MATCH($I18,Act_Type_Augex,0),MATCH(BJ$4,Mat_Type,0))*INDEX(Escalators!$I$44:$U$49,MATCH(BJ$4,Escalators!$C$44:$C$49,0),MATCH(BJ$5,Escalators!$I$43:$U$43,0))</f>
        <v>0</v>
      </c>
      <c r="BK18" s="128">
        <f t="shared" si="73"/>
        <v>0</v>
      </c>
      <c r="BL18" s="128">
        <f>INDEX(Direct_Cost_Splits_Network,MATCH($H18,RIN_Asset_Cat_Network,0),MATCH($BQ$4,Direct_Cost_Type,0))*$P18*INDEX(Act_Type_Augex_Splits,MATCH($I18,Act_Type_Augex,0),MATCH(BL$4,Mat_Type,0))*INDEX(Escalators!$I$44:$U$49,MATCH(BL$4,Escalators!$C$44:$C$49,0),MATCH(BL$5,Escalators!$I$43:$U$43,0))</f>
        <v>0</v>
      </c>
      <c r="BM18" s="128">
        <f>INDEX(Direct_Cost_Splits_Network,MATCH($H18,RIN_Asset_Cat_Network,0),MATCH($BQ$4,Direct_Cost_Type,0))*$P18*INDEX(Act_Type_Augex_Splits,MATCH($I18,Act_Type_Augex,0),MATCH(BM$4,Mat_Type,0))*INDEX(Escalators!$I$44:$U$49,MATCH(BM$4,Escalators!$C$44:$C$49,0),MATCH(BM$5,Escalators!$I$43:$U$43,0))</f>
        <v>0</v>
      </c>
      <c r="BN18" s="128">
        <f>INDEX(Direct_Cost_Splits_Network,MATCH($H18,RIN_Asset_Cat_Network,0),MATCH($BQ$4,Direct_Cost_Type,0))*$P18*INDEX(Act_Type_Augex_Splits,MATCH($I18,Act_Type_Augex,0),MATCH(BN$4,Mat_Type,0))*INDEX(Escalators!$I$44:$U$49,MATCH(BN$4,Escalators!$C$44:$C$49,0),MATCH(BN$5,Escalators!$I$43:$U$43,0))</f>
        <v>0</v>
      </c>
      <c r="BO18" s="128">
        <f>INDEX(Direct_Cost_Splits_Network,MATCH($H18,RIN_Asset_Cat_Network,0),MATCH($BQ$4,Direct_Cost_Type,0))*$P18*INDEX(Act_Type_Augex_Splits,MATCH($I18,Act_Type_Augex,0),MATCH(BO$4,Mat_Type,0))*INDEX(Escalators!$I$44:$U$49,MATCH(BO$4,Escalators!$C$44:$C$49,0),MATCH(BO$5,Escalators!$I$43:$U$43,0))</f>
        <v>0</v>
      </c>
      <c r="BP18" s="128">
        <f>INDEX(Direct_Cost_Splits_Network,MATCH($H18,RIN_Asset_Cat_Network,0),MATCH($BQ$4,Direct_Cost_Type,0))*$P18*INDEX(Act_Type_Augex_Splits,MATCH($I18,Act_Type_Augex,0),MATCH(BP$4,Mat_Type,0))*INDEX(Escalators!$I$44:$U$49,MATCH(BP$4,Escalators!$C$44:$C$49,0),MATCH(BP$5,Escalators!$I$43:$U$43,0))</f>
        <v>0</v>
      </c>
      <c r="BQ18" s="128">
        <f t="shared" si="74"/>
        <v>0</v>
      </c>
      <c r="BR18" s="128">
        <f>INDEX(Direct_Cost_Splits_Network,MATCH($H18,RIN_Asset_Cat_Network,0),MATCH($BW$4,Direct_Cost_Type,0))*$Q18*INDEX(Act_Type_Augex_Splits,MATCH($I18,Act_Type_Augex,0),MATCH(BR$4,Mat_Type,0))*INDEX(Escalators!$I$44:$U$49,MATCH(BR$4,Escalators!$C$44:$C$49,0),MATCH(BR$5,Escalators!$I$43:$U$43,0))</f>
        <v>0</v>
      </c>
      <c r="BS18" s="128">
        <f>INDEX(Direct_Cost_Splits_Network,MATCH($H18,RIN_Asset_Cat_Network,0),MATCH($BW$4,Direct_Cost_Type,0))*$Q18*INDEX(Act_Type_Augex_Splits,MATCH($I18,Act_Type_Augex,0),MATCH(BS$4,Mat_Type,0))*INDEX(Escalators!$I$44:$U$49,MATCH(BS$4,Escalators!$C$44:$C$49,0),MATCH(BS$5,Escalators!$I$43:$U$43,0))</f>
        <v>0</v>
      </c>
      <c r="BT18" s="128">
        <f>INDEX(Direct_Cost_Splits_Network,MATCH($H18,RIN_Asset_Cat_Network,0),MATCH($BW$4,Direct_Cost_Type,0))*$Q18*INDEX(Act_Type_Augex_Splits,MATCH($I18,Act_Type_Augex,0),MATCH(BT$4,Mat_Type,0))*INDEX(Escalators!$I$44:$U$49,MATCH(BT$4,Escalators!$C$44:$C$49,0),MATCH(BT$5,Escalators!$I$43:$U$43,0))</f>
        <v>0</v>
      </c>
      <c r="BU18" s="128">
        <f>INDEX(Direct_Cost_Splits_Network,MATCH($H18,RIN_Asset_Cat_Network,0),MATCH($BW$4,Direct_Cost_Type,0))*$Q18*INDEX(Act_Type_Augex_Splits,MATCH($I18,Act_Type_Augex,0),MATCH(BU$4,Mat_Type,0))*INDEX(Escalators!$I$44:$U$49,MATCH(BU$4,Escalators!$C$44:$C$49,0),MATCH(BU$5,Escalators!$I$43:$U$43,0))</f>
        <v>0</v>
      </c>
      <c r="BV18" s="128">
        <f>INDEX(Direct_Cost_Splits_Network,MATCH($H18,RIN_Asset_Cat_Network,0),MATCH($BW$4,Direct_Cost_Type,0))*$Q18*INDEX(Act_Type_Augex_Splits,MATCH($I18,Act_Type_Augex,0),MATCH(BV$4,Mat_Type,0))*INDEX(Escalators!$I$44:$U$49,MATCH(BV$4,Escalators!$C$44:$C$49,0),MATCH(BV$5,Escalators!$I$43:$U$43,0))</f>
        <v>0</v>
      </c>
      <c r="BW18" s="128">
        <f t="shared" si="75"/>
        <v>0</v>
      </c>
      <c r="BX18" s="129"/>
      <c r="BY18" s="128">
        <f>INDEX(Direct_Cost_Splits_Network,MATCH($H18,RIN_Asset_Cat_Network,0),MATCH($BY$4,Direct_Cost_Type,0))*J18*HLOOKUP(BY$5,Escalators!$I$25:$U$30,6,FALSE)</f>
        <v>0</v>
      </c>
      <c r="BZ18" s="128">
        <f>INDEX(Direct_Cost_Splits_Network,MATCH($H18,RIN_Asset_Cat_Network,0),MATCH($BY$4,Direct_Cost_Type,0))*K18*HLOOKUP(BZ$5,Escalators!$I$25:$U$30,6,FALSE)</f>
        <v>0</v>
      </c>
      <c r="CA18" s="128">
        <f>INDEX(Direct_Cost_Splits_Network,MATCH($H18,RIN_Asset_Cat_Network,0),MATCH($BY$4,Direct_Cost_Type,0))*L18*HLOOKUP(CA$5,Escalators!$I$25:$U$30,6,FALSE)</f>
        <v>0</v>
      </c>
      <c r="CB18" s="128">
        <f>INDEX(Direct_Cost_Splits_Network,MATCH($H18,RIN_Asset_Cat_Network,0),MATCH($BY$4,Direct_Cost_Type,0))*M18*HLOOKUP(CB$5,Escalators!$I$25:$U$30,6,FALSE)</f>
        <v>0</v>
      </c>
      <c r="CC18" s="128">
        <f>INDEX(Direct_Cost_Splits_Network,MATCH($H18,RIN_Asset_Cat_Network,0),MATCH($BY$4,Direct_Cost_Type,0))*N18*HLOOKUP(CC$5,Escalators!$I$25:$U$30,6,FALSE)</f>
        <v>0</v>
      </c>
      <c r="CD18" s="128">
        <f>INDEX(Direct_Cost_Splits_Network,MATCH($H18,RIN_Asset_Cat_Network,0),MATCH($BY$4,Direct_Cost_Type,0))*O18*HLOOKUP(CD$5,Escalators!$I$25:$U$30,6,FALSE)</f>
        <v>0</v>
      </c>
      <c r="CE18" s="128">
        <f>INDEX(Direct_Cost_Splits_Network,MATCH($H18,RIN_Asset_Cat_Network,0),MATCH($BY$4,Direct_Cost_Type,0))*P18*HLOOKUP(CE$5,Escalators!$I$25:$U$30,6,FALSE)</f>
        <v>0</v>
      </c>
      <c r="CF18" s="128">
        <f>INDEX(Direct_Cost_Splits_Network,MATCH($H18,RIN_Asset_Cat_Network,0),MATCH($BY$4,Direct_Cost_Type,0))*Q18*HLOOKUP(CF$5,Escalators!$I$25:$U$30,6,FALSE)</f>
        <v>0</v>
      </c>
      <c r="CG18" s="129"/>
      <c r="CH18" s="763">
        <f t="shared" si="76"/>
        <v>0</v>
      </c>
      <c r="CI18" s="763">
        <f t="shared" si="77"/>
        <v>0</v>
      </c>
      <c r="CJ18" s="763">
        <f t="shared" si="78"/>
        <v>0</v>
      </c>
      <c r="CK18" s="763">
        <f t="shared" si="79"/>
        <v>0</v>
      </c>
      <c r="CL18" s="763">
        <f t="shared" si="80"/>
        <v>0</v>
      </c>
      <c r="CM18" s="763">
        <f t="shared" si="81"/>
        <v>0</v>
      </c>
      <c r="CN18" s="763">
        <f t="shared" si="82"/>
        <v>0</v>
      </c>
      <c r="CO18" s="763">
        <f t="shared" si="83"/>
        <v>0</v>
      </c>
      <c r="CP18" s="129"/>
      <c r="CQ18" s="128">
        <f t="shared" si="18"/>
        <v>0</v>
      </c>
      <c r="CR18" s="128">
        <f t="shared" si="9"/>
        <v>0</v>
      </c>
      <c r="CS18" s="128">
        <f t="shared" si="19"/>
        <v>0</v>
      </c>
      <c r="CT18" s="128">
        <f t="shared" si="20"/>
        <v>0</v>
      </c>
      <c r="CU18" s="128">
        <f t="shared" si="21"/>
        <v>0</v>
      </c>
      <c r="CV18" s="128">
        <f t="shared" si="22"/>
        <v>0</v>
      </c>
      <c r="CW18" s="128">
        <f t="shared" si="23"/>
        <v>0</v>
      </c>
      <c r="CX18" s="128">
        <f t="shared" si="24"/>
        <v>0</v>
      </c>
      <c r="CZ18" s="39"/>
    </row>
    <row r="19" spans="2:104" x14ac:dyDescent="0.25">
      <c r="B19" s="75" t="s">
        <v>430</v>
      </c>
      <c r="C19" s="75" t="s">
        <v>423</v>
      </c>
      <c r="D19" s="75" t="s">
        <v>543</v>
      </c>
      <c r="E19" s="75" t="s">
        <v>45</v>
      </c>
      <c r="F19" s="75" t="s">
        <v>51</v>
      </c>
      <c r="G19" s="75" t="s">
        <v>10</v>
      </c>
      <c r="H19" s="75" t="s">
        <v>164</v>
      </c>
      <c r="I19" s="75" t="s">
        <v>214</v>
      </c>
      <c r="J19" s="128"/>
      <c r="K19" s="128"/>
      <c r="L19" s="128"/>
      <c r="M19" s="128"/>
      <c r="N19" s="128"/>
      <c r="O19" s="128"/>
      <c r="P19" s="128"/>
      <c r="Q19" s="128"/>
      <c r="R19" s="129"/>
      <c r="S19" s="128">
        <f>INDEX(Direct_Cost_Splits_Network,MATCH($H19,RIN_Asset_Cat_Network,0),MATCH($S$4,Direct_Cost_Type,0))*J19*HLOOKUP(S$5,Escalators!$I$25:$U$30,3,FALSE)</f>
        <v>0</v>
      </c>
      <c r="T19" s="128">
        <f>INDEX(Direct_Cost_Splits_Network,MATCH($H19,RIN_Asset_Cat_Network,0),MATCH($S$4,Direct_Cost_Type,0))*K19*HLOOKUP(T$5,Escalators!$I$25:$U$30,3,FALSE)</f>
        <v>0</v>
      </c>
      <c r="U19" s="128">
        <f>INDEX(Direct_Cost_Splits_Network,MATCH($H19,RIN_Asset_Cat_Network,0),MATCH($S$4,Direct_Cost_Type,0))*L19*HLOOKUP(U$5,Escalators!$I$25:$U$30,3,FALSE)</f>
        <v>0</v>
      </c>
      <c r="V19" s="128">
        <f>INDEX(Direct_Cost_Splits_Network,MATCH($H19,RIN_Asset_Cat_Network,0),MATCH($S$4,Direct_Cost_Type,0))*M19*HLOOKUP(V$5,Escalators!$I$25:$U$30,3,FALSE)</f>
        <v>0</v>
      </c>
      <c r="W19" s="128">
        <f>INDEX(Direct_Cost_Splits_Network,MATCH($H19,RIN_Asset_Cat_Network,0),MATCH($S$4,Direct_Cost_Type,0))*N19*HLOOKUP(W$5,Escalators!$I$25:$U$30,3,FALSE)</f>
        <v>0</v>
      </c>
      <c r="X19" s="128">
        <f>INDEX(Direct_Cost_Splits_Network,MATCH($H19,RIN_Asset_Cat_Network,0),MATCH($S$4,Direct_Cost_Type,0))*O19*HLOOKUP(X$5,Escalators!$I$25:$U$30,3,FALSE)</f>
        <v>0</v>
      </c>
      <c r="Y19" s="128">
        <f>INDEX(Direct_Cost_Splits_Network,MATCH($H19,RIN_Asset_Cat_Network,0),MATCH($S$4,Direct_Cost_Type,0))*P19*HLOOKUP(Y$5,Escalators!$I$25:$U$30,3,FALSE)</f>
        <v>0</v>
      </c>
      <c r="Z19" s="128">
        <f>INDEX(Direct_Cost_Splits_Network,MATCH($H19,RIN_Asset_Cat_Network,0),MATCH($S$4,Direct_Cost_Type,0))*Q19*HLOOKUP(Z$5,Escalators!$I$25:$U$30,3,FALSE)</f>
        <v>0</v>
      </c>
      <c r="AA19" s="129"/>
      <c r="AB19" s="128">
        <f>INDEX(Direct_Cost_Splits_Network,MATCH($H19,RIN_Asset_Cat_Network,0),MATCH($AG$4,Direct_Cost_Type,0))*$J19*INDEX(Act_Type_Augex_Splits,MATCH($I19,Act_Type_Augex,0),MATCH(AB$4,Mat_Type,0))*INDEX(Escalators!$I$44:$U$49,MATCH(AB$4,Escalators!$C$44:$C$49,0),MATCH(AB$5,Escalators!$I$43:$U$43,0))</f>
        <v>0</v>
      </c>
      <c r="AC19" s="128">
        <f>INDEX(Direct_Cost_Splits_Network,MATCH($H19,RIN_Asset_Cat_Network,0),MATCH($AG$4,Direct_Cost_Type,0))*$J19*INDEX(Act_Type_Augex_Splits,MATCH($I19,Act_Type_Augex,0),MATCH(AC$4,Mat_Type,0))*INDEX(Escalators!$I$44:$U$49,MATCH(AC$4,Escalators!$C$44:$C$49,0),MATCH(AC$5,Escalators!$I$43:$U$43,0))</f>
        <v>0</v>
      </c>
      <c r="AD19" s="128">
        <f>INDEX(Direct_Cost_Splits_Network,MATCH($H19,RIN_Asset_Cat_Network,0),MATCH($AG$4,Direct_Cost_Type,0))*$J19*INDEX(Act_Type_Augex_Splits,MATCH($I19,Act_Type_Augex,0),MATCH(AD$4,Mat_Type,0))*INDEX(Escalators!$I$44:$U$49,MATCH(AD$4,Escalators!$C$44:$C$49,0),MATCH(AD$5,Escalators!$I$43:$U$43,0))</f>
        <v>0</v>
      </c>
      <c r="AE19" s="128">
        <f>INDEX(Direct_Cost_Splits_Network,MATCH($H19,RIN_Asset_Cat_Network,0),MATCH($AG$4,Direct_Cost_Type,0))*$J19*INDEX(Act_Type_Augex_Splits,MATCH($I19,Act_Type_Augex,0),MATCH(AE$4,Mat_Type,0))*INDEX(Escalators!$I$44:$U$49,MATCH(AE$4,Escalators!$C$44:$C$49,0),MATCH(AE$5,Escalators!$I$43:$U$43,0))</f>
        <v>0</v>
      </c>
      <c r="AF19" s="128">
        <f>INDEX(Direct_Cost_Splits_Network,MATCH($H19,RIN_Asset_Cat_Network,0),MATCH($AG$4,Direct_Cost_Type,0))*$J19*INDEX(Act_Type_Augex_Splits,MATCH($I19,Act_Type_Augex,0),MATCH(AF$4,Mat_Type,0))*INDEX(Escalators!$I$44:$U$49,MATCH(AF$4,Escalators!$C$44:$C$49,0),MATCH(AF$5,Escalators!$I$43:$U$43,0))</f>
        <v>0</v>
      </c>
      <c r="AG19" s="128">
        <f t="shared" si="68"/>
        <v>0</v>
      </c>
      <c r="AH19" s="128">
        <f>INDEX(Direct_Cost_Splits_Network,MATCH($H19,RIN_Asset_Cat_Network,0),MATCH($AY$4,Direct_Cost_Type,0))*$K19*INDEX(Act_Type_Augex_Splits,MATCH($I19,Act_Type_Augex,0),MATCH(AH$4,Mat_Type,0))*INDEX(Escalators!$I$44:$U$49,MATCH(AH$4,Escalators!$C$44:$C$49,0),MATCH(AH$5,Escalators!$I$43:$U$43,0))</f>
        <v>0</v>
      </c>
      <c r="AI19" s="128">
        <f>INDEX(Direct_Cost_Splits_Network,MATCH($H19,RIN_Asset_Cat_Network,0),MATCH($AY$4,Direct_Cost_Type,0))*$K19*INDEX(Act_Type_Augex_Splits,MATCH($I19,Act_Type_Augex,0),MATCH(AI$4,Mat_Type,0))*INDEX(Escalators!$I$44:$U$49,MATCH(AI$4,Escalators!$C$44:$C$49,0),MATCH(AI$5,Escalators!$I$43:$U$43,0))</f>
        <v>0</v>
      </c>
      <c r="AJ19" s="128">
        <f>INDEX(Direct_Cost_Splits_Network,MATCH($H19,RIN_Asset_Cat_Network,0),MATCH($AY$4,Direct_Cost_Type,0))*$K19*INDEX(Act_Type_Augex_Splits,MATCH($I19,Act_Type_Augex,0),MATCH(AJ$4,Mat_Type,0))*INDEX(Escalators!$I$44:$U$49,MATCH(AJ$4,Escalators!$C$44:$C$49,0),MATCH(AJ$5,Escalators!$I$43:$U$43,0))</f>
        <v>0</v>
      </c>
      <c r="AK19" s="128">
        <f>INDEX(Direct_Cost_Splits_Network,MATCH($H19,RIN_Asset_Cat_Network,0),MATCH($AY$4,Direct_Cost_Type,0))*$K19*INDEX(Act_Type_Augex_Splits,MATCH($I19,Act_Type_Augex,0),MATCH(AK$4,Mat_Type,0))*INDEX(Escalators!$I$44:$U$49,MATCH(AK$4,Escalators!$C$44:$C$49,0),MATCH(AK$5,Escalators!$I$43:$U$43,0))</f>
        <v>0</v>
      </c>
      <c r="AL19" s="128">
        <f>INDEX(Direct_Cost_Splits_Network,MATCH($H19,RIN_Asset_Cat_Network,0),MATCH($AY$4,Direct_Cost_Type,0))*$K19*INDEX(Act_Type_Augex_Splits,MATCH($I19,Act_Type_Augex,0),MATCH(AL$4,Mat_Type,0))*INDEX(Escalators!$I$44:$U$49,MATCH(AL$4,Escalators!$C$44:$C$49,0),MATCH(AL$5,Escalators!$I$43:$U$43,0))</f>
        <v>0</v>
      </c>
      <c r="AM19" s="128">
        <f t="shared" si="69"/>
        <v>0</v>
      </c>
      <c r="AN19" s="128">
        <f>INDEX(Direct_Cost_Splits_Network,MATCH($H19,RIN_Asset_Cat_Network,0),MATCH($AY$4,Direct_Cost_Type,0))*$L19*INDEX(Act_Type_Augex_Splits,MATCH($I19,Act_Type_Augex,0),MATCH(AN$4,Mat_Type,0))*INDEX(Escalators!$I$44:$U$49,MATCH(AN$4,Escalators!$C$44:$C$49,0),MATCH(AN$5,Escalators!$I$43:$U$43,0))</f>
        <v>0</v>
      </c>
      <c r="AO19" s="128">
        <f>INDEX(Direct_Cost_Splits_Network,MATCH($H19,RIN_Asset_Cat_Network,0),MATCH($AY$4,Direct_Cost_Type,0))*$L19*INDEX(Act_Type_Augex_Splits,MATCH($I19,Act_Type_Augex,0),MATCH(AO$4,Mat_Type,0))*INDEX(Escalators!$I$44:$U$49,MATCH(AO$4,Escalators!$C$44:$C$49,0),MATCH(AO$5,Escalators!$I$43:$U$43,0))</f>
        <v>0</v>
      </c>
      <c r="AP19" s="128">
        <f>INDEX(Direct_Cost_Splits_Network,MATCH($H19,RIN_Asset_Cat_Network,0),MATCH($AY$4,Direct_Cost_Type,0))*$L19*INDEX(Act_Type_Augex_Splits,MATCH($I19,Act_Type_Augex,0),MATCH(AP$4,Mat_Type,0))*INDEX(Escalators!$I$44:$U$49,MATCH(AP$4,Escalators!$C$44:$C$49,0),MATCH(AP$5,Escalators!$I$43:$U$43,0))</f>
        <v>0</v>
      </c>
      <c r="AQ19" s="128">
        <f>INDEX(Direct_Cost_Splits_Network,MATCH($H19,RIN_Asset_Cat_Network,0),MATCH($AY$4,Direct_Cost_Type,0))*$L19*INDEX(Act_Type_Augex_Splits,MATCH($I19,Act_Type_Augex,0),MATCH(AQ$4,Mat_Type,0))*INDEX(Escalators!$I$44:$U$49,MATCH(AQ$4,Escalators!$C$44:$C$49,0),MATCH(AQ$5,Escalators!$I$43:$U$43,0))</f>
        <v>0</v>
      </c>
      <c r="AR19" s="128">
        <f>INDEX(Direct_Cost_Splits_Network,MATCH($H19,RIN_Asset_Cat_Network,0),MATCH($AY$4,Direct_Cost_Type,0))*$L19*INDEX(Act_Type_Augex_Splits,MATCH($I19,Act_Type_Augex,0),MATCH(AR$4,Mat_Type,0))*INDEX(Escalators!$I$44:$U$49,MATCH(AR$4,Escalators!$C$44:$C$49,0),MATCH(AR$5,Escalators!$I$43:$U$43,0))</f>
        <v>0</v>
      </c>
      <c r="AS19" s="128">
        <f t="shared" si="70"/>
        <v>0</v>
      </c>
      <c r="AT19" s="128">
        <f>INDEX(Direct_Cost_Splits_Network,MATCH($H19,RIN_Asset_Cat_Network,0),MATCH($AY$4,Direct_Cost_Type,0))*$M19*INDEX(Act_Type_Augex_Splits,MATCH($I19,Act_Type_Augex,0),MATCH(AT$4,Mat_Type,0))*INDEX(Escalators!$I$44:$U$49,MATCH(AT$4,Escalators!$C$44:$C$49,0),MATCH(AT$5,Escalators!$I$43:$U$43,0))</f>
        <v>0</v>
      </c>
      <c r="AU19" s="128">
        <f>INDEX(Direct_Cost_Splits_Network,MATCH($H19,RIN_Asset_Cat_Network,0),MATCH($AY$4,Direct_Cost_Type,0))*$M19*INDEX(Act_Type_Augex_Splits,MATCH($I19,Act_Type_Augex,0),MATCH(AU$4,Mat_Type,0))*INDEX(Escalators!$I$44:$U$49,MATCH(AU$4,Escalators!$C$44:$C$49,0),MATCH(AU$5,Escalators!$I$43:$U$43,0))</f>
        <v>0</v>
      </c>
      <c r="AV19" s="128">
        <f>INDEX(Direct_Cost_Splits_Network,MATCH($H19,RIN_Asset_Cat_Network,0),MATCH($AY$4,Direct_Cost_Type,0))*$M19*INDEX(Act_Type_Augex_Splits,MATCH($I19,Act_Type_Augex,0),MATCH(AV$4,Mat_Type,0))*INDEX(Escalators!$I$44:$U$49,MATCH(AV$4,Escalators!$C$44:$C$49,0),MATCH(AV$5,Escalators!$I$43:$U$43,0))</f>
        <v>0</v>
      </c>
      <c r="AW19" s="128">
        <f>INDEX(Direct_Cost_Splits_Network,MATCH($H19,RIN_Asset_Cat_Network,0),MATCH($AY$4,Direct_Cost_Type,0))*$M19*INDEX(Act_Type_Augex_Splits,MATCH($I19,Act_Type_Augex,0),MATCH(AW$4,Mat_Type,0))*INDEX(Escalators!$I$44:$U$49,MATCH(AW$4,Escalators!$C$44:$C$49,0),MATCH(AW$5,Escalators!$I$43:$U$43,0))</f>
        <v>0</v>
      </c>
      <c r="AX19" s="128">
        <f>INDEX(Direct_Cost_Splits_Network,MATCH($H19,RIN_Asset_Cat_Network,0),MATCH($AY$4,Direct_Cost_Type,0))*$M19*INDEX(Act_Type_Augex_Splits,MATCH($I19,Act_Type_Augex,0),MATCH(AX$4,Mat_Type,0))*INDEX(Escalators!$I$44:$U$49,MATCH(AX$4,Escalators!$C$44:$C$49,0),MATCH(AX$5,Escalators!$I$43:$U$43,0))</f>
        <v>0</v>
      </c>
      <c r="AY19" s="128">
        <f t="shared" si="71"/>
        <v>0</v>
      </c>
      <c r="AZ19" s="128">
        <f>INDEX(Direct_Cost_Splits_Network,MATCH($H19,RIN_Asset_Cat_Network,0),MATCH($BE$4,Direct_Cost_Type,0))*$N19*INDEX(Act_Type_Augex_Splits,MATCH($I19,Act_Type_Augex,0),MATCH(AZ$4,Mat_Type,0))*INDEX(Escalators!$I$44:$U$49,MATCH(AZ$4,Escalators!$C$44:$C$49,0),MATCH(AZ$5,Escalators!$I$43:$U$43,0))</f>
        <v>0</v>
      </c>
      <c r="BA19" s="128">
        <f>INDEX(Direct_Cost_Splits_Network,MATCH($H19,RIN_Asset_Cat_Network,0),MATCH($BE$4,Direct_Cost_Type,0))*$N19*INDEX(Act_Type_Augex_Splits,MATCH($I19,Act_Type_Augex,0),MATCH(BA$4,Mat_Type,0))*INDEX(Escalators!$I$44:$U$49,MATCH(BA$4,Escalators!$C$44:$C$49,0),MATCH(BA$5,Escalators!$I$43:$U$43,0))</f>
        <v>0</v>
      </c>
      <c r="BB19" s="128">
        <f>INDEX(Direct_Cost_Splits_Network,MATCH($H19,RIN_Asset_Cat_Network,0),MATCH($BE$4,Direct_Cost_Type,0))*$N19*INDEX(Act_Type_Augex_Splits,MATCH($I19,Act_Type_Augex,0),MATCH(BB$4,Mat_Type,0))*INDEX(Escalators!$I$44:$U$49,MATCH(BB$4,Escalators!$C$44:$C$49,0),MATCH(BB$5,Escalators!$I$43:$U$43,0))</f>
        <v>0</v>
      </c>
      <c r="BC19" s="128">
        <f>INDEX(Direct_Cost_Splits_Network,MATCH($H19,RIN_Asset_Cat_Network,0),MATCH($BE$4,Direct_Cost_Type,0))*$N19*INDEX(Act_Type_Augex_Splits,MATCH($I19,Act_Type_Augex,0),MATCH(BC$4,Mat_Type,0))*INDEX(Escalators!$I$44:$U$49,MATCH(BC$4,Escalators!$C$44:$C$49,0),MATCH(BC$5,Escalators!$I$43:$U$43,0))</f>
        <v>0</v>
      </c>
      <c r="BD19" s="128">
        <f>INDEX(Direct_Cost_Splits_Network,MATCH($H19,RIN_Asset_Cat_Network,0),MATCH($BE$4,Direct_Cost_Type,0))*$N19*INDEX(Act_Type_Augex_Splits,MATCH($I19,Act_Type_Augex,0),MATCH(BD$4,Mat_Type,0))*INDEX(Escalators!$I$44:$U$49,MATCH(BD$4,Escalators!$C$44:$C$49,0),MATCH(BD$5,Escalators!$I$43:$U$43,0))</f>
        <v>0</v>
      </c>
      <c r="BE19" s="128">
        <f t="shared" si="72"/>
        <v>0</v>
      </c>
      <c r="BF19" s="128">
        <f>INDEX(Direct_Cost_Splits_Network,MATCH($H19,RIN_Asset_Cat_Network,0),MATCH($BK$4,Direct_Cost_Type,0))*$O19*INDEX(Act_Type_Augex_Splits,MATCH($I19,Act_Type_Augex,0),MATCH(BF$4,Mat_Type,0))*INDEX(Escalators!$I$44:$U$49,MATCH(BF$4,Escalators!$C$44:$C$49,0),MATCH(BF$5,Escalators!$I$43:$U$43,0))</f>
        <v>0</v>
      </c>
      <c r="BG19" s="128">
        <f>INDEX(Direct_Cost_Splits_Network,MATCH($H19,RIN_Asset_Cat_Network,0),MATCH($BK$4,Direct_Cost_Type,0))*$O19*INDEX(Act_Type_Augex_Splits,MATCH($I19,Act_Type_Augex,0),MATCH(BG$4,Mat_Type,0))*INDEX(Escalators!$I$44:$U$49,MATCH(BG$4,Escalators!$C$44:$C$49,0),MATCH(BG$5,Escalators!$I$43:$U$43,0))</f>
        <v>0</v>
      </c>
      <c r="BH19" s="128">
        <f>INDEX(Direct_Cost_Splits_Network,MATCH($H19,RIN_Asset_Cat_Network,0),MATCH($BK$4,Direct_Cost_Type,0))*$O19*INDEX(Act_Type_Augex_Splits,MATCH($I19,Act_Type_Augex,0),MATCH(BH$4,Mat_Type,0))*INDEX(Escalators!$I$44:$U$49,MATCH(BH$4,Escalators!$C$44:$C$49,0),MATCH(BH$5,Escalators!$I$43:$U$43,0))</f>
        <v>0</v>
      </c>
      <c r="BI19" s="128">
        <f>INDEX(Direct_Cost_Splits_Network,MATCH($H19,RIN_Asset_Cat_Network,0),MATCH($BK$4,Direct_Cost_Type,0))*$O19*INDEX(Act_Type_Augex_Splits,MATCH($I19,Act_Type_Augex,0),MATCH(BI$4,Mat_Type,0))*INDEX(Escalators!$I$44:$U$49,MATCH(BI$4,Escalators!$C$44:$C$49,0),MATCH(BI$5,Escalators!$I$43:$U$43,0))</f>
        <v>0</v>
      </c>
      <c r="BJ19" s="128">
        <f>INDEX(Direct_Cost_Splits_Network,MATCH($H19,RIN_Asset_Cat_Network,0),MATCH($BK$4,Direct_Cost_Type,0))*$O19*INDEX(Act_Type_Augex_Splits,MATCH($I19,Act_Type_Augex,0),MATCH(BJ$4,Mat_Type,0))*INDEX(Escalators!$I$44:$U$49,MATCH(BJ$4,Escalators!$C$44:$C$49,0),MATCH(BJ$5,Escalators!$I$43:$U$43,0))</f>
        <v>0</v>
      </c>
      <c r="BK19" s="128">
        <f t="shared" si="73"/>
        <v>0</v>
      </c>
      <c r="BL19" s="128">
        <f>INDEX(Direct_Cost_Splits_Network,MATCH($H19,RIN_Asset_Cat_Network,0),MATCH($BQ$4,Direct_Cost_Type,0))*$P19*INDEX(Act_Type_Augex_Splits,MATCH($I19,Act_Type_Augex,0),MATCH(BL$4,Mat_Type,0))*INDEX(Escalators!$I$44:$U$49,MATCH(BL$4,Escalators!$C$44:$C$49,0),MATCH(BL$5,Escalators!$I$43:$U$43,0))</f>
        <v>0</v>
      </c>
      <c r="BM19" s="128">
        <f>INDEX(Direct_Cost_Splits_Network,MATCH($H19,RIN_Asset_Cat_Network,0),MATCH($BQ$4,Direct_Cost_Type,0))*$P19*INDEX(Act_Type_Augex_Splits,MATCH($I19,Act_Type_Augex,0),MATCH(BM$4,Mat_Type,0))*INDEX(Escalators!$I$44:$U$49,MATCH(BM$4,Escalators!$C$44:$C$49,0),MATCH(BM$5,Escalators!$I$43:$U$43,0))</f>
        <v>0</v>
      </c>
      <c r="BN19" s="128">
        <f>INDEX(Direct_Cost_Splits_Network,MATCH($H19,RIN_Asset_Cat_Network,0),MATCH($BQ$4,Direct_Cost_Type,0))*$P19*INDEX(Act_Type_Augex_Splits,MATCH($I19,Act_Type_Augex,0),MATCH(BN$4,Mat_Type,0))*INDEX(Escalators!$I$44:$U$49,MATCH(BN$4,Escalators!$C$44:$C$49,0),MATCH(BN$5,Escalators!$I$43:$U$43,0))</f>
        <v>0</v>
      </c>
      <c r="BO19" s="128">
        <f>INDEX(Direct_Cost_Splits_Network,MATCH($H19,RIN_Asset_Cat_Network,0),MATCH($BQ$4,Direct_Cost_Type,0))*$P19*INDEX(Act_Type_Augex_Splits,MATCH($I19,Act_Type_Augex,0),MATCH(BO$4,Mat_Type,0))*INDEX(Escalators!$I$44:$U$49,MATCH(BO$4,Escalators!$C$44:$C$49,0),MATCH(BO$5,Escalators!$I$43:$U$43,0))</f>
        <v>0</v>
      </c>
      <c r="BP19" s="128">
        <f>INDEX(Direct_Cost_Splits_Network,MATCH($H19,RIN_Asset_Cat_Network,0),MATCH($BQ$4,Direct_Cost_Type,0))*$P19*INDEX(Act_Type_Augex_Splits,MATCH($I19,Act_Type_Augex,0),MATCH(BP$4,Mat_Type,0))*INDEX(Escalators!$I$44:$U$49,MATCH(BP$4,Escalators!$C$44:$C$49,0),MATCH(BP$5,Escalators!$I$43:$U$43,0))</f>
        <v>0</v>
      </c>
      <c r="BQ19" s="128">
        <f t="shared" si="74"/>
        <v>0</v>
      </c>
      <c r="BR19" s="128">
        <f>INDEX(Direct_Cost_Splits_Network,MATCH($H19,RIN_Asset_Cat_Network,0),MATCH($BW$4,Direct_Cost_Type,0))*$Q19*INDEX(Act_Type_Augex_Splits,MATCH($I19,Act_Type_Augex,0),MATCH(BR$4,Mat_Type,0))*INDEX(Escalators!$I$44:$U$49,MATCH(BR$4,Escalators!$C$44:$C$49,0),MATCH(BR$5,Escalators!$I$43:$U$43,0))</f>
        <v>0</v>
      </c>
      <c r="BS19" s="128">
        <f>INDEX(Direct_Cost_Splits_Network,MATCH($H19,RIN_Asset_Cat_Network,0),MATCH($BW$4,Direct_Cost_Type,0))*$Q19*INDEX(Act_Type_Augex_Splits,MATCH($I19,Act_Type_Augex,0),MATCH(BS$4,Mat_Type,0))*INDEX(Escalators!$I$44:$U$49,MATCH(BS$4,Escalators!$C$44:$C$49,0),MATCH(BS$5,Escalators!$I$43:$U$43,0))</f>
        <v>0</v>
      </c>
      <c r="BT19" s="128">
        <f>INDEX(Direct_Cost_Splits_Network,MATCH($H19,RIN_Asset_Cat_Network,0),MATCH($BW$4,Direct_Cost_Type,0))*$Q19*INDEX(Act_Type_Augex_Splits,MATCH($I19,Act_Type_Augex,0),MATCH(BT$4,Mat_Type,0))*INDEX(Escalators!$I$44:$U$49,MATCH(BT$4,Escalators!$C$44:$C$49,0),MATCH(BT$5,Escalators!$I$43:$U$43,0))</f>
        <v>0</v>
      </c>
      <c r="BU19" s="128">
        <f>INDEX(Direct_Cost_Splits_Network,MATCH($H19,RIN_Asset_Cat_Network,0),MATCH($BW$4,Direct_Cost_Type,0))*$Q19*INDEX(Act_Type_Augex_Splits,MATCH($I19,Act_Type_Augex,0),MATCH(BU$4,Mat_Type,0))*INDEX(Escalators!$I$44:$U$49,MATCH(BU$4,Escalators!$C$44:$C$49,0),MATCH(BU$5,Escalators!$I$43:$U$43,0))</f>
        <v>0</v>
      </c>
      <c r="BV19" s="128">
        <f>INDEX(Direct_Cost_Splits_Network,MATCH($H19,RIN_Asset_Cat_Network,0),MATCH($BW$4,Direct_Cost_Type,0))*$Q19*INDEX(Act_Type_Augex_Splits,MATCH($I19,Act_Type_Augex,0),MATCH(BV$4,Mat_Type,0))*INDEX(Escalators!$I$44:$U$49,MATCH(BV$4,Escalators!$C$44:$C$49,0),MATCH(BV$5,Escalators!$I$43:$U$43,0))</f>
        <v>0</v>
      </c>
      <c r="BW19" s="128">
        <f t="shared" si="75"/>
        <v>0</v>
      </c>
      <c r="BX19" s="129"/>
      <c r="BY19" s="128">
        <f>INDEX(Direct_Cost_Splits_Network,MATCH($H19,RIN_Asset_Cat_Network,0),MATCH($BY$4,Direct_Cost_Type,0))*J19*HLOOKUP(BY$5,Escalators!$I$25:$U$30,6,FALSE)</f>
        <v>0</v>
      </c>
      <c r="BZ19" s="128">
        <f>INDEX(Direct_Cost_Splits_Network,MATCH($H19,RIN_Asset_Cat_Network,0),MATCH($BY$4,Direct_Cost_Type,0))*K19*HLOOKUP(BZ$5,Escalators!$I$25:$U$30,6,FALSE)</f>
        <v>0</v>
      </c>
      <c r="CA19" s="128">
        <f>INDEX(Direct_Cost_Splits_Network,MATCH($H19,RIN_Asset_Cat_Network,0),MATCH($BY$4,Direct_Cost_Type,0))*L19*HLOOKUP(CA$5,Escalators!$I$25:$U$30,6,FALSE)</f>
        <v>0</v>
      </c>
      <c r="CB19" s="128">
        <f>INDEX(Direct_Cost_Splits_Network,MATCH($H19,RIN_Asset_Cat_Network,0),MATCH($BY$4,Direct_Cost_Type,0))*M19*HLOOKUP(CB$5,Escalators!$I$25:$U$30,6,FALSE)</f>
        <v>0</v>
      </c>
      <c r="CC19" s="128">
        <f>INDEX(Direct_Cost_Splits_Network,MATCH($H19,RIN_Asset_Cat_Network,0),MATCH($BY$4,Direct_Cost_Type,0))*N19*HLOOKUP(CC$5,Escalators!$I$25:$U$30,6,FALSE)</f>
        <v>0</v>
      </c>
      <c r="CD19" s="128">
        <f>INDEX(Direct_Cost_Splits_Network,MATCH($H19,RIN_Asset_Cat_Network,0),MATCH($BY$4,Direct_Cost_Type,0))*O19*HLOOKUP(CD$5,Escalators!$I$25:$U$30,6,FALSE)</f>
        <v>0</v>
      </c>
      <c r="CE19" s="128">
        <f>INDEX(Direct_Cost_Splits_Network,MATCH($H19,RIN_Asset_Cat_Network,0),MATCH($BY$4,Direct_Cost_Type,0))*P19*HLOOKUP(CE$5,Escalators!$I$25:$U$30,6,FALSE)</f>
        <v>0</v>
      </c>
      <c r="CF19" s="128">
        <f>INDEX(Direct_Cost_Splits_Network,MATCH($H19,RIN_Asset_Cat_Network,0),MATCH($BY$4,Direct_Cost_Type,0))*Q19*HLOOKUP(CF$5,Escalators!$I$25:$U$30,6,FALSE)</f>
        <v>0</v>
      </c>
      <c r="CG19" s="129"/>
      <c r="CH19" s="763">
        <f t="shared" si="76"/>
        <v>0</v>
      </c>
      <c r="CI19" s="763">
        <f t="shared" si="77"/>
        <v>0</v>
      </c>
      <c r="CJ19" s="763">
        <f t="shared" si="78"/>
        <v>0</v>
      </c>
      <c r="CK19" s="763">
        <f t="shared" si="79"/>
        <v>0</v>
      </c>
      <c r="CL19" s="763">
        <f t="shared" si="80"/>
        <v>0</v>
      </c>
      <c r="CM19" s="763">
        <f t="shared" si="81"/>
        <v>0</v>
      </c>
      <c r="CN19" s="763">
        <f t="shared" si="82"/>
        <v>0</v>
      </c>
      <c r="CO19" s="763">
        <f t="shared" si="83"/>
        <v>0</v>
      </c>
      <c r="CP19" s="129"/>
      <c r="CQ19" s="128">
        <f t="shared" si="18"/>
        <v>0</v>
      </c>
      <c r="CR19" s="128">
        <f t="shared" si="9"/>
        <v>0</v>
      </c>
      <c r="CS19" s="128">
        <f t="shared" si="19"/>
        <v>0</v>
      </c>
      <c r="CT19" s="128">
        <f t="shared" si="20"/>
        <v>0</v>
      </c>
      <c r="CU19" s="128">
        <f t="shared" si="21"/>
        <v>0</v>
      </c>
      <c r="CV19" s="128">
        <f t="shared" si="22"/>
        <v>0</v>
      </c>
      <c r="CW19" s="128">
        <f t="shared" si="23"/>
        <v>0</v>
      </c>
      <c r="CX19" s="128">
        <f t="shared" si="24"/>
        <v>0</v>
      </c>
      <c r="CZ19" s="39"/>
    </row>
    <row r="20" spans="2:104" x14ac:dyDescent="0.25">
      <c r="B20" s="75" t="s">
        <v>430</v>
      </c>
      <c r="C20" s="75" t="s">
        <v>424</v>
      </c>
      <c r="D20" s="75" t="s">
        <v>543</v>
      </c>
      <c r="E20" s="75" t="s">
        <v>45</v>
      </c>
      <c r="F20" s="75" t="s">
        <v>51</v>
      </c>
      <c r="G20" s="75" t="s">
        <v>10</v>
      </c>
      <c r="H20" s="75" t="s">
        <v>164</v>
      </c>
      <c r="I20" s="75" t="s">
        <v>214</v>
      </c>
      <c r="J20" s="128"/>
      <c r="K20" s="128"/>
      <c r="L20" s="128"/>
      <c r="M20" s="128"/>
      <c r="N20" s="128"/>
      <c r="O20" s="128"/>
      <c r="P20" s="128"/>
      <c r="Q20" s="128"/>
      <c r="R20" s="129"/>
      <c r="S20" s="128">
        <f>INDEX(Direct_Cost_Splits_Network,MATCH($H20,RIN_Asset_Cat_Network,0),MATCH($S$4,Direct_Cost_Type,0))*J20*HLOOKUP(S$5,Escalators!$I$25:$U$30,3,FALSE)</f>
        <v>0</v>
      </c>
      <c r="T20" s="128">
        <f>INDEX(Direct_Cost_Splits_Network,MATCH($H20,RIN_Asset_Cat_Network,0),MATCH($S$4,Direct_Cost_Type,0))*K20*HLOOKUP(T$5,Escalators!$I$25:$U$30,3,FALSE)</f>
        <v>0</v>
      </c>
      <c r="U20" s="128">
        <f>INDEX(Direct_Cost_Splits_Network,MATCH($H20,RIN_Asset_Cat_Network,0),MATCH($S$4,Direct_Cost_Type,0))*L20*HLOOKUP(U$5,Escalators!$I$25:$U$30,3,FALSE)</f>
        <v>0</v>
      </c>
      <c r="V20" s="128">
        <f>INDEX(Direct_Cost_Splits_Network,MATCH($H20,RIN_Asset_Cat_Network,0),MATCH($S$4,Direct_Cost_Type,0))*M20*HLOOKUP(V$5,Escalators!$I$25:$U$30,3,FALSE)</f>
        <v>0</v>
      </c>
      <c r="W20" s="128">
        <f>INDEX(Direct_Cost_Splits_Network,MATCH($H20,RIN_Asset_Cat_Network,0),MATCH($S$4,Direct_Cost_Type,0))*N20*HLOOKUP(W$5,Escalators!$I$25:$U$30,3,FALSE)</f>
        <v>0</v>
      </c>
      <c r="X20" s="128">
        <f>INDEX(Direct_Cost_Splits_Network,MATCH($H20,RIN_Asset_Cat_Network,0),MATCH($S$4,Direct_Cost_Type,0))*O20*HLOOKUP(X$5,Escalators!$I$25:$U$30,3,FALSE)</f>
        <v>0</v>
      </c>
      <c r="Y20" s="128">
        <f>INDEX(Direct_Cost_Splits_Network,MATCH($H20,RIN_Asset_Cat_Network,0),MATCH($S$4,Direct_Cost_Type,0))*P20*HLOOKUP(Y$5,Escalators!$I$25:$U$30,3,FALSE)</f>
        <v>0</v>
      </c>
      <c r="Z20" s="128">
        <f>INDEX(Direct_Cost_Splits_Network,MATCH($H20,RIN_Asset_Cat_Network,0),MATCH($S$4,Direct_Cost_Type,0))*Q20*HLOOKUP(Z$5,Escalators!$I$25:$U$30,3,FALSE)</f>
        <v>0</v>
      </c>
      <c r="AA20" s="129"/>
      <c r="AB20" s="128">
        <f>INDEX(Direct_Cost_Splits_Network,MATCH($H20,RIN_Asset_Cat_Network,0),MATCH($AG$4,Direct_Cost_Type,0))*$J20*INDEX(Act_Type_Augex_Splits,MATCH($I20,Act_Type_Augex,0),MATCH(AB$4,Mat_Type,0))*INDEX(Escalators!$I$44:$U$49,MATCH(AB$4,Escalators!$C$44:$C$49,0),MATCH(AB$5,Escalators!$I$43:$U$43,0))</f>
        <v>0</v>
      </c>
      <c r="AC20" s="128">
        <f>INDEX(Direct_Cost_Splits_Network,MATCH($H20,RIN_Asset_Cat_Network,0),MATCH($AG$4,Direct_Cost_Type,0))*$J20*INDEX(Act_Type_Augex_Splits,MATCH($I20,Act_Type_Augex,0),MATCH(AC$4,Mat_Type,0))*INDEX(Escalators!$I$44:$U$49,MATCH(AC$4,Escalators!$C$44:$C$49,0),MATCH(AC$5,Escalators!$I$43:$U$43,0))</f>
        <v>0</v>
      </c>
      <c r="AD20" s="128">
        <f>INDEX(Direct_Cost_Splits_Network,MATCH($H20,RIN_Asset_Cat_Network,0),MATCH($AG$4,Direct_Cost_Type,0))*$J20*INDEX(Act_Type_Augex_Splits,MATCH($I20,Act_Type_Augex,0),MATCH(AD$4,Mat_Type,0))*INDEX(Escalators!$I$44:$U$49,MATCH(AD$4,Escalators!$C$44:$C$49,0),MATCH(AD$5,Escalators!$I$43:$U$43,0))</f>
        <v>0</v>
      </c>
      <c r="AE20" s="128">
        <f>INDEX(Direct_Cost_Splits_Network,MATCH($H20,RIN_Asset_Cat_Network,0),MATCH($AG$4,Direct_Cost_Type,0))*$J20*INDEX(Act_Type_Augex_Splits,MATCH($I20,Act_Type_Augex,0),MATCH(AE$4,Mat_Type,0))*INDEX(Escalators!$I$44:$U$49,MATCH(AE$4,Escalators!$C$44:$C$49,0),MATCH(AE$5,Escalators!$I$43:$U$43,0))</f>
        <v>0</v>
      </c>
      <c r="AF20" s="128">
        <f>INDEX(Direct_Cost_Splits_Network,MATCH($H20,RIN_Asset_Cat_Network,0),MATCH($AG$4,Direct_Cost_Type,0))*$J20*INDEX(Act_Type_Augex_Splits,MATCH($I20,Act_Type_Augex,0),MATCH(AF$4,Mat_Type,0))*INDEX(Escalators!$I$44:$U$49,MATCH(AF$4,Escalators!$C$44:$C$49,0),MATCH(AF$5,Escalators!$I$43:$U$43,0))</f>
        <v>0</v>
      </c>
      <c r="AG20" s="128">
        <f t="shared" si="68"/>
        <v>0</v>
      </c>
      <c r="AH20" s="128">
        <f>INDEX(Direct_Cost_Splits_Network,MATCH($H20,RIN_Asset_Cat_Network,0),MATCH($AY$4,Direct_Cost_Type,0))*$K20*INDEX(Act_Type_Augex_Splits,MATCH($I20,Act_Type_Augex,0),MATCH(AH$4,Mat_Type,0))*INDEX(Escalators!$I$44:$U$49,MATCH(AH$4,Escalators!$C$44:$C$49,0),MATCH(AH$5,Escalators!$I$43:$U$43,0))</f>
        <v>0</v>
      </c>
      <c r="AI20" s="128">
        <f>INDEX(Direct_Cost_Splits_Network,MATCH($H20,RIN_Asset_Cat_Network,0),MATCH($AY$4,Direct_Cost_Type,0))*$K20*INDEX(Act_Type_Augex_Splits,MATCH($I20,Act_Type_Augex,0),MATCH(AI$4,Mat_Type,0))*INDEX(Escalators!$I$44:$U$49,MATCH(AI$4,Escalators!$C$44:$C$49,0),MATCH(AI$5,Escalators!$I$43:$U$43,0))</f>
        <v>0</v>
      </c>
      <c r="AJ20" s="128">
        <f>INDEX(Direct_Cost_Splits_Network,MATCH($H20,RIN_Asset_Cat_Network,0),MATCH($AY$4,Direct_Cost_Type,0))*$K20*INDEX(Act_Type_Augex_Splits,MATCH($I20,Act_Type_Augex,0),MATCH(AJ$4,Mat_Type,0))*INDEX(Escalators!$I$44:$U$49,MATCH(AJ$4,Escalators!$C$44:$C$49,0),MATCH(AJ$5,Escalators!$I$43:$U$43,0))</f>
        <v>0</v>
      </c>
      <c r="AK20" s="128">
        <f>INDEX(Direct_Cost_Splits_Network,MATCH($H20,RIN_Asset_Cat_Network,0),MATCH($AY$4,Direct_Cost_Type,0))*$K20*INDEX(Act_Type_Augex_Splits,MATCH($I20,Act_Type_Augex,0),MATCH(AK$4,Mat_Type,0))*INDEX(Escalators!$I$44:$U$49,MATCH(AK$4,Escalators!$C$44:$C$49,0),MATCH(AK$5,Escalators!$I$43:$U$43,0))</f>
        <v>0</v>
      </c>
      <c r="AL20" s="128">
        <f>INDEX(Direct_Cost_Splits_Network,MATCH($H20,RIN_Asset_Cat_Network,0),MATCH($AY$4,Direct_Cost_Type,0))*$K20*INDEX(Act_Type_Augex_Splits,MATCH($I20,Act_Type_Augex,0),MATCH(AL$4,Mat_Type,0))*INDEX(Escalators!$I$44:$U$49,MATCH(AL$4,Escalators!$C$44:$C$49,0),MATCH(AL$5,Escalators!$I$43:$U$43,0))</f>
        <v>0</v>
      </c>
      <c r="AM20" s="128">
        <f t="shared" si="69"/>
        <v>0</v>
      </c>
      <c r="AN20" s="128">
        <f>INDEX(Direct_Cost_Splits_Network,MATCH($H20,RIN_Asset_Cat_Network,0),MATCH($AY$4,Direct_Cost_Type,0))*$L20*INDEX(Act_Type_Augex_Splits,MATCH($I20,Act_Type_Augex,0),MATCH(AN$4,Mat_Type,0))*INDEX(Escalators!$I$44:$U$49,MATCH(AN$4,Escalators!$C$44:$C$49,0),MATCH(AN$5,Escalators!$I$43:$U$43,0))</f>
        <v>0</v>
      </c>
      <c r="AO20" s="128">
        <f>INDEX(Direct_Cost_Splits_Network,MATCH($H20,RIN_Asset_Cat_Network,0),MATCH($AY$4,Direct_Cost_Type,0))*$L20*INDEX(Act_Type_Augex_Splits,MATCH($I20,Act_Type_Augex,0),MATCH(AO$4,Mat_Type,0))*INDEX(Escalators!$I$44:$U$49,MATCH(AO$4,Escalators!$C$44:$C$49,0),MATCH(AO$5,Escalators!$I$43:$U$43,0))</f>
        <v>0</v>
      </c>
      <c r="AP20" s="128">
        <f>INDEX(Direct_Cost_Splits_Network,MATCH($H20,RIN_Asset_Cat_Network,0),MATCH($AY$4,Direct_Cost_Type,0))*$L20*INDEX(Act_Type_Augex_Splits,MATCH($I20,Act_Type_Augex,0),MATCH(AP$4,Mat_Type,0))*INDEX(Escalators!$I$44:$U$49,MATCH(AP$4,Escalators!$C$44:$C$49,0),MATCH(AP$5,Escalators!$I$43:$U$43,0))</f>
        <v>0</v>
      </c>
      <c r="AQ20" s="128">
        <f>INDEX(Direct_Cost_Splits_Network,MATCH($H20,RIN_Asset_Cat_Network,0),MATCH($AY$4,Direct_Cost_Type,0))*$L20*INDEX(Act_Type_Augex_Splits,MATCH($I20,Act_Type_Augex,0),MATCH(AQ$4,Mat_Type,0))*INDEX(Escalators!$I$44:$U$49,MATCH(AQ$4,Escalators!$C$44:$C$49,0),MATCH(AQ$5,Escalators!$I$43:$U$43,0))</f>
        <v>0</v>
      </c>
      <c r="AR20" s="128">
        <f>INDEX(Direct_Cost_Splits_Network,MATCH($H20,RIN_Asset_Cat_Network,0),MATCH($AY$4,Direct_Cost_Type,0))*$L20*INDEX(Act_Type_Augex_Splits,MATCH($I20,Act_Type_Augex,0),MATCH(AR$4,Mat_Type,0))*INDEX(Escalators!$I$44:$U$49,MATCH(AR$4,Escalators!$C$44:$C$49,0),MATCH(AR$5,Escalators!$I$43:$U$43,0))</f>
        <v>0</v>
      </c>
      <c r="AS20" s="128">
        <f t="shared" si="70"/>
        <v>0</v>
      </c>
      <c r="AT20" s="128">
        <f>INDEX(Direct_Cost_Splits_Network,MATCH($H20,RIN_Asset_Cat_Network,0),MATCH($AY$4,Direct_Cost_Type,0))*$M20*INDEX(Act_Type_Augex_Splits,MATCH($I20,Act_Type_Augex,0),MATCH(AT$4,Mat_Type,0))*INDEX(Escalators!$I$44:$U$49,MATCH(AT$4,Escalators!$C$44:$C$49,0),MATCH(AT$5,Escalators!$I$43:$U$43,0))</f>
        <v>0</v>
      </c>
      <c r="AU20" s="128">
        <f>INDEX(Direct_Cost_Splits_Network,MATCH($H20,RIN_Asset_Cat_Network,0),MATCH($AY$4,Direct_Cost_Type,0))*$M20*INDEX(Act_Type_Augex_Splits,MATCH($I20,Act_Type_Augex,0),MATCH(AU$4,Mat_Type,0))*INDEX(Escalators!$I$44:$U$49,MATCH(AU$4,Escalators!$C$44:$C$49,0),MATCH(AU$5,Escalators!$I$43:$U$43,0))</f>
        <v>0</v>
      </c>
      <c r="AV20" s="128">
        <f>INDEX(Direct_Cost_Splits_Network,MATCH($H20,RIN_Asset_Cat_Network,0),MATCH($AY$4,Direct_Cost_Type,0))*$M20*INDEX(Act_Type_Augex_Splits,MATCH($I20,Act_Type_Augex,0),MATCH(AV$4,Mat_Type,0))*INDEX(Escalators!$I$44:$U$49,MATCH(AV$4,Escalators!$C$44:$C$49,0),MATCH(AV$5,Escalators!$I$43:$U$43,0))</f>
        <v>0</v>
      </c>
      <c r="AW20" s="128">
        <f>INDEX(Direct_Cost_Splits_Network,MATCH($H20,RIN_Asset_Cat_Network,0),MATCH($AY$4,Direct_Cost_Type,0))*$M20*INDEX(Act_Type_Augex_Splits,MATCH($I20,Act_Type_Augex,0),MATCH(AW$4,Mat_Type,0))*INDEX(Escalators!$I$44:$U$49,MATCH(AW$4,Escalators!$C$44:$C$49,0),MATCH(AW$5,Escalators!$I$43:$U$43,0))</f>
        <v>0</v>
      </c>
      <c r="AX20" s="128">
        <f>INDEX(Direct_Cost_Splits_Network,MATCH($H20,RIN_Asset_Cat_Network,0),MATCH($AY$4,Direct_Cost_Type,0))*$M20*INDEX(Act_Type_Augex_Splits,MATCH($I20,Act_Type_Augex,0),MATCH(AX$4,Mat_Type,0))*INDEX(Escalators!$I$44:$U$49,MATCH(AX$4,Escalators!$C$44:$C$49,0),MATCH(AX$5,Escalators!$I$43:$U$43,0))</f>
        <v>0</v>
      </c>
      <c r="AY20" s="128">
        <f t="shared" si="71"/>
        <v>0</v>
      </c>
      <c r="AZ20" s="128">
        <f>INDEX(Direct_Cost_Splits_Network,MATCH($H20,RIN_Asset_Cat_Network,0),MATCH($BE$4,Direct_Cost_Type,0))*$N20*INDEX(Act_Type_Augex_Splits,MATCH($I20,Act_Type_Augex,0),MATCH(AZ$4,Mat_Type,0))*INDEX(Escalators!$I$44:$U$49,MATCH(AZ$4,Escalators!$C$44:$C$49,0),MATCH(AZ$5,Escalators!$I$43:$U$43,0))</f>
        <v>0</v>
      </c>
      <c r="BA20" s="128">
        <f>INDEX(Direct_Cost_Splits_Network,MATCH($H20,RIN_Asset_Cat_Network,0),MATCH($BE$4,Direct_Cost_Type,0))*$N20*INDEX(Act_Type_Augex_Splits,MATCH($I20,Act_Type_Augex,0),MATCH(BA$4,Mat_Type,0))*INDEX(Escalators!$I$44:$U$49,MATCH(BA$4,Escalators!$C$44:$C$49,0),MATCH(BA$5,Escalators!$I$43:$U$43,0))</f>
        <v>0</v>
      </c>
      <c r="BB20" s="128">
        <f>INDEX(Direct_Cost_Splits_Network,MATCH($H20,RIN_Asset_Cat_Network,0),MATCH($BE$4,Direct_Cost_Type,0))*$N20*INDEX(Act_Type_Augex_Splits,MATCH($I20,Act_Type_Augex,0),MATCH(BB$4,Mat_Type,0))*INDEX(Escalators!$I$44:$U$49,MATCH(BB$4,Escalators!$C$44:$C$49,0),MATCH(BB$5,Escalators!$I$43:$U$43,0))</f>
        <v>0</v>
      </c>
      <c r="BC20" s="128">
        <f>INDEX(Direct_Cost_Splits_Network,MATCH($H20,RIN_Asset_Cat_Network,0),MATCH($BE$4,Direct_Cost_Type,0))*$N20*INDEX(Act_Type_Augex_Splits,MATCH($I20,Act_Type_Augex,0),MATCH(BC$4,Mat_Type,0))*INDEX(Escalators!$I$44:$U$49,MATCH(BC$4,Escalators!$C$44:$C$49,0),MATCH(BC$5,Escalators!$I$43:$U$43,0))</f>
        <v>0</v>
      </c>
      <c r="BD20" s="128">
        <f>INDEX(Direct_Cost_Splits_Network,MATCH($H20,RIN_Asset_Cat_Network,0),MATCH($BE$4,Direct_Cost_Type,0))*$N20*INDEX(Act_Type_Augex_Splits,MATCH($I20,Act_Type_Augex,0),MATCH(BD$4,Mat_Type,0))*INDEX(Escalators!$I$44:$U$49,MATCH(BD$4,Escalators!$C$44:$C$49,0),MATCH(BD$5,Escalators!$I$43:$U$43,0))</f>
        <v>0</v>
      </c>
      <c r="BE20" s="128">
        <f t="shared" si="72"/>
        <v>0</v>
      </c>
      <c r="BF20" s="128">
        <f>INDEX(Direct_Cost_Splits_Network,MATCH($H20,RIN_Asset_Cat_Network,0),MATCH($BK$4,Direct_Cost_Type,0))*$O20*INDEX(Act_Type_Augex_Splits,MATCH($I20,Act_Type_Augex,0),MATCH(BF$4,Mat_Type,0))*INDEX(Escalators!$I$44:$U$49,MATCH(BF$4,Escalators!$C$44:$C$49,0),MATCH(BF$5,Escalators!$I$43:$U$43,0))</f>
        <v>0</v>
      </c>
      <c r="BG20" s="128">
        <f>INDEX(Direct_Cost_Splits_Network,MATCH($H20,RIN_Asset_Cat_Network,0),MATCH($BK$4,Direct_Cost_Type,0))*$O20*INDEX(Act_Type_Augex_Splits,MATCH($I20,Act_Type_Augex,0),MATCH(BG$4,Mat_Type,0))*INDEX(Escalators!$I$44:$U$49,MATCH(BG$4,Escalators!$C$44:$C$49,0),MATCH(BG$5,Escalators!$I$43:$U$43,0))</f>
        <v>0</v>
      </c>
      <c r="BH20" s="128">
        <f>INDEX(Direct_Cost_Splits_Network,MATCH($H20,RIN_Asset_Cat_Network,0),MATCH($BK$4,Direct_Cost_Type,0))*$O20*INDEX(Act_Type_Augex_Splits,MATCH($I20,Act_Type_Augex,0),MATCH(BH$4,Mat_Type,0))*INDEX(Escalators!$I$44:$U$49,MATCH(BH$4,Escalators!$C$44:$C$49,0),MATCH(BH$5,Escalators!$I$43:$U$43,0))</f>
        <v>0</v>
      </c>
      <c r="BI20" s="128">
        <f>INDEX(Direct_Cost_Splits_Network,MATCH($H20,RIN_Asset_Cat_Network,0),MATCH($BK$4,Direct_Cost_Type,0))*$O20*INDEX(Act_Type_Augex_Splits,MATCH($I20,Act_Type_Augex,0),MATCH(BI$4,Mat_Type,0))*INDEX(Escalators!$I$44:$U$49,MATCH(BI$4,Escalators!$C$44:$C$49,0),MATCH(BI$5,Escalators!$I$43:$U$43,0))</f>
        <v>0</v>
      </c>
      <c r="BJ20" s="128">
        <f>INDEX(Direct_Cost_Splits_Network,MATCH($H20,RIN_Asset_Cat_Network,0),MATCH($BK$4,Direct_Cost_Type,0))*$O20*INDEX(Act_Type_Augex_Splits,MATCH($I20,Act_Type_Augex,0),MATCH(BJ$4,Mat_Type,0))*INDEX(Escalators!$I$44:$U$49,MATCH(BJ$4,Escalators!$C$44:$C$49,0),MATCH(BJ$5,Escalators!$I$43:$U$43,0))</f>
        <v>0</v>
      </c>
      <c r="BK20" s="128">
        <f t="shared" si="73"/>
        <v>0</v>
      </c>
      <c r="BL20" s="128">
        <f>INDEX(Direct_Cost_Splits_Network,MATCH($H20,RIN_Asset_Cat_Network,0),MATCH($BQ$4,Direct_Cost_Type,0))*$P20*INDEX(Act_Type_Augex_Splits,MATCH($I20,Act_Type_Augex,0),MATCH(BL$4,Mat_Type,0))*INDEX(Escalators!$I$44:$U$49,MATCH(BL$4,Escalators!$C$44:$C$49,0),MATCH(BL$5,Escalators!$I$43:$U$43,0))</f>
        <v>0</v>
      </c>
      <c r="BM20" s="128">
        <f>INDEX(Direct_Cost_Splits_Network,MATCH($H20,RIN_Asset_Cat_Network,0),MATCH($BQ$4,Direct_Cost_Type,0))*$P20*INDEX(Act_Type_Augex_Splits,MATCH($I20,Act_Type_Augex,0),MATCH(BM$4,Mat_Type,0))*INDEX(Escalators!$I$44:$U$49,MATCH(BM$4,Escalators!$C$44:$C$49,0),MATCH(BM$5,Escalators!$I$43:$U$43,0))</f>
        <v>0</v>
      </c>
      <c r="BN20" s="128">
        <f>INDEX(Direct_Cost_Splits_Network,MATCH($H20,RIN_Asset_Cat_Network,0),MATCH($BQ$4,Direct_Cost_Type,0))*$P20*INDEX(Act_Type_Augex_Splits,MATCH($I20,Act_Type_Augex,0),MATCH(BN$4,Mat_Type,0))*INDEX(Escalators!$I$44:$U$49,MATCH(BN$4,Escalators!$C$44:$C$49,0),MATCH(BN$5,Escalators!$I$43:$U$43,0))</f>
        <v>0</v>
      </c>
      <c r="BO20" s="128">
        <f>INDEX(Direct_Cost_Splits_Network,MATCH($H20,RIN_Asset_Cat_Network,0),MATCH($BQ$4,Direct_Cost_Type,0))*$P20*INDEX(Act_Type_Augex_Splits,MATCH($I20,Act_Type_Augex,0),MATCH(BO$4,Mat_Type,0))*INDEX(Escalators!$I$44:$U$49,MATCH(BO$4,Escalators!$C$44:$C$49,0),MATCH(BO$5,Escalators!$I$43:$U$43,0))</f>
        <v>0</v>
      </c>
      <c r="BP20" s="128">
        <f>INDEX(Direct_Cost_Splits_Network,MATCH($H20,RIN_Asset_Cat_Network,0),MATCH($BQ$4,Direct_Cost_Type,0))*$P20*INDEX(Act_Type_Augex_Splits,MATCH($I20,Act_Type_Augex,0),MATCH(BP$4,Mat_Type,0))*INDEX(Escalators!$I$44:$U$49,MATCH(BP$4,Escalators!$C$44:$C$49,0),MATCH(BP$5,Escalators!$I$43:$U$43,0))</f>
        <v>0</v>
      </c>
      <c r="BQ20" s="128">
        <f t="shared" si="74"/>
        <v>0</v>
      </c>
      <c r="BR20" s="128">
        <f>INDEX(Direct_Cost_Splits_Network,MATCH($H20,RIN_Asset_Cat_Network,0),MATCH($BW$4,Direct_Cost_Type,0))*$Q20*INDEX(Act_Type_Augex_Splits,MATCH($I20,Act_Type_Augex,0),MATCH(BR$4,Mat_Type,0))*INDEX(Escalators!$I$44:$U$49,MATCH(BR$4,Escalators!$C$44:$C$49,0),MATCH(BR$5,Escalators!$I$43:$U$43,0))</f>
        <v>0</v>
      </c>
      <c r="BS20" s="128">
        <f>INDEX(Direct_Cost_Splits_Network,MATCH($H20,RIN_Asset_Cat_Network,0),MATCH($BW$4,Direct_Cost_Type,0))*$Q20*INDEX(Act_Type_Augex_Splits,MATCH($I20,Act_Type_Augex,0),MATCH(BS$4,Mat_Type,0))*INDEX(Escalators!$I$44:$U$49,MATCH(BS$4,Escalators!$C$44:$C$49,0),MATCH(BS$5,Escalators!$I$43:$U$43,0))</f>
        <v>0</v>
      </c>
      <c r="BT20" s="128">
        <f>INDEX(Direct_Cost_Splits_Network,MATCH($H20,RIN_Asset_Cat_Network,0),MATCH($BW$4,Direct_Cost_Type,0))*$Q20*INDEX(Act_Type_Augex_Splits,MATCH($I20,Act_Type_Augex,0),MATCH(BT$4,Mat_Type,0))*INDEX(Escalators!$I$44:$U$49,MATCH(BT$4,Escalators!$C$44:$C$49,0),MATCH(BT$5,Escalators!$I$43:$U$43,0))</f>
        <v>0</v>
      </c>
      <c r="BU20" s="128">
        <f>INDEX(Direct_Cost_Splits_Network,MATCH($H20,RIN_Asset_Cat_Network,0),MATCH($BW$4,Direct_Cost_Type,0))*$Q20*INDEX(Act_Type_Augex_Splits,MATCH($I20,Act_Type_Augex,0),MATCH(BU$4,Mat_Type,0))*INDEX(Escalators!$I$44:$U$49,MATCH(BU$4,Escalators!$C$44:$C$49,0),MATCH(BU$5,Escalators!$I$43:$U$43,0))</f>
        <v>0</v>
      </c>
      <c r="BV20" s="128">
        <f>INDEX(Direct_Cost_Splits_Network,MATCH($H20,RIN_Asset_Cat_Network,0),MATCH($BW$4,Direct_Cost_Type,0))*$Q20*INDEX(Act_Type_Augex_Splits,MATCH($I20,Act_Type_Augex,0),MATCH(BV$4,Mat_Type,0))*INDEX(Escalators!$I$44:$U$49,MATCH(BV$4,Escalators!$C$44:$C$49,0),MATCH(BV$5,Escalators!$I$43:$U$43,0))</f>
        <v>0</v>
      </c>
      <c r="BW20" s="128">
        <f t="shared" si="75"/>
        <v>0</v>
      </c>
      <c r="BX20" s="129"/>
      <c r="BY20" s="128">
        <f>INDEX(Direct_Cost_Splits_Network,MATCH($H20,RIN_Asset_Cat_Network,0),MATCH($BY$4,Direct_Cost_Type,0))*J20*HLOOKUP(BY$5,Escalators!$I$25:$U$30,6,FALSE)</f>
        <v>0</v>
      </c>
      <c r="BZ20" s="128">
        <f>INDEX(Direct_Cost_Splits_Network,MATCH($H20,RIN_Asset_Cat_Network,0),MATCH($BY$4,Direct_Cost_Type,0))*K20*HLOOKUP(BZ$5,Escalators!$I$25:$U$30,6,FALSE)</f>
        <v>0</v>
      </c>
      <c r="CA20" s="128">
        <f>INDEX(Direct_Cost_Splits_Network,MATCH($H20,RIN_Asset_Cat_Network,0),MATCH($BY$4,Direct_Cost_Type,0))*L20*HLOOKUP(CA$5,Escalators!$I$25:$U$30,6,FALSE)</f>
        <v>0</v>
      </c>
      <c r="CB20" s="128">
        <f>INDEX(Direct_Cost_Splits_Network,MATCH($H20,RIN_Asset_Cat_Network,0),MATCH($BY$4,Direct_Cost_Type,0))*M20*HLOOKUP(CB$5,Escalators!$I$25:$U$30,6,FALSE)</f>
        <v>0</v>
      </c>
      <c r="CC20" s="128">
        <f>INDEX(Direct_Cost_Splits_Network,MATCH($H20,RIN_Asset_Cat_Network,0),MATCH($BY$4,Direct_Cost_Type,0))*N20*HLOOKUP(CC$5,Escalators!$I$25:$U$30,6,FALSE)</f>
        <v>0</v>
      </c>
      <c r="CD20" s="128">
        <f>INDEX(Direct_Cost_Splits_Network,MATCH($H20,RIN_Asset_Cat_Network,0),MATCH($BY$4,Direct_Cost_Type,0))*O20*HLOOKUP(CD$5,Escalators!$I$25:$U$30,6,FALSE)</f>
        <v>0</v>
      </c>
      <c r="CE20" s="128">
        <f>INDEX(Direct_Cost_Splits_Network,MATCH($H20,RIN_Asset_Cat_Network,0),MATCH($BY$4,Direct_Cost_Type,0))*P20*HLOOKUP(CE$5,Escalators!$I$25:$U$30,6,FALSE)</f>
        <v>0</v>
      </c>
      <c r="CF20" s="128">
        <f>INDEX(Direct_Cost_Splits_Network,MATCH($H20,RIN_Asset_Cat_Network,0),MATCH($BY$4,Direct_Cost_Type,0))*Q20*HLOOKUP(CF$5,Escalators!$I$25:$U$30,6,FALSE)</f>
        <v>0</v>
      </c>
      <c r="CG20" s="129"/>
      <c r="CH20" s="763">
        <f t="shared" si="76"/>
        <v>0</v>
      </c>
      <c r="CI20" s="763">
        <f t="shared" si="77"/>
        <v>0</v>
      </c>
      <c r="CJ20" s="763">
        <f t="shared" si="78"/>
        <v>0</v>
      </c>
      <c r="CK20" s="763">
        <f t="shared" si="79"/>
        <v>0</v>
      </c>
      <c r="CL20" s="763">
        <f t="shared" si="80"/>
        <v>0</v>
      </c>
      <c r="CM20" s="763">
        <f t="shared" si="81"/>
        <v>0</v>
      </c>
      <c r="CN20" s="763">
        <f t="shared" si="82"/>
        <v>0</v>
      </c>
      <c r="CO20" s="763">
        <f t="shared" si="83"/>
        <v>0</v>
      </c>
      <c r="CP20" s="129"/>
      <c r="CQ20" s="128">
        <f t="shared" si="18"/>
        <v>0</v>
      </c>
      <c r="CR20" s="128">
        <f t="shared" si="9"/>
        <v>0</v>
      </c>
      <c r="CS20" s="128">
        <f t="shared" si="19"/>
        <v>0</v>
      </c>
      <c r="CT20" s="128">
        <f t="shared" si="20"/>
        <v>0</v>
      </c>
      <c r="CU20" s="128">
        <f t="shared" si="21"/>
        <v>0</v>
      </c>
      <c r="CV20" s="128">
        <f t="shared" si="22"/>
        <v>0</v>
      </c>
      <c r="CW20" s="128">
        <f t="shared" si="23"/>
        <v>0</v>
      </c>
      <c r="CX20" s="128">
        <f t="shared" si="24"/>
        <v>0</v>
      </c>
      <c r="CZ20" s="39"/>
    </row>
    <row r="21" spans="2:104" x14ac:dyDescent="0.25">
      <c r="B21" s="75" t="s">
        <v>430</v>
      </c>
      <c r="C21" s="75" t="s">
        <v>425</v>
      </c>
      <c r="D21" s="75" t="s">
        <v>543</v>
      </c>
      <c r="E21" s="75" t="s">
        <v>45</v>
      </c>
      <c r="F21" s="75" t="s">
        <v>51</v>
      </c>
      <c r="G21" s="75" t="s">
        <v>10</v>
      </c>
      <c r="H21" s="75" t="s">
        <v>164</v>
      </c>
      <c r="I21" s="75" t="s">
        <v>214</v>
      </c>
      <c r="J21" s="128"/>
      <c r="K21" s="128"/>
      <c r="L21" s="128"/>
      <c r="M21" s="128">
        <v>0</v>
      </c>
      <c r="N21" s="128">
        <v>0</v>
      </c>
      <c r="O21" s="128">
        <v>0</v>
      </c>
      <c r="P21" s="128">
        <v>0</v>
      </c>
      <c r="Q21" s="128">
        <v>0</v>
      </c>
      <c r="R21" s="129"/>
      <c r="S21" s="128">
        <f>INDEX(Direct_Cost_Splits_Network,MATCH($H21,RIN_Asset_Cat_Network,0),MATCH($S$4,Direct_Cost_Type,0))*J21*HLOOKUP(S$5,Escalators!$I$25:$U$30,3,FALSE)</f>
        <v>0</v>
      </c>
      <c r="T21" s="128">
        <f>INDEX(Direct_Cost_Splits_Network,MATCH($H21,RIN_Asset_Cat_Network,0),MATCH($S$4,Direct_Cost_Type,0))*K21*HLOOKUP(T$5,Escalators!$I$25:$U$30,3,FALSE)</f>
        <v>0</v>
      </c>
      <c r="U21" s="128">
        <f>INDEX(Direct_Cost_Splits_Network,MATCH($H21,RIN_Asset_Cat_Network,0),MATCH($S$4,Direct_Cost_Type,0))*L21*HLOOKUP(U$5,Escalators!$I$25:$U$30,3,FALSE)</f>
        <v>0</v>
      </c>
      <c r="V21" s="128">
        <f>INDEX(Direct_Cost_Splits_Network,MATCH($H21,RIN_Asset_Cat_Network,0),MATCH($S$4,Direct_Cost_Type,0))*M21*HLOOKUP(V$5,Escalators!$I$25:$U$30,3,FALSE)</f>
        <v>0</v>
      </c>
      <c r="W21" s="128">
        <f>INDEX(Direct_Cost_Splits_Network,MATCH($H21,RIN_Asset_Cat_Network,0),MATCH($S$4,Direct_Cost_Type,0))*N21*HLOOKUP(W$5,Escalators!$I$25:$U$30,3,FALSE)</f>
        <v>0</v>
      </c>
      <c r="X21" s="128">
        <f>INDEX(Direct_Cost_Splits_Network,MATCH($H21,RIN_Asset_Cat_Network,0),MATCH($S$4,Direct_Cost_Type,0))*O21*HLOOKUP(X$5,Escalators!$I$25:$U$30,3,FALSE)</f>
        <v>0</v>
      </c>
      <c r="Y21" s="128">
        <f>INDEX(Direct_Cost_Splits_Network,MATCH($H21,RIN_Asset_Cat_Network,0),MATCH($S$4,Direct_Cost_Type,0))*P21*HLOOKUP(Y$5,Escalators!$I$25:$U$30,3,FALSE)</f>
        <v>0</v>
      </c>
      <c r="Z21" s="128">
        <f>INDEX(Direct_Cost_Splits_Network,MATCH($H21,RIN_Asset_Cat_Network,0),MATCH($S$4,Direct_Cost_Type,0))*Q21*HLOOKUP(Z$5,Escalators!$I$25:$U$30,3,FALSE)</f>
        <v>0</v>
      </c>
      <c r="AA21" s="129"/>
      <c r="AB21" s="128">
        <f>INDEX(Direct_Cost_Splits_Network,MATCH($H21,RIN_Asset_Cat_Network,0),MATCH($AG$4,Direct_Cost_Type,0))*$J21*INDEX(Act_Type_Augex_Splits,MATCH($I21,Act_Type_Augex,0),MATCH(AB$4,Mat_Type,0))*INDEX(Escalators!$I$44:$U$49,MATCH(AB$4,Escalators!$C$44:$C$49,0),MATCH(AB$5,Escalators!$I$43:$U$43,0))</f>
        <v>0</v>
      </c>
      <c r="AC21" s="128">
        <f>INDEX(Direct_Cost_Splits_Network,MATCH($H21,RIN_Asset_Cat_Network,0),MATCH($AG$4,Direct_Cost_Type,0))*$J21*INDEX(Act_Type_Augex_Splits,MATCH($I21,Act_Type_Augex,0),MATCH(AC$4,Mat_Type,0))*INDEX(Escalators!$I$44:$U$49,MATCH(AC$4,Escalators!$C$44:$C$49,0),MATCH(AC$5,Escalators!$I$43:$U$43,0))</f>
        <v>0</v>
      </c>
      <c r="AD21" s="128">
        <f>INDEX(Direct_Cost_Splits_Network,MATCH($H21,RIN_Asset_Cat_Network,0),MATCH($AG$4,Direct_Cost_Type,0))*$J21*INDEX(Act_Type_Augex_Splits,MATCH($I21,Act_Type_Augex,0),MATCH(AD$4,Mat_Type,0))*INDEX(Escalators!$I$44:$U$49,MATCH(AD$4,Escalators!$C$44:$C$49,0),MATCH(AD$5,Escalators!$I$43:$U$43,0))</f>
        <v>0</v>
      </c>
      <c r="AE21" s="128">
        <f>INDEX(Direct_Cost_Splits_Network,MATCH($H21,RIN_Asset_Cat_Network,0),MATCH($AG$4,Direct_Cost_Type,0))*$J21*INDEX(Act_Type_Augex_Splits,MATCH($I21,Act_Type_Augex,0),MATCH(AE$4,Mat_Type,0))*INDEX(Escalators!$I$44:$U$49,MATCH(AE$4,Escalators!$C$44:$C$49,0),MATCH(AE$5,Escalators!$I$43:$U$43,0))</f>
        <v>0</v>
      </c>
      <c r="AF21" s="128">
        <f>INDEX(Direct_Cost_Splits_Network,MATCH($H21,RIN_Asset_Cat_Network,0),MATCH($AG$4,Direct_Cost_Type,0))*$J21*INDEX(Act_Type_Augex_Splits,MATCH($I21,Act_Type_Augex,0),MATCH(AF$4,Mat_Type,0))*INDEX(Escalators!$I$44:$U$49,MATCH(AF$4,Escalators!$C$44:$C$49,0),MATCH(AF$5,Escalators!$I$43:$U$43,0))</f>
        <v>0</v>
      </c>
      <c r="AG21" s="128">
        <f t="shared" si="68"/>
        <v>0</v>
      </c>
      <c r="AH21" s="128">
        <f>INDEX(Direct_Cost_Splits_Network,MATCH($H21,RIN_Asset_Cat_Network,0),MATCH($AY$4,Direct_Cost_Type,0))*$K21*INDEX(Act_Type_Augex_Splits,MATCH($I21,Act_Type_Augex,0),MATCH(AH$4,Mat_Type,0))*INDEX(Escalators!$I$44:$U$49,MATCH(AH$4,Escalators!$C$44:$C$49,0),MATCH(AH$5,Escalators!$I$43:$U$43,0))</f>
        <v>0</v>
      </c>
      <c r="AI21" s="128">
        <f>INDEX(Direct_Cost_Splits_Network,MATCH($H21,RIN_Asset_Cat_Network,0),MATCH($AY$4,Direct_Cost_Type,0))*$K21*INDEX(Act_Type_Augex_Splits,MATCH($I21,Act_Type_Augex,0),MATCH(AI$4,Mat_Type,0))*INDEX(Escalators!$I$44:$U$49,MATCH(AI$4,Escalators!$C$44:$C$49,0),MATCH(AI$5,Escalators!$I$43:$U$43,0))</f>
        <v>0</v>
      </c>
      <c r="AJ21" s="128">
        <f>INDEX(Direct_Cost_Splits_Network,MATCH($H21,RIN_Asset_Cat_Network,0),MATCH($AY$4,Direct_Cost_Type,0))*$K21*INDEX(Act_Type_Augex_Splits,MATCH($I21,Act_Type_Augex,0),MATCH(AJ$4,Mat_Type,0))*INDEX(Escalators!$I$44:$U$49,MATCH(AJ$4,Escalators!$C$44:$C$49,0),MATCH(AJ$5,Escalators!$I$43:$U$43,0))</f>
        <v>0</v>
      </c>
      <c r="AK21" s="128">
        <f>INDEX(Direct_Cost_Splits_Network,MATCH($H21,RIN_Asset_Cat_Network,0),MATCH($AY$4,Direct_Cost_Type,0))*$K21*INDEX(Act_Type_Augex_Splits,MATCH($I21,Act_Type_Augex,0),MATCH(AK$4,Mat_Type,0))*INDEX(Escalators!$I$44:$U$49,MATCH(AK$4,Escalators!$C$44:$C$49,0),MATCH(AK$5,Escalators!$I$43:$U$43,0))</f>
        <v>0</v>
      </c>
      <c r="AL21" s="128">
        <f>INDEX(Direct_Cost_Splits_Network,MATCH($H21,RIN_Asset_Cat_Network,0),MATCH($AY$4,Direct_Cost_Type,0))*$K21*INDEX(Act_Type_Augex_Splits,MATCH($I21,Act_Type_Augex,0),MATCH(AL$4,Mat_Type,0))*INDEX(Escalators!$I$44:$U$49,MATCH(AL$4,Escalators!$C$44:$C$49,0),MATCH(AL$5,Escalators!$I$43:$U$43,0))</f>
        <v>0</v>
      </c>
      <c r="AM21" s="128">
        <f t="shared" si="69"/>
        <v>0</v>
      </c>
      <c r="AN21" s="128">
        <f>INDEX(Direct_Cost_Splits_Network,MATCH($H21,RIN_Asset_Cat_Network,0),MATCH($AY$4,Direct_Cost_Type,0))*$L21*INDEX(Act_Type_Augex_Splits,MATCH($I21,Act_Type_Augex,0),MATCH(AN$4,Mat_Type,0))*INDEX(Escalators!$I$44:$U$49,MATCH(AN$4,Escalators!$C$44:$C$49,0),MATCH(AN$5,Escalators!$I$43:$U$43,0))</f>
        <v>0</v>
      </c>
      <c r="AO21" s="128">
        <f>INDEX(Direct_Cost_Splits_Network,MATCH($H21,RIN_Asset_Cat_Network,0),MATCH($AY$4,Direct_Cost_Type,0))*$L21*INDEX(Act_Type_Augex_Splits,MATCH($I21,Act_Type_Augex,0),MATCH(AO$4,Mat_Type,0))*INDEX(Escalators!$I$44:$U$49,MATCH(AO$4,Escalators!$C$44:$C$49,0),MATCH(AO$5,Escalators!$I$43:$U$43,0))</f>
        <v>0</v>
      </c>
      <c r="AP21" s="128">
        <f>INDEX(Direct_Cost_Splits_Network,MATCH($H21,RIN_Asset_Cat_Network,0),MATCH($AY$4,Direct_Cost_Type,0))*$L21*INDEX(Act_Type_Augex_Splits,MATCH($I21,Act_Type_Augex,0),MATCH(AP$4,Mat_Type,0))*INDEX(Escalators!$I$44:$U$49,MATCH(AP$4,Escalators!$C$44:$C$49,0),MATCH(AP$5,Escalators!$I$43:$U$43,0))</f>
        <v>0</v>
      </c>
      <c r="AQ21" s="128">
        <f>INDEX(Direct_Cost_Splits_Network,MATCH($H21,RIN_Asset_Cat_Network,0),MATCH($AY$4,Direct_Cost_Type,0))*$L21*INDEX(Act_Type_Augex_Splits,MATCH($I21,Act_Type_Augex,0),MATCH(AQ$4,Mat_Type,0))*INDEX(Escalators!$I$44:$U$49,MATCH(AQ$4,Escalators!$C$44:$C$49,0),MATCH(AQ$5,Escalators!$I$43:$U$43,0))</f>
        <v>0</v>
      </c>
      <c r="AR21" s="128">
        <f>INDEX(Direct_Cost_Splits_Network,MATCH($H21,RIN_Asset_Cat_Network,0),MATCH($AY$4,Direct_Cost_Type,0))*$L21*INDEX(Act_Type_Augex_Splits,MATCH($I21,Act_Type_Augex,0),MATCH(AR$4,Mat_Type,0))*INDEX(Escalators!$I$44:$U$49,MATCH(AR$4,Escalators!$C$44:$C$49,0),MATCH(AR$5,Escalators!$I$43:$U$43,0))</f>
        <v>0</v>
      </c>
      <c r="AS21" s="128">
        <f t="shared" si="70"/>
        <v>0</v>
      </c>
      <c r="AT21" s="128">
        <f>INDEX(Direct_Cost_Splits_Network,MATCH($H21,RIN_Asset_Cat_Network,0),MATCH($AY$4,Direct_Cost_Type,0))*$M21*INDEX(Act_Type_Augex_Splits,MATCH($I21,Act_Type_Augex,0),MATCH(AT$4,Mat_Type,0))*INDEX(Escalators!$I$44:$U$49,MATCH(AT$4,Escalators!$C$44:$C$49,0),MATCH(AT$5,Escalators!$I$43:$U$43,0))</f>
        <v>0</v>
      </c>
      <c r="AU21" s="128">
        <f>INDEX(Direct_Cost_Splits_Network,MATCH($H21,RIN_Asset_Cat_Network,0),MATCH($AY$4,Direct_Cost_Type,0))*$M21*INDEX(Act_Type_Augex_Splits,MATCH($I21,Act_Type_Augex,0),MATCH(AU$4,Mat_Type,0))*INDEX(Escalators!$I$44:$U$49,MATCH(AU$4,Escalators!$C$44:$C$49,0),MATCH(AU$5,Escalators!$I$43:$U$43,0))</f>
        <v>0</v>
      </c>
      <c r="AV21" s="128">
        <f>INDEX(Direct_Cost_Splits_Network,MATCH($H21,RIN_Asset_Cat_Network,0),MATCH($AY$4,Direct_Cost_Type,0))*$M21*INDEX(Act_Type_Augex_Splits,MATCH($I21,Act_Type_Augex,0),MATCH(AV$4,Mat_Type,0))*INDEX(Escalators!$I$44:$U$49,MATCH(AV$4,Escalators!$C$44:$C$49,0),MATCH(AV$5,Escalators!$I$43:$U$43,0))</f>
        <v>0</v>
      </c>
      <c r="AW21" s="128">
        <f>INDEX(Direct_Cost_Splits_Network,MATCH($H21,RIN_Asset_Cat_Network,0),MATCH($AY$4,Direct_Cost_Type,0))*$M21*INDEX(Act_Type_Augex_Splits,MATCH($I21,Act_Type_Augex,0),MATCH(AW$4,Mat_Type,0))*INDEX(Escalators!$I$44:$U$49,MATCH(AW$4,Escalators!$C$44:$C$49,0),MATCH(AW$5,Escalators!$I$43:$U$43,0))</f>
        <v>0</v>
      </c>
      <c r="AX21" s="128">
        <f>INDEX(Direct_Cost_Splits_Network,MATCH($H21,RIN_Asset_Cat_Network,0),MATCH($AY$4,Direct_Cost_Type,0))*$M21*INDEX(Act_Type_Augex_Splits,MATCH($I21,Act_Type_Augex,0),MATCH(AX$4,Mat_Type,0))*INDEX(Escalators!$I$44:$U$49,MATCH(AX$4,Escalators!$C$44:$C$49,0),MATCH(AX$5,Escalators!$I$43:$U$43,0))</f>
        <v>0</v>
      </c>
      <c r="AY21" s="128">
        <f t="shared" si="71"/>
        <v>0</v>
      </c>
      <c r="AZ21" s="128">
        <f>INDEX(Direct_Cost_Splits_Network,MATCH($H21,RIN_Asset_Cat_Network,0),MATCH($BE$4,Direct_Cost_Type,0))*$N21*INDEX(Act_Type_Augex_Splits,MATCH($I21,Act_Type_Augex,0),MATCH(AZ$4,Mat_Type,0))*INDEX(Escalators!$I$44:$U$49,MATCH(AZ$4,Escalators!$C$44:$C$49,0),MATCH(AZ$5,Escalators!$I$43:$U$43,0))</f>
        <v>0</v>
      </c>
      <c r="BA21" s="128">
        <f>INDEX(Direct_Cost_Splits_Network,MATCH($H21,RIN_Asset_Cat_Network,0),MATCH($BE$4,Direct_Cost_Type,0))*$N21*INDEX(Act_Type_Augex_Splits,MATCH($I21,Act_Type_Augex,0),MATCH(BA$4,Mat_Type,0))*INDEX(Escalators!$I$44:$U$49,MATCH(BA$4,Escalators!$C$44:$C$49,0),MATCH(BA$5,Escalators!$I$43:$U$43,0))</f>
        <v>0</v>
      </c>
      <c r="BB21" s="128">
        <f>INDEX(Direct_Cost_Splits_Network,MATCH($H21,RIN_Asset_Cat_Network,0),MATCH($BE$4,Direct_Cost_Type,0))*$N21*INDEX(Act_Type_Augex_Splits,MATCH($I21,Act_Type_Augex,0),MATCH(BB$4,Mat_Type,0))*INDEX(Escalators!$I$44:$U$49,MATCH(BB$4,Escalators!$C$44:$C$49,0),MATCH(BB$5,Escalators!$I$43:$U$43,0))</f>
        <v>0</v>
      </c>
      <c r="BC21" s="128">
        <f>INDEX(Direct_Cost_Splits_Network,MATCH($H21,RIN_Asset_Cat_Network,0),MATCH($BE$4,Direct_Cost_Type,0))*$N21*INDEX(Act_Type_Augex_Splits,MATCH($I21,Act_Type_Augex,0),MATCH(BC$4,Mat_Type,0))*INDEX(Escalators!$I$44:$U$49,MATCH(BC$4,Escalators!$C$44:$C$49,0),MATCH(BC$5,Escalators!$I$43:$U$43,0))</f>
        <v>0</v>
      </c>
      <c r="BD21" s="128">
        <f>INDEX(Direct_Cost_Splits_Network,MATCH($H21,RIN_Asset_Cat_Network,0),MATCH($BE$4,Direct_Cost_Type,0))*$N21*INDEX(Act_Type_Augex_Splits,MATCH($I21,Act_Type_Augex,0),MATCH(BD$4,Mat_Type,0))*INDEX(Escalators!$I$44:$U$49,MATCH(BD$4,Escalators!$C$44:$C$49,0),MATCH(BD$5,Escalators!$I$43:$U$43,0))</f>
        <v>0</v>
      </c>
      <c r="BE21" s="128">
        <f t="shared" si="72"/>
        <v>0</v>
      </c>
      <c r="BF21" s="128">
        <f>INDEX(Direct_Cost_Splits_Network,MATCH($H21,RIN_Asset_Cat_Network,0),MATCH($BK$4,Direct_Cost_Type,0))*$O21*INDEX(Act_Type_Augex_Splits,MATCH($I21,Act_Type_Augex,0),MATCH(BF$4,Mat_Type,0))*INDEX(Escalators!$I$44:$U$49,MATCH(BF$4,Escalators!$C$44:$C$49,0),MATCH(BF$5,Escalators!$I$43:$U$43,0))</f>
        <v>0</v>
      </c>
      <c r="BG21" s="128">
        <f>INDEX(Direct_Cost_Splits_Network,MATCH($H21,RIN_Asset_Cat_Network,0),MATCH($BK$4,Direct_Cost_Type,0))*$O21*INDEX(Act_Type_Augex_Splits,MATCH($I21,Act_Type_Augex,0),MATCH(BG$4,Mat_Type,0))*INDEX(Escalators!$I$44:$U$49,MATCH(BG$4,Escalators!$C$44:$C$49,0),MATCH(BG$5,Escalators!$I$43:$U$43,0))</f>
        <v>0</v>
      </c>
      <c r="BH21" s="128">
        <f>INDEX(Direct_Cost_Splits_Network,MATCH($H21,RIN_Asset_Cat_Network,0),MATCH($BK$4,Direct_Cost_Type,0))*$O21*INDEX(Act_Type_Augex_Splits,MATCH($I21,Act_Type_Augex,0),MATCH(BH$4,Mat_Type,0))*INDEX(Escalators!$I$44:$U$49,MATCH(BH$4,Escalators!$C$44:$C$49,0),MATCH(BH$5,Escalators!$I$43:$U$43,0))</f>
        <v>0</v>
      </c>
      <c r="BI21" s="128">
        <f>INDEX(Direct_Cost_Splits_Network,MATCH($H21,RIN_Asset_Cat_Network,0),MATCH($BK$4,Direct_Cost_Type,0))*$O21*INDEX(Act_Type_Augex_Splits,MATCH($I21,Act_Type_Augex,0),MATCH(BI$4,Mat_Type,0))*INDEX(Escalators!$I$44:$U$49,MATCH(BI$4,Escalators!$C$44:$C$49,0),MATCH(BI$5,Escalators!$I$43:$U$43,0))</f>
        <v>0</v>
      </c>
      <c r="BJ21" s="128">
        <f>INDEX(Direct_Cost_Splits_Network,MATCH($H21,RIN_Asset_Cat_Network,0),MATCH($BK$4,Direct_Cost_Type,0))*$O21*INDEX(Act_Type_Augex_Splits,MATCH($I21,Act_Type_Augex,0),MATCH(BJ$4,Mat_Type,0))*INDEX(Escalators!$I$44:$U$49,MATCH(BJ$4,Escalators!$C$44:$C$49,0),MATCH(BJ$5,Escalators!$I$43:$U$43,0))</f>
        <v>0</v>
      </c>
      <c r="BK21" s="128">
        <f t="shared" si="73"/>
        <v>0</v>
      </c>
      <c r="BL21" s="128">
        <f>INDEX(Direct_Cost_Splits_Network,MATCH($H21,RIN_Asset_Cat_Network,0),MATCH($BQ$4,Direct_Cost_Type,0))*$P21*INDEX(Act_Type_Augex_Splits,MATCH($I21,Act_Type_Augex,0),MATCH(BL$4,Mat_Type,0))*INDEX(Escalators!$I$44:$U$49,MATCH(BL$4,Escalators!$C$44:$C$49,0),MATCH(BL$5,Escalators!$I$43:$U$43,0))</f>
        <v>0</v>
      </c>
      <c r="BM21" s="128">
        <f>INDEX(Direct_Cost_Splits_Network,MATCH($H21,RIN_Asset_Cat_Network,0),MATCH($BQ$4,Direct_Cost_Type,0))*$P21*INDEX(Act_Type_Augex_Splits,MATCH($I21,Act_Type_Augex,0),MATCH(BM$4,Mat_Type,0))*INDEX(Escalators!$I$44:$U$49,MATCH(BM$4,Escalators!$C$44:$C$49,0),MATCH(BM$5,Escalators!$I$43:$U$43,0))</f>
        <v>0</v>
      </c>
      <c r="BN21" s="128">
        <f>INDEX(Direct_Cost_Splits_Network,MATCH($H21,RIN_Asset_Cat_Network,0),MATCH($BQ$4,Direct_Cost_Type,0))*$P21*INDEX(Act_Type_Augex_Splits,MATCH($I21,Act_Type_Augex,0),MATCH(BN$4,Mat_Type,0))*INDEX(Escalators!$I$44:$U$49,MATCH(BN$4,Escalators!$C$44:$C$49,0),MATCH(BN$5,Escalators!$I$43:$U$43,0))</f>
        <v>0</v>
      </c>
      <c r="BO21" s="128">
        <f>INDEX(Direct_Cost_Splits_Network,MATCH($H21,RIN_Asset_Cat_Network,0),MATCH($BQ$4,Direct_Cost_Type,0))*$P21*INDEX(Act_Type_Augex_Splits,MATCH($I21,Act_Type_Augex,0),MATCH(BO$4,Mat_Type,0))*INDEX(Escalators!$I$44:$U$49,MATCH(BO$4,Escalators!$C$44:$C$49,0),MATCH(BO$5,Escalators!$I$43:$U$43,0))</f>
        <v>0</v>
      </c>
      <c r="BP21" s="128">
        <f>INDEX(Direct_Cost_Splits_Network,MATCH($H21,RIN_Asset_Cat_Network,0),MATCH($BQ$4,Direct_Cost_Type,0))*$P21*INDEX(Act_Type_Augex_Splits,MATCH($I21,Act_Type_Augex,0),MATCH(BP$4,Mat_Type,0))*INDEX(Escalators!$I$44:$U$49,MATCH(BP$4,Escalators!$C$44:$C$49,0),MATCH(BP$5,Escalators!$I$43:$U$43,0))</f>
        <v>0</v>
      </c>
      <c r="BQ21" s="128">
        <f t="shared" si="74"/>
        <v>0</v>
      </c>
      <c r="BR21" s="128">
        <f>INDEX(Direct_Cost_Splits_Network,MATCH($H21,RIN_Asset_Cat_Network,0),MATCH($BW$4,Direct_Cost_Type,0))*$Q21*INDEX(Act_Type_Augex_Splits,MATCH($I21,Act_Type_Augex,0),MATCH(BR$4,Mat_Type,0))*INDEX(Escalators!$I$44:$U$49,MATCH(BR$4,Escalators!$C$44:$C$49,0),MATCH(BR$5,Escalators!$I$43:$U$43,0))</f>
        <v>0</v>
      </c>
      <c r="BS21" s="128">
        <f>INDEX(Direct_Cost_Splits_Network,MATCH($H21,RIN_Asset_Cat_Network,0),MATCH($BW$4,Direct_Cost_Type,0))*$Q21*INDEX(Act_Type_Augex_Splits,MATCH($I21,Act_Type_Augex,0),MATCH(BS$4,Mat_Type,0))*INDEX(Escalators!$I$44:$U$49,MATCH(BS$4,Escalators!$C$44:$C$49,0),MATCH(BS$5,Escalators!$I$43:$U$43,0))</f>
        <v>0</v>
      </c>
      <c r="BT21" s="128">
        <f>INDEX(Direct_Cost_Splits_Network,MATCH($H21,RIN_Asset_Cat_Network,0),MATCH($BW$4,Direct_Cost_Type,0))*$Q21*INDEX(Act_Type_Augex_Splits,MATCH($I21,Act_Type_Augex,0),MATCH(BT$4,Mat_Type,0))*INDEX(Escalators!$I$44:$U$49,MATCH(BT$4,Escalators!$C$44:$C$49,0),MATCH(BT$5,Escalators!$I$43:$U$43,0))</f>
        <v>0</v>
      </c>
      <c r="BU21" s="128">
        <f>INDEX(Direct_Cost_Splits_Network,MATCH($H21,RIN_Asset_Cat_Network,0),MATCH($BW$4,Direct_Cost_Type,0))*$Q21*INDEX(Act_Type_Augex_Splits,MATCH($I21,Act_Type_Augex,0),MATCH(BU$4,Mat_Type,0))*INDEX(Escalators!$I$44:$U$49,MATCH(BU$4,Escalators!$C$44:$C$49,0),MATCH(BU$5,Escalators!$I$43:$U$43,0))</f>
        <v>0</v>
      </c>
      <c r="BV21" s="128">
        <f>INDEX(Direct_Cost_Splits_Network,MATCH($H21,RIN_Asset_Cat_Network,0),MATCH($BW$4,Direct_Cost_Type,0))*$Q21*INDEX(Act_Type_Augex_Splits,MATCH($I21,Act_Type_Augex,0),MATCH(BV$4,Mat_Type,0))*INDEX(Escalators!$I$44:$U$49,MATCH(BV$4,Escalators!$C$44:$C$49,0),MATCH(BV$5,Escalators!$I$43:$U$43,0))</f>
        <v>0</v>
      </c>
      <c r="BW21" s="128">
        <f t="shared" si="75"/>
        <v>0</v>
      </c>
      <c r="BX21" s="129"/>
      <c r="BY21" s="128">
        <f>INDEX(Direct_Cost_Splits_Network,MATCH($H21,RIN_Asset_Cat_Network,0),MATCH($BY$4,Direct_Cost_Type,0))*J21*HLOOKUP(BY$5,Escalators!$I$25:$U$30,6,FALSE)</f>
        <v>0</v>
      </c>
      <c r="BZ21" s="128">
        <f>INDEX(Direct_Cost_Splits_Network,MATCH($H21,RIN_Asset_Cat_Network,0),MATCH($BY$4,Direct_Cost_Type,0))*K21*HLOOKUP(BZ$5,Escalators!$I$25:$U$30,6,FALSE)</f>
        <v>0</v>
      </c>
      <c r="CA21" s="128">
        <f>INDEX(Direct_Cost_Splits_Network,MATCH($H21,RIN_Asset_Cat_Network,0),MATCH($BY$4,Direct_Cost_Type,0))*L21*HLOOKUP(CA$5,Escalators!$I$25:$U$30,6,FALSE)</f>
        <v>0</v>
      </c>
      <c r="CB21" s="128">
        <f>INDEX(Direct_Cost_Splits_Network,MATCH($H21,RIN_Asset_Cat_Network,0),MATCH($BY$4,Direct_Cost_Type,0))*M21*HLOOKUP(CB$5,Escalators!$I$25:$U$30,6,FALSE)</f>
        <v>0</v>
      </c>
      <c r="CC21" s="128">
        <f>INDEX(Direct_Cost_Splits_Network,MATCH($H21,RIN_Asset_Cat_Network,0),MATCH($BY$4,Direct_Cost_Type,0))*N21*HLOOKUP(CC$5,Escalators!$I$25:$U$30,6,FALSE)</f>
        <v>0</v>
      </c>
      <c r="CD21" s="128">
        <f>INDEX(Direct_Cost_Splits_Network,MATCH($H21,RIN_Asset_Cat_Network,0),MATCH($BY$4,Direct_Cost_Type,0))*O21*HLOOKUP(CD$5,Escalators!$I$25:$U$30,6,FALSE)</f>
        <v>0</v>
      </c>
      <c r="CE21" s="128">
        <f>INDEX(Direct_Cost_Splits_Network,MATCH($H21,RIN_Asset_Cat_Network,0),MATCH($BY$4,Direct_Cost_Type,0))*P21*HLOOKUP(CE$5,Escalators!$I$25:$U$30,6,FALSE)</f>
        <v>0</v>
      </c>
      <c r="CF21" s="128">
        <f>INDEX(Direct_Cost_Splits_Network,MATCH($H21,RIN_Asset_Cat_Network,0),MATCH($BY$4,Direct_Cost_Type,0))*Q21*HLOOKUP(CF$5,Escalators!$I$25:$U$30,6,FALSE)</f>
        <v>0</v>
      </c>
      <c r="CG21" s="129"/>
      <c r="CH21" s="763">
        <f t="shared" si="76"/>
        <v>0</v>
      </c>
      <c r="CI21" s="763">
        <f t="shared" si="77"/>
        <v>0</v>
      </c>
      <c r="CJ21" s="763">
        <f t="shared" si="78"/>
        <v>0</v>
      </c>
      <c r="CK21" s="763">
        <f t="shared" si="79"/>
        <v>0</v>
      </c>
      <c r="CL21" s="763">
        <f t="shared" si="80"/>
        <v>0</v>
      </c>
      <c r="CM21" s="763">
        <f t="shared" si="81"/>
        <v>0</v>
      </c>
      <c r="CN21" s="763">
        <f t="shared" si="82"/>
        <v>0</v>
      </c>
      <c r="CO21" s="763">
        <f t="shared" si="83"/>
        <v>0</v>
      </c>
      <c r="CP21" s="129"/>
      <c r="CQ21" s="128">
        <f t="shared" si="18"/>
        <v>0</v>
      </c>
      <c r="CR21" s="128">
        <f t="shared" si="9"/>
        <v>0</v>
      </c>
      <c r="CS21" s="128">
        <f t="shared" si="19"/>
        <v>0</v>
      </c>
      <c r="CT21" s="128">
        <f t="shared" si="20"/>
        <v>0</v>
      </c>
      <c r="CU21" s="128">
        <f t="shared" si="21"/>
        <v>0</v>
      </c>
      <c r="CV21" s="128">
        <f t="shared" si="22"/>
        <v>0</v>
      </c>
      <c r="CW21" s="128">
        <f t="shared" si="23"/>
        <v>0</v>
      </c>
      <c r="CX21" s="128">
        <f t="shared" si="24"/>
        <v>0</v>
      </c>
      <c r="CZ21" s="39"/>
    </row>
    <row r="22" spans="2:104" x14ac:dyDescent="0.25">
      <c r="B22" s="75" t="s">
        <v>430</v>
      </c>
      <c r="C22" s="75" t="s">
        <v>617</v>
      </c>
      <c r="D22" s="75" t="s">
        <v>543</v>
      </c>
      <c r="E22" s="75" t="s">
        <v>45</v>
      </c>
      <c r="F22" s="75" t="s">
        <v>51</v>
      </c>
      <c r="G22" s="75" t="s">
        <v>10</v>
      </c>
      <c r="H22" s="75" t="s">
        <v>152</v>
      </c>
      <c r="I22" s="75" t="s">
        <v>5</v>
      </c>
      <c r="J22" s="128"/>
      <c r="K22" s="128"/>
      <c r="L22" s="128"/>
      <c r="M22" s="128">
        <v>500</v>
      </c>
      <c r="N22" s="128">
        <v>500</v>
      </c>
      <c r="O22" s="128">
        <v>500</v>
      </c>
      <c r="P22" s="128">
        <v>500</v>
      </c>
      <c r="Q22" s="128">
        <v>500</v>
      </c>
      <c r="R22" s="129"/>
      <c r="S22" s="128">
        <f>INDEX(Direct_Cost_Splits_Network,MATCH($H22,RIN_Asset_Cat_Network,0),MATCH($S$4,Direct_Cost_Type,0))*J22*HLOOKUP(S$5,Escalators!$I$25:$U$30,3,FALSE)</f>
        <v>0</v>
      </c>
      <c r="T22" s="128">
        <f>INDEX(Direct_Cost_Splits_Network,MATCH($H22,RIN_Asset_Cat_Network,0),MATCH($S$4,Direct_Cost_Type,0))*K22*HLOOKUP(T$5,Escalators!$I$25:$U$30,3,FALSE)</f>
        <v>0</v>
      </c>
      <c r="U22" s="128">
        <f>INDEX(Direct_Cost_Splits_Network,MATCH($H22,RIN_Asset_Cat_Network,0),MATCH($S$4,Direct_Cost_Type,0))*L22*HLOOKUP(U$5,Escalators!$I$25:$U$30,3,FALSE)</f>
        <v>0</v>
      </c>
      <c r="V22" s="128">
        <f>INDEX(Direct_Cost_Splits_Network,MATCH($H22,RIN_Asset_Cat_Network,0),MATCH($S$4,Direct_Cost_Type,0))*M22*HLOOKUP(V$5,Escalators!$I$25:$U$30,3,FALSE)</f>
        <v>78.845240080556138</v>
      </c>
      <c r="W22" s="128">
        <f>INDEX(Direct_Cost_Splits_Network,MATCH($H22,RIN_Asset_Cat_Network,0),MATCH($S$4,Direct_Cost_Type,0))*N22*HLOOKUP(W$5,Escalators!$I$25:$U$30,3,FALSE)</f>
        <v>78.648305452072563</v>
      </c>
      <c r="X22" s="128">
        <f>INDEX(Direct_Cost_Splits_Network,MATCH($H22,RIN_Asset_Cat_Network,0),MATCH($S$4,Direct_Cost_Type,0))*O22*HLOOKUP(X$5,Escalators!$I$25:$U$30,3,FALSE)</f>
        <v>78.591182671648198</v>
      </c>
      <c r="Y22" s="128">
        <f>INDEX(Direct_Cost_Splits_Network,MATCH($H22,RIN_Asset_Cat_Network,0),MATCH($S$4,Direct_Cost_Type,0))*P22*HLOOKUP(Y$5,Escalators!$I$25:$U$30,3,FALSE)</f>
        <v>78.879828300221902</v>
      </c>
      <c r="Z22" s="128">
        <f>INDEX(Direct_Cost_Splits_Network,MATCH($H22,RIN_Asset_Cat_Network,0),MATCH($S$4,Direct_Cost_Type,0))*Q22*HLOOKUP(Z$5,Escalators!$I$25:$U$30,3,FALSE)</f>
        <v>79.665939432181744</v>
      </c>
      <c r="AA22" s="129"/>
      <c r="AB22" s="128">
        <f>INDEX(Direct_Cost_Splits_Network,MATCH($H22,RIN_Asset_Cat_Network,0),MATCH($AG$4,Direct_Cost_Type,0))*$J22*INDEX(Act_Type_Augex_Splits,MATCH($I22,Act_Type_Augex,0),MATCH(AB$4,Mat_Type,0))*INDEX(Escalators!$I$44:$U$49,MATCH(AB$4,Escalators!$C$44:$C$49,0),MATCH(AB$5,Escalators!$I$43:$U$43,0))</f>
        <v>0</v>
      </c>
      <c r="AC22" s="128">
        <f>INDEX(Direct_Cost_Splits_Network,MATCH($H22,RIN_Asset_Cat_Network,0),MATCH($AG$4,Direct_Cost_Type,0))*$J22*INDEX(Act_Type_Augex_Splits,MATCH($I22,Act_Type_Augex,0),MATCH(AC$4,Mat_Type,0))*INDEX(Escalators!$I$44:$U$49,MATCH(AC$4,Escalators!$C$44:$C$49,0),MATCH(AC$5,Escalators!$I$43:$U$43,0))</f>
        <v>0</v>
      </c>
      <c r="AD22" s="128">
        <f>INDEX(Direct_Cost_Splits_Network,MATCH($H22,RIN_Asset_Cat_Network,0),MATCH($AG$4,Direct_Cost_Type,0))*$J22*INDEX(Act_Type_Augex_Splits,MATCH($I22,Act_Type_Augex,0),MATCH(AD$4,Mat_Type,0))*INDEX(Escalators!$I$44:$U$49,MATCH(AD$4,Escalators!$C$44:$C$49,0),MATCH(AD$5,Escalators!$I$43:$U$43,0))</f>
        <v>0</v>
      </c>
      <c r="AE22" s="128">
        <f>INDEX(Direct_Cost_Splits_Network,MATCH($H22,RIN_Asset_Cat_Network,0),MATCH($AG$4,Direct_Cost_Type,0))*$J22*INDEX(Act_Type_Augex_Splits,MATCH($I22,Act_Type_Augex,0),MATCH(AE$4,Mat_Type,0))*INDEX(Escalators!$I$44:$U$49,MATCH(AE$4,Escalators!$C$44:$C$49,0),MATCH(AE$5,Escalators!$I$43:$U$43,0))</f>
        <v>0</v>
      </c>
      <c r="AF22" s="128">
        <f>INDEX(Direct_Cost_Splits_Network,MATCH($H22,RIN_Asset_Cat_Network,0),MATCH($AG$4,Direct_Cost_Type,0))*$J22*INDEX(Act_Type_Augex_Splits,MATCH($I22,Act_Type_Augex,0),MATCH(AF$4,Mat_Type,0))*INDEX(Escalators!$I$44:$U$49,MATCH(AF$4,Escalators!$C$44:$C$49,0),MATCH(AF$5,Escalators!$I$43:$U$43,0))</f>
        <v>0</v>
      </c>
      <c r="AG22" s="128">
        <f t="shared" si="68"/>
        <v>0</v>
      </c>
      <c r="AH22" s="128">
        <f>INDEX(Direct_Cost_Splits_Network,MATCH($H22,RIN_Asset_Cat_Network,0),MATCH($AY$4,Direct_Cost_Type,0))*$K22*INDEX(Act_Type_Augex_Splits,MATCH($I22,Act_Type_Augex,0),MATCH(AH$4,Mat_Type,0))*INDEX(Escalators!$I$44:$U$49,MATCH(AH$4,Escalators!$C$44:$C$49,0),MATCH(AH$5,Escalators!$I$43:$U$43,0))</f>
        <v>0</v>
      </c>
      <c r="AI22" s="128">
        <f>INDEX(Direct_Cost_Splits_Network,MATCH($H22,RIN_Asset_Cat_Network,0),MATCH($AY$4,Direct_Cost_Type,0))*$K22*INDEX(Act_Type_Augex_Splits,MATCH($I22,Act_Type_Augex,0),MATCH(AI$4,Mat_Type,0))*INDEX(Escalators!$I$44:$U$49,MATCH(AI$4,Escalators!$C$44:$C$49,0),MATCH(AI$5,Escalators!$I$43:$U$43,0))</f>
        <v>0</v>
      </c>
      <c r="AJ22" s="128">
        <f>INDEX(Direct_Cost_Splits_Network,MATCH($H22,RIN_Asset_Cat_Network,0),MATCH($AY$4,Direct_Cost_Type,0))*$K22*INDEX(Act_Type_Augex_Splits,MATCH($I22,Act_Type_Augex,0),MATCH(AJ$4,Mat_Type,0))*INDEX(Escalators!$I$44:$U$49,MATCH(AJ$4,Escalators!$C$44:$C$49,0),MATCH(AJ$5,Escalators!$I$43:$U$43,0))</f>
        <v>0</v>
      </c>
      <c r="AK22" s="128">
        <f>INDEX(Direct_Cost_Splits_Network,MATCH($H22,RIN_Asset_Cat_Network,0),MATCH($AY$4,Direct_Cost_Type,0))*$K22*INDEX(Act_Type_Augex_Splits,MATCH($I22,Act_Type_Augex,0),MATCH(AK$4,Mat_Type,0))*INDEX(Escalators!$I$44:$U$49,MATCH(AK$4,Escalators!$C$44:$C$49,0),MATCH(AK$5,Escalators!$I$43:$U$43,0))</f>
        <v>0</v>
      </c>
      <c r="AL22" s="128">
        <f>INDEX(Direct_Cost_Splits_Network,MATCH($H22,RIN_Asset_Cat_Network,0),MATCH($AY$4,Direct_Cost_Type,0))*$K22*INDEX(Act_Type_Augex_Splits,MATCH($I22,Act_Type_Augex,0),MATCH(AL$4,Mat_Type,0))*INDEX(Escalators!$I$44:$U$49,MATCH(AL$4,Escalators!$C$44:$C$49,0),MATCH(AL$5,Escalators!$I$43:$U$43,0))</f>
        <v>0</v>
      </c>
      <c r="AM22" s="128">
        <f t="shared" si="69"/>
        <v>0</v>
      </c>
      <c r="AN22" s="128">
        <f>INDEX(Direct_Cost_Splits_Network,MATCH($H22,RIN_Asset_Cat_Network,0),MATCH($AY$4,Direct_Cost_Type,0))*$L22*INDEX(Act_Type_Augex_Splits,MATCH($I22,Act_Type_Augex,0),MATCH(AN$4,Mat_Type,0))*INDEX(Escalators!$I$44:$U$49,MATCH(AN$4,Escalators!$C$44:$C$49,0),MATCH(AN$5,Escalators!$I$43:$U$43,0))</f>
        <v>0</v>
      </c>
      <c r="AO22" s="128">
        <f>INDEX(Direct_Cost_Splits_Network,MATCH($H22,RIN_Asset_Cat_Network,0),MATCH($AY$4,Direct_Cost_Type,0))*$L22*INDEX(Act_Type_Augex_Splits,MATCH($I22,Act_Type_Augex,0),MATCH(AO$4,Mat_Type,0))*INDEX(Escalators!$I$44:$U$49,MATCH(AO$4,Escalators!$C$44:$C$49,0),MATCH(AO$5,Escalators!$I$43:$U$43,0))</f>
        <v>0</v>
      </c>
      <c r="AP22" s="128">
        <f>INDEX(Direct_Cost_Splits_Network,MATCH($H22,RIN_Asset_Cat_Network,0),MATCH($AY$4,Direct_Cost_Type,0))*$L22*INDEX(Act_Type_Augex_Splits,MATCH($I22,Act_Type_Augex,0),MATCH(AP$4,Mat_Type,0))*INDEX(Escalators!$I$44:$U$49,MATCH(AP$4,Escalators!$C$44:$C$49,0),MATCH(AP$5,Escalators!$I$43:$U$43,0))</f>
        <v>0</v>
      </c>
      <c r="AQ22" s="128">
        <f>INDEX(Direct_Cost_Splits_Network,MATCH($H22,RIN_Asset_Cat_Network,0),MATCH($AY$4,Direct_Cost_Type,0))*$L22*INDEX(Act_Type_Augex_Splits,MATCH($I22,Act_Type_Augex,0),MATCH(AQ$4,Mat_Type,0))*INDEX(Escalators!$I$44:$U$49,MATCH(AQ$4,Escalators!$C$44:$C$49,0),MATCH(AQ$5,Escalators!$I$43:$U$43,0))</f>
        <v>0</v>
      </c>
      <c r="AR22" s="128">
        <f>INDEX(Direct_Cost_Splits_Network,MATCH($H22,RIN_Asset_Cat_Network,0),MATCH($AY$4,Direct_Cost_Type,0))*$L22*INDEX(Act_Type_Augex_Splits,MATCH($I22,Act_Type_Augex,0),MATCH(AR$4,Mat_Type,0))*INDEX(Escalators!$I$44:$U$49,MATCH(AR$4,Escalators!$C$44:$C$49,0),MATCH(AR$5,Escalators!$I$43:$U$43,0))</f>
        <v>0</v>
      </c>
      <c r="AS22" s="128">
        <f t="shared" si="70"/>
        <v>0</v>
      </c>
      <c r="AT22" s="128">
        <f>INDEX(Direct_Cost_Splits_Network,MATCH($H22,RIN_Asset_Cat_Network,0),MATCH($AY$4,Direct_Cost_Type,0))*$M22*INDEX(Act_Type_Augex_Splits,MATCH($I22,Act_Type_Augex,0),MATCH(AT$4,Mat_Type,0))*INDEX(Escalators!$I$44:$U$49,MATCH(AT$4,Escalators!$C$44:$C$49,0),MATCH(AT$5,Escalators!$I$43:$U$43,0))</f>
        <v>15.440954877598683</v>
      </c>
      <c r="AU22" s="128">
        <f>INDEX(Direct_Cost_Splits_Network,MATCH($H22,RIN_Asset_Cat_Network,0),MATCH($AY$4,Direct_Cost_Type,0))*$M22*INDEX(Act_Type_Augex_Splits,MATCH($I22,Act_Type_Augex,0),MATCH(AU$4,Mat_Type,0))*INDEX(Escalators!$I$44:$U$49,MATCH(AU$4,Escalators!$C$44:$C$49,0),MATCH(AU$5,Escalators!$I$43:$U$43,0))</f>
        <v>15.440954877598683</v>
      </c>
      <c r="AV22" s="128">
        <f>INDEX(Direct_Cost_Splits_Network,MATCH($H22,RIN_Asset_Cat_Network,0),MATCH($AY$4,Direct_Cost_Type,0))*$M22*INDEX(Act_Type_Augex_Splits,MATCH($I22,Act_Type_Augex,0),MATCH(AV$4,Mat_Type,0))*INDEX(Escalators!$I$44:$U$49,MATCH(AV$4,Escalators!$C$44:$C$49,0),MATCH(AV$5,Escalators!$I$43:$U$43,0))</f>
        <v>15.440954877598683</v>
      </c>
      <c r="AW22" s="128">
        <f>INDEX(Direct_Cost_Splits_Network,MATCH($H22,RIN_Asset_Cat_Network,0),MATCH($AY$4,Direct_Cost_Type,0))*$M22*INDEX(Act_Type_Augex_Splits,MATCH($I22,Act_Type_Augex,0),MATCH(AW$4,Mat_Type,0))*INDEX(Escalators!$I$44:$U$49,MATCH(AW$4,Escalators!$C$44:$C$49,0),MATCH(AW$5,Escalators!$I$43:$U$43,0))</f>
        <v>0</v>
      </c>
      <c r="AX22" s="128">
        <f>INDEX(Direct_Cost_Splits_Network,MATCH($H22,RIN_Asset_Cat_Network,0),MATCH($AY$4,Direct_Cost_Type,0))*$M22*INDEX(Act_Type_Augex_Splits,MATCH($I22,Act_Type_Augex,0),MATCH(AX$4,Mat_Type,0))*INDEX(Escalators!$I$44:$U$49,MATCH(AX$4,Escalators!$C$44:$C$49,0),MATCH(AX$5,Escalators!$I$43:$U$43,0))</f>
        <v>108.08668414319077</v>
      </c>
      <c r="AY22" s="128">
        <f t="shared" si="71"/>
        <v>154.40954877598682</v>
      </c>
      <c r="AZ22" s="128">
        <f>INDEX(Direct_Cost_Splits_Network,MATCH($H22,RIN_Asset_Cat_Network,0),MATCH($BE$4,Direct_Cost_Type,0))*$N22*INDEX(Act_Type_Augex_Splits,MATCH($I22,Act_Type_Augex,0),MATCH(AZ$4,Mat_Type,0))*INDEX(Escalators!$I$44:$U$49,MATCH(AZ$4,Escalators!$C$44:$C$49,0),MATCH(AZ$5,Escalators!$I$43:$U$43,0))</f>
        <v>15.440954877598683</v>
      </c>
      <c r="BA22" s="128">
        <f>INDEX(Direct_Cost_Splits_Network,MATCH($H22,RIN_Asset_Cat_Network,0),MATCH($BE$4,Direct_Cost_Type,0))*$N22*INDEX(Act_Type_Augex_Splits,MATCH($I22,Act_Type_Augex,0),MATCH(BA$4,Mat_Type,0))*INDEX(Escalators!$I$44:$U$49,MATCH(BA$4,Escalators!$C$44:$C$49,0),MATCH(BA$5,Escalators!$I$43:$U$43,0))</f>
        <v>15.440954877598683</v>
      </c>
      <c r="BB22" s="128">
        <f>INDEX(Direct_Cost_Splits_Network,MATCH($H22,RIN_Asset_Cat_Network,0),MATCH($BE$4,Direct_Cost_Type,0))*$N22*INDEX(Act_Type_Augex_Splits,MATCH($I22,Act_Type_Augex,0),MATCH(BB$4,Mat_Type,0))*INDEX(Escalators!$I$44:$U$49,MATCH(BB$4,Escalators!$C$44:$C$49,0),MATCH(BB$5,Escalators!$I$43:$U$43,0))</f>
        <v>15.440954877598683</v>
      </c>
      <c r="BC22" s="128">
        <f>INDEX(Direct_Cost_Splits_Network,MATCH($H22,RIN_Asset_Cat_Network,0),MATCH($BE$4,Direct_Cost_Type,0))*$N22*INDEX(Act_Type_Augex_Splits,MATCH($I22,Act_Type_Augex,0),MATCH(BC$4,Mat_Type,0))*INDEX(Escalators!$I$44:$U$49,MATCH(BC$4,Escalators!$C$44:$C$49,0),MATCH(BC$5,Escalators!$I$43:$U$43,0))</f>
        <v>0</v>
      </c>
      <c r="BD22" s="128">
        <f>INDEX(Direct_Cost_Splits_Network,MATCH($H22,RIN_Asset_Cat_Network,0),MATCH($BE$4,Direct_Cost_Type,0))*$N22*INDEX(Act_Type_Augex_Splits,MATCH($I22,Act_Type_Augex,0),MATCH(BD$4,Mat_Type,0))*INDEX(Escalators!$I$44:$U$49,MATCH(BD$4,Escalators!$C$44:$C$49,0),MATCH(BD$5,Escalators!$I$43:$U$43,0))</f>
        <v>108.08668414319077</v>
      </c>
      <c r="BE22" s="128">
        <f t="shared" si="72"/>
        <v>154.40954877598682</v>
      </c>
      <c r="BF22" s="128">
        <f>INDEX(Direct_Cost_Splits_Network,MATCH($H22,RIN_Asset_Cat_Network,0),MATCH($BK$4,Direct_Cost_Type,0))*$O22*INDEX(Act_Type_Augex_Splits,MATCH($I22,Act_Type_Augex,0),MATCH(BF$4,Mat_Type,0))*INDEX(Escalators!$I$44:$U$49,MATCH(BF$4,Escalators!$C$44:$C$49,0),MATCH(BF$5,Escalators!$I$43:$U$43,0))</f>
        <v>15.440954877598683</v>
      </c>
      <c r="BG22" s="128">
        <f>INDEX(Direct_Cost_Splits_Network,MATCH($H22,RIN_Asset_Cat_Network,0),MATCH($BK$4,Direct_Cost_Type,0))*$O22*INDEX(Act_Type_Augex_Splits,MATCH($I22,Act_Type_Augex,0),MATCH(BG$4,Mat_Type,0))*INDEX(Escalators!$I$44:$U$49,MATCH(BG$4,Escalators!$C$44:$C$49,0),MATCH(BG$5,Escalators!$I$43:$U$43,0))</f>
        <v>15.440954877598683</v>
      </c>
      <c r="BH22" s="128">
        <f>INDEX(Direct_Cost_Splits_Network,MATCH($H22,RIN_Asset_Cat_Network,0),MATCH($BK$4,Direct_Cost_Type,0))*$O22*INDEX(Act_Type_Augex_Splits,MATCH($I22,Act_Type_Augex,0),MATCH(BH$4,Mat_Type,0))*INDEX(Escalators!$I$44:$U$49,MATCH(BH$4,Escalators!$C$44:$C$49,0),MATCH(BH$5,Escalators!$I$43:$U$43,0))</f>
        <v>15.440954877598683</v>
      </c>
      <c r="BI22" s="128">
        <f>INDEX(Direct_Cost_Splits_Network,MATCH($H22,RIN_Asset_Cat_Network,0),MATCH($BK$4,Direct_Cost_Type,0))*$O22*INDEX(Act_Type_Augex_Splits,MATCH($I22,Act_Type_Augex,0),MATCH(BI$4,Mat_Type,0))*INDEX(Escalators!$I$44:$U$49,MATCH(BI$4,Escalators!$C$44:$C$49,0),MATCH(BI$5,Escalators!$I$43:$U$43,0))</f>
        <v>0</v>
      </c>
      <c r="BJ22" s="128">
        <f>INDEX(Direct_Cost_Splits_Network,MATCH($H22,RIN_Asset_Cat_Network,0),MATCH($BK$4,Direct_Cost_Type,0))*$O22*INDEX(Act_Type_Augex_Splits,MATCH($I22,Act_Type_Augex,0),MATCH(BJ$4,Mat_Type,0))*INDEX(Escalators!$I$44:$U$49,MATCH(BJ$4,Escalators!$C$44:$C$49,0),MATCH(BJ$5,Escalators!$I$43:$U$43,0))</f>
        <v>108.08668414319077</v>
      </c>
      <c r="BK22" s="128">
        <f t="shared" si="73"/>
        <v>154.40954877598682</v>
      </c>
      <c r="BL22" s="128">
        <f>INDEX(Direct_Cost_Splits_Network,MATCH($H22,RIN_Asset_Cat_Network,0),MATCH($BQ$4,Direct_Cost_Type,0))*$P22*INDEX(Act_Type_Augex_Splits,MATCH($I22,Act_Type_Augex,0),MATCH(BL$4,Mat_Type,0))*INDEX(Escalators!$I$44:$U$49,MATCH(BL$4,Escalators!$C$44:$C$49,0),MATCH(BL$5,Escalators!$I$43:$U$43,0))</f>
        <v>15.440954877598683</v>
      </c>
      <c r="BM22" s="128">
        <f>INDEX(Direct_Cost_Splits_Network,MATCH($H22,RIN_Asset_Cat_Network,0),MATCH($BQ$4,Direct_Cost_Type,0))*$P22*INDEX(Act_Type_Augex_Splits,MATCH($I22,Act_Type_Augex,0),MATCH(BM$4,Mat_Type,0))*INDEX(Escalators!$I$44:$U$49,MATCH(BM$4,Escalators!$C$44:$C$49,0),MATCH(BM$5,Escalators!$I$43:$U$43,0))</f>
        <v>15.440954877598683</v>
      </c>
      <c r="BN22" s="128">
        <f>INDEX(Direct_Cost_Splits_Network,MATCH($H22,RIN_Asset_Cat_Network,0),MATCH($BQ$4,Direct_Cost_Type,0))*$P22*INDEX(Act_Type_Augex_Splits,MATCH($I22,Act_Type_Augex,0),MATCH(BN$4,Mat_Type,0))*INDEX(Escalators!$I$44:$U$49,MATCH(BN$4,Escalators!$C$44:$C$49,0),MATCH(BN$5,Escalators!$I$43:$U$43,0))</f>
        <v>15.440954877598683</v>
      </c>
      <c r="BO22" s="128">
        <f>INDEX(Direct_Cost_Splits_Network,MATCH($H22,RIN_Asset_Cat_Network,0),MATCH($BQ$4,Direct_Cost_Type,0))*$P22*INDEX(Act_Type_Augex_Splits,MATCH($I22,Act_Type_Augex,0),MATCH(BO$4,Mat_Type,0))*INDEX(Escalators!$I$44:$U$49,MATCH(BO$4,Escalators!$C$44:$C$49,0),MATCH(BO$5,Escalators!$I$43:$U$43,0))</f>
        <v>0</v>
      </c>
      <c r="BP22" s="128">
        <f>INDEX(Direct_Cost_Splits_Network,MATCH($H22,RIN_Asset_Cat_Network,0),MATCH($BQ$4,Direct_Cost_Type,0))*$P22*INDEX(Act_Type_Augex_Splits,MATCH($I22,Act_Type_Augex,0),MATCH(BP$4,Mat_Type,0))*INDEX(Escalators!$I$44:$U$49,MATCH(BP$4,Escalators!$C$44:$C$49,0),MATCH(BP$5,Escalators!$I$43:$U$43,0))</f>
        <v>108.08668414319077</v>
      </c>
      <c r="BQ22" s="128">
        <f t="shared" si="74"/>
        <v>154.40954877598682</v>
      </c>
      <c r="BR22" s="128">
        <f>INDEX(Direct_Cost_Splits_Network,MATCH($H22,RIN_Asset_Cat_Network,0),MATCH($BW$4,Direct_Cost_Type,0))*$Q22*INDEX(Act_Type_Augex_Splits,MATCH($I22,Act_Type_Augex,0),MATCH(BR$4,Mat_Type,0))*INDEX(Escalators!$I$44:$U$49,MATCH(BR$4,Escalators!$C$44:$C$49,0),MATCH(BR$5,Escalators!$I$43:$U$43,0))</f>
        <v>15.440954877598683</v>
      </c>
      <c r="BS22" s="128">
        <f>INDEX(Direct_Cost_Splits_Network,MATCH($H22,RIN_Asset_Cat_Network,0),MATCH($BW$4,Direct_Cost_Type,0))*$Q22*INDEX(Act_Type_Augex_Splits,MATCH($I22,Act_Type_Augex,0),MATCH(BS$4,Mat_Type,0))*INDEX(Escalators!$I$44:$U$49,MATCH(BS$4,Escalators!$C$44:$C$49,0),MATCH(BS$5,Escalators!$I$43:$U$43,0))</f>
        <v>15.440954877598683</v>
      </c>
      <c r="BT22" s="128">
        <f>INDEX(Direct_Cost_Splits_Network,MATCH($H22,RIN_Asset_Cat_Network,0),MATCH($BW$4,Direct_Cost_Type,0))*$Q22*INDEX(Act_Type_Augex_Splits,MATCH($I22,Act_Type_Augex,0),MATCH(BT$4,Mat_Type,0))*INDEX(Escalators!$I$44:$U$49,MATCH(BT$4,Escalators!$C$44:$C$49,0),MATCH(BT$5,Escalators!$I$43:$U$43,0))</f>
        <v>15.440954877598683</v>
      </c>
      <c r="BU22" s="128">
        <f>INDEX(Direct_Cost_Splits_Network,MATCH($H22,RIN_Asset_Cat_Network,0),MATCH($BW$4,Direct_Cost_Type,0))*$Q22*INDEX(Act_Type_Augex_Splits,MATCH($I22,Act_Type_Augex,0),MATCH(BU$4,Mat_Type,0))*INDEX(Escalators!$I$44:$U$49,MATCH(BU$4,Escalators!$C$44:$C$49,0),MATCH(BU$5,Escalators!$I$43:$U$43,0))</f>
        <v>0</v>
      </c>
      <c r="BV22" s="128">
        <f>INDEX(Direct_Cost_Splits_Network,MATCH($H22,RIN_Asset_Cat_Network,0),MATCH($BW$4,Direct_Cost_Type,0))*$Q22*INDEX(Act_Type_Augex_Splits,MATCH($I22,Act_Type_Augex,0),MATCH(BV$4,Mat_Type,0))*INDEX(Escalators!$I$44:$U$49,MATCH(BV$4,Escalators!$C$44:$C$49,0),MATCH(BV$5,Escalators!$I$43:$U$43,0))</f>
        <v>108.08668414319077</v>
      </c>
      <c r="BW22" s="128">
        <f t="shared" si="75"/>
        <v>154.40954877598682</v>
      </c>
      <c r="BX22" s="129"/>
      <c r="BY22" s="128">
        <f>INDEX(Direct_Cost_Splits_Network,MATCH($H22,RIN_Asset_Cat_Network,0),MATCH($BY$4,Direct_Cost_Type,0))*J22*HLOOKUP(BY$5,Escalators!$I$25:$U$30,6,FALSE)</f>
        <v>0</v>
      </c>
      <c r="BZ22" s="128">
        <f>INDEX(Direct_Cost_Splits_Network,MATCH($H22,RIN_Asset_Cat_Network,0),MATCH($BY$4,Direct_Cost_Type,0))*K22*HLOOKUP(BZ$5,Escalators!$I$25:$U$30,6,FALSE)</f>
        <v>0</v>
      </c>
      <c r="CA22" s="128">
        <f>INDEX(Direct_Cost_Splits_Network,MATCH($H22,RIN_Asset_Cat_Network,0),MATCH($BY$4,Direct_Cost_Type,0))*L22*HLOOKUP(CA$5,Escalators!$I$25:$U$30,6,FALSE)</f>
        <v>0</v>
      </c>
      <c r="CB22" s="128">
        <f>INDEX(Direct_Cost_Splits_Network,MATCH($H22,RIN_Asset_Cat_Network,0),MATCH($BY$4,Direct_Cost_Type,0))*M22*HLOOKUP(CB$5,Escalators!$I$25:$U$30,6,FALSE)</f>
        <v>210.35238910213752</v>
      </c>
      <c r="CC22" s="128">
        <f>INDEX(Direct_Cost_Splits_Network,MATCH($H22,RIN_Asset_Cat_Network,0),MATCH($BY$4,Direct_Cost_Type,0))*N22*HLOOKUP(CC$5,Escalators!$I$25:$U$30,6,FALSE)</f>
        <v>210.35238910213752</v>
      </c>
      <c r="CD22" s="128">
        <f>INDEX(Direct_Cost_Splits_Network,MATCH($H22,RIN_Asset_Cat_Network,0),MATCH($BY$4,Direct_Cost_Type,0))*O22*HLOOKUP(CD$5,Escalators!$I$25:$U$30,6,FALSE)</f>
        <v>210.35238910213752</v>
      </c>
      <c r="CE22" s="128">
        <f>INDEX(Direct_Cost_Splits_Network,MATCH($H22,RIN_Asset_Cat_Network,0),MATCH($BY$4,Direct_Cost_Type,0))*P22*HLOOKUP(CE$5,Escalators!$I$25:$U$30,6,FALSE)</f>
        <v>210.35238910213752</v>
      </c>
      <c r="CF22" s="128">
        <f>INDEX(Direct_Cost_Splits_Network,MATCH($H22,RIN_Asset_Cat_Network,0),MATCH($BY$4,Direct_Cost_Type,0))*Q22*HLOOKUP(CF$5,Escalators!$I$25:$U$30,6,FALSE)</f>
        <v>210.35238910213752</v>
      </c>
      <c r="CG22" s="129"/>
      <c r="CH22" s="763">
        <f t="shared" si="76"/>
        <v>0</v>
      </c>
      <c r="CI22" s="763">
        <f t="shared" si="77"/>
        <v>0</v>
      </c>
      <c r="CJ22" s="763">
        <f t="shared" si="78"/>
        <v>0</v>
      </c>
      <c r="CK22" s="763">
        <f t="shared" si="79"/>
        <v>57.791399862790065</v>
      </c>
      <c r="CL22" s="763">
        <f t="shared" si="80"/>
        <v>57.791399862790065</v>
      </c>
      <c r="CM22" s="763">
        <f t="shared" si="81"/>
        <v>57.791399862790065</v>
      </c>
      <c r="CN22" s="763">
        <f t="shared" si="82"/>
        <v>57.791399862790065</v>
      </c>
      <c r="CO22" s="763">
        <f t="shared" si="83"/>
        <v>57.791399862790065</v>
      </c>
      <c r="CP22" s="129"/>
      <c r="CQ22" s="128">
        <f t="shared" si="18"/>
        <v>0</v>
      </c>
      <c r="CR22" s="128">
        <f t="shared" si="9"/>
        <v>0</v>
      </c>
      <c r="CS22" s="128">
        <f t="shared" si="19"/>
        <v>0</v>
      </c>
      <c r="CT22" s="128">
        <f t="shared" si="20"/>
        <v>501.39857782147055</v>
      </c>
      <c r="CU22" s="128">
        <f t="shared" si="21"/>
        <v>501.20164319298698</v>
      </c>
      <c r="CV22" s="128">
        <f t="shared" si="22"/>
        <v>501.1445204125626</v>
      </c>
      <c r="CW22" s="128">
        <f t="shared" si="23"/>
        <v>501.4331660411363</v>
      </c>
      <c r="CX22" s="128">
        <f t="shared" si="24"/>
        <v>502.21927717309615</v>
      </c>
      <c r="CZ22" s="39"/>
    </row>
    <row r="23" spans="2:104" x14ac:dyDescent="0.25">
      <c r="B23" s="75" t="s">
        <v>430</v>
      </c>
      <c r="C23" s="75" t="s">
        <v>583</v>
      </c>
      <c r="D23" s="75" t="s">
        <v>426</v>
      </c>
      <c r="E23" s="75" t="s">
        <v>45</v>
      </c>
      <c r="F23" s="75" t="s">
        <v>51</v>
      </c>
      <c r="G23" s="75" t="s">
        <v>10</v>
      </c>
      <c r="H23" s="75" t="s">
        <v>165</v>
      </c>
      <c r="I23" s="75" t="s">
        <v>215</v>
      </c>
      <c r="J23" s="128"/>
      <c r="K23" s="128"/>
      <c r="L23" s="128"/>
      <c r="M23" s="128">
        <v>500</v>
      </c>
      <c r="N23" s="128">
        <v>500</v>
      </c>
      <c r="O23" s="128">
        <v>500</v>
      </c>
      <c r="P23" s="128">
        <v>500</v>
      </c>
      <c r="Q23" s="128">
        <v>500</v>
      </c>
      <c r="R23" s="129"/>
      <c r="S23" s="128">
        <f>INDEX(Direct_Cost_Splits_Network,MATCH($H23,RIN_Asset_Cat_Network,0),MATCH($S$4,Direct_Cost_Type,0))*J23*HLOOKUP(S$5,Escalators!$I$25:$U$30,3,FALSE)</f>
        <v>0</v>
      </c>
      <c r="T23" s="128">
        <f>INDEX(Direct_Cost_Splits_Network,MATCH($H23,RIN_Asset_Cat_Network,0),MATCH($S$4,Direct_Cost_Type,0))*K23*HLOOKUP(T$5,Escalators!$I$25:$U$30,3,FALSE)</f>
        <v>0</v>
      </c>
      <c r="U23" s="128">
        <f>INDEX(Direct_Cost_Splits_Network,MATCH($H23,RIN_Asset_Cat_Network,0),MATCH($S$4,Direct_Cost_Type,0))*L23*HLOOKUP(U$5,Escalators!$I$25:$U$30,3,FALSE)</f>
        <v>0</v>
      </c>
      <c r="V23" s="128">
        <f>INDEX(Direct_Cost_Splits_Network,MATCH($H23,RIN_Asset_Cat_Network,0),MATCH($S$4,Direct_Cost_Type,0))*M23*HLOOKUP(V$5,Escalators!$I$25:$U$30,3,FALSE)</f>
        <v>78.845240080556124</v>
      </c>
      <c r="W23" s="128">
        <f>INDEX(Direct_Cost_Splits_Network,MATCH($H23,RIN_Asset_Cat_Network,0),MATCH($S$4,Direct_Cost_Type,0))*N23*HLOOKUP(W$5,Escalators!$I$25:$U$30,3,FALSE)</f>
        <v>78.648305452072549</v>
      </c>
      <c r="X23" s="128">
        <f>INDEX(Direct_Cost_Splits_Network,MATCH($H23,RIN_Asset_Cat_Network,0),MATCH($S$4,Direct_Cost_Type,0))*O23*HLOOKUP(X$5,Escalators!$I$25:$U$30,3,FALSE)</f>
        <v>78.591182671648184</v>
      </c>
      <c r="Y23" s="128">
        <f>INDEX(Direct_Cost_Splits_Network,MATCH($H23,RIN_Asset_Cat_Network,0),MATCH($S$4,Direct_Cost_Type,0))*P23*HLOOKUP(Y$5,Escalators!$I$25:$U$30,3,FALSE)</f>
        <v>78.879828300221888</v>
      </c>
      <c r="Z23" s="128">
        <f>INDEX(Direct_Cost_Splits_Network,MATCH($H23,RIN_Asset_Cat_Network,0),MATCH($S$4,Direct_Cost_Type,0))*Q23*HLOOKUP(Z$5,Escalators!$I$25:$U$30,3,FALSE)</f>
        <v>79.66593943218173</v>
      </c>
      <c r="AA23" s="129"/>
      <c r="AB23" s="128">
        <f>INDEX(Direct_Cost_Splits_Network,MATCH($H23,RIN_Asset_Cat_Network,0),MATCH($AG$4,Direct_Cost_Type,0))*$J23*INDEX(Act_Type_Augex_Splits,MATCH($I23,Act_Type_Augex,0),MATCH(AB$4,Mat_Type,0))*INDEX(Escalators!$I$44:$U$49,MATCH(AB$4,Escalators!$C$44:$C$49,0),MATCH(AB$5,Escalators!$I$43:$U$43,0))</f>
        <v>0</v>
      </c>
      <c r="AC23" s="128">
        <f>INDEX(Direct_Cost_Splits_Network,MATCH($H23,RIN_Asset_Cat_Network,0),MATCH($AG$4,Direct_Cost_Type,0))*$J23*INDEX(Act_Type_Augex_Splits,MATCH($I23,Act_Type_Augex,0),MATCH(AC$4,Mat_Type,0))*INDEX(Escalators!$I$44:$U$49,MATCH(AC$4,Escalators!$C$44:$C$49,0),MATCH(AC$5,Escalators!$I$43:$U$43,0))</f>
        <v>0</v>
      </c>
      <c r="AD23" s="128">
        <f>INDEX(Direct_Cost_Splits_Network,MATCH($H23,RIN_Asset_Cat_Network,0),MATCH($AG$4,Direct_Cost_Type,0))*$J23*INDEX(Act_Type_Augex_Splits,MATCH($I23,Act_Type_Augex,0),MATCH(AD$4,Mat_Type,0))*INDEX(Escalators!$I$44:$U$49,MATCH(AD$4,Escalators!$C$44:$C$49,0),MATCH(AD$5,Escalators!$I$43:$U$43,0))</f>
        <v>0</v>
      </c>
      <c r="AE23" s="128">
        <f>INDEX(Direct_Cost_Splits_Network,MATCH($H23,RIN_Asset_Cat_Network,0),MATCH($AG$4,Direct_Cost_Type,0))*$J23*INDEX(Act_Type_Augex_Splits,MATCH($I23,Act_Type_Augex,0),MATCH(AE$4,Mat_Type,0))*INDEX(Escalators!$I$44:$U$49,MATCH(AE$4,Escalators!$C$44:$C$49,0),MATCH(AE$5,Escalators!$I$43:$U$43,0))</f>
        <v>0</v>
      </c>
      <c r="AF23" s="128">
        <f>INDEX(Direct_Cost_Splits_Network,MATCH($H23,RIN_Asset_Cat_Network,0),MATCH($AG$4,Direct_Cost_Type,0))*$J23*INDEX(Act_Type_Augex_Splits,MATCH($I23,Act_Type_Augex,0),MATCH(AF$4,Mat_Type,0))*INDEX(Escalators!$I$44:$U$49,MATCH(AF$4,Escalators!$C$44:$C$49,0),MATCH(AF$5,Escalators!$I$43:$U$43,0))</f>
        <v>0</v>
      </c>
      <c r="AG23" s="128">
        <f t="shared" si="68"/>
        <v>0</v>
      </c>
      <c r="AH23" s="128">
        <f>INDEX(Direct_Cost_Splits_Network,MATCH($H23,RIN_Asset_Cat_Network,0),MATCH($AY$4,Direct_Cost_Type,0))*$K23*INDEX(Act_Type_Augex_Splits,MATCH($I23,Act_Type_Augex,0),MATCH(AH$4,Mat_Type,0))*INDEX(Escalators!$I$44:$U$49,MATCH(AH$4,Escalators!$C$44:$C$49,0),MATCH(AH$5,Escalators!$I$43:$U$43,0))</f>
        <v>0</v>
      </c>
      <c r="AI23" s="128">
        <f>INDEX(Direct_Cost_Splits_Network,MATCH($H23,RIN_Asset_Cat_Network,0),MATCH($AY$4,Direct_Cost_Type,0))*$K23*INDEX(Act_Type_Augex_Splits,MATCH($I23,Act_Type_Augex,0),MATCH(AI$4,Mat_Type,0))*INDEX(Escalators!$I$44:$U$49,MATCH(AI$4,Escalators!$C$44:$C$49,0),MATCH(AI$5,Escalators!$I$43:$U$43,0))</f>
        <v>0</v>
      </c>
      <c r="AJ23" s="128">
        <f>INDEX(Direct_Cost_Splits_Network,MATCH($H23,RIN_Asset_Cat_Network,0),MATCH($AY$4,Direct_Cost_Type,0))*$K23*INDEX(Act_Type_Augex_Splits,MATCH($I23,Act_Type_Augex,0),MATCH(AJ$4,Mat_Type,0))*INDEX(Escalators!$I$44:$U$49,MATCH(AJ$4,Escalators!$C$44:$C$49,0),MATCH(AJ$5,Escalators!$I$43:$U$43,0))</f>
        <v>0</v>
      </c>
      <c r="AK23" s="128">
        <f>INDEX(Direct_Cost_Splits_Network,MATCH($H23,RIN_Asset_Cat_Network,0),MATCH($AY$4,Direct_Cost_Type,0))*$K23*INDEX(Act_Type_Augex_Splits,MATCH($I23,Act_Type_Augex,0),MATCH(AK$4,Mat_Type,0))*INDEX(Escalators!$I$44:$U$49,MATCH(AK$4,Escalators!$C$44:$C$49,0),MATCH(AK$5,Escalators!$I$43:$U$43,0))</f>
        <v>0</v>
      </c>
      <c r="AL23" s="128">
        <f>INDEX(Direct_Cost_Splits_Network,MATCH($H23,RIN_Asset_Cat_Network,0),MATCH($AY$4,Direct_Cost_Type,0))*$K23*INDEX(Act_Type_Augex_Splits,MATCH($I23,Act_Type_Augex,0),MATCH(AL$4,Mat_Type,0))*INDEX(Escalators!$I$44:$U$49,MATCH(AL$4,Escalators!$C$44:$C$49,0),MATCH(AL$5,Escalators!$I$43:$U$43,0))</f>
        <v>0</v>
      </c>
      <c r="AM23" s="128">
        <f t="shared" si="69"/>
        <v>0</v>
      </c>
      <c r="AN23" s="128">
        <f>INDEX(Direct_Cost_Splits_Network,MATCH($H23,RIN_Asset_Cat_Network,0),MATCH($AY$4,Direct_Cost_Type,0))*$L23*INDEX(Act_Type_Augex_Splits,MATCH($I23,Act_Type_Augex,0),MATCH(AN$4,Mat_Type,0))*INDEX(Escalators!$I$44:$U$49,MATCH(AN$4,Escalators!$C$44:$C$49,0),MATCH(AN$5,Escalators!$I$43:$U$43,0))</f>
        <v>0</v>
      </c>
      <c r="AO23" s="128">
        <f>INDEX(Direct_Cost_Splits_Network,MATCH($H23,RIN_Asset_Cat_Network,0),MATCH($AY$4,Direct_Cost_Type,0))*$L23*INDEX(Act_Type_Augex_Splits,MATCH($I23,Act_Type_Augex,0),MATCH(AO$4,Mat_Type,0))*INDEX(Escalators!$I$44:$U$49,MATCH(AO$4,Escalators!$C$44:$C$49,0),MATCH(AO$5,Escalators!$I$43:$U$43,0))</f>
        <v>0</v>
      </c>
      <c r="AP23" s="128">
        <f>INDEX(Direct_Cost_Splits_Network,MATCH($H23,RIN_Asset_Cat_Network,0),MATCH($AY$4,Direct_Cost_Type,0))*$L23*INDEX(Act_Type_Augex_Splits,MATCH($I23,Act_Type_Augex,0),MATCH(AP$4,Mat_Type,0))*INDEX(Escalators!$I$44:$U$49,MATCH(AP$4,Escalators!$C$44:$C$49,0),MATCH(AP$5,Escalators!$I$43:$U$43,0))</f>
        <v>0</v>
      </c>
      <c r="AQ23" s="128">
        <f>INDEX(Direct_Cost_Splits_Network,MATCH($H23,RIN_Asset_Cat_Network,0),MATCH($AY$4,Direct_Cost_Type,0))*$L23*INDEX(Act_Type_Augex_Splits,MATCH($I23,Act_Type_Augex,0),MATCH(AQ$4,Mat_Type,0))*INDEX(Escalators!$I$44:$U$49,MATCH(AQ$4,Escalators!$C$44:$C$49,0),MATCH(AQ$5,Escalators!$I$43:$U$43,0))</f>
        <v>0</v>
      </c>
      <c r="AR23" s="128">
        <f>INDEX(Direct_Cost_Splits_Network,MATCH($H23,RIN_Asset_Cat_Network,0),MATCH($AY$4,Direct_Cost_Type,0))*$L23*INDEX(Act_Type_Augex_Splits,MATCH($I23,Act_Type_Augex,0),MATCH(AR$4,Mat_Type,0))*INDEX(Escalators!$I$44:$U$49,MATCH(AR$4,Escalators!$C$44:$C$49,0),MATCH(AR$5,Escalators!$I$43:$U$43,0))</f>
        <v>0</v>
      </c>
      <c r="AS23" s="128">
        <f t="shared" si="70"/>
        <v>0</v>
      </c>
      <c r="AT23" s="128">
        <f>INDEX(Direct_Cost_Splits_Network,MATCH($H23,RIN_Asset_Cat_Network,0),MATCH($AY$4,Direct_Cost_Type,0))*$M23*INDEX(Act_Type_Augex_Splits,MATCH($I23,Act_Type_Augex,0),MATCH(AT$4,Mat_Type,0))*INDEX(Escalators!$I$44:$U$49,MATCH(AT$4,Escalators!$C$44:$C$49,0),MATCH(AT$5,Escalators!$I$43:$U$43,0))</f>
        <v>103.45439767991118</v>
      </c>
      <c r="AU23" s="128">
        <f>INDEX(Direct_Cost_Splits_Network,MATCH($H23,RIN_Asset_Cat_Network,0),MATCH($AY$4,Direct_Cost_Type,0))*$M23*INDEX(Act_Type_Augex_Splits,MATCH($I23,Act_Type_Augex,0),MATCH(AU$4,Mat_Type,0))*INDEX(Escalators!$I$44:$U$49,MATCH(AU$4,Escalators!$C$44:$C$49,0),MATCH(AU$5,Escalators!$I$43:$U$43,0))</f>
        <v>0</v>
      </c>
      <c r="AV23" s="128">
        <f>INDEX(Direct_Cost_Splits_Network,MATCH($H23,RIN_Asset_Cat_Network,0),MATCH($AY$4,Direct_Cost_Type,0))*$M23*INDEX(Act_Type_Augex_Splits,MATCH($I23,Act_Type_Augex,0),MATCH(AV$4,Mat_Type,0))*INDEX(Escalators!$I$44:$U$49,MATCH(AV$4,Escalators!$C$44:$C$49,0),MATCH(AV$5,Escalators!$I$43:$U$43,0))</f>
        <v>20.073241340878287</v>
      </c>
      <c r="AW23" s="128">
        <f>INDEX(Direct_Cost_Splits_Network,MATCH($H23,RIN_Asset_Cat_Network,0),MATCH($AY$4,Direct_Cost_Type,0))*$M23*INDEX(Act_Type_Augex_Splits,MATCH($I23,Act_Type_Augex,0),MATCH(AW$4,Mat_Type,0))*INDEX(Escalators!$I$44:$U$49,MATCH(AW$4,Escalators!$C$44:$C$49,0),MATCH(AW$5,Escalators!$I$43:$U$43,0))</f>
        <v>0</v>
      </c>
      <c r="AX23" s="128">
        <f>INDEX(Direct_Cost_Splits_Network,MATCH($H23,RIN_Asset_Cat_Network,0),MATCH($AY$4,Direct_Cost_Type,0))*$M23*INDEX(Act_Type_Augex_Splits,MATCH($I23,Act_Type_Augex,0),MATCH(AX$4,Mat_Type,0))*INDEX(Escalators!$I$44:$U$49,MATCH(AX$4,Escalators!$C$44:$C$49,0),MATCH(AX$5,Escalators!$I$43:$U$43,0))</f>
        <v>30.881909755197366</v>
      </c>
      <c r="AY23" s="128">
        <f t="shared" si="71"/>
        <v>154.40954877598682</v>
      </c>
      <c r="AZ23" s="128">
        <f>INDEX(Direct_Cost_Splits_Network,MATCH($H23,RIN_Asset_Cat_Network,0),MATCH($BE$4,Direct_Cost_Type,0))*$N23*INDEX(Act_Type_Augex_Splits,MATCH($I23,Act_Type_Augex,0),MATCH(AZ$4,Mat_Type,0))*INDEX(Escalators!$I$44:$U$49,MATCH(AZ$4,Escalators!$C$44:$C$49,0),MATCH(AZ$5,Escalators!$I$43:$U$43,0))</f>
        <v>103.45439767991118</v>
      </c>
      <c r="BA23" s="128">
        <f>INDEX(Direct_Cost_Splits_Network,MATCH($H23,RIN_Asset_Cat_Network,0),MATCH($BE$4,Direct_Cost_Type,0))*$N23*INDEX(Act_Type_Augex_Splits,MATCH($I23,Act_Type_Augex,0),MATCH(BA$4,Mat_Type,0))*INDEX(Escalators!$I$44:$U$49,MATCH(BA$4,Escalators!$C$44:$C$49,0),MATCH(BA$5,Escalators!$I$43:$U$43,0))</f>
        <v>0</v>
      </c>
      <c r="BB23" s="128">
        <f>INDEX(Direct_Cost_Splits_Network,MATCH($H23,RIN_Asset_Cat_Network,0),MATCH($BE$4,Direct_Cost_Type,0))*$N23*INDEX(Act_Type_Augex_Splits,MATCH($I23,Act_Type_Augex,0),MATCH(BB$4,Mat_Type,0))*INDEX(Escalators!$I$44:$U$49,MATCH(BB$4,Escalators!$C$44:$C$49,0),MATCH(BB$5,Escalators!$I$43:$U$43,0))</f>
        <v>20.073241340878287</v>
      </c>
      <c r="BC23" s="128">
        <f>INDEX(Direct_Cost_Splits_Network,MATCH($H23,RIN_Asset_Cat_Network,0),MATCH($BE$4,Direct_Cost_Type,0))*$N23*INDEX(Act_Type_Augex_Splits,MATCH($I23,Act_Type_Augex,0),MATCH(BC$4,Mat_Type,0))*INDEX(Escalators!$I$44:$U$49,MATCH(BC$4,Escalators!$C$44:$C$49,0),MATCH(BC$5,Escalators!$I$43:$U$43,0))</f>
        <v>0</v>
      </c>
      <c r="BD23" s="128">
        <f>INDEX(Direct_Cost_Splits_Network,MATCH($H23,RIN_Asset_Cat_Network,0),MATCH($BE$4,Direct_Cost_Type,0))*$N23*INDEX(Act_Type_Augex_Splits,MATCH($I23,Act_Type_Augex,0),MATCH(BD$4,Mat_Type,0))*INDEX(Escalators!$I$44:$U$49,MATCH(BD$4,Escalators!$C$44:$C$49,0),MATCH(BD$5,Escalators!$I$43:$U$43,0))</f>
        <v>30.881909755197366</v>
      </c>
      <c r="BE23" s="128">
        <f t="shared" si="72"/>
        <v>154.40954877598682</v>
      </c>
      <c r="BF23" s="128">
        <f>INDEX(Direct_Cost_Splits_Network,MATCH($H23,RIN_Asset_Cat_Network,0),MATCH($BK$4,Direct_Cost_Type,0))*$O23*INDEX(Act_Type_Augex_Splits,MATCH($I23,Act_Type_Augex,0),MATCH(BF$4,Mat_Type,0))*INDEX(Escalators!$I$44:$U$49,MATCH(BF$4,Escalators!$C$44:$C$49,0),MATCH(BF$5,Escalators!$I$43:$U$43,0))</f>
        <v>103.45439767991118</v>
      </c>
      <c r="BG23" s="128">
        <f>INDEX(Direct_Cost_Splits_Network,MATCH($H23,RIN_Asset_Cat_Network,0),MATCH($BK$4,Direct_Cost_Type,0))*$O23*INDEX(Act_Type_Augex_Splits,MATCH($I23,Act_Type_Augex,0),MATCH(BG$4,Mat_Type,0))*INDEX(Escalators!$I$44:$U$49,MATCH(BG$4,Escalators!$C$44:$C$49,0),MATCH(BG$5,Escalators!$I$43:$U$43,0))</f>
        <v>0</v>
      </c>
      <c r="BH23" s="128">
        <f>INDEX(Direct_Cost_Splits_Network,MATCH($H23,RIN_Asset_Cat_Network,0),MATCH($BK$4,Direct_Cost_Type,0))*$O23*INDEX(Act_Type_Augex_Splits,MATCH($I23,Act_Type_Augex,0),MATCH(BH$4,Mat_Type,0))*INDEX(Escalators!$I$44:$U$49,MATCH(BH$4,Escalators!$C$44:$C$49,0),MATCH(BH$5,Escalators!$I$43:$U$43,0))</f>
        <v>20.073241340878287</v>
      </c>
      <c r="BI23" s="128">
        <f>INDEX(Direct_Cost_Splits_Network,MATCH($H23,RIN_Asset_Cat_Network,0),MATCH($BK$4,Direct_Cost_Type,0))*$O23*INDEX(Act_Type_Augex_Splits,MATCH($I23,Act_Type_Augex,0),MATCH(BI$4,Mat_Type,0))*INDEX(Escalators!$I$44:$U$49,MATCH(BI$4,Escalators!$C$44:$C$49,0),MATCH(BI$5,Escalators!$I$43:$U$43,0))</f>
        <v>0</v>
      </c>
      <c r="BJ23" s="128">
        <f>INDEX(Direct_Cost_Splits_Network,MATCH($H23,RIN_Asset_Cat_Network,0),MATCH($BK$4,Direct_Cost_Type,0))*$O23*INDEX(Act_Type_Augex_Splits,MATCH($I23,Act_Type_Augex,0),MATCH(BJ$4,Mat_Type,0))*INDEX(Escalators!$I$44:$U$49,MATCH(BJ$4,Escalators!$C$44:$C$49,0),MATCH(BJ$5,Escalators!$I$43:$U$43,0))</f>
        <v>30.881909755197366</v>
      </c>
      <c r="BK23" s="128">
        <f t="shared" si="73"/>
        <v>154.40954877598682</v>
      </c>
      <c r="BL23" s="128">
        <f>INDEX(Direct_Cost_Splits_Network,MATCH($H23,RIN_Asset_Cat_Network,0),MATCH($BQ$4,Direct_Cost_Type,0))*$P23*INDEX(Act_Type_Augex_Splits,MATCH($I23,Act_Type_Augex,0),MATCH(BL$4,Mat_Type,0))*INDEX(Escalators!$I$44:$U$49,MATCH(BL$4,Escalators!$C$44:$C$49,0),MATCH(BL$5,Escalators!$I$43:$U$43,0))</f>
        <v>103.45439767991118</v>
      </c>
      <c r="BM23" s="128">
        <f>INDEX(Direct_Cost_Splits_Network,MATCH($H23,RIN_Asset_Cat_Network,0),MATCH($BQ$4,Direct_Cost_Type,0))*$P23*INDEX(Act_Type_Augex_Splits,MATCH($I23,Act_Type_Augex,0),MATCH(BM$4,Mat_Type,0))*INDEX(Escalators!$I$44:$U$49,MATCH(BM$4,Escalators!$C$44:$C$49,0),MATCH(BM$5,Escalators!$I$43:$U$43,0))</f>
        <v>0</v>
      </c>
      <c r="BN23" s="128">
        <f>INDEX(Direct_Cost_Splits_Network,MATCH($H23,RIN_Asset_Cat_Network,0),MATCH($BQ$4,Direct_Cost_Type,0))*$P23*INDEX(Act_Type_Augex_Splits,MATCH($I23,Act_Type_Augex,0),MATCH(BN$4,Mat_Type,0))*INDEX(Escalators!$I$44:$U$49,MATCH(BN$4,Escalators!$C$44:$C$49,0),MATCH(BN$5,Escalators!$I$43:$U$43,0))</f>
        <v>20.073241340878287</v>
      </c>
      <c r="BO23" s="128">
        <f>INDEX(Direct_Cost_Splits_Network,MATCH($H23,RIN_Asset_Cat_Network,0),MATCH($BQ$4,Direct_Cost_Type,0))*$P23*INDEX(Act_Type_Augex_Splits,MATCH($I23,Act_Type_Augex,0),MATCH(BO$4,Mat_Type,0))*INDEX(Escalators!$I$44:$U$49,MATCH(BO$4,Escalators!$C$44:$C$49,0),MATCH(BO$5,Escalators!$I$43:$U$43,0))</f>
        <v>0</v>
      </c>
      <c r="BP23" s="128">
        <f>INDEX(Direct_Cost_Splits_Network,MATCH($H23,RIN_Asset_Cat_Network,0),MATCH($BQ$4,Direct_Cost_Type,0))*$P23*INDEX(Act_Type_Augex_Splits,MATCH($I23,Act_Type_Augex,0),MATCH(BP$4,Mat_Type,0))*INDEX(Escalators!$I$44:$U$49,MATCH(BP$4,Escalators!$C$44:$C$49,0),MATCH(BP$5,Escalators!$I$43:$U$43,0))</f>
        <v>30.881909755197366</v>
      </c>
      <c r="BQ23" s="128">
        <f t="shared" si="74"/>
        <v>154.40954877598682</v>
      </c>
      <c r="BR23" s="128">
        <f>INDEX(Direct_Cost_Splits_Network,MATCH($H23,RIN_Asset_Cat_Network,0),MATCH($BW$4,Direct_Cost_Type,0))*$Q23*INDEX(Act_Type_Augex_Splits,MATCH($I23,Act_Type_Augex,0),MATCH(BR$4,Mat_Type,0))*INDEX(Escalators!$I$44:$U$49,MATCH(BR$4,Escalators!$C$44:$C$49,0),MATCH(BR$5,Escalators!$I$43:$U$43,0))</f>
        <v>103.45439767991118</v>
      </c>
      <c r="BS23" s="128">
        <f>INDEX(Direct_Cost_Splits_Network,MATCH($H23,RIN_Asset_Cat_Network,0),MATCH($BW$4,Direct_Cost_Type,0))*$Q23*INDEX(Act_Type_Augex_Splits,MATCH($I23,Act_Type_Augex,0),MATCH(BS$4,Mat_Type,0))*INDEX(Escalators!$I$44:$U$49,MATCH(BS$4,Escalators!$C$44:$C$49,0),MATCH(BS$5,Escalators!$I$43:$U$43,0))</f>
        <v>0</v>
      </c>
      <c r="BT23" s="128">
        <f>INDEX(Direct_Cost_Splits_Network,MATCH($H23,RIN_Asset_Cat_Network,0),MATCH($BW$4,Direct_Cost_Type,0))*$Q23*INDEX(Act_Type_Augex_Splits,MATCH($I23,Act_Type_Augex,0),MATCH(BT$4,Mat_Type,0))*INDEX(Escalators!$I$44:$U$49,MATCH(BT$4,Escalators!$C$44:$C$49,0),MATCH(BT$5,Escalators!$I$43:$U$43,0))</f>
        <v>20.073241340878287</v>
      </c>
      <c r="BU23" s="128">
        <f>INDEX(Direct_Cost_Splits_Network,MATCH($H23,RIN_Asset_Cat_Network,0),MATCH($BW$4,Direct_Cost_Type,0))*$Q23*INDEX(Act_Type_Augex_Splits,MATCH($I23,Act_Type_Augex,0),MATCH(BU$4,Mat_Type,0))*INDEX(Escalators!$I$44:$U$49,MATCH(BU$4,Escalators!$C$44:$C$49,0),MATCH(BU$5,Escalators!$I$43:$U$43,0))</f>
        <v>0</v>
      </c>
      <c r="BV23" s="128">
        <f>INDEX(Direct_Cost_Splits_Network,MATCH($H23,RIN_Asset_Cat_Network,0),MATCH($BW$4,Direct_Cost_Type,0))*$Q23*INDEX(Act_Type_Augex_Splits,MATCH($I23,Act_Type_Augex,0),MATCH(BV$4,Mat_Type,0))*INDEX(Escalators!$I$44:$U$49,MATCH(BV$4,Escalators!$C$44:$C$49,0),MATCH(BV$5,Escalators!$I$43:$U$43,0))</f>
        <v>30.881909755197366</v>
      </c>
      <c r="BW23" s="128">
        <f t="shared" si="75"/>
        <v>154.40954877598682</v>
      </c>
      <c r="BX23" s="129"/>
      <c r="BY23" s="128">
        <f>INDEX(Direct_Cost_Splits_Network,MATCH($H23,RIN_Asset_Cat_Network,0),MATCH($BY$4,Direct_Cost_Type,0))*J23*HLOOKUP(BY$5,Escalators!$I$25:$U$30,6,FALSE)</f>
        <v>0</v>
      </c>
      <c r="BZ23" s="128">
        <f>INDEX(Direct_Cost_Splits_Network,MATCH($H23,RIN_Asset_Cat_Network,0),MATCH($BY$4,Direct_Cost_Type,0))*K23*HLOOKUP(BZ$5,Escalators!$I$25:$U$30,6,FALSE)</f>
        <v>0</v>
      </c>
      <c r="CA23" s="128">
        <f>INDEX(Direct_Cost_Splits_Network,MATCH($H23,RIN_Asset_Cat_Network,0),MATCH($BY$4,Direct_Cost_Type,0))*L23*HLOOKUP(CA$5,Escalators!$I$25:$U$30,6,FALSE)</f>
        <v>0</v>
      </c>
      <c r="CB23" s="128">
        <f>INDEX(Direct_Cost_Splits_Network,MATCH($H23,RIN_Asset_Cat_Network,0),MATCH($BY$4,Direct_Cost_Type,0))*M23*HLOOKUP(CB$5,Escalators!$I$25:$U$30,6,FALSE)</f>
        <v>210.35238910213749</v>
      </c>
      <c r="CC23" s="128">
        <f>INDEX(Direct_Cost_Splits_Network,MATCH($H23,RIN_Asset_Cat_Network,0),MATCH($BY$4,Direct_Cost_Type,0))*N23*HLOOKUP(CC$5,Escalators!$I$25:$U$30,6,FALSE)</f>
        <v>210.35238910213749</v>
      </c>
      <c r="CD23" s="128">
        <f>INDEX(Direct_Cost_Splits_Network,MATCH($H23,RIN_Asset_Cat_Network,0),MATCH($BY$4,Direct_Cost_Type,0))*O23*HLOOKUP(CD$5,Escalators!$I$25:$U$30,6,FALSE)</f>
        <v>210.35238910213749</v>
      </c>
      <c r="CE23" s="128">
        <f>INDEX(Direct_Cost_Splits_Network,MATCH($H23,RIN_Asset_Cat_Network,0),MATCH($BY$4,Direct_Cost_Type,0))*P23*HLOOKUP(CE$5,Escalators!$I$25:$U$30,6,FALSE)</f>
        <v>210.35238910213749</v>
      </c>
      <c r="CF23" s="128">
        <f>INDEX(Direct_Cost_Splits_Network,MATCH($H23,RIN_Asset_Cat_Network,0),MATCH($BY$4,Direct_Cost_Type,0))*Q23*HLOOKUP(CF$5,Escalators!$I$25:$U$30,6,FALSE)</f>
        <v>210.35238910213749</v>
      </c>
      <c r="CG23" s="129"/>
      <c r="CH23" s="763">
        <f t="shared" si="76"/>
        <v>0</v>
      </c>
      <c r="CI23" s="763">
        <f t="shared" si="77"/>
        <v>0</v>
      </c>
      <c r="CJ23" s="763">
        <f t="shared" si="78"/>
        <v>0</v>
      </c>
      <c r="CK23" s="763">
        <f t="shared" si="79"/>
        <v>57.791399862790065</v>
      </c>
      <c r="CL23" s="763">
        <f t="shared" si="80"/>
        <v>57.791399862790065</v>
      </c>
      <c r="CM23" s="763">
        <f t="shared" si="81"/>
        <v>57.791399862790065</v>
      </c>
      <c r="CN23" s="763">
        <f t="shared" si="82"/>
        <v>57.791399862790065</v>
      </c>
      <c r="CO23" s="763">
        <f t="shared" si="83"/>
        <v>57.791399862790065</v>
      </c>
      <c r="CP23" s="129"/>
      <c r="CQ23" s="128">
        <f t="shared" si="18"/>
        <v>0</v>
      </c>
      <c r="CR23" s="128">
        <f t="shared" si="9"/>
        <v>0</v>
      </c>
      <c r="CS23" s="128">
        <f t="shared" si="19"/>
        <v>0</v>
      </c>
      <c r="CT23" s="128">
        <f t="shared" si="20"/>
        <v>501.3985778214705</v>
      </c>
      <c r="CU23" s="128">
        <f t="shared" si="21"/>
        <v>501.20164319298692</v>
      </c>
      <c r="CV23" s="128">
        <f t="shared" si="22"/>
        <v>501.14452041256254</v>
      </c>
      <c r="CW23" s="128">
        <f t="shared" si="23"/>
        <v>501.43316604113625</v>
      </c>
      <c r="CX23" s="128">
        <f t="shared" si="24"/>
        <v>502.21927717309609</v>
      </c>
      <c r="CZ23" s="39"/>
    </row>
    <row r="24" spans="2:104" x14ac:dyDescent="0.25">
      <c r="B24" s="75" t="s">
        <v>430</v>
      </c>
      <c r="C24" s="75" t="s">
        <v>584</v>
      </c>
      <c r="D24" s="75" t="s">
        <v>426</v>
      </c>
      <c r="E24" s="75" t="s">
        <v>45</v>
      </c>
      <c r="F24" s="75" t="s">
        <v>51</v>
      </c>
      <c r="G24" s="75" t="s">
        <v>10</v>
      </c>
      <c r="H24" s="75" t="s">
        <v>165</v>
      </c>
      <c r="I24" s="75" t="s">
        <v>215</v>
      </c>
      <c r="J24" s="128"/>
      <c r="K24" s="128"/>
      <c r="L24" s="128"/>
      <c r="M24" s="128">
        <v>1205</v>
      </c>
      <c r="N24" s="128">
        <v>1210</v>
      </c>
      <c r="O24" s="128">
        <v>1100</v>
      </c>
      <c r="P24" s="128">
        <v>1010</v>
      </c>
      <c r="Q24" s="128">
        <v>970</v>
      </c>
      <c r="R24" s="129"/>
      <c r="S24" s="128">
        <f>INDEX(Direct_Cost_Splits_Network,MATCH($H24,RIN_Asset_Cat_Network,0),MATCH($S$4,Direct_Cost_Type,0))*J24*HLOOKUP(S$5,Escalators!$I$25:$U$30,3,FALSE)</f>
        <v>0</v>
      </c>
      <c r="T24" s="128">
        <f>INDEX(Direct_Cost_Splits_Network,MATCH($H24,RIN_Asset_Cat_Network,0),MATCH($S$4,Direct_Cost_Type,0))*K24*HLOOKUP(T$5,Escalators!$I$25:$U$30,3,FALSE)</f>
        <v>0</v>
      </c>
      <c r="U24" s="128">
        <f>INDEX(Direct_Cost_Splits_Network,MATCH($H24,RIN_Asset_Cat_Network,0),MATCH($S$4,Direct_Cost_Type,0))*L24*HLOOKUP(U$5,Escalators!$I$25:$U$30,3,FALSE)</f>
        <v>0</v>
      </c>
      <c r="V24" s="128">
        <f>INDEX(Direct_Cost_Splits_Network,MATCH($H24,RIN_Asset_Cat_Network,0),MATCH($S$4,Direct_Cost_Type,0))*M24*HLOOKUP(V$5,Escalators!$I$25:$U$30,3,FALSE)</f>
        <v>190.01702859414024</v>
      </c>
      <c r="W24" s="128">
        <f>INDEX(Direct_Cost_Splits_Network,MATCH($H24,RIN_Asset_Cat_Network,0),MATCH($S$4,Direct_Cost_Type,0))*N24*HLOOKUP(W$5,Escalators!$I$25:$U$30,3,FALSE)</f>
        <v>190.32889919401558</v>
      </c>
      <c r="X24" s="128">
        <f>INDEX(Direct_Cost_Splits_Network,MATCH($H24,RIN_Asset_Cat_Network,0),MATCH($S$4,Direct_Cost_Type,0))*O24*HLOOKUP(X$5,Escalators!$I$25:$U$30,3,FALSE)</f>
        <v>172.900601877626</v>
      </c>
      <c r="Y24" s="128">
        <f>INDEX(Direct_Cost_Splits_Network,MATCH($H24,RIN_Asset_Cat_Network,0),MATCH($S$4,Direct_Cost_Type,0))*P24*HLOOKUP(Y$5,Escalators!$I$25:$U$30,3,FALSE)</f>
        <v>159.33725316644819</v>
      </c>
      <c r="Z24" s="128">
        <f>INDEX(Direct_Cost_Splits_Network,MATCH($H24,RIN_Asset_Cat_Network,0),MATCH($S$4,Direct_Cost_Type,0))*Q24*HLOOKUP(Z$5,Escalators!$I$25:$U$30,3,FALSE)</f>
        <v>154.55192249843256</v>
      </c>
      <c r="AA24" s="129"/>
      <c r="AB24" s="128">
        <f>INDEX(Direct_Cost_Splits_Network,MATCH($H24,RIN_Asset_Cat_Network,0),MATCH($AG$4,Direct_Cost_Type,0))*$J24*INDEX(Act_Type_Augex_Splits,MATCH($I24,Act_Type_Augex,0),MATCH(AB$4,Mat_Type,0))*INDEX(Escalators!$I$44:$U$49,MATCH(AB$4,Escalators!$C$44:$C$49,0),MATCH(AB$5,Escalators!$I$43:$U$43,0))</f>
        <v>0</v>
      </c>
      <c r="AC24" s="128">
        <f>INDEX(Direct_Cost_Splits_Network,MATCH($H24,RIN_Asset_Cat_Network,0),MATCH($AG$4,Direct_Cost_Type,0))*$J24*INDEX(Act_Type_Augex_Splits,MATCH($I24,Act_Type_Augex,0),MATCH(AC$4,Mat_Type,0))*INDEX(Escalators!$I$44:$U$49,MATCH(AC$4,Escalators!$C$44:$C$49,0),MATCH(AC$5,Escalators!$I$43:$U$43,0))</f>
        <v>0</v>
      </c>
      <c r="AD24" s="128">
        <f>INDEX(Direct_Cost_Splits_Network,MATCH($H24,RIN_Asset_Cat_Network,0),MATCH($AG$4,Direct_Cost_Type,0))*$J24*INDEX(Act_Type_Augex_Splits,MATCH($I24,Act_Type_Augex,0),MATCH(AD$4,Mat_Type,0))*INDEX(Escalators!$I$44:$U$49,MATCH(AD$4,Escalators!$C$44:$C$49,0),MATCH(AD$5,Escalators!$I$43:$U$43,0))</f>
        <v>0</v>
      </c>
      <c r="AE24" s="128">
        <f>INDEX(Direct_Cost_Splits_Network,MATCH($H24,RIN_Asset_Cat_Network,0),MATCH($AG$4,Direct_Cost_Type,0))*$J24*INDEX(Act_Type_Augex_Splits,MATCH($I24,Act_Type_Augex,0),MATCH(AE$4,Mat_Type,0))*INDEX(Escalators!$I$44:$U$49,MATCH(AE$4,Escalators!$C$44:$C$49,0),MATCH(AE$5,Escalators!$I$43:$U$43,0))</f>
        <v>0</v>
      </c>
      <c r="AF24" s="128">
        <f>INDEX(Direct_Cost_Splits_Network,MATCH($H24,RIN_Asset_Cat_Network,0),MATCH($AG$4,Direct_Cost_Type,0))*$J24*INDEX(Act_Type_Augex_Splits,MATCH($I24,Act_Type_Augex,0),MATCH(AF$4,Mat_Type,0))*INDEX(Escalators!$I$44:$U$49,MATCH(AF$4,Escalators!$C$44:$C$49,0),MATCH(AF$5,Escalators!$I$43:$U$43,0))</f>
        <v>0</v>
      </c>
      <c r="AG24" s="128">
        <f t="shared" si="68"/>
        <v>0</v>
      </c>
      <c r="AH24" s="128">
        <f>INDEX(Direct_Cost_Splits_Network,MATCH($H24,RIN_Asset_Cat_Network,0),MATCH($AY$4,Direct_Cost_Type,0))*$K24*INDEX(Act_Type_Augex_Splits,MATCH($I24,Act_Type_Augex,0),MATCH(AH$4,Mat_Type,0))*INDEX(Escalators!$I$44:$U$49,MATCH(AH$4,Escalators!$C$44:$C$49,0),MATCH(AH$5,Escalators!$I$43:$U$43,0))</f>
        <v>0</v>
      </c>
      <c r="AI24" s="128">
        <f>INDEX(Direct_Cost_Splits_Network,MATCH($H24,RIN_Asset_Cat_Network,0),MATCH($AY$4,Direct_Cost_Type,0))*$K24*INDEX(Act_Type_Augex_Splits,MATCH($I24,Act_Type_Augex,0),MATCH(AI$4,Mat_Type,0))*INDEX(Escalators!$I$44:$U$49,MATCH(AI$4,Escalators!$C$44:$C$49,0),MATCH(AI$5,Escalators!$I$43:$U$43,0))</f>
        <v>0</v>
      </c>
      <c r="AJ24" s="128">
        <f>INDEX(Direct_Cost_Splits_Network,MATCH($H24,RIN_Asset_Cat_Network,0),MATCH($AY$4,Direct_Cost_Type,0))*$K24*INDEX(Act_Type_Augex_Splits,MATCH($I24,Act_Type_Augex,0),MATCH(AJ$4,Mat_Type,0))*INDEX(Escalators!$I$44:$U$49,MATCH(AJ$4,Escalators!$C$44:$C$49,0),MATCH(AJ$5,Escalators!$I$43:$U$43,0))</f>
        <v>0</v>
      </c>
      <c r="AK24" s="128">
        <f>INDEX(Direct_Cost_Splits_Network,MATCH($H24,RIN_Asset_Cat_Network,0),MATCH($AY$4,Direct_Cost_Type,0))*$K24*INDEX(Act_Type_Augex_Splits,MATCH($I24,Act_Type_Augex,0),MATCH(AK$4,Mat_Type,0))*INDEX(Escalators!$I$44:$U$49,MATCH(AK$4,Escalators!$C$44:$C$49,0),MATCH(AK$5,Escalators!$I$43:$U$43,0))</f>
        <v>0</v>
      </c>
      <c r="AL24" s="128">
        <f>INDEX(Direct_Cost_Splits_Network,MATCH($H24,RIN_Asset_Cat_Network,0),MATCH($AY$4,Direct_Cost_Type,0))*$K24*INDEX(Act_Type_Augex_Splits,MATCH($I24,Act_Type_Augex,0),MATCH(AL$4,Mat_Type,0))*INDEX(Escalators!$I$44:$U$49,MATCH(AL$4,Escalators!$C$44:$C$49,0),MATCH(AL$5,Escalators!$I$43:$U$43,0))</f>
        <v>0</v>
      </c>
      <c r="AM24" s="128">
        <f t="shared" si="69"/>
        <v>0</v>
      </c>
      <c r="AN24" s="128">
        <f>INDEX(Direct_Cost_Splits_Network,MATCH($H24,RIN_Asset_Cat_Network,0),MATCH($AY$4,Direct_Cost_Type,0))*$L24*INDEX(Act_Type_Augex_Splits,MATCH($I24,Act_Type_Augex,0),MATCH(AN$4,Mat_Type,0))*INDEX(Escalators!$I$44:$U$49,MATCH(AN$4,Escalators!$C$44:$C$49,0),MATCH(AN$5,Escalators!$I$43:$U$43,0))</f>
        <v>0</v>
      </c>
      <c r="AO24" s="128">
        <f>INDEX(Direct_Cost_Splits_Network,MATCH($H24,RIN_Asset_Cat_Network,0),MATCH($AY$4,Direct_Cost_Type,0))*$L24*INDEX(Act_Type_Augex_Splits,MATCH($I24,Act_Type_Augex,0),MATCH(AO$4,Mat_Type,0))*INDEX(Escalators!$I$44:$U$49,MATCH(AO$4,Escalators!$C$44:$C$49,0),MATCH(AO$5,Escalators!$I$43:$U$43,0))</f>
        <v>0</v>
      </c>
      <c r="AP24" s="128">
        <f>INDEX(Direct_Cost_Splits_Network,MATCH($H24,RIN_Asset_Cat_Network,0),MATCH($AY$4,Direct_Cost_Type,0))*$L24*INDEX(Act_Type_Augex_Splits,MATCH($I24,Act_Type_Augex,0),MATCH(AP$4,Mat_Type,0))*INDEX(Escalators!$I$44:$U$49,MATCH(AP$4,Escalators!$C$44:$C$49,0),MATCH(AP$5,Escalators!$I$43:$U$43,0))</f>
        <v>0</v>
      </c>
      <c r="AQ24" s="128">
        <f>INDEX(Direct_Cost_Splits_Network,MATCH($H24,RIN_Asset_Cat_Network,0),MATCH($AY$4,Direct_Cost_Type,0))*$L24*INDEX(Act_Type_Augex_Splits,MATCH($I24,Act_Type_Augex,0),MATCH(AQ$4,Mat_Type,0))*INDEX(Escalators!$I$44:$U$49,MATCH(AQ$4,Escalators!$C$44:$C$49,0),MATCH(AQ$5,Escalators!$I$43:$U$43,0))</f>
        <v>0</v>
      </c>
      <c r="AR24" s="128">
        <f>INDEX(Direct_Cost_Splits_Network,MATCH($H24,RIN_Asset_Cat_Network,0),MATCH($AY$4,Direct_Cost_Type,0))*$L24*INDEX(Act_Type_Augex_Splits,MATCH($I24,Act_Type_Augex,0),MATCH(AR$4,Mat_Type,0))*INDEX(Escalators!$I$44:$U$49,MATCH(AR$4,Escalators!$C$44:$C$49,0),MATCH(AR$5,Escalators!$I$43:$U$43,0))</f>
        <v>0</v>
      </c>
      <c r="AS24" s="128">
        <f t="shared" si="70"/>
        <v>0</v>
      </c>
      <c r="AT24" s="128">
        <f>INDEX(Direct_Cost_Splits_Network,MATCH($H24,RIN_Asset_Cat_Network,0),MATCH($AY$4,Direct_Cost_Type,0))*$M24*INDEX(Act_Type_Augex_Splits,MATCH($I24,Act_Type_Augex,0),MATCH(AT$4,Mat_Type,0))*INDEX(Escalators!$I$44:$U$49,MATCH(AT$4,Escalators!$C$44:$C$49,0),MATCH(AT$5,Escalators!$I$43:$U$43,0))</f>
        <v>249.32509840858592</v>
      </c>
      <c r="AU24" s="128">
        <f>INDEX(Direct_Cost_Splits_Network,MATCH($H24,RIN_Asset_Cat_Network,0),MATCH($AY$4,Direct_Cost_Type,0))*$M24*INDEX(Act_Type_Augex_Splits,MATCH($I24,Act_Type_Augex,0),MATCH(AU$4,Mat_Type,0))*INDEX(Escalators!$I$44:$U$49,MATCH(AU$4,Escalators!$C$44:$C$49,0),MATCH(AU$5,Escalators!$I$43:$U$43,0))</f>
        <v>0</v>
      </c>
      <c r="AV24" s="128">
        <f>INDEX(Direct_Cost_Splits_Network,MATCH($H24,RIN_Asset_Cat_Network,0),MATCH($AY$4,Direct_Cost_Type,0))*$M24*INDEX(Act_Type_Augex_Splits,MATCH($I24,Act_Type_Augex,0),MATCH(AV$4,Mat_Type,0))*INDEX(Escalators!$I$44:$U$49,MATCH(AV$4,Escalators!$C$44:$C$49,0),MATCH(AV$5,Escalators!$I$43:$U$43,0))</f>
        <v>48.376511631516671</v>
      </c>
      <c r="AW24" s="128">
        <f>INDEX(Direct_Cost_Splits_Network,MATCH($H24,RIN_Asset_Cat_Network,0),MATCH($AY$4,Direct_Cost_Type,0))*$M24*INDEX(Act_Type_Augex_Splits,MATCH($I24,Act_Type_Augex,0),MATCH(AW$4,Mat_Type,0))*INDEX(Escalators!$I$44:$U$49,MATCH(AW$4,Escalators!$C$44:$C$49,0),MATCH(AW$5,Escalators!$I$43:$U$43,0))</f>
        <v>0</v>
      </c>
      <c r="AX24" s="128">
        <f>INDEX(Direct_Cost_Splits_Network,MATCH($H24,RIN_Asset_Cat_Network,0),MATCH($AY$4,Direct_Cost_Type,0))*$M24*INDEX(Act_Type_Augex_Splits,MATCH($I24,Act_Type_Augex,0),MATCH(AX$4,Mat_Type,0))*INDEX(Escalators!$I$44:$U$49,MATCH(AX$4,Escalators!$C$44:$C$49,0),MATCH(AX$5,Escalators!$I$43:$U$43,0))</f>
        <v>74.425402510025648</v>
      </c>
      <c r="AY24" s="128">
        <f t="shared" si="71"/>
        <v>372.12701255012826</v>
      </c>
      <c r="AZ24" s="128">
        <f>INDEX(Direct_Cost_Splits_Network,MATCH($H24,RIN_Asset_Cat_Network,0),MATCH($BE$4,Direct_Cost_Type,0))*$N24*INDEX(Act_Type_Augex_Splits,MATCH($I24,Act_Type_Augex,0),MATCH(AZ$4,Mat_Type,0))*INDEX(Escalators!$I$44:$U$49,MATCH(AZ$4,Escalators!$C$44:$C$49,0),MATCH(AZ$5,Escalators!$I$43:$U$43,0))</f>
        <v>250.35964238538503</v>
      </c>
      <c r="BA24" s="128">
        <f>INDEX(Direct_Cost_Splits_Network,MATCH($H24,RIN_Asset_Cat_Network,0),MATCH($BE$4,Direct_Cost_Type,0))*$N24*INDEX(Act_Type_Augex_Splits,MATCH($I24,Act_Type_Augex,0),MATCH(BA$4,Mat_Type,0))*INDEX(Escalators!$I$44:$U$49,MATCH(BA$4,Escalators!$C$44:$C$49,0),MATCH(BA$5,Escalators!$I$43:$U$43,0))</f>
        <v>0</v>
      </c>
      <c r="BB24" s="128">
        <f>INDEX(Direct_Cost_Splits_Network,MATCH($H24,RIN_Asset_Cat_Network,0),MATCH($BE$4,Direct_Cost_Type,0))*$N24*INDEX(Act_Type_Augex_Splits,MATCH($I24,Act_Type_Augex,0),MATCH(BB$4,Mat_Type,0))*INDEX(Escalators!$I$44:$U$49,MATCH(BB$4,Escalators!$C$44:$C$49,0),MATCH(BB$5,Escalators!$I$43:$U$43,0))</f>
        <v>48.57724404492545</v>
      </c>
      <c r="BC24" s="128">
        <f>INDEX(Direct_Cost_Splits_Network,MATCH($H24,RIN_Asset_Cat_Network,0),MATCH($BE$4,Direct_Cost_Type,0))*$N24*INDEX(Act_Type_Augex_Splits,MATCH($I24,Act_Type_Augex,0),MATCH(BC$4,Mat_Type,0))*INDEX(Escalators!$I$44:$U$49,MATCH(BC$4,Escalators!$C$44:$C$49,0),MATCH(BC$5,Escalators!$I$43:$U$43,0))</f>
        <v>0</v>
      </c>
      <c r="BD24" s="128">
        <f>INDEX(Direct_Cost_Splits_Network,MATCH($H24,RIN_Asset_Cat_Network,0),MATCH($BE$4,Direct_Cost_Type,0))*$N24*INDEX(Act_Type_Augex_Splits,MATCH($I24,Act_Type_Augex,0),MATCH(BD$4,Mat_Type,0))*INDEX(Escalators!$I$44:$U$49,MATCH(BD$4,Escalators!$C$44:$C$49,0),MATCH(BD$5,Escalators!$I$43:$U$43,0))</f>
        <v>74.734221607577624</v>
      </c>
      <c r="BE24" s="128">
        <f t="shared" si="72"/>
        <v>373.67110803788813</v>
      </c>
      <c r="BF24" s="128">
        <f>INDEX(Direct_Cost_Splits_Network,MATCH($H24,RIN_Asset_Cat_Network,0),MATCH($BK$4,Direct_Cost_Type,0))*$O24*INDEX(Act_Type_Augex_Splits,MATCH($I24,Act_Type_Augex,0),MATCH(BF$4,Mat_Type,0))*INDEX(Escalators!$I$44:$U$49,MATCH(BF$4,Escalators!$C$44:$C$49,0),MATCH(BF$5,Escalators!$I$43:$U$43,0))</f>
        <v>227.59967489580458</v>
      </c>
      <c r="BG24" s="128">
        <f>INDEX(Direct_Cost_Splits_Network,MATCH($H24,RIN_Asset_Cat_Network,0),MATCH($BK$4,Direct_Cost_Type,0))*$O24*INDEX(Act_Type_Augex_Splits,MATCH($I24,Act_Type_Augex,0),MATCH(BG$4,Mat_Type,0))*INDEX(Escalators!$I$44:$U$49,MATCH(BG$4,Escalators!$C$44:$C$49,0),MATCH(BG$5,Escalators!$I$43:$U$43,0))</f>
        <v>0</v>
      </c>
      <c r="BH24" s="128">
        <f>INDEX(Direct_Cost_Splits_Network,MATCH($H24,RIN_Asset_Cat_Network,0),MATCH($BK$4,Direct_Cost_Type,0))*$O24*INDEX(Act_Type_Augex_Splits,MATCH($I24,Act_Type_Augex,0),MATCH(BH$4,Mat_Type,0))*INDEX(Escalators!$I$44:$U$49,MATCH(BH$4,Escalators!$C$44:$C$49,0),MATCH(BH$5,Escalators!$I$43:$U$43,0))</f>
        <v>44.161130949932229</v>
      </c>
      <c r="BI24" s="128">
        <f>INDEX(Direct_Cost_Splits_Network,MATCH($H24,RIN_Asset_Cat_Network,0),MATCH($BK$4,Direct_Cost_Type,0))*$O24*INDEX(Act_Type_Augex_Splits,MATCH($I24,Act_Type_Augex,0),MATCH(BI$4,Mat_Type,0))*INDEX(Escalators!$I$44:$U$49,MATCH(BI$4,Escalators!$C$44:$C$49,0),MATCH(BI$5,Escalators!$I$43:$U$43,0))</f>
        <v>0</v>
      </c>
      <c r="BJ24" s="128">
        <f>INDEX(Direct_Cost_Splits_Network,MATCH($H24,RIN_Asset_Cat_Network,0),MATCH($BK$4,Direct_Cost_Type,0))*$O24*INDEX(Act_Type_Augex_Splits,MATCH($I24,Act_Type_Augex,0),MATCH(BJ$4,Mat_Type,0))*INDEX(Escalators!$I$44:$U$49,MATCH(BJ$4,Escalators!$C$44:$C$49,0),MATCH(BJ$5,Escalators!$I$43:$U$43,0))</f>
        <v>67.940201461434199</v>
      </c>
      <c r="BK24" s="128">
        <f t="shared" si="73"/>
        <v>339.70100730717098</v>
      </c>
      <c r="BL24" s="128">
        <f>INDEX(Direct_Cost_Splits_Network,MATCH($H24,RIN_Asset_Cat_Network,0),MATCH($BQ$4,Direct_Cost_Type,0))*$P24*INDEX(Act_Type_Augex_Splits,MATCH($I24,Act_Type_Augex,0),MATCH(BL$4,Mat_Type,0))*INDEX(Escalators!$I$44:$U$49,MATCH(BL$4,Escalators!$C$44:$C$49,0),MATCH(BL$5,Escalators!$I$43:$U$43,0))</f>
        <v>208.97788331342053</v>
      </c>
      <c r="BM24" s="128">
        <f>INDEX(Direct_Cost_Splits_Network,MATCH($H24,RIN_Asset_Cat_Network,0),MATCH($BQ$4,Direct_Cost_Type,0))*$P24*INDEX(Act_Type_Augex_Splits,MATCH($I24,Act_Type_Augex,0),MATCH(BM$4,Mat_Type,0))*INDEX(Escalators!$I$44:$U$49,MATCH(BM$4,Escalators!$C$44:$C$49,0),MATCH(BM$5,Escalators!$I$43:$U$43,0))</f>
        <v>0</v>
      </c>
      <c r="BN24" s="128">
        <f>INDEX(Direct_Cost_Splits_Network,MATCH($H24,RIN_Asset_Cat_Network,0),MATCH($BQ$4,Direct_Cost_Type,0))*$P24*INDEX(Act_Type_Augex_Splits,MATCH($I24,Act_Type_Augex,0),MATCH(BN$4,Mat_Type,0))*INDEX(Escalators!$I$44:$U$49,MATCH(BN$4,Escalators!$C$44:$C$49,0),MATCH(BN$5,Escalators!$I$43:$U$43,0))</f>
        <v>40.547947508574133</v>
      </c>
      <c r="BO24" s="128">
        <f>INDEX(Direct_Cost_Splits_Network,MATCH($H24,RIN_Asset_Cat_Network,0),MATCH($BQ$4,Direct_Cost_Type,0))*$P24*INDEX(Act_Type_Augex_Splits,MATCH($I24,Act_Type_Augex,0),MATCH(BO$4,Mat_Type,0))*INDEX(Escalators!$I$44:$U$49,MATCH(BO$4,Escalators!$C$44:$C$49,0),MATCH(BO$5,Escalators!$I$43:$U$43,0))</f>
        <v>0</v>
      </c>
      <c r="BP24" s="128">
        <f>INDEX(Direct_Cost_Splits_Network,MATCH($H24,RIN_Asset_Cat_Network,0),MATCH($BQ$4,Direct_Cost_Type,0))*$P24*INDEX(Act_Type_Augex_Splits,MATCH($I24,Act_Type_Augex,0),MATCH(BP$4,Mat_Type,0))*INDEX(Escalators!$I$44:$U$49,MATCH(BP$4,Escalators!$C$44:$C$49,0),MATCH(BP$5,Escalators!$I$43:$U$43,0))</f>
        <v>62.381457705498669</v>
      </c>
      <c r="BQ24" s="128">
        <f t="shared" si="74"/>
        <v>311.90728852749334</v>
      </c>
      <c r="BR24" s="128">
        <f>INDEX(Direct_Cost_Splits_Network,MATCH($H24,RIN_Asset_Cat_Network,0),MATCH($BW$4,Direct_Cost_Type,0))*$Q24*INDEX(Act_Type_Augex_Splits,MATCH($I24,Act_Type_Augex,0),MATCH(BR$4,Mat_Type,0))*INDEX(Escalators!$I$44:$U$49,MATCH(BR$4,Escalators!$C$44:$C$49,0),MATCH(BR$5,Escalators!$I$43:$U$43,0))</f>
        <v>200.70153149902765</v>
      </c>
      <c r="BS24" s="128">
        <f>INDEX(Direct_Cost_Splits_Network,MATCH($H24,RIN_Asset_Cat_Network,0),MATCH($BW$4,Direct_Cost_Type,0))*$Q24*INDEX(Act_Type_Augex_Splits,MATCH($I24,Act_Type_Augex,0),MATCH(BS$4,Mat_Type,0))*INDEX(Escalators!$I$44:$U$49,MATCH(BS$4,Escalators!$C$44:$C$49,0),MATCH(BS$5,Escalators!$I$43:$U$43,0))</f>
        <v>0</v>
      </c>
      <c r="BT24" s="128">
        <f>INDEX(Direct_Cost_Splits_Network,MATCH($H24,RIN_Asset_Cat_Network,0),MATCH($BW$4,Direct_Cost_Type,0))*$Q24*INDEX(Act_Type_Augex_Splits,MATCH($I24,Act_Type_Augex,0),MATCH(BT$4,Mat_Type,0))*INDEX(Escalators!$I$44:$U$49,MATCH(BT$4,Escalators!$C$44:$C$49,0),MATCH(BT$5,Escalators!$I$43:$U$43,0))</f>
        <v>38.942088201303875</v>
      </c>
      <c r="BU24" s="128">
        <f>INDEX(Direct_Cost_Splits_Network,MATCH($H24,RIN_Asset_Cat_Network,0),MATCH($BW$4,Direct_Cost_Type,0))*$Q24*INDEX(Act_Type_Augex_Splits,MATCH($I24,Act_Type_Augex,0),MATCH(BU$4,Mat_Type,0))*INDEX(Escalators!$I$44:$U$49,MATCH(BU$4,Escalators!$C$44:$C$49,0),MATCH(BU$5,Escalators!$I$43:$U$43,0))</f>
        <v>0</v>
      </c>
      <c r="BV24" s="128">
        <f>INDEX(Direct_Cost_Splits_Network,MATCH($H24,RIN_Asset_Cat_Network,0),MATCH($BW$4,Direct_Cost_Type,0))*$Q24*INDEX(Act_Type_Augex_Splits,MATCH($I24,Act_Type_Augex,0),MATCH(BV$4,Mat_Type,0))*INDEX(Escalators!$I$44:$U$49,MATCH(BV$4,Escalators!$C$44:$C$49,0),MATCH(BV$5,Escalators!$I$43:$U$43,0))</f>
        <v>59.910904925082882</v>
      </c>
      <c r="BW24" s="128">
        <f t="shared" si="75"/>
        <v>299.55452462541439</v>
      </c>
      <c r="BX24" s="129"/>
      <c r="BY24" s="128">
        <f>INDEX(Direct_Cost_Splits_Network,MATCH($H24,RIN_Asset_Cat_Network,0),MATCH($BY$4,Direct_Cost_Type,0))*J24*HLOOKUP(BY$5,Escalators!$I$25:$U$30,6,FALSE)</f>
        <v>0</v>
      </c>
      <c r="BZ24" s="128">
        <f>INDEX(Direct_Cost_Splits_Network,MATCH($H24,RIN_Asset_Cat_Network,0),MATCH($BY$4,Direct_Cost_Type,0))*K24*HLOOKUP(BZ$5,Escalators!$I$25:$U$30,6,FALSE)</f>
        <v>0</v>
      </c>
      <c r="CA24" s="128">
        <f>INDEX(Direct_Cost_Splits_Network,MATCH($H24,RIN_Asset_Cat_Network,0),MATCH($BY$4,Direct_Cost_Type,0))*L24*HLOOKUP(CA$5,Escalators!$I$25:$U$30,6,FALSE)</f>
        <v>0</v>
      </c>
      <c r="CB24" s="128">
        <f>INDEX(Direct_Cost_Splits_Network,MATCH($H24,RIN_Asset_Cat_Network,0),MATCH($BY$4,Direct_Cost_Type,0))*M24*HLOOKUP(CB$5,Escalators!$I$25:$U$30,6,FALSE)</f>
        <v>506.94925773615137</v>
      </c>
      <c r="CC24" s="128">
        <f>INDEX(Direct_Cost_Splits_Network,MATCH($H24,RIN_Asset_Cat_Network,0),MATCH($BY$4,Direct_Cost_Type,0))*N24*HLOOKUP(CC$5,Escalators!$I$25:$U$30,6,FALSE)</f>
        <v>509.05278162717275</v>
      </c>
      <c r="CD24" s="128">
        <f>INDEX(Direct_Cost_Splits_Network,MATCH($H24,RIN_Asset_Cat_Network,0),MATCH($BY$4,Direct_Cost_Type,0))*O24*HLOOKUP(CD$5,Escalators!$I$25:$U$30,6,FALSE)</f>
        <v>462.77525602470246</v>
      </c>
      <c r="CE24" s="128">
        <f>INDEX(Direct_Cost_Splits_Network,MATCH($H24,RIN_Asset_Cat_Network,0),MATCH($BY$4,Direct_Cost_Type,0))*P24*HLOOKUP(CE$5,Escalators!$I$25:$U$30,6,FALSE)</f>
        <v>424.91182598631775</v>
      </c>
      <c r="CF24" s="128">
        <f>INDEX(Direct_Cost_Splits_Network,MATCH($H24,RIN_Asset_Cat_Network,0),MATCH($BY$4,Direct_Cost_Type,0))*Q24*HLOOKUP(CF$5,Escalators!$I$25:$U$30,6,FALSE)</f>
        <v>408.08363485814675</v>
      </c>
      <c r="CG24" s="129"/>
      <c r="CH24" s="763">
        <f t="shared" si="76"/>
        <v>0</v>
      </c>
      <c r="CI24" s="763">
        <f t="shared" si="77"/>
        <v>0</v>
      </c>
      <c r="CJ24" s="763">
        <f t="shared" si="78"/>
        <v>0</v>
      </c>
      <c r="CK24" s="763">
        <f t="shared" si="79"/>
        <v>139.27727366932407</v>
      </c>
      <c r="CL24" s="763">
        <f t="shared" si="80"/>
        <v>139.85518766795195</v>
      </c>
      <c r="CM24" s="763">
        <f t="shared" si="81"/>
        <v>127.14107969813816</v>
      </c>
      <c r="CN24" s="763">
        <f t="shared" si="82"/>
        <v>116.73862772283594</v>
      </c>
      <c r="CO24" s="763">
        <f t="shared" si="83"/>
        <v>112.11531573381274</v>
      </c>
      <c r="CP24" s="129"/>
      <c r="CQ24" s="128">
        <f t="shared" si="18"/>
        <v>0</v>
      </c>
      <c r="CR24" s="128">
        <f t="shared" si="9"/>
        <v>0</v>
      </c>
      <c r="CS24" s="128">
        <f t="shared" si="19"/>
        <v>0</v>
      </c>
      <c r="CT24" s="128">
        <f t="shared" si="20"/>
        <v>1208.3705725497439</v>
      </c>
      <c r="CU24" s="128">
        <f t="shared" si="21"/>
        <v>1212.9079765270283</v>
      </c>
      <c r="CV24" s="128">
        <f t="shared" si="22"/>
        <v>1102.5179449076377</v>
      </c>
      <c r="CW24" s="128">
        <f t="shared" si="23"/>
        <v>1012.8949954030953</v>
      </c>
      <c r="CX24" s="128">
        <f t="shared" si="24"/>
        <v>974.30539771580641</v>
      </c>
      <c r="CZ24" s="39"/>
    </row>
    <row r="25" spans="2:104" x14ac:dyDescent="0.25">
      <c r="B25" s="75" t="s">
        <v>430</v>
      </c>
      <c r="C25" s="75" t="s">
        <v>585</v>
      </c>
      <c r="D25" s="75" t="s">
        <v>426</v>
      </c>
      <c r="E25" s="75" t="s">
        <v>45</v>
      </c>
      <c r="F25" s="75" t="s">
        <v>51</v>
      </c>
      <c r="G25" s="75" t="s">
        <v>10</v>
      </c>
      <c r="H25" s="75" t="s">
        <v>165</v>
      </c>
      <c r="I25" s="75" t="s">
        <v>215</v>
      </c>
      <c r="J25" s="128"/>
      <c r="K25" s="128"/>
      <c r="L25" s="128"/>
      <c r="M25" s="128">
        <v>250</v>
      </c>
      <c r="N25" s="128">
        <v>250</v>
      </c>
      <c r="O25" s="128">
        <v>250</v>
      </c>
      <c r="P25" s="128">
        <v>250</v>
      </c>
      <c r="Q25" s="128">
        <v>250</v>
      </c>
      <c r="R25" s="129"/>
      <c r="S25" s="128">
        <f>INDEX(Direct_Cost_Splits_Network,MATCH($H25,RIN_Asset_Cat_Network,0),MATCH($S$4,Direct_Cost_Type,0))*J25*HLOOKUP(S$5,Escalators!$I$25:$U$30,3,FALSE)</f>
        <v>0</v>
      </c>
      <c r="T25" s="128">
        <f>INDEX(Direct_Cost_Splits_Network,MATCH($H25,RIN_Asset_Cat_Network,0),MATCH($S$4,Direct_Cost_Type,0))*K25*HLOOKUP(T$5,Escalators!$I$25:$U$30,3,FALSE)</f>
        <v>0</v>
      </c>
      <c r="U25" s="128">
        <f>INDEX(Direct_Cost_Splits_Network,MATCH($H25,RIN_Asset_Cat_Network,0),MATCH($S$4,Direct_Cost_Type,0))*L25*HLOOKUP(U$5,Escalators!$I$25:$U$30,3,FALSE)</f>
        <v>0</v>
      </c>
      <c r="V25" s="128">
        <f>INDEX(Direct_Cost_Splits_Network,MATCH($H25,RIN_Asset_Cat_Network,0),MATCH($S$4,Direct_Cost_Type,0))*M25*HLOOKUP(V$5,Escalators!$I$25:$U$30,3,FALSE)</f>
        <v>39.422620040278062</v>
      </c>
      <c r="W25" s="128">
        <f>INDEX(Direct_Cost_Splits_Network,MATCH($H25,RIN_Asset_Cat_Network,0),MATCH($S$4,Direct_Cost_Type,0))*N25*HLOOKUP(W$5,Escalators!$I$25:$U$30,3,FALSE)</f>
        <v>39.324152726036274</v>
      </c>
      <c r="X25" s="128">
        <f>INDEX(Direct_Cost_Splits_Network,MATCH($H25,RIN_Asset_Cat_Network,0),MATCH($S$4,Direct_Cost_Type,0))*O25*HLOOKUP(X$5,Escalators!$I$25:$U$30,3,FALSE)</f>
        <v>39.295591335824092</v>
      </c>
      <c r="Y25" s="128">
        <f>INDEX(Direct_Cost_Splits_Network,MATCH($H25,RIN_Asset_Cat_Network,0),MATCH($S$4,Direct_Cost_Type,0))*P25*HLOOKUP(Y$5,Escalators!$I$25:$U$30,3,FALSE)</f>
        <v>39.439914150110944</v>
      </c>
      <c r="Z25" s="128">
        <f>INDEX(Direct_Cost_Splits_Network,MATCH($H25,RIN_Asset_Cat_Network,0),MATCH($S$4,Direct_Cost_Type,0))*Q25*HLOOKUP(Z$5,Escalators!$I$25:$U$30,3,FALSE)</f>
        <v>39.832969716090865</v>
      </c>
      <c r="AA25" s="129"/>
      <c r="AB25" s="128">
        <f>INDEX(Direct_Cost_Splits_Network,MATCH($H25,RIN_Asset_Cat_Network,0),MATCH($AG$4,Direct_Cost_Type,0))*$J25*INDEX(Act_Type_Augex_Splits,MATCH($I25,Act_Type_Augex,0),MATCH(AB$4,Mat_Type,0))*INDEX(Escalators!$I$44:$U$49,MATCH(AB$4,Escalators!$C$44:$C$49,0),MATCH(AB$5,Escalators!$I$43:$U$43,0))</f>
        <v>0</v>
      </c>
      <c r="AC25" s="128">
        <f>INDEX(Direct_Cost_Splits_Network,MATCH($H25,RIN_Asset_Cat_Network,0),MATCH($AG$4,Direct_Cost_Type,0))*$J25*INDEX(Act_Type_Augex_Splits,MATCH($I25,Act_Type_Augex,0),MATCH(AC$4,Mat_Type,0))*INDEX(Escalators!$I$44:$U$49,MATCH(AC$4,Escalators!$C$44:$C$49,0),MATCH(AC$5,Escalators!$I$43:$U$43,0))</f>
        <v>0</v>
      </c>
      <c r="AD25" s="128">
        <f>INDEX(Direct_Cost_Splits_Network,MATCH($H25,RIN_Asset_Cat_Network,0),MATCH($AG$4,Direct_Cost_Type,0))*$J25*INDEX(Act_Type_Augex_Splits,MATCH($I25,Act_Type_Augex,0),MATCH(AD$4,Mat_Type,0))*INDEX(Escalators!$I$44:$U$49,MATCH(AD$4,Escalators!$C$44:$C$49,0),MATCH(AD$5,Escalators!$I$43:$U$43,0))</f>
        <v>0</v>
      </c>
      <c r="AE25" s="128">
        <f>INDEX(Direct_Cost_Splits_Network,MATCH($H25,RIN_Asset_Cat_Network,0),MATCH($AG$4,Direct_Cost_Type,0))*$J25*INDEX(Act_Type_Augex_Splits,MATCH($I25,Act_Type_Augex,0),MATCH(AE$4,Mat_Type,0))*INDEX(Escalators!$I$44:$U$49,MATCH(AE$4,Escalators!$C$44:$C$49,0),MATCH(AE$5,Escalators!$I$43:$U$43,0))</f>
        <v>0</v>
      </c>
      <c r="AF25" s="128">
        <f>INDEX(Direct_Cost_Splits_Network,MATCH($H25,RIN_Asset_Cat_Network,0),MATCH($AG$4,Direct_Cost_Type,0))*$J25*INDEX(Act_Type_Augex_Splits,MATCH($I25,Act_Type_Augex,0),MATCH(AF$4,Mat_Type,0))*INDEX(Escalators!$I$44:$U$49,MATCH(AF$4,Escalators!$C$44:$C$49,0),MATCH(AF$5,Escalators!$I$43:$U$43,0))</f>
        <v>0</v>
      </c>
      <c r="AG25" s="128">
        <f t="shared" si="68"/>
        <v>0</v>
      </c>
      <c r="AH25" s="128">
        <f>INDEX(Direct_Cost_Splits_Network,MATCH($H25,RIN_Asset_Cat_Network,0),MATCH($AY$4,Direct_Cost_Type,0))*$K25*INDEX(Act_Type_Augex_Splits,MATCH($I25,Act_Type_Augex,0),MATCH(AH$4,Mat_Type,0))*INDEX(Escalators!$I$44:$U$49,MATCH(AH$4,Escalators!$C$44:$C$49,0),MATCH(AH$5,Escalators!$I$43:$U$43,0))</f>
        <v>0</v>
      </c>
      <c r="AI25" s="128">
        <f>INDEX(Direct_Cost_Splits_Network,MATCH($H25,RIN_Asset_Cat_Network,0),MATCH($AY$4,Direct_Cost_Type,0))*$K25*INDEX(Act_Type_Augex_Splits,MATCH($I25,Act_Type_Augex,0),MATCH(AI$4,Mat_Type,0))*INDEX(Escalators!$I$44:$U$49,MATCH(AI$4,Escalators!$C$44:$C$49,0),MATCH(AI$5,Escalators!$I$43:$U$43,0))</f>
        <v>0</v>
      </c>
      <c r="AJ25" s="128">
        <f>INDEX(Direct_Cost_Splits_Network,MATCH($H25,RIN_Asset_Cat_Network,0),MATCH($AY$4,Direct_Cost_Type,0))*$K25*INDEX(Act_Type_Augex_Splits,MATCH($I25,Act_Type_Augex,0),MATCH(AJ$4,Mat_Type,0))*INDEX(Escalators!$I$44:$U$49,MATCH(AJ$4,Escalators!$C$44:$C$49,0),MATCH(AJ$5,Escalators!$I$43:$U$43,0))</f>
        <v>0</v>
      </c>
      <c r="AK25" s="128">
        <f>INDEX(Direct_Cost_Splits_Network,MATCH($H25,RIN_Asset_Cat_Network,0),MATCH($AY$4,Direct_Cost_Type,0))*$K25*INDEX(Act_Type_Augex_Splits,MATCH($I25,Act_Type_Augex,0),MATCH(AK$4,Mat_Type,0))*INDEX(Escalators!$I$44:$U$49,MATCH(AK$4,Escalators!$C$44:$C$49,0),MATCH(AK$5,Escalators!$I$43:$U$43,0))</f>
        <v>0</v>
      </c>
      <c r="AL25" s="128">
        <f>INDEX(Direct_Cost_Splits_Network,MATCH($H25,RIN_Asset_Cat_Network,0),MATCH($AY$4,Direct_Cost_Type,0))*$K25*INDEX(Act_Type_Augex_Splits,MATCH($I25,Act_Type_Augex,0),MATCH(AL$4,Mat_Type,0))*INDEX(Escalators!$I$44:$U$49,MATCH(AL$4,Escalators!$C$44:$C$49,0),MATCH(AL$5,Escalators!$I$43:$U$43,0))</f>
        <v>0</v>
      </c>
      <c r="AM25" s="128">
        <f t="shared" si="69"/>
        <v>0</v>
      </c>
      <c r="AN25" s="128">
        <f>INDEX(Direct_Cost_Splits_Network,MATCH($H25,RIN_Asset_Cat_Network,0),MATCH($AY$4,Direct_Cost_Type,0))*$L25*INDEX(Act_Type_Augex_Splits,MATCH($I25,Act_Type_Augex,0),MATCH(AN$4,Mat_Type,0))*INDEX(Escalators!$I$44:$U$49,MATCH(AN$4,Escalators!$C$44:$C$49,0),MATCH(AN$5,Escalators!$I$43:$U$43,0))</f>
        <v>0</v>
      </c>
      <c r="AO25" s="128">
        <f>INDEX(Direct_Cost_Splits_Network,MATCH($H25,RIN_Asset_Cat_Network,0),MATCH($AY$4,Direct_Cost_Type,0))*$L25*INDEX(Act_Type_Augex_Splits,MATCH($I25,Act_Type_Augex,0),MATCH(AO$4,Mat_Type,0))*INDEX(Escalators!$I$44:$U$49,MATCH(AO$4,Escalators!$C$44:$C$49,0),MATCH(AO$5,Escalators!$I$43:$U$43,0))</f>
        <v>0</v>
      </c>
      <c r="AP25" s="128">
        <f>INDEX(Direct_Cost_Splits_Network,MATCH($H25,RIN_Asset_Cat_Network,0),MATCH($AY$4,Direct_Cost_Type,0))*$L25*INDEX(Act_Type_Augex_Splits,MATCH($I25,Act_Type_Augex,0),MATCH(AP$4,Mat_Type,0))*INDEX(Escalators!$I$44:$U$49,MATCH(AP$4,Escalators!$C$44:$C$49,0),MATCH(AP$5,Escalators!$I$43:$U$43,0))</f>
        <v>0</v>
      </c>
      <c r="AQ25" s="128">
        <f>INDEX(Direct_Cost_Splits_Network,MATCH($H25,RIN_Asset_Cat_Network,0),MATCH($AY$4,Direct_Cost_Type,0))*$L25*INDEX(Act_Type_Augex_Splits,MATCH($I25,Act_Type_Augex,0),MATCH(AQ$4,Mat_Type,0))*INDEX(Escalators!$I$44:$U$49,MATCH(AQ$4,Escalators!$C$44:$C$49,0),MATCH(AQ$5,Escalators!$I$43:$U$43,0))</f>
        <v>0</v>
      </c>
      <c r="AR25" s="128">
        <f>INDEX(Direct_Cost_Splits_Network,MATCH($H25,RIN_Asset_Cat_Network,0),MATCH($AY$4,Direct_Cost_Type,0))*$L25*INDEX(Act_Type_Augex_Splits,MATCH($I25,Act_Type_Augex,0),MATCH(AR$4,Mat_Type,0))*INDEX(Escalators!$I$44:$U$49,MATCH(AR$4,Escalators!$C$44:$C$49,0),MATCH(AR$5,Escalators!$I$43:$U$43,0))</f>
        <v>0</v>
      </c>
      <c r="AS25" s="128">
        <f t="shared" si="70"/>
        <v>0</v>
      </c>
      <c r="AT25" s="128">
        <f>INDEX(Direct_Cost_Splits_Network,MATCH($H25,RIN_Asset_Cat_Network,0),MATCH($AY$4,Direct_Cost_Type,0))*$M25*INDEX(Act_Type_Augex_Splits,MATCH($I25,Act_Type_Augex,0),MATCH(AT$4,Mat_Type,0))*INDEX(Escalators!$I$44:$U$49,MATCH(AT$4,Escalators!$C$44:$C$49,0),MATCH(AT$5,Escalators!$I$43:$U$43,0))</f>
        <v>51.727198839955591</v>
      </c>
      <c r="AU25" s="128">
        <f>INDEX(Direct_Cost_Splits_Network,MATCH($H25,RIN_Asset_Cat_Network,0),MATCH($AY$4,Direct_Cost_Type,0))*$M25*INDEX(Act_Type_Augex_Splits,MATCH($I25,Act_Type_Augex,0),MATCH(AU$4,Mat_Type,0))*INDEX(Escalators!$I$44:$U$49,MATCH(AU$4,Escalators!$C$44:$C$49,0),MATCH(AU$5,Escalators!$I$43:$U$43,0))</f>
        <v>0</v>
      </c>
      <c r="AV25" s="128">
        <f>INDEX(Direct_Cost_Splits_Network,MATCH($H25,RIN_Asset_Cat_Network,0),MATCH($AY$4,Direct_Cost_Type,0))*$M25*INDEX(Act_Type_Augex_Splits,MATCH($I25,Act_Type_Augex,0),MATCH(AV$4,Mat_Type,0))*INDEX(Escalators!$I$44:$U$49,MATCH(AV$4,Escalators!$C$44:$C$49,0),MATCH(AV$5,Escalators!$I$43:$U$43,0))</f>
        <v>10.036620670439143</v>
      </c>
      <c r="AW25" s="128">
        <f>INDEX(Direct_Cost_Splits_Network,MATCH($H25,RIN_Asset_Cat_Network,0),MATCH($AY$4,Direct_Cost_Type,0))*$M25*INDEX(Act_Type_Augex_Splits,MATCH($I25,Act_Type_Augex,0),MATCH(AW$4,Mat_Type,0))*INDEX(Escalators!$I$44:$U$49,MATCH(AW$4,Escalators!$C$44:$C$49,0),MATCH(AW$5,Escalators!$I$43:$U$43,0))</f>
        <v>0</v>
      </c>
      <c r="AX25" s="128">
        <f>INDEX(Direct_Cost_Splits_Network,MATCH($H25,RIN_Asset_Cat_Network,0),MATCH($AY$4,Direct_Cost_Type,0))*$M25*INDEX(Act_Type_Augex_Splits,MATCH($I25,Act_Type_Augex,0),MATCH(AX$4,Mat_Type,0))*INDEX(Escalators!$I$44:$U$49,MATCH(AX$4,Escalators!$C$44:$C$49,0),MATCH(AX$5,Escalators!$I$43:$U$43,0))</f>
        <v>15.440954877598683</v>
      </c>
      <c r="AY25" s="128">
        <f t="shared" si="71"/>
        <v>77.20477438799341</v>
      </c>
      <c r="AZ25" s="128">
        <f>INDEX(Direct_Cost_Splits_Network,MATCH($H25,RIN_Asset_Cat_Network,0),MATCH($BE$4,Direct_Cost_Type,0))*$N25*INDEX(Act_Type_Augex_Splits,MATCH($I25,Act_Type_Augex,0),MATCH(AZ$4,Mat_Type,0))*INDEX(Escalators!$I$44:$U$49,MATCH(AZ$4,Escalators!$C$44:$C$49,0),MATCH(AZ$5,Escalators!$I$43:$U$43,0))</f>
        <v>51.727198839955591</v>
      </c>
      <c r="BA25" s="128">
        <f>INDEX(Direct_Cost_Splits_Network,MATCH($H25,RIN_Asset_Cat_Network,0),MATCH($BE$4,Direct_Cost_Type,0))*$N25*INDEX(Act_Type_Augex_Splits,MATCH($I25,Act_Type_Augex,0),MATCH(BA$4,Mat_Type,0))*INDEX(Escalators!$I$44:$U$49,MATCH(BA$4,Escalators!$C$44:$C$49,0),MATCH(BA$5,Escalators!$I$43:$U$43,0))</f>
        <v>0</v>
      </c>
      <c r="BB25" s="128">
        <f>INDEX(Direct_Cost_Splits_Network,MATCH($H25,RIN_Asset_Cat_Network,0),MATCH($BE$4,Direct_Cost_Type,0))*$N25*INDEX(Act_Type_Augex_Splits,MATCH($I25,Act_Type_Augex,0),MATCH(BB$4,Mat_Type,0))*INDEX(Escalators!$I$44:$U$49,MATCH(BB$4,Escalators!$C$44:$C$49,0),MATCH(BB$5,Escalators!$I$43:$U$43,0))</f>
        <v>10.036620670439143</v>
      </c>
      <c r="BC25" s="128">
        <f>INDEX(Direct_Cost_Splits_Network,MATCH($H25,RIN_Asset_Cat_Network,0),MATCH($BE$4,Direct_Cost_Type,0))*$N25*INDEX(Act_Type_Augex_Splits,MATCH($I25,Act_Type_Augex,0),MATCH(BC$4,Mat_Type,0))*INDEX(Escalators!$I$44:$U$49,MATCH(BC$4,Escalators!$C$44:$C$49,0),MATCH(BC$5,Escalators!$I$43:$U$43,0))</f>
        <v>0</v>
      </c>
      <c r="BD25" s="128">
        <f>INDEX(Direct_Cost_Splits_Network,MATCH($H25,RIN_Asset_Cat_Network,0),MATCH($BE$4,Direct_Cost_Type,0))*$N25*INDEX(Act_Type_Augex_Splits,MATCH($I25,Act_Type_Augex,0),MATCH(BD$4,Mat_Type,0))*INDEX(Escalators!$I$44:$U$49,MATCH(BD$4,Escalators!$C$44:$C$49,0),MATCH(BD$5,Escalators!$I$43:$U$43,0))</f>
        <v>15.440954877598683</v>
      </c>
      <c r="BE25" s="128">
        <f t="shared" si="72"/>
        <v>77.20477438799341</v>
      </c>
      <c r="BF25" s="128">
        <f>INDEX(Direct_Cost_Splits_Network,MATCH($H25,RIN_Asset_Cat_Network,0),MATCH($BK$4,Direct_Cost_Type,0))*$O25*INDEX(Act_Type_Augex_Splits,MATCH($I25,Act_Type_Augex,0),MATCH(BF$4,Mat_Type,0))*INDEX(Escalators!$I$44:$U$49,MATCH(BF$4,Escalators!$C$44:$C$49,0),MATCH(BF$5,Escalators!$I$43:$U$43,0))</f>
        <v>51.727198839955591</v>
      </c>
      <c r="BG25" s="128">
        <f>INDEX(Direct_Cost_Splits_Network,MATCH($H25,RIN_Asset_Cat_Network,0),MATCH($BK$4,Direct_Cost_Type,0))*$O25*INDEX(Act_Type_Augex_Splits,MATCH($I25,Act_Type_Augex,0),MATCH(BG$4,Mat_Type,0))*INDEX(Escalators!$I$44:$U$49,MATCH(BG$4,Escalators!$C$44:$C$49,0),MATCH(BG$5,Escalators!$I$43:$U$43,0))</f>
        <v>0</v>
      </c>
      <c r="BH25" s="128">
        <f>INDEX(Direct_Cost_Splits_Network,MATCH($H25,RIN_Asset_Cat_Network,0),MATCH($BK$4,Direct_Cost_Type,0))*$O25*INDEX(Act_Type_Augex_Splits,MATCH($I25,Act_Type_Augex,0),MATCH(BH$4,Mat_Type,0))*INDEX(Escalators!$I$44:$U$49,MATCH(BH$4,Escalators!$C$44:$C$49,0),MATCH(BH$5,Escalators!$I$43:$U$43,0))</f>
        <v>10.036620670439143</v>
      </c>
      <c r="BI25" s="128">
        <f>INDEX(Direct_Cost_Splits_Network,MATCH($H25,RIN_Asset_Cat_Network,0),MATCH($BK$4,Direct_Cost_Type,0))*$O25*INDEX(Act_Type_Augex_Splits,MATCH($I25,Act_Type_Augex,0),MATCH(BI$4,Mat_Type,0))*INDEX(Escalators!$I$44:$U$49,MATCH(BI$4,Escalators!$C$44:$C$49,0),MATCH(BI$5,Escalators!$I$43:$U$43,0))</f>
        <v>0</v>
      </c>
      <c r="BJ25" s="128">
        <f>INDEX(Direct_Cost_Splits_Network,MATCH($H25,RIN_Asset_Cat_Network,0),MATCH($BK$4,Direct_Cost_Type,0))*$O25*INDEX(Act_Type_Augex_Splits,MATCH($I25,Act_Type_Augex,0),MATCH(BJ$4,Mat_Type,0))*INDEX(Escalators!$I$44:$U$49,MATCH(BJ$4,Escalators!$C$44:$C$49,0),MATCH(BJ$5,Escalators!$I$43:$U$43,0))</f>
        <v>15.440954877598683</v>
      </c>
      <c r="BK25" s="128">
        <f t="shared" si="73"/>
        <v>77.20477438799341</v>
      </c>
      <c r="BL25" s="128">
        <f>INDEX(Direct_Cost_Splits_Network,MATCH($H25,RIN_Asset_Cat_Network,0),MATCH($BQ$4,Direct_Cost_Type,0))*$P25*INDEX(Act_Type_Augex_Splits,MATCH($I25,Act_Type_Augex,0),MATCH(BL$4,Mat_Type,0))*INDEX(Escalators!$I$44:$U$49,MATCH(BL$4,Escalators!$C$44:$C$49,0),MATCH(BL$5,Escalators!$I$43:$U$43,0))</f>
        <v>51.727198839955591</v>
      </c>
      <c r="BM25" s="128">
        <f>INDEX(Direct_Cost_Splits_Network,MATCH($H25,RIN_Asset_Cat_Network,0),MATCH($BQ$4,Direct_Cost_Type,0))*$P25*INDEX(Act_Type_Augex_Splits,MATCH($I25,Act_Type_Augex,0),MATCH(BM$4,Mat_Type,0))*INDEX(Escalators!$I$44:$U$49,MATCH(BM$4,Escalators!$C$44:$C$49,0),MATCH(BM$5,Escalators!$I$43:$U$43,0))</f>
        <v>0</v>
      </c>
      <c r="BN25" s="128">
        <f>INDEX(Direct_Cost_Splits_Network,MATCH($H25,RIN_Asset_Cat_Network,0),MATCH($BQ$4,Direct_Cost_Type,0))*$P25*INDEX(Act_Type_Augex_Splits,MATCH($I25,Act_Type_Augex,0),MATCH(BN$4,Mat_Type,0))*INDEX(Escalators!$I$44:$U$49,MATCH(BN$4,Escalators!$C$44:$C$49,0),MATCH(BN$5,Escalators!$I$43:$U$43,0))</f>
        <v>10.036620670439143</v>
      </c>
      <c r="BO25" s="128">
        <f>INDEX(Direct_Cost_Splits_Network,MATCH($H25,RIN_Asset_Cat_Network,0),MATCH($BQ$4,Direct_Cost_Type,0))*$P25*INDEX(Act_Type_Augex_Splits,MATCH($I25,Act_Type_Augex,0),MATCH(BO$4,Mat_Type,0))*INDEX(Escalators!$I$44:$U$49,MATCH(BO$4,Escalators!$C$44:$C$49,0),MATCH(BO$5,Escalators!$I$43:$U$43,0))</f>
        <v>0</v>
      </c>
      <c r="BP25" s="128">
        <f>INDEX(Direct_Cost_Splits_Network,MATCH($H25,RIN_Asset_Cat_Network,0),MATCH($BQ$4,Direct_Cost_Type,0))*$P25*INDEX(Act_Type_Augex_Splits,MATCH($I25,Act_Type_Augex,0),MATCH(BP$4,Mat_Type,0))*INDEX(Escalators!$I$44:$U$49,MATCH(BP$4,Escalators!$C$44:$C$49,0),MATCH(BP$5,Escalators!$I$43:$U$43,0))</f>
        <v>15.440954877598683</v>
      </c>
      <c r="BQ25" s="128">
        <f t="shared" si="74"/>
        <v>77.20477438799341</v>
      </c>
      <c r="BR25" s="128">
        <f>INDEX(Direct_Cost_Splits_Network,MATCH($H25,RIN_Asset_Cat_Network,0),MATCH($BW$4,Direct_Cost_Type,0))*$Q25*INDEX(Act_Type_Augex_Splits,MATCH($I25,Act_Type_Augex,0),MATCH(BR$4,Mat_Type,0))*INDEX(Escalators!$I$44:$U$49,MATCH(BR$4,Escalators!$C$44:$C$49,0),MATCH(BR$5,Escalators!$I$43:$U$43,0))</f>
        <v>51.727198839955591</v>
      </c>
      <c r="BS25" s="128">
        <f>INDEX(Direct_Cost_Splits_Network,MATCH($H25,RIN_Asset_Cat_Network,0),MATCH($BW$4,Direct_Cost_Type,0))*$Q25*INDEX(Act_Type_Augex_Splits,MATCH($I25,Act_Type_Augex,0),MATCH(BS$4,Mat_Type,0))*INDEX(Escalators!$I$44:$U$49,MATCH(BS$4,Escalators!$C$44:$C$49,0),MATCH(BS$5,Escalators!$I$43:$U$43,0))</f>
        <v>0</v>
      </c>
      <c r="BT25" s="128">
        <f>INDEX(Direct_Cost_Splits_Network,MATCH($H25,RIN_Asset_Cat_Network,0),MATCH($BW$4,Direct_Cost_Type,0))*$Q25*INDEX(Act_Type_Augex_Splits,MATCH($I25,Act_Type_Augex,0),MATCH(BT$4,Mat_Type,0))*INDEX(Escalators!$I$44:$U$49,MATCH(BT$4,Escalators!$C$44:$C$49,0),MATCH(BT$5,Escalators!$I$43:$U$43,0))</f>
        <v>10.036620670439143</v>
      </c>
      <c r="BU25" s="128">
        <f>INDEX(Direct_Cost_Splits_Network,MATCH($H25,RIN_Asset_Cat_Network,0),MATCH($BW$4,Direct_Cost_Type,0))*$Q25*INDEX(Act_Type_Augex_Splits,MATCH($I25,Act_Type_Augex,0),MATCH(BU$4,Mat_Type,0))*INDEX(Escalators!$I$44:$U$49,MATCH(BU$4,Escalators!$C$44:$C$49,0),MATCH(BU$5,Escalators!$I$43:$U$43,0))</f>
        <v>0</v>
      </c>
      <c r="BV25" s="128">
        <f>INDEX(Direct_Cost_Splits_Network,MATCH($H25,RIN_Asset_Cat_Network,0),MATCH($BW$4,Direct_Cost_Type,0))*$Q25*INDEX(Act_Type_Augex_Splits,MATCH($I25,Act_Type_Augex,0),MATCH(BV$4,Mat_Type,0))*INDEX(Escalators!$I$44:$U$49,MATCH(BV$4,Escalators!$C$44:$C$49,0),MATCH(BV$5,Escalators!$I$43:$U$43,0))</f>
        <v>15.440954877598683</v>
      </c>
      <c r="BW25" s="128">
        <f t="shared" si="75"/>
        <v>77.20477438799341</v>
      </c>
      <c r="BX25" s="129"/>
      <c r="BY25" s="128">
        <f>INDEX(Direct_Cost_Splits_Network,MATCH($H25,RIN_Asset_Cat_Network,0),MATCH($BY$4,Direct_Cost_Type,0))*J25*HLOOKUP(BY$5,Escalators!$I$25:$U$30,6,FALSE)</f>
        <v>0</v>
      </c>
      <c r="BZ25" s="128">
        <f>INDEX(Direct_Cost_Splits_Network,MATCH($H25,RIN_Asset_Cat_Network,0),MATCH($BY$4,Direct_Cost_Type,0))*K25*HLOOKUP(BZ$5,Escalators!$I$25:$U$30,6,FALSE)</f>
        <v>0</v>
      </c>
      <c r="CA25" s="128">
        <f>INDEX(Direct_Cost_Splits_Network,MATCH($H25,RIN_Asset_Cat_Network,0),MATCH($BY$4,Direct_Cost_Type,0))*L25*HLOOKUP(CA$5,Escalators!$I$25:$U$30,6,FALSE)</f>
        <v>0</v>
      </c>
      <c r="CB25" s="128">
        <f>INDEX(Direct_Cost_Splits_Network,MATCH($H25,RIN_Asset_Cat_Network,0),MATCH($BY$4,Direct_Cost_Type,0))*M25*HLOOKUP(CB$5,Escalators!$I$25:$U$30,6,FALSE)</f>
        <v>105.17619455106875</v>
      </c>
      <c r="CC25" s="128">
        <f>INDEX(Direct_Cost_Splits_Network,MATCH($H25,RIN_Asset_Cat_Network,0),MATCH($BY$4,Direct_Cost_Type,0))*N25*HLOOKUP(CC$5,Escalators!$I$25:$U$30,6,FALSE)</f>
        <v>105.17619455106875</v>
      </c>
      <c r="CD25" s="128">
        <f>INDEX(Direct_Cost_Splits_Network,MATCH($H25,RIN_Asset_Cat_Network,0),MATCH($BY$4,Direct_Cost_Type,0))*O25*HLOOKUP(CD$5,Escalators!$I$25:$U$30,6,FALSE)</f>
        <v>105.17619455106875</v>
      </c>
      <c r="CE25" s="128">
        <f>INDEX(Direct_Cost_Splits_Network,MATCH($H25,RIN_Asset_Cat_Network,0),MATCH($BY$4,Direct_Cost_Type,0))*P25*HLOOKUP(CE$5,Escalators!$I$25:$U$30,6,FALSE)</f>
        <v>105.17619455106875</v>
      </c>
      <c r="CF25" s="128">
        <f>INDEX(Direct_Cost_Splits_Network,MATCH($H25,RIN_Asset_Cat_Network,0),MATCH($BY$4,Direct_Cost_Type,0))*Q25*HLOOKUP(CF$5,Escalators!$I$25:$U$30,6,FALSE)</f>
        <v>105.17619455106875</v>
      </c>
      <c r="CG25" s="129"/>
      <c r="CH25" s="763">
        <f t="shared" si="76"/>
        <v>0</v>
      </c>
      <c r="CI25" s="763">
        <f t="shared" si="77"/>
        <v>0</v>
      </c>
      <c r="CJ25" s="763">
        <f t="shared" si="78"/>
        <v>0</v>
      </c>
      <c r="CK25" s="763">
        <f t="shared" si="79"/>
        <v>28.895699931395033</v>
      </c>
      <c r="CL25" s="763">
        <f t="shared" si="80"/>
        <v>28.895699931395033</v>
      </c>
      <c r="CM25" s="763">
        <f t="shared" si="81"/>
        <v>28.895699931395033</v>
      </c>
      <c r="CN25" s="763">
        <f t="shared" si="82"/>
        <v>28.895699931395033</v>
      </c>
      <c r="CO25" s="763">
        <f t="shared" si="83"/>
        <v>28.895699931395033</v>
      </c>
      <c r="CP25" s="129"/>
      <c r="CQ25" s="128">
        <f t="shared" si="18"/>
        <v>0</v>
      </c>
      <c r="CR25" s="128">
        <f t="shared" si="9"/>
        <v>0</v>
      </c>
      <c r="CS25" s="128">
        <f t="shared" si="19"/>
        <v>0</v>
      </c>
      <c r="CT25" s="128">
        <f t="shared" si="20"/>
        <v>250.69928891073525</v>
      </c>
      <c r="CU25" s="128">
        <f t="shared" si="21"/>
        <v>250.60082159649346</v>
      </c>
      <c r="CV25" s="128">
        <f t="shared" si="22"/>
        <v>250.57226020628127</v>
      </c>
      <c r="CW25" s="128">
        <f t="shared" si="23"/>
        <v>250.71658302056812</v>
      </c>
      <c r="CX25" s="128">
        <f t="shared" si="24"/>
        <v>251.10963858654804</v>
      </c>
      <c r="CZ25" s="39"/>
    </row>
    <row r="26" spans="2:104" x14ac:dyDescent="0.25">
      <c r="B26" s="75" t="s">
        <v>430</v>
      </c>
      <c r="C26" s="75" t="s">
        <v>466</v>
      </c>
      <c r="D26" s="75" t="s">
        <v>108</v>
      </c>
      <c r="E26" s="75" t="s">
        <v>45</v>
      </c>
      <c r="F26" s="75" t="s">
        <v>51</v>
      </c>
      <c r="G26" s="75" t="s">
        <v>10</v>
      </c>
      <c r="H26" s="75" t="s">
        <v>165</v>
      </c>
      <c r="I26" s="75" t="s">
        <v>252</v>
      </c>
      <c r="J26" s="128"/>
      <c r="K26" s="128"/>
      <c r="L26" s="128"/>
      <c r="M26" s="128">
        <v>2090</v>
      </c>
      <c r="N26" s="128">
        <v>2090</v>
      </c>
      <c r="O26" s="128">
        <v>2090</v>
      </c>
      <c r="P26" s="128">
        <v>2090</v>
      </c>
      <c r="Q26" s="128">
        <v>2090</v>
      </c>
      <c r="R26" s="129"/>
      <c r="S26" s="128">
        <f>INDEX(Direct_Cost_Splits_Network,MATCH($H26,RIN_Asset_Cat_Network,0),MATCH($S$4,Direct_Cost_Type,0))*J26*HLOOKUP(S$5,Escalators!$I$25:$U$30,3,FALSE)</f>
        <v>0</v>
      </c>
      <c r="T26" s="128">
        <f>INDEX(Direct_Cost_Splits_Network,MATCH($H26,RIN_Asset_Cat_Network,0),MATCH($S$4,Direct_Cost_Type,0))*K26*HLOOKUP(T$5,Escalators!$I$25:$U$30,3,FALSE)</f>
        <v>0</v>
      </c>
      <c r="U26" s="128">
        <f>INDEX(Direct_Cost_Splits_Network,MATCH($H26,RIN_Asset_Cat_Network,0),MATCH($S$4,Direct_Cost_Type,0))*L26*HLOOKUP(U$5,Escalators!$I$25:$U$30,3,FALSE)</f>
        <v>0</v>
      </c>
      <c r="V26" s="128">
        <f>INDEX(Direct_Cost_Splits_Network,MATCH($H26,RIN_Asset_Cat_Network,0),MATCH($S$4,Direct_Cost_Type,0))*M26*HLOOKUP(V$5,Escalators!$I$25:$U$30,3,FALSE)</f>
        <v>329.5731035367246</v>
      </c>
      <c r="W26" s="128">
        <f>INDEX(Direct_Cost_Splits_Network,MATCH($H26,RIN_Asset_Cat_Network,0),MATCH($S$4,Direct_Cost_Type,0))*N26*HLOOKUP(W$5,Escalators!$I$25:$U$30,3,FALSE)</f>
        <v>328.74991678966325</v>
      </c>
      <c r="X26" s="128">
        <f>INDEX(Direct_Cost_Splits_Network,MATCH($H26,RIN_Asset_Cat_Network,0),MATCH($S$4,Direct_Cost_Type,0))*O26*HLOOKUP(X$5,Escalators!$I$25:$U$30,3,FALSE)</f>
        <v>328.5111435674894</v>
      </c>
      <c r="Y26" s="128">
        <f>INDEX(Direct_Cost_Splits_Network,MATCH($H26,RIN_Asset_Cat_Network,0),MATCH($S$4,Direct_Cost_Type,0))*P26*HLOOKUP(Y$5,Escalators!$I$25:$U$30,3,FALSE)</f>
        <v>329.71768229492744</v>
      </c>
      <c r="Z26" s="128">
        <f>INDEX(Direct_Cost_Splits_Network,MATCH($H26,RIN_Asset_Cat_Network,0),MATCH($S$4,Direct_Cost_Type,0))*Q26*HLOOKUP(Z$5,Escalators!$I$25:$U$30,3,FALSE)</f>
        <v>333.00362682651962</v>
      </c>
      <c r="AA26" s="129"/>
      <c r="AB26" s="128">
        <f>INDEX(Direct_Cost_Splits_Network,MATCH($H26,RIN_Asset_Cat_Network,0),MATCH($AG$4,Direct_Cost_Type,0))*$J26*INDEX(Act_Type_Augex_Splits,MATCH($I26,Act_Type_Augex,0),MATCH(AB$4,Mat_Type,0))*INDEX(Escalators!$I$44:$U$49,MATCH(AB$4,Escalators!$C$44:$C$49,0),MATCH(AB$5,Escalators!$I$43:$U$43,0))</f>
        <v>0</v>
      </c>
      <c r="AC26" s="128">
        <f>INDEX(Direct_Cost_Splits_Network,MATCH($H26,RIN_Asset_Cat_Network,0),MATCH($AG$4,Direct_Cost_Type,0))*$J26*INDEX(Act_Type_Augex_Splits,MATCH($I26,Act_Type_Augex,0),MATCH(AC$4,Mat_Type,0))*INDEX(Escalators!$I$44:$U$49,MATCH(AC$4,Escalators!$C$44:$C$49,0),MATCH(AC$5,Escalators!$I$43:$U$43,0))</f>
        <v>0</v>
      </c>
      <c r="AD26" s="128">
        <f>INDEX(Direct_Cost_Splits_Network,MATCH($H26,RIN_Asset_Cat_Network,0),MATCH($AG$4,Direct_Cost_Type,0))*$J26*INDEX(Act_Type_Augex_Splits,MATCH($I26,Act_Type_Augex,0),MATCH(AD$4,Mat_Type,0))*INDEX(Escalators!$I$44:$U$49,MATCH(AD$4,Escalators!$C$44:$C$49,0),MATCH(AD$5,Escalators!$I$43:$U$43,0))</f>
        <v>0</v>
      </c>
      <c r="AE26" s="128">
        <f>INDEX(Direct_Cost_Splits_Network,MATCH($H26,RIN_Asset_Cat_Network,0),MATCH($AG$4,Direct_Cost_Type,0))*$J26*INDEX(Act_Type_Augex_Splits,MATCH($I26,Act_Type_Augex,0),MATCH(AE$4,Mat_Type,0))*INDEX(Escalators!$I$44:$U$49,MATCH(AE$4,Escalators!$C$44:$C$49,0),MATCH(AE$5,Escalators!$I$43:$U$43,0))</f>
        <v>0</v>
      </c>
      <c r="AF26" s="128">
        <f>INDEX(Direct_Cost_Splits_Network,MATCH($H26,RIN_Asset_Cat_Network,0),MATCH($AG$4,Direct_Cost_Type,0))*$J26*INDEX(Act_Type_Augex_Splits,MATCH($I26,Act_Type_Augex,0),MATCH(AF$4,Mat_Type,0))*INDEX(Escalators!$I$44:$U$49,MATCH(AF$4,Escalators!$C$44:$C$49,0),MATCH(AF$5,Escalators!$I$43:$U$43,0))</f>
        <v>0</v>
      </c>
      <c r="AG26" s="128">
        <f t="shared" si="68"/>
        <v>0</v>
      </c>
      <c r="AH26" s="128">
        <f>INDEX(Direct_Cost_Splits_Network,MATCH($H26,RIN_Asset_Cat_Network,0),MATCH($AY$4,Direct_Cost_Type,0))*$K26*INDEX(Act_Type_Augex_Splits,MATCH($I26,Act_Type_Augex,0),MATCH(AH$4,Mat_Type,0))*INDEX(Escalators!$I$44:$U$49,MATCH(AH$4,Escalators!$C$44:$C$49,0),MATCH(AH$5,Escalators!$I$43:$U$43,0))</f>
        <v>0</v>
      </c>
      <c r="AI26" s="128">
        <f>INDEX(Direct_Cost_Splits_Network,MATCH($H26,RIN_Asset_Cat_Network,0),MATCH($AY$4,Direct_Cost_Type,0))*$K26*INDEX(Act_Type_Augex_Splits,MATCH($I26,Act_Type_Augex,0),MATCH(AI$4,Mat_Type,0))*INDEX(Escalators!$I$44:$U$49,MATCH(AI$4,Escalators!$C$44:$C$49,0),MATCH(AI$5,Escalators!$I$43:$U$43,0))</f>
        <v>0</v>
      </c>
      <c r="AJ26" s="128">
        <f>INDEX(Direct_Cost_Splits_Network,MATCH($H26,RIN_Asset_Cat_Network,0),MATCH($AY$4,Direct_Cost_Type,0))*$K26*INDEX(Act_Type_Augex_Splits,MATCH($I26,Act_Type_Augex,0),MATCH(AJ$4,Mat_Type,0))*INDEX(Escalators!$I$44:$U$49,MATCH(AJ$4,Escalators!$C$44:$C$49,0),MATCH(AJ$5,Escalators!$I$43:$U$43,0))</f>
        <v>0</v>
      </c>
      <c r="AK26" s="128">
        <f>INDEX(Direct_Cost_Splits_Network,MATCH($H26,RIN_Asset_Cat_Network,0),MATCH($AY$4,Direct_Cost_Type,0))*$K26*INDEX(Act_Type_Augex_Splits,MATCH($I26,Act_Type_Augex,0),MATCH(AK$4,Mat_Type,0))*INDEX(Escalators!$I$44:$U$49,MATCH(AK$4,Escalators!$C$44:$C$49,0),MATCH(AK$5,Escalators!$I$43:$U$43,0))</f>
        <v>0</v>
      </c>
      <c r="AL26" s="128">
        <f>INDEX(Direct_Cost_Splits_Network,MATCH($H26,RIN_Asset_Cat_Network,0),MATCH($AY$4,Direct_Cost_Type,0))*$K26*INDEX(Act_Type_Augex_Splits,MATCH($I26,Act_Type_Augex,0),MATCH(AL$4,Mat_Type,0))*INDEX(Escalators!$I$44:$U$49,MATCH(AL$4,Escalators!$C$44:$C$49,0),MATCH(AL$5,Escalators!$I$43:$U$43,0))</f>
        <v>0</v>
      </c>
      <c r="AM26" s="128">
        <f t="shared" si="69"/>
        <v>0</v>
      </c>
      <c r="AN26" s="128">
        <f>INDEX(Direct_Cost_Splits_Network,MATCH($H26,RIN_Asset_Cat_Network,0),MATCH($AY$4,Direct_Cost_Type,0))*$L26*INDEX(Act_Type_Augex_Splits,MATCH($I26,Act_Type_Augex,0),MATCH(AN$4,Mat_Type,0))*INDEX(Escalators!$I$44:$U$49,MATCH(AN$4,Escalators!$C$44:$C$49,0),MATCH(AN$5,Escalators!$I$43:$U$43,0))</f>
        <v>0</v>
      </c>
      <c r="AO26" s="128">
        <f>INDEX(Direct_Cost_Splits_Network,MATCH($H26,RIN_Asset_Cat_Network,0),MATCH($AY$4,Direct_Cost_Type,0))*$L26*INDEX(Act_Type_Augex_Splits,MATCH($I26,Act_Type_Augex,0),MATCH(AO$4,Mat_Type,0))*INDEX(Escalators!$I$44:$U$49,MATCH(AO$4,Escalators!$C$44:$C$49,0),MATCH(AO$5,Escalators!$I$43:$U$43,0))</f>
        <v>0</v>
      </c>
      <c r="AP26" s="128">
        <f>INDEX(Direct_Cost_Splits_Network,MATCH($H26,RIN_Asset_Cat_Network,0),MATCH($AY$4,Direct_Cost_Type,0))*$L26*INDEX(Act_Type_Augex_Splits,MATCH($I26,Act_Type_Augex,0),MATCH(AP$4,Mat_Type,0))*INDEX(Escalators!$I$44:$U$49,MATCH(AP$4,Escalators!$C$44:$C$49,0),MATCH(AP$5,Escalators!$I$43:$U$43,0))</f>
        <v>0</v>
      </c>
      <c r="AQ26" s="128">
        <f>INDEX(Direct_Cost_Splits_Network,MATCH($H26,RIN_Asset_Cat_Network,0),MATCH($AY$4,Direct_Cost_Type,0))*$L26*INDEX(Act_Type_Augex_Splits,MATCH($I26,Act_Type_Augex,0),MATCH(AQ$4,Mat_Type,0))*INDEX(Escalators!$I$44:$U$49,MATCH(AQ$4,Escalators!$C$44:$C$49,0),MATCH(AQ$5,Escalators!$I$43:$U$43,0))</f>
        <v>0</v>
      </c>
      <c r="AR26" s="128">
        <f>INDEX(Direct_Cost_Splits_Network,MATCH($H26,RIN_Asset_Cat_Network,0),MATCH($AY$4,Direct_Cost_Type,0))*$L26*INDEX(Act_Type_Augex_Splits,MATCH($I26,Act_Type_Augex,0),MATCH(AR$4,Mat_Type,0))*INDEX(Escalators!$I$44:$U$49,MATCH(AR$4,Escalators!$C$44:$C$49,0),MATCH(AR$5,Escalators!$I$43:$U$43,0))</f>
        <v>0</v>
      </c>
      <c r="AS26" s="128">
        <f t="shared" si="70"/>
        <v>0</v>
      </c>
      <c r="AT26" s="128">
        <f>INDEX(Direct_Cost_Splits_Network,MATCH($H26,RIN_Asset_Cat_Network,0),MATCH($AY$4,Direct_Cost_Type,0))*$M26*INDEX(Act_Type_Augex_Splits,MATCH($I26,Act_Type_Augex,0),MATCH(AT$4,Mat_Type,0))*INDEX(Escalators!$I$44:$U$49,MATCH(AT$4,Escalators!$C$44:$C$49,0),MATCH(AT$5,Escalators!$I$43:$U$43,0))</f>
        <v>432.43938230202866</v>
      </c>
      <c r="AU26" s="128">
        <f>INDEX(Direct_Cost_Splits_Network,MATCH($H26,RIN_Asset_Cat_Network,0),MATCH($AY$4,Direct_Cost_Type,0))*$M26*INDEX(Act_Type_Augex_Splits,MATCH($I26,Act_Type_Augex,0),MATCH(AU$4,Mat_Type,0))*INDEX(Escalators!$I$44:$U$49,MATCH(AU$4,Escalators!$C$44:$C$49,0),MATCH(AU$5,Escalators!$I$43:$U$43,0))</f>
        <v>0</v>
      </c>
      <c r="AV26" s="128">
        <f>INDEX(Direct_Cost_Splits_Network,MATCH($H26,RIN_Asset_Cat_Network,0),MATCH($AY$4,Direct_Cost_Type,0))*$M26*INDEX(Act_Type_Augex_Splits,MATCH($I26,Act_Type_Augex,0),MATCH(AV$4,Mat_Type,0))*INDEX(Escalators!$I$44:$U$49,MATCH(AV$4,Escalators!$C$44:$C$49,0),MATCH(AV$5,Escalators!$I$43:$U$43,0))</f>
        <v>83.906148804871222</v>
      </c>
      <c r="AW26" s="128">
        <f>INDEX(Direct_Cost_Splits_Network,MATCH($H26,RIN_Asset_Cat_Network,0),MATCH($AY$4,Direct_Cost_Type,0))*$M26*INDEX(Act_Type_Augex_Splits,MATCH($I26,Act_Type_Augex,0),MATCH(AW$4,Mat_Type,0))*INDEX(Escalators!$I$44:$U$49,MATCH(AW$4,Escalators!$C$44:$C$49,0),MATCH(AW$5,Escalators!$I$43:$U$43,0))</f>
        <v>0</v>
      </c>
      <c r="AX26" s="128">
        <f>INDEX(Direct_Cost_Splits_Network,MATCH($H26,RIN_Asset_Cat_Network,0),MATCH($AY$4,Direct_Cost_Type,0))*$M26*INDEX(Act_Type_Augex_Splits,MATCH($I26,Act_Type_Augex,0),MATCH(AX$4,Mat_Type,0))*INDEX(Escalators!$I$44:$U$49,MATCH(AX$4,Escalators!$C$44:$C$49,0),MATCH(AX$5,Escalators!$I$43:$U$43,0))</f>
        <v>129.08638277672497</v>
      </c>
      <c r="AY26" s="128">
        <f t="shared" si="71"/>
        <v>645.43191388362493</v>
      </c>
      <c r="AZ26" s="128">
        <f>INDEX(Direct_Cost_Splits_Network,MATCH($H26,RIN_Asset_Cat_Network,0),MATCH($BE$4,Direct_Cost_Type,0))*$N26*INDEX(Act_Type_Augex_Splits,MATCH($I26,Act_Type_Augex,0),MATCH(AZ$4,Mat_Type,0))*INDEX(Escalators!$I$44:$U$49,MATCH(AZ$4,Escalators!$C$44:$C$49,0),MATCH(AZ$5,Escalators!$I$43:$U$43,0))</f>
        <v>432.43938230202866</v>
      </c>
      <c r="BA26" s="128">
        <f>INDEX(Direct_Cost_Splits_Network,MATCH($H26,RIN_Asset_Cat_Network,0),MATCH($BE$4,Direct_Cost_Type,0))*$N26*INDEX(Act_Type_Augex_Splits,MATCH($I26,Act_Type_Augex,0),MATCH(BA$4,Mat_Type,0))*INDEX(Escalators!$I$44:$U$49,MATCH(BA$4,Escalators!$C$44:$C$49,0),MATCH(BA$5,Escalators!$I$43:$U$43,0))</f>
        <v>0</v>
      </c>
      <c r="BB26" s="128">
        <f>INDEX(Direct_Cost_Splits_Network,MATCH($H26,RIN_Asset_Cat_Network,0),MATCH($BE$4,Direct_Cost_Type,0))*$N26*INDEX(Act_Type_Augex_Splits,MATCH($I26,Act_Type_Augex,0),MATCH(BB$4,Mat_Type,0))*INDEX(Escalators!$I$44:$U$49,MATCH(BB$4,Escalators!$C$44:$C$49,0),MATCH(BB$5,Escalators!$I$43:$U$43,0))</f>
        <v>83.906148804871222</v>
      </c>
      <c r="BC26" s="128">
        <f>INDEX(Direct_Cost_Splits_Network,MATCH($H26,RIN_Asset_Cat_Network,0),MATCH($BE$4,Direct_Cost_Type,0))*$N26*INDEX(Act_Type_Augex_Splits,MATCH($I26,Act_Type_Augex,0),MATCH(BC$4,Mat_Type,0))*INDEX(Escalators!$I$44:$U$49,MATCH(BC$4,Escalators!$C$44:$C$49,0),MATCH(BC$5,Escalators!$I$43:$U$43,0))</f>
        <v>0</v>
      </c>
      <c r="BD26" s="128">
        <f>INDEX(Direct_Cost_Splits_Network,MATCH($H26,RIN_Asset_Cat_Network,0),MATCH($BE$4,Direct_Cost_Type,0))*$N26*INDEX(Act_Type_Augex_Splits,MATCH($I26,Act_Type_Augex,0),MATCH(BD$4,Mat_Type,0))*INDEX(Escalators!$I$44:$U$49,MATCH(BD$4,Escalators!$C$44:$C$49,0),MATCH(BD$5,Escalators!$I$43:$U$43,0))</f>
        <v>129.08638277672497</v>
      </c>
      <c r="BE26" s="128">
        <f t="shared" si="72"/>
        <v>645.43191388362493</v>
      </c>
      <c r="BF26" s="128">
        <f>INDEX(Direct_Cost_Splits_Network,MATCH($H26,RIN_Asset_Cat_Network,0),MATCH($BK$4,Direct_Cost_Type,0))*$O26*INDEX(Act_Type_Augex_Splits,MATCH($I26,Act_Type_Augex,0),MATCH(BF$4,Mat_Type,0))*INDEX(Escalators!$I$44:$U$49,MATCH(BF$4,Escalators!$C$44:$C$49,0),MATCH(BF$5,Escalators!$I$43:$U$43,0))</f>
        <v>432.43938230202866</v>
      </c>
      <c r="BG26" s="128">
        <f>INDEX(Direct_Cost_Splits_Network,MATCH($H26,RIN_Asset_Cat_Network,0),MATCH($BK$4,Direct_Cost_Type,0))*$O26*INDEX(Act_Type_Augex_Splits,MATCH($I26,Act_Type_Augex,0),MATCH(BG$4,Mat_Type,0))*INDEX(Escalators!$I$44:$U$49,MATCH(BG$4,Escalators!$C$44:$C$49,0),MATCH(BG$5,Escalators!$I$43:$U$43,0))</f>
        <v>0</v>
      </c>
      <c r="BH26" s="128">
        <f>INDEX(Direct_Cost_Splits_Network,MATCH($H26,RIN_Asset_Cat_Network,0),MATCH($BK$4,Direct_Cost_Type,0))*$O26*INDEX(Act_Type_Augex_Splits,MATCH($I26,Act_Type_Augex,0),MATCH(BH$4,Mat_Type,0))*INDEX(Escalators!$I$44:$U$49,MATCH(BH$4,Escalators!$C$44:$C$49,0),MATCH(BH$5,Escalators!$I$43:$U$43,0))</f>
        <v>83.906148804871222</v>
      </c>
      <c r="BI26" s="128">
        <f>INDEX(Direct_Cost_Splits_Network,MATCH($H26,RIN_Asset_Cat_Network,0),MATCH($BK$4,Direct_Cost_Type,0))*$O26*INDEX(Act_Type_Augex_Splits,MATCH($I26,Act_Type_Augex,0),MATCH(BI$4,Mat_Type,0))*INDEX(Escalators!$I$44:$U$49,MATCH(BI$4,Escalators!$C$44:$C$49,0),MATCH(BI$5,Escalators!$I$43:$U$43,0))</f>
        <v>0</v>
      </c>
      <c r="BJ26" s="128">
        <f>INDEX(Direct_Cost_Splits_Network,MATCH($H26,RIN_Asset_Cat_Network,0),MATCH($BK$4,Direct_Cost_Type,0))*$O26*INDEX(Act_Type_Augex_Splits,MATCH($I26,Act_Type_Augex,0),MATCH(BJ$4,Mat_Type,0))*INDEX(Escalators!$I$44:$U$49,MATCH(BJ$4,Escalators!$C$44:$C$49,0),MATCH(BJ$5,Escalators!$I$43:$U$43,0))</f>
        <v>129.08638277672497</v>
      </c>
      <c r="BK26" s="128">
        <f t="shared" si="73"/>
        <v>645.43191388362493</v>
      </c>
      <c r="BL26" s="128">
        <f>INDEX(Direct_Cost_Splits_Network,MATCH($H26,RIN_Asset_Cat_Network,0),MATCH($BQ$4,Direct_Cost_Type,0))*$P26*INDEX(Act_Type_Augex_Splits,MATCH($I26,Act_Type_Augex,0),MATCH(BL$4,Mat_Type,0))*INDEX(Escalators!$I$44:$U$49,MATCH(BL$4,Escalators!$C$44:$C$49,0),MATCH(BL$5,Escalators!$I$43:$U$43,0))</f>
        <v>432.43938230202866</v>
      </c>
      <c r="BM26" s="128">
        <f>INDEX(Direct_Cost_Splits_Network,MATCH($H26,RIN_Asset_Cat_Network,0),MATCH($BQ$4,Direct_Cost_Type,0))*$P26*INDEX(Act_Type_Augex_Splits,MATCH($I26,Act_Type_Augex,0),MATCH(BM$4,Mat_Type,0))*INDEX(Escalators!$I$44:$U$49,MATCH(BM$4,Escalators!$C$44:$C$49,0),MATCH(BM$5,Escalators!$I$43:$U$43,0))</f>
        <v>0</v>
      </c>
      <c r="BN26" s="128">
        <f>INDEX(Direct_Cost_Splits_Network,MATCH($H26,RIN_Asset_Cat_Network,0),MATCH($BQ$4,Direct_Cost_Type,0))*$P26*INDEX(Act_Type_Augex_Splits,MATCH($I26,Act_Type_Augex,0),MATCH(BN$4,Mat_Type,0))*INDEX(Escalators!$I$44:$U$49,MATCH(BN$4,Escalators!$C$44:$C$49,0),MATCH(BN$5,Escalators!$I$43:$U$43,0))</f>
        <v>83.906148804871222</v>
      </c>
      <c r="BO26" s="128">
        <f>INDEX(Direct_Cost_Splits_Network,MATCH($H26,RIN_Asset_Cat_Network,0),MATCH($BQ$4,Direct_Cost_Type,0))*$P26*INDEX(Act_Type_Augex_Splits,MATCH($I26,Act_Type_Augex,0),MATCH(BO$4,Mat_Type,0))*INDEX(Escalators!$I$44:$U$49,MATCH(BO$4,Escalators!$C$44:$C$49,0),MATCH(BO$5,Escalators!$I$43:$U$43,0))</f>
        <v>0</v>
      </c>
      <c r="BP26" s="128">
        <f>INDEX(Direct_Cost_Splits_Network,MATCH($H26,RIN_Asset_Cat_Network,0),MATCH($BQ$4,Direct_Cost_Type,0))*$P26*INDEX(Act_Type_Augex_Splits,MATCH($I26,Act_Type_Augex,0),MATCH(BP$4,Mat_Type,0))*INDEX(Escalators!$I$44:$U$49,MATCH(BP$4,Escalators!$C$44:$C$49,0),MATCH(BP$5,Escalators!$I$43:$U$43,0))</f>
        <v>129.08638277672497</v>
      </c>
      <c r="BQ26" s="128">
        <f t="shared" si="74"/>
        <v>645.43191388362493</v>
      </c>
      <c r="BR26" s="128">
        <f>INDEX(Direct_Cost_Splits_Network,MATCH($H26,RIN_Asset_Cat_Network,0),MATCH($BW$4,Direct_Cost_Type,0))*$Q26*INDEX(Act_Type_Augex_Splits,MATCH($I26,Act_Type_Augex,0),MATCH(BR$4,Mat_Type,0))*INDEX(Escalators!$I$44:$U$49,MATCH(BR$4,Escalators!$C$44:$C$49,0),MATCH(BR$5,Escalators!$I$43:$U$43,0))</f>
        <v>432.43938230202866</v>
      </c>
      <c r="BS26" s="128">
        <f>INDEX(Direct_Cost_Splits_Network,MATCH($H26,RIN_Asset_Cat_Network,0),MATCH($BW$4,Direct_Cost_Type,0))*$Q26*INDEX(Act_Type_Augex_Splits,MATCH($I26,Act_Type_Augex,0),MATCH(BS$4,Mat_Type,0))*INDEX(Escalators!$I$44:$U$49,MATCH(BS$4,Escalators!$C$44:$C$49,0),MATCH(BS$5,Escalators!$I$43:$U$43,0))</f>
        <v>0</v>
      </c>
      <c r="BT26" s="128">
        <f>INDEX(Direct_Cost_Splits_Network,MATCH($H26,RIN_Asset_Cat_Network,0),MATCH($BW$4,Direct_Cost_Type,0))*$Q26*INDEX(Act_Type_Augex_Splits,MATCH($I26,Act_Type_Augex,0),MATCH(BT$4,Mat_Type,0))*INDEX(Escalators!$I$44:$U$49,MATCH(BT$4,Escalators!$C$44:$C$49,0),MATCH(BT$5,Escalators!$I$43:$U$43,0))</f>
        <v>83.906148804871222</v>
      </c>
      <c r="BU26" s="128">
        <f>INDEX(Direct_Cost_Splits_Network,MATCH($H26,RIN_Asset_Cat_Network,0),MATCH($BW$4,Direct_Cost_Type,0))*$Q26*INDEX(Act_Type_Augex_Splits,MATCH($I26,Act_Type_Augex,0),MATCH(BU$4,Mat_Type,0))*INDEX(Escalators!$I$44:$U$49,MATCH(BU$4,Escalators!$C$44:$C$49,0),MATCH(BU$5,Escalators!$I$43:$U$43,0))</f>
        <v>0</v>
      </c>
      <c r="BV26" s="128">
        <f>INDEX(Direct_Cost_Splits_Network,MATCH($H26,RIN_Asset_Cat_Network,0),MATCH($BW$4,Direct_Cost_Type,0))*$Q26*INDEX(Act_Type_Augex_Splits,MATCH($I26,Act_Type_Augex,0),MATCH(BV$4,Mat_Type,0))*INDEX(Escalators!$I$44:$U$49,MATCH(BV$4,Escalators!$C$44:$C$49,0),MATCH(BV$5,Escalators!$I$43:$U$43,0))</f>
        <v>129.08638277672497</v>
      </c>
      <c r="BW26" s="128">
        <f t="shared" si="75"/>
        <v>645.43191388362493</v>
      </c>
      <c r="BX26" s="129"/>
      <c r="BY26" s="128">
        <f>INDEX(Direct_Cost_Splits_Network,MATCH($H26,RIN_Asset_Cat_Network,0),MATCH($BY$4,Direct_Cost_Type,0))*J26*HLOOKUP(BY$5,Escalators!$I$25:$U$30,6,FALSE)</f>
        <v>0</v>
      </c>
      <c r="BZ26" s="128">
        <f>INDEX(Direct_Cost_Splits_Network,MATCH($H26,RIN_Asset_Cat_Network,0),MATCH($BY$4,Direct_Cost_Type,0))*K26*HLOOKUP(BZ$5,Escalators!$I$25:$U$30,6,FALSE)</f>
        <v>0</v>
      </c>
      <c r="CA26" s="128">
        <f>INDEX(Direct_Cost_Splits_Network,MATCH($H26,RIN_Asset_Cat_Network,0),MATCH($BY$4,Direct_Cost_Type,0))*L26*HLOOKUP(CA$5,Escalators!$I$25:$U$30,6,FALSE)</f>
        <v>0</v>
      </c>
      <c r="CB26" s="128">
        <f>INDEX(Direct_Cost_Splits_Network,MATCH($H26,RIN_Asset_Cat_Network,0),MATCH($BY$4,Direct_Cost_Type,0))*M26*HLOOKUP(CB$5,Escalators!$I$25:$U$30,6,FALSE)</f>
        <v>879.27298644693474</v>
      </c>
      <c r="CC26" s="128">
        <f>INDEX(Direct_Cost_Splits_Network,MATCH($H26,RIN_Asset_Cat_Network,0),MATCH($BY$4,Direct_Cost_Type,0))*N26*HLOOKUP(CC$5,Escalators!$I$25:$U$30,6,FALSE)</f>
        <v>879.27298644693474</v>
      </c>
      <c r="CD26" s="128">
        <f>INDEX(Direct_Cost_Splits_Network,MATCH($H26,RIN_Asset_Cat_Network,0),MATCH($BY$4,Direct_Cost_Type,0))*O26*HLOOKUP(CD$5,Escalators!$I$25:$U$30,6,FALSE)</f>
        <v>879.27298644693474</v>
      </c>
      <c r="CE26" s="128">
        <f>INDEX(Direct_Cost_Splits_Network,MATCH($H26,RIN_Asset_Cat_Network,0),MATCH($BY$4,Direct_Cost_Type,0))*P26*HLOOKUP(CE$5,Escalators!$I$25:$U$30,6,FALSE)</f>
        <v>879.27298644693474</v>
      </c>
      <c r="CF26" s="128">
        <f>INDEX(Direct_Cost_Splits_Network,MATCH($H26,RIN_Asset_Cat_Network,0),MATCH($BY$4,Direct_Cost_Type,0))*Q26*HLOOKUP(CF$5,Escalators!$I$25:$U$30,6,FALSE)</f>
        <v>879.27298644693474</v>
      </c>
      <c r="CG26" s="129"/>
      <c r="CH26" s="763">
        <f t="shared" si="76"/>
        <v>0</v>
      </c>
      <c r="CI26" s="763">
        <f t="shared" si="77"/>
        <v>0</v>
      </c>
      <c r="CJ26" s="763">
        <f t="shared" si="78"/>
        <v>0</v>
      </c>
      <c r="CK26" s="763">
        <f t="shared" si="79"/>
        <v>241.56805142646249</v>
      </c>
      <c r="CL26" s="763">
        <f t="shared" si="80"/>
        <v>241.56805142646249</v>
      </c>
      <c r="CM26" s="763">
        <f t="shared" si="81"/>
        <v>241.56805142646249</v>
      </c>
      <c r="CN26" s="763">
        <f t="shared" si="82"/>
        <v>241.56805142646249</v>
      </c>
      <c r="CO26" s="763">
        <f t="shared" si="83"/>
        <v>241.56805142646249</v>
      </c>
      <c r="CP26" s="129"/>
      <c r="CQ26" s="128">
        <f t="shared" si="18"/>
        <v>0</v>
      </c>
      <c r="CR26" s="128">
        <f t="shared" si="9"/>
        <v>0</v>
      </c>
      <c r="CS26" s="128">
        <f t="shared" si="19"/>
        <v>0</v>
      </c>
      <c r="CT26" s="128">
        <f t="shared" si="20"/>
        <v>2095.8460552937468</v>
      </c>
      <c r="CU26" s="128">
        <f t="shared" si="21"/>
        <v>2095.0228685466855</v>
      </c>
      <c r="CV26" s="128">
        <f t="shared" si="22"/>
        <v>2094.7840953245113</v>
      </c>
      <c r="CW26" s="128">
        <f t="shared" si="23"/>
        <v>2095.9906340519497</v>
      </c>
      <c r="CX26" s="128">
        <f t="shared" si="24"/>
        <v>2099.2765785835418</v>
      </c>
      <c r="CZ26" s="39"/>
    </row>
    <row r="27" spans="2:104" x14ac:dyDescent="0.25">
      <c r="B27" s="75" t="s">
        <v>654</v>
      </c>
      <c r="C27" s="75" t="s">
        <v>556</v>
      </c>
      <c r="D27" s="75" t="s">
        <v>426</v>
      </c>
      <c r="E27" s="75" t="s">
        <v>44</v>
      </c>
      <c r="F27" s="75" t="s">
        <v>55</v>
      </c>
      <c r="G27" s="75" t="s">
        <v>10</v>
      </c>
      <c r="H27" s="75" t="s">
        <v>152</v>
      </c>
      <c r="I27" s="75" t="s">
        <v>213</v>
      </c>
      <c r="J27" s="128"/>
      <c r="K27" s="128"/>
      <c r="L27" s="128"/>
      <c r="M27" s="128">
        <v>0</v>
      </c>
      <c r="N27" s="128">
        <v>8347.9462651845151</v>
      </c>
      <c r="O27" s="128">
        <v>14772.730377755532</v>
      </c>
      <c r="P27" s="128">
        <v>21197.51449032655</v>
      </c>
      <c r="Q27" s="128">
        <v>23032.984639201855</v>
      </c>
      <c r="R27" s="129"/>
      <c r="S27" s="128">
        <f>INDEX(Direct_Cost_Splits_Network,MATCH($H27,RIN_Asset_Cat_Network,0),MATCH($S$4,Direct_Cost_Type,0))*J27*HLOOKUP(S$5,Escalators!$I$25:$U$30,3,FALSE)</f>
        <v>0</v>
      </c>
      <c r="T27" s="128">
        <f>INDEX(Direct_Cost_Splits_Network,MATCH($H27,RIN_Asset_Cat_Network,0),MATCH($S$4,Direct_Cost_Type,0))*K27*HLOOKUP(T$5,Escalators!$I$25:$U$30,3,FALSE)</f>
        <v>0</v>
      </c>
      <c r="U27" s="128">
        <f>INDEX(Direct_Cost_Splits_Network,MATCH($H27,RIN_Asset_Cat_Network,0),MATCH($S$4,Direct_Cost_Type,0))*L27*HLOOKUP(U$5,Escalators!$I$25:$U$30,3,FALSE)</f>
        <v>0</v>
      </c>
      <c r="V27" s="128">
        <f>INDEX(Direct_Cost_Splits_Network,MATCH($H27,RIN_Asset_Cat_Network,0),MATCH($S$4,Direct_Cost_Type,0))*M27*HLOOKUP(V$5,Escalators!$I$25:$U$30,3,FALSE)</f>
        <v>0</v>
      </c>
      <c r="W27" s="128">
        <f>INDEX(Direct_Cost_Splits_Network,MATCH($H27,RIN_Asset_Cat_Network,0),MATCH($S$4,Direct_Cost_Type,0))*N27*HLOOKUP(W$5,Escalators!$I$25:$U$30,3,FALSE)</f>
        <v>1313.1036555234402</v>
      </c>
      <c r="X27" s="128">
        <f>INDEX(Direct_Cost_Splits_Network,MATCH($H27,RIN_Asset_Cat_Network,0),MATCH($S$4,Direct_Cost_Type,0))*O27*HLOOKUP(X$5,Escalators!$I$25:$U$30,3,FALSE)</f>
        <v>2322.0127033543831</v>
      </c>
      <c r="Y27" s="128">
        <f>INDEX(Direct_Cost_Splits_Network,MATCH($H27,RIN_Asset_Cat_Network,0),MATCH($S$4,Direct_Cost_Type,0))*P27*HLOOKUP(Y$5,Escalators!$I$25:$U$30,3,FALSE)</f>
        <v>3344.1126067768478</v>
      </c>
      <c r="Z27" s="128">
        <f>INDEX(Direct_Cost_Splits_Network,MATCH($H27,RIN_Asset_Cat_Network,0),MATCH($S$4,Direct_Cost_Type,0))*Q27*HLOOKUP(Z$5,Escalators!$I$25:$U$30,3,FALSE)</f>
        <v>3669.8887184180553</v>
      </c>
      <c r="AA27" s="129"/>
      <c r="AB27" s="128">
        <f>INDEX(Direct_Cost_Splits_Network,MATCH($H27,RIN_Asset_Cat_Network,0),MATCH($AG$4,Direct_Cost_Type,0))*$J27*INDEX(Act_Type_Augex_Splits,MATCH($I27,Act_Type_Augex,0),MATCH(AB$4,Mat_Type,0))*INDEX(Escalators!$I$44:$U$49,MATCH(AB$4,Escalators!$C$44:$C$49,0),MATCH(AB$5,Escalators!$I$43:$U$43,0))</f>
        <v>0</v>
      </c>
      <c r="AC27" s="128">
        <f>INDEX(Direct_Cost_Splits_Network,MATCH($H27,RIN_Asset_Cat_Network,0),MATCH($AG$4,Direct_Cost_Type,0))*$J27*INDEX(Act_Type_Augex_Splits,MATCH($I27,Act_Type_Augex,0),MATCH(AC$4,Mat_Type,0))*INDEX(Escalators!$I$44:$U$49,MATCH(AC$4,Escalators!$C$44:$C$49,0),MATCH(AC$5,Escalators!$I$43:$U$43,0))</f>
        <v>0</v>
      </c>
      <c r="AD27" s="128">
        <f>INDEX(Direct_Cost_Splits_Network,MATCH($H27,RIN_Asset_Cat_Network,0),MATCH($AG$4,Direct_Cost_Type,0))*$J27*INDEX(Act_Type_Augex_Splits,MATCH($I27,Act_Type_Augex,0),MATCH(AD$4,Mat_Type,0))*INDEX(Escalators!$I$44:$U$49,MATCH(AD$4,Escalators!$C$44:$C$49,0),MATCH(AD$5,Escalators!$I$43:$U$43,0))</f>
        <v>0</v>
      </c>
      <c r="AE27" s="128">
        <f>INDEX(Direct_Cost_Splits_Network,MATCH($H27,RIN_Asset_Cat_Network,0),MATCH($AG$4,Direct_Cost_Type,0))*$J27*INDEX(Act_Type_Augex_Splits,MATCH($I27,Act_Type_Augex,0),MATCH(AE$4,Mat_Type,0))*INDEX(Escalators!$I$44:$U$49,MATCH(AE$4,Escalators!$C$44:$C$49,0),MATCH(AE$5,Escalators!$I$43:$U$43,0))</f>
        <v>0</v>
      </c>
      <c r="AF27" s="128">
        <f>INDEX(Direct_Cost_Splits_Network,MATCH($H27,RIN_Asset_Cat_Network,0),MATCH($AG$4,Direct_Cost_Type,0))*$J27*INDEX(Act_Type_Augex_Splits,MATCH($I27,Act_Type_Augex,0),MATCH(AF$4,Mat_Type,0))*INDEX(Escalators!$I$44:$U$49,MATCH(AF$4,Escalators!$C$44:$C$49,0),MATCH(AF$5,Escalators!$I$43:$U$43,0))</f>
        <v>0</v>
      </c>
      <c r="AG27" s="128">
        <f t="shared" si="68"/>
        <v>0</v>
      </c>
      <c r="AH27" s="128">
        <f>INDEX(Direct_Cost_Splits_Network,MATCH($H27,RIN_Asset_Cat_Network,0),MATCH($AY$4,Direct_Cost_Type,0))*$K27*INDEX(Act_Type_Augex_Splits,MATCH($I27,Act_Type_Augex,0),MATCH(AH$4,Mat_Type,0))*INDEX(Escalators!$I$44:$U$49,MATCH(AH$4,Escalators!$C$44:$C$49,0),MATCH(AH$5,Escalators!$I$43:$U$43,0))</f>
        <v>0</v>
      </c>
      <c r="AI27" s="128">
        <f>INDEX(Direct_Cost_Splits_Network,MATCH($H27,RIN_Asset_Cat_Network,0),MATCH($AY$4,Direct_Cost_Type,0))*$K27*INDEX(Act_Type_Augex_Splits,MATCH($I27,Act_Type_Augex,0),MATCH(AI$4,Mat_Type,0))*INDEX(Escalators!$I$44:$U$49,MATCH(AI$4,Escalators!$C$44:$C$49,0),MATCH(AI$5,Escalators!$I$43:$U$43,0))</f>
        <v>0</v>
      </c>
      <c r="AJ27" s="128">
        <f>INDEX(Direct_Cost_Splits_Network,MATCH($H27,RIN_Asset_Cat_Network,0),MATCH($AY$4,Direct_Cost_Type,0))*$K27*INDEX(Act_Type_Augex_Splits,MATCH($I27,Act_Type_Augex,0),MATCH(AJ$4,Mat_Type,0))*INDEX(Escalators!$I$44:$U$49,MATCH(AJ$4,Escalators!$C$44:$C$49,0),MATCH(AJ$5,Escalators!$I$43:$U$43,0))</f>
        <v>0</v>
      </c>
      <c r="AK27" s="128">
        <f>INDEX(Direct_Cost_Splits_Network,MATCH($H27,RIN_Asset_Cat_Network,0),MATCH($AY$4,Direct_Cost_Type,0))*$K27*INDEX(Act_Type_Augex_Splits,MATCH($I27,Act_Type_Augex,0),MATCH(AK$4,Mat_Type,0))*INDEX(Escalators!$I$44:$U$49,MATCH(AK$4,Escalators!$C$44:$C$49,0),MATCH(AK$5,Escalators!$I$43:$U$43,0))</f>
        <v>0</v>
      </c>
      <c r="AL27" s="128">
        <f>INDEX(Direct_Cost_Splits_Network,MATCH($H27,RIN_Asset_Cat_Network,0),MATCH($AY$4,Direct_Cost_Type,0))*$K27*INDEX(Act_Type_Augex_Splits,MATCH($I27,Act_Type_Augex,0),MATCH(AL$4,Mat_Type,0))*INDEX(Escalators!$I$44:$U$49,MATCH(AL$4,Escalators!$C$44:$C$49,0),MATCH(AL$5,Escalators!$I$43:$U$43,0))</f>
        <v>0</v>
      </c>
      <c r="AM27" s="128">
        <f t="shared" si="69"/>
        <v>0</v>
      </c>
      <c r="AN27" s="128">
        <f>INDEX(Direct_Cost_Splits_Network,MATCH($H27,RIN_Asset_Cat_Network,0),MATCH($AY$4,Direct_Cost_Type,0))*$L27*INDEX(Act_Type_Augex_Splits,MATCH($I27,Act_Type_Augex,0),MATCH(AN$4,Mat_Type,0))*INDEX(Escalators!$I$44:$U$49,MATCH(AN$4,Escalators!$C$44:$C$49,0),MATCH(AN$5,Escalators!$I$43:$U$43,0))</f>
        <v>0</v>
      </c>
      <c r="AO27" s="128">
        <f>INDEX(Direct_Cost_Splits_Network,MATCH($H27,RIN_Asset_Cat_Network,0),MATCH($AY$4,Direct_Cost_Type,0))*$L27*INDEX(Act_Type_Augex_Splits,MATCH($I27,Act_Type_Augex,0),MATCH(AO$4,Mat_Type,0))*INDEX(Escalators!$I$44:$U$49,MATCH(AO$4,Escalators!$C$44:$C$49,0),MATCH(AO$5,Escalators!$I$43:$U$43,0))</f>
        <v>0</v>
      </c>
      <c r="AP27" s="128">
        <f>INDEX(Direct_Cost_Splits_Network,MATCH($H27,RIN_Asset_Cat_Network,0),MATCH($AY$4,Direct_Cost_Type,0))*$L27*INDEX(Act_Type_Augex_Splits,MATCH($I27,Act_Type_Augex,0),MATCH(AP$4,Mat_Type,0))*INDEX(Escalators!$I$44:$U$49,MATCH(AP$4,Escalators!$C$44:$C$49,0),MATCH(AP$5,Escalators!$I$43:$U$43,0))</f>
        <v>0</v>
      </c>
      <c r="AQ27" s="128">
        <f>INDEX(Direct_Cost_Splits_Network,MATCH($H27,RIN_Asset_Cat_Network,0),MATCH($AY$4,Direct_Cost_Type,0))*$L27*INDEX(Act_Type_Augex_Splits,MATCH($I27,Act_Type_Augex,0),MATCH(AQ$4,Mat_Type,0))*INDEX(Escalators!$I$44:$U$49,MATCH(AQ$4,Escalators!$C$44:$C$49,0),MATCH(AQ$5,Escalators!$I$43:$U$43,0))</f>
        <v>0</v>
      </c>
      <c r="AR27" s="128">
        <f>INDEX(Direct_Cost_Splits_Network,MATCH($H27,RIN_Asset_Cat_Network,0),MATCH($AY$4,Direct_Cost_Type,0))*$L27*INDEX(Act_Type_Augex_Splits,MATCH($I27,Act_Type_Augex,0),MATCH(AR$4,Mat_Type,0))*INDEX(Escalators!$I$44:$U$49,MATCH(AR$4,Escalators!$C$44:$C$49,0),MATCH(AR$5,Escalators!$I$43:$U$43,0))</f>
        <v>0</v>
      </c>
      <c r="AS27" s="128">
        <f t="shared" si="70"/>
        <v>0</v>
      </c>
      <c r="AT27" s="128">
        <f>INDEX(Direct_Cost_Splits_Network,MATCH($H27,RIN_Asset_Cat_Network,0),MATCH($AY$4,Direct_Cost_Type,0))*$M27*INDEX(Act_Type_Augex_Splits,MATCH($I27,Act_Type_Augex,0),MATCH(AT$4,Mat_Type,0))*INDEX(Escalators!$I$44:$U$49,MATCH(AT$4,Escalators!$C$44:$C$49,0),MATCH(AT$5,Escalators!$I$43:$U$43,0))</f>
        <v>0</v>
      </c>
      <c r="AU27" s="128">
        <f>INDEX(Direct_Cost_Splits_Network,MATCH($H27,RIN_Asset_Cat_Network,0),MATCH($AY$4,Direct_Cost_Type,0))*$M27*INDEX(Act_Type_Augex_Splits,MATCH($I27,Act_Type_Augex,0),MATCH(AU$4,Mat_Type,0))*INDEX(Escalators!$I$44:$U$49,MATCH(AU$4,Escalators!$C$44:$C$49,0),MATCH(AU$5,Escalators!$I$43:$U$43,0))</f>
        <v>0</v>
      </c>
      <c r="AV27" s="128">
        <f>INDEX(Direct_Cost_Splits_Network,MATCH($H27,RIN_Asset_Cat_Network,0),MATCH($AY$4,Direct_Cost_Type,0))*$M27*INDEX(Act_Type_Augex_Splits,MATCH($I27,Act_Type_Augex,0),MATCH(AV$4,Mat_Type,0))*INDEX(Escalators!$I$44:$U$49,MATCH(AV$4,Escalators!$C$44:$C$49,0),MATCH(AV$5,Escalators!$I$43:$U$43,0))</f>
        <v>0</v>
      </c>
      <c r="AW27" s="128">
        <f>INDEX(Direct_Cost_Splits_Network,MATCH($H27,RIN_Asset_Cat_Network,0),MATCH($AY$4,Direct_Cost_Type,0))*$M27*INDEX(Act_Type_Augex_Splits,MATCH($I27,Act_Type_Augex,0),MATCH(AW$4,Mat_Type,0))*INDEX(Escalators!$I$44:$U$49,MATCH(AW$4,Escalators!$C$44:$C$49,0),MATCH(AW$5,Escalators!$I$43:$U$43,0))</f>
        <v>0</v>
      </c>
      <c r="AX27" s="128">
        <f>INDEX(Direct_Cost_Splits_Network,MATCH($H27,RIN_Asset_Cat_Network,0),MATCH($AY$4,Direct_Cost_Type,0))*$M27*INDEX(Act_Type_Augex_Splits,MATCH($I27,Act_Type_Augex,0),MATCH(AX$4,Mat_Type,0))*INDEX(Escalators!$I$44:$U$49,MATCH(AX$4,Escalators!$C$44:$C$49,0),MATCH(AX$5,Escalators!$I$43:$U$43,0))</f>
        <v>0</v>
      </c>
      <c r="AY27" s="128">
        <f t="shared" si="71"/>
        <v>0</v>
      </c>
      <c r="AZ27" s="128">
        <f>INDEX(Direct_Cost_Splits_Network,MATCH($H27,RIN_Asset_Cat_Network,0),MATCH($BE$4,Direct_Cost_Type,0))*$N27*INDEX(Act_Type_Augex_Splits,MATCH($I27,Act_Type_Augex,0),MATCH(AZ$4,Mat_Type,0))*INDEX(Escalators!$I$44:$U$49,MATCH(AZ$4,Escalators!$C$44:$C$49,0),MATCH(AZ$5,Escalators!$I$43:$U$43,0))</f>
        <v>128.90026160133252</v>
      </c>
      <c r="BA27" s="128">
        <f>INDEX(Direct_Cost_Splits_Network,MATCH($H27,RIN_Asset_Cat_Network,0),MATCH($BE$4,Direct_Cost_Type,0))*$N27*INDEX(Act_Type_Augex_Splits,MATCH($I27,Act_Type_Augex,0),MATCH(BA$4,Mat_Type,0))*INDEX(Escalators!$I$44:$U$49,MATCH(BA$4,Escalators!$C$44:$C$49,0),MATCH(BA$5,Escalators!$I$43:$U$43,0))</f>
        <v>386.70078480399758</v>
      </c>
      <c r="BB27" s="128">
        <f>INDEX(Direct_Cost_Splits_Network,MATCH($H27,RIN_Asset_Cat_Network,0),MATCH($BE$4,Direct_Cost_Type,0))*$N27*INDEX(Act_Type_Augex_Splits,MATCH($I27,Act_Type_Augex,0),MATCH(BB$4,Mat_Type,0))*INDEX(Escalators!$I$44:$U$49,MATCH(BB$4,Escalators!$C$44:$C$49,0),MATCH(BB$5,Escalators!$I$43:$U$43,0))</f>
        <v>1031.2020928106601</v>
      </c>
      <c r="BC27" s="128">
        <f>INDEX(Direct_Cost_Splits_Network,MATCH($H27,RIN_Asset_Cat_Network,0),MATCH($BE$4,Direct_Cost_Type,0))*$N27*INDEX(Act_Type_Augex_Splits,MATCH($I27,Act_Type_Augex,0),MATCH(BC$4,Mat_Type,0))*INDEX(Escalators!$I$44:$U$49,MATCH(BC$4,Escalators!$C$44:$C$49,0),MATCH(BC$5,Escalators!$I$43:$U$43,0))</f>
        <v>128.90026160133252</v>
      </c>
      <c r="BD27" s="128">
        <f>INDEX(Direct_Cost_Splits_Network,MATCH($H27,RIN_Asset_Cat_Network,0),MATCH($BE$4,Direct_Cost_Type,0))*$N27*INDEX(Act_Type_Augex_Splits,MATCH($I27,Act_Type_Augex,0),MATCH(BD$4,Mat_Type,0))*INDEX(Escalators!$I$44:$U$49,MATCH(BD$4,Escalators!$C$44:$C$49,0),MATCH(BD$5,Escalators!$I$43:$U$43,0))</f>
        <v>902.30183120932759</v>
      </c>
      <c r="BE27" s="128">
        <f t="shared" si="72"/>
        <v>2578.00523202665</v>
      </c>
      <c r="BF27" s="128">
        <f>INDEX(Direct_Cost_Splits_Network,MATCH($H27,RIN_Asset_Cat_Network,0),MATCH($BK$4,Direct_Cost_Type,0))*$O27*INDEX(Act_Type_Augex_Splits,MATCH($I27,Act_Type_Augex,0),MATCH(BF$4,Mat_Type,0))*INDEX(Escalators!$I$44:$U$49,MATCH(BF$4,Escalators!$C$44:$C$49,0),MATCH(BF$5,Escalators!$I$43:$U$43,0))</f>
        <v>228.10506318185449</v>
      </c>
      <c r="BG27" s="128">
        <f>INDEX(Direct_Cost_Splits_Network,MATCH($H27,RIN_Asset_Cat_Network,0),MATCH($BK$4,Direct_Cost_Type,0))*$O27*INDEX(Act_Type_Augex_Splits,MATCH($I27,Act_Type_Augex,0),MATCH(BG$4,Mat_Type,0))*INDEX(Escalators!$I$44:$U$49,MATCH(BG$4,Escalators!$C$44:$C$49,0),MATCH(BG$5,Escalators!$I$43:$U$43,0))</f>
        <v>684.31518954556338</v>
      </c>
      <c r="BH27" s="128">
        <f>INDEX(Direct_Cost_Splits_Network,MATCH($H27,RIN_Asset_Cat_Network,0),MATCH($BK$4,Direct_Cost_Type,0))*$O27*INDEX(Act_Type_Augex_Splits,MATCH($I27,Act_Type_Augex,0),MATCH(BH$4,Mat_Type,0))*INDEX(Escalators!$I$44:$U$49,MATCH(BH$4,Escalators!$C$44:$C$49,0),MATCH(BH$5,Escalators!$I$43:$U$43,0))</f>
        <v>1824.8405054548359</v>
      </c>
      <c r="BI27" s="128">
        <f>INDEX(Direct_Cost_Splits_Network,MATCH($H27,RIN_Asset_Cat_Network,0),MATCH($BK$4,Direct_Cost_Type,0))*$O27*INDEX(Act_Type_Augex_Splits,MATCH($I27,Act_Type_Augex,0),MATCH(BI$4,Mat_Type,0))*INDEX(Escalators!$I$44:$U$49,MATCH(BI$4,Escalators!$C$44:$C$49,0),MATCH(BI$5,Escalators!$I$43:$U$43,0))</f>
        <v>228.10506318185449</v>
      </c>
      <c r="BJ27" s="128">
        <f>INDEX(Direct_Cost_Splits_Network,MATCH($H27,RIN_Asset_Cat_Network,0),MATCH($BK$4,Direct_Cost_Type,0))*$O27*INDEX(Act_Type_Augex_Splits,MATCH($I27,Act_Type_Augex,0),MATCH(BJ$4,Mat_Type,0))*INDEX(Escalators!$I$44:$U$49,MATCH(BJ$4,Escalators!$C$44:$C$49,0),MATCH(BJ$5,Escalators!$I$43:$U$43,0))</f>
        <v>1596.7354422729813</v>
      </c>
      <c r="BK27" s="128">
        <f t="shared" si="73"/>
        <v>4562.1012636370897</v>
      </c>
      <c r="BL27" s="128">
        <f>INDEX(Direct_Cost_Splits_Network,MATCH($H27,RIN_Asset_Cat_Network,0),MATCH($BQ$4,Direct_Cost_Type,0))*$P27*INDEX(Act_Type_Augex_Splits,MATCH($I27,Act_Type_Augex,0),MATCH(BL$4,Mat_Type,0))*INDEX(Escalators!$I$44:$U$49,MATCH(BL$4,Escalators!$C$44:$C$49,0),MATCH(BL$5,Escalators!$I$43:$U$43,0))</f>
        <v>327.30986476237649</v>
      </c>
      <c r="BM27" s="128">
        <f>INDEX(Direct_Cost_Splits_Network,MATCH($H27,RIN_Asset_Cat_Network,0),MATCH($BQ$4,Direct_Cost_Type,0))*$P27*INDEX(Act_Type_Augex_Splits,MATCH($I27,Act_Type_Augex,0),MATCH(BM$4,Mat_Type,0))*INDEX(Escalators!$I$44:$U$49,MATCH(BM$4,Escalators!$C$44:$C$49,0),MATCH(BM$5,Escalators!$I$43:$U$43,0))</f>
        <v>981.92959428712925</v>
      </c>
      <c r="BN27" s="128">
        <f>INDEX(Direct_Cost_Splits_Network,MATCH($H27,RIN_Asset_Cat_Network,0),MATCH($BQ$4,Direct_Cost_Type,0))*$P27*INDEX(Act_Type_Augex_Splits,MATCH($I27,Act_Type_Augex,0),MATCH(BN$4,Mat_Type,0))*INDEX(Escalators!$I$44:$U$49,MATCH(BN$4,Escalators!$C$44:$C$49,0),MATCH(BN$5,Escalators!$I$43:$U$43,0))</f>
        <v>2618.4789180990119</v>
      </c>
      <c r="BO27" s="128">
        <f>INDEX(Direct_Cost_Splits_Network,MATCH($H27,RIN_Asset_Cat_Network,0),MATCH($BQ$4,Direct_Cost_Type,0))*$P27*INDEX(Act_Type_Augex_Splits,MATCH($I27,Act_Type_Augex,0),MATCH(BO$4,Mat_Type,0))*INDEX(Escalators!$I$44:$U$49,MATCH(BO$4,Escalators!$C$44:$C$49,0),MATCH(BO$5,Escalators!$I$43:$U$43,0))</f>
        <v>327.30986476237649</v>
      </c>
      <c r="BP27" s="128">
        <f>INDEX(Direct_Cost_Splits_Network,MATCH($H27,RIN_Asset_Cat_Network,0),MATCH($BQ$4,Direct_Cost_Type,0))*$P27*INDEX(Act_Type_Augex_Splits,MATCH($I27,Act_Type_Augex,0),MATCH(BP$4,Mat_Type,0))*INDEX(Escalators!$I$44:$U$49,MATCH(BP$4,Escalators!$C$44:$C$49,0),MATCH(BP$5,Escalators!$I$43:$U$43,0))</f>
        <v>2291.169053336635</v>
      </c>
      <c r="BQ27" s="128">
        <f t="shared" si="74"/>
        <v>6546.1972952475298</v>
      </c>
      <c r="BR27" s="128">
        <f>INDEX(Direct_Cost_Splits_Network,MATCH($H27,RIN_Asset_Cat_Network,0),MATCH($BW$4,Direct_Cost_Type,0))*$Q27*INDEX(Act_Type_Augex_Splits,MATCH($I27,Act_Type_Augex,0),MATCH(BR$4,Mat_Type,0))*INDEX(Escalators!$I$44:$U$49,MATCH(BR$4,Escalators!$C$44:$C$49,0),MATCH(BR$5,Escalators!$I$43:$U$43,0))</f>
        <v>355.65127651033941</v>
      </c>
      <c r="BS27" s="128">
        <f>INDEX(Direct_Cost_Splits_Network,MATCH($H27,RIN_Asset_Cat_Network,0),MATCH($BW$4,Direct_Cost_Type,0))*$Q27*INDEX(Act_Type_Augex_Splits,MATCH($I27,Act_Type_Augex,0),MATCH(BS$4,Mat_Type,0))*INDEX(Escalators!$I$44:$U$49,MATCH(BS$4,Escalators!$C$44:$C$49,0),MATCH(BS$5,Escalators!$I$43:$U$43,0))</f>
        <v>1066.9538295310181</v>
      </c>
      <c r="BT27" s="128">
        <f>INDEX(Direct_Cost_Splits_Network,MATCH($H27,RIN_Asset_Cat_Network,0),MATCH($BW$4,Direct_Cost_Type,0))*$Q27*INDEX(Act_Type_Augex_Splits,MATCH($I27,Act_Type_Augex,0),MATCH(BT$4,Mat_Type,0))*INDEX(Escalators!$I$44:$U$49,MATCH(BT$4,Escalators!$C$44:$C$49,0),MATCH(BT$5,Escalators!$I$43:$U$43,0))</f>
        <v>2845.2102120827153</v>
      </c>
      <c r="BU27" s="128">
        <f>INDEX(Direct_Cost_Splits_Network,MATCH($H27,RIN_Asset_Cat_Network,0),MATCH($BW$4,Direct_Cost_Type,0))*$Q27*INDEX(Act_Type_Augex_Splits,MATCH($I27,Act_Type_Augex,0),MATCH(BU$4,Mat_Type,0))*INDEX(Escalators!$I$44:$U$49,MATCH(BU$4,Escalators!$C$44:$C$49,0),MATCH(BU$5,Escalators!$I$43:$U$43,0))</f>
        <v>355.65127651033941</v>
      </c>
      <c r="BV27" s="128">
        <f>INDEX(Direct_Cost_Splits_Network,MATCH($H27,RIN_Asset_Cat_Network,0),MATCH($BW$4,Direct_Cost_Type,0))*$Q27*INDEX(Act_Type_Augex_Splits,MATCH($I27,Act_Type_Augex,0),MATCH(BV$4,Mat_Type,0))*INDEX(Escalators!$I$44:$U$49,MATCH(BV$4,Escalators!$C$44:$C$49,0),MATCH(BV$5,Escalators!$I$43:$U$43,0))</f>
        <v>2489.5589355723755</v>
      </c>
      <c r="BW27" s="128">
        <f t="shared" si="75"/>
        <v>7113.0255302067872</v>
      </c>
      <c r="BX27" s="129"/>
      <c r="BY27" s="128">
        <f>INDEX(Direct_Cost_Splits_Network,MATCH($H27,RIN_Asset_Cat_Network,0),MATCH($BY$4,Direct_Cost_Type,0))*J27*HLOOKUP(BY$5,Escalators!$I$25:$U$30,6,FALSE)</f>
        <v>0</v>
      </c>
      <c r="BZ27" s="128">
        <f>INDEX(Direct_Cost_Splits_Network,MATCH($H27,RIN_Asset_Cat_Network,0),MATCH($BY$4,Direct_Cost_Type,0))*K27*HLOOKUP(BZ$5,Escalators!$I$25:$U$30,6,FALSE)</f>
        <v>0</v>
      </c>
      <c r="CA27" s="128">
        <f>INDEX(Direct_Cost_Splits_Network,MATCH($H27,RIN_Asset_Cat_Network,0),MATCH($BY$4,Direct_Cost_Type,0))*L27*HLOOKUP(CA$5,Escalators!$I$25:$U$30,6,FALSE)</f>
        <v>0</v>
      </c>
      <c r="CB27" s="128">
        <f>INDEX(Direct_Cost_Splits_Network,MATCH($H27,RIN_Asset_Cat_Network,0),MATCH($BY$4,Direct_Cost_Type,0))*M27*HLOOKUP(CB$5,Escalators!$I$25:$U$30,6,FALSE)</f>
        <v>0</v>
      </c>
      <c r="CC27" s="128">
        <f>INDEX(Direct_Cost_Splits_Network,MATCH($H27,RIN_Asset_Cat_Network,0),MATCH($BY$4,Direct_Cost_Type,0))*N27*HLOOKUP(CC$5,Escalators!$I$25:$U$30,6,FALSE)</f>
        <v>3512.0208819556578</v>
      </c>
      <c r="CD27" s="128">
        <f>INDEX(Direct_Cost_Splits_Network,MATCH($H27,RIN_Asset_Cat_Network,0),MATCH($BY$4,Direct_Cost_Type,0))*O27*HLOOKUP(CD$5,Escalators!$I$25:$U$30,6,FALSE)</f>
        <v>6214.9582570451976</v>
      </c>
      <c r="CE27" s="128">
        <f>INDEX(Direct_Cost_Splits_Network,MATCH($H27,RIN_Asset_Cat_Network,0),MATCH($BY$4,Direct_Cost_Type,0))*P27*HLOOKUP(CE$5,Escalators!$I$25:$U$30,6,FALSE)</f>
        <v>8917.8956321347378</v>
      </c>
      <c r="CF27" s="128">
        <f>INDEX(Direct_Cost_Splits_Network,MATCH($H27,RIN_Asset_Cat_Network,0),MATCH($BY$4,Direct_Cost_Type,0))*Q27*HLOOKUP(CF$5,Escalators!$I$25:$U$30,6,FALSE)</f>
        <v>9690.0866940178912</v>
      </c>
      <c r="CG27" s="129"/>
      <c r="CH27" s="763">
        <f t="shared" si="76"/>
        <v>0</v>
      </c>
      <c r="CI27" s="763">
        <f t="shared" si="77"/>
        <v>0</v>
      </c>
      <c r="CJ27" s="763">
        <f t="shared" si="78"/>
        <v>0</v>
      </c>
      <c r="CK27" s="763">
        <f t="shared" si="79"/>
        <v>0</v>
      </c>
      <c r="CL27" s="763">
        <f t="shared" si="80"/>
        <v>964.8790012887265</v>
      </c>
      <c r="CM27" s="763">
        <f t="shared" si="81"/>
        <v>1707.4735366521115</v>
      </c>
      <c r="CN27" s="763">
        <f t="shared" si="82"/>
        <v>2450.0680720154965</v>
      </c>
      <c r="CO27" s="763">
        <f t="shared" si="83"/>
        <v>2662.2168506352318</v>
      </c>
      <c r="CP27" s="129"/>
      <c r="CQ27" s="128">
        <f t="shared" si="18"/>
        <v>0</v>
      </c>
      <c r="CR27" s="128">
        <f t="shared" si="9"/>
        <v>0</v>
      </c>
      <c r="CS27" s="128">
        <f t="shared" si="19"/>
        <v>0</v>
      </c>
      <c r="CT27" s="128">
        <f t="shared" si="20"/>
        <v>0</v>
      </c>
      <c r="CU27" s="128">
        <f t="shared" si="21"/>
        <v>8368.0087707944731</v>
      </c>
      <c r="CV27" s="128">
        <f t="shared" si="22"/>
        <v>14806.545760688781</v>
      </c>
      <c r="CW27" s="128">
        <f t="shared" si="23"/>
        <v>21258.273606174611</v>
      </c>
      <c r="CX27" s="128">
        <f t="shared" si="24"/>
        <v>23135.217793277967</v>
      </c>
      <c r="CZ27" s="39"/>
    </row>
    <row r="28" spans="2:104" x14ac:dyDescent="0.25">
      <c r="B28" s="75" t="s">
        <v>654</v>
      </c>
      <c r="C28" s="75" t="s">
        <v>556</v>
      </c>
      <c r="D28" s="75" t="s">
        <v>426</v>
      </c>
      <c r="E28" s="75" t="s">
        <v>48</v>
      </c>
      <c r="F28" s="75" t="s">
        <v>55</v>
      </c>
      <c r="G28" s="75" t="s">
        <v>10</v>
      </c>
      <c r="H28" s="75" t="s">
        <v>152</v>
      </c>
      <c r="I28" s="75" t="s">
        <v>577</v>
      </c>
      <c r="J28" s="128"/>
      <c r="K28" s="128"/>
      <c r="L28" s="128"/>
      <c r="M28" s="128">
        <v>0</v>
      </c>
      <c r="N28" s="128">
        <v>2399.5306011935345</v>
      </c>
      <c r="O28" s="128">
        <v>4203.2169843119755</v>
      </c>
      <c r="P28" s="128">
        <v>6006.9033674304173</v>
      </c>
      <c r="Q28" s="128">
        <v>6553.4691122954855</v>
      </c>
      <c r="R28" s="129"/>
      <c r="S28" s="128">
        <f>INDEX(Direct_Cost_Splits_Network,MATCH($H28,RIN_Asset_Cat_Network,0),MATCH($S$4,Direct_Cost_Type,0))*J28*HLOOKUP(S$5,Escalators!$I$25:$U$30,3,FALSE)</f>
        <v>0</v>
      </c>
      <c r="T28" s="128">
        <f>INDEX(Direct_Cost_Splits_Network,MATCH($H28,RIN_Asset_Cat_Network,0),MATCH($S$4,Direct_Cost_Type,0))*K28*HLOOKUP(T$5,Escalators!$I$25:$U$30,3,FALSE)</f>
        <v>0</v>
      </c>
      <c r="U28" s="128">
        <f>INDEX(Direct_Cost_Splits_Network,MATCH($H28,RIN_Asset_Cat_Network,0),MATCH($S$4,Direct_Cost_Type,0))*L28*HLOOKUP(U$5,Escalators!$I$25:$U$30,3,FALSE)</f>
        <v>0</v>
      </c>
      <c r="V28" s="128">
        <f>INDEX(Direct_Cost_Splits_Network,MATCH($H28,RIN_Asset_Cat_Network,0),MATCH($S$4,Direct_Cost_Type,0))*M28*HLOOKUP(V$5,Escalators!$I$25:$U$30,3,FALSE)</f>
        <v>0</v>
      </c>
      <c r="W28" s="128">
        <f>INDEX(Direct_Cost_Splits_Network,MATCH($H28,RIN_Asset_Cat_Network,0),MATCH($S$4,Direct_Cost_Type,0))*N28*HLOOKUP(W$5,Escalators!$I$25:$U$30,3,FALSE)</f>
        <v>377.43803132852889</v>
      </c>
      <c r="X28" s="128">
        <f>INDEX(Direct_Cost_Splits_Network,MATCH($H28,RIN_Asset_Cat_Network,0),MATCH($S$4,Direct_Cost_Type,0))*O28*HLOOKUP(X$5,Escalators!$I$25:$U$30,3,FALSE)</f>
        <v>660.67158764527346</v>
      </c>
      <c r="Y28" s="128">
        <f>INDEX(Direct_Cost_Splits_Network,MATCH($H28,RIN_Asset_Cat_Network,0),MATCH($S$4,Direct_Cost_Type,0))*P28*HLOOKUP(Y$5,Escalators!$I$25:$U$30,3,FALSE)</f>
        <v>947.64701247787218</v>
      </c>
      <c r="Z28" s="128">
        <f>INDEX(Direct_Cost_Splits_Network,MATCH($H28,RIN_Asset_Cat_Network,0),MATCH($S$4,Direct_Cost_Type,0))*Q28*HLOOKUP(Z$5,Escalators!$I$25:$U$30,3,FALSE)</f>
        <v>1044.1765467416121</v>
      </c>
      <c r="AA28" s="129"/>
      <c r="AB28" s="128">
        <f>INDEX(Direct_Cost_Splits_Network,MATCH($H28,RIN_Asset_Cat_Network,0),MATCH($AG$4,Direct_Cost_Type,0))*$J28*INDEX(Act_Type_Augex_Splits,MATCH($I28,Act_Type_Augex,0),MATCH(AB$4,Mat_Type,0))*INDEX(Escalators!$I$44:$U$49,MATCH(AB$4,Escalators!$C$44:$C$49,0),MATCH(AB$5,Escalators!$I$43:$U$43,0))</f>
        <v>0</v>
      </c>
      <c r="AC28" s="128">
        <f>INDEX(Direct_Cost_Splits_Network,MATCH($H28,RIN_Asset_Cat_Network,0),MATCH($AG$4,Direct_Cost_Type,0))*$J28*INDEX(Act_Type_Augex_Splits,MATCH($I28,Act_Type_Augex,0),MATCH(AC$4,Mat_Type,0))*INDEX(Escalators!$I$44:$U$49,MATCH(AC$4,Escalators!$C$44:$C$49,0),MATCH(AC$5,Escalators!$I$43:$U$43,0))</f>
        <v>0</v>
      </c>
      <c r="AD28" s="128">
        <f>INDEX(Direct_Cost_Splits_Network,MATCH($H28,RIN_Asset_Cat_Network,0),MATCH($AG$4,Direct_Cost_Type,0))*$J28*INDEX(Act_Type_Augex_Splits,MATCH($I28,Act_Type_Augex,0),MATCH(AD$4,Mat_Type,0))*INDEX(Escalators!$I$44:$U$49,MATCH(AD$4,Escalators!$C$44:$C$49,0),MATCH(AD$5,Escalators!$I$43:$U$43,0))</f>
        <v>0</v>
      </c>
      <c r="AE28" s="128">
        <f>INDEX(Direct_Cost_Splits_Network,MATCH($H28,RIN_Asset_Cat_Network,0),MATCH($AG$4,Direct_Cost_Type,0))*$J28*INDEX(Act_Type_Augex_Splits,MATCH($I28,Act_Type_Augex,0),MATCH(AE$4,Mat_Type,0))*INDEX(Escalators!$I$44:$U$49,MATCH(AE$4,Escalators!$C$44:$C$49,0),MATCH(AE$5,Escalators!$I$43:$U$43,0))</f>
        <v>0</v>
      </c>
      <c r="AF28" s="128">
        <f>INDEX(Direct_Cost_Splits_Network,MATCH($H28,RIN_Asset_Cat_Network,0),MATCH($AG$4,Direct_Cost_Type,0))*$J28*INDEX(Act_Type_Augex_Splits,MATCH($I28,Act_Type_Augex,0),MATCH(AF$4,Mat_Type,0))*INDEX(Escalators!$I$44:$U$49,MATCH(AF$4,Escalators!$C$44:$C$49,0),MATCH(AF$5,Escalators!$I$43:$U$43,0))</f>
        <v>0</v>
      </c>
      <c r="AG28" s="128">
        <f t="shared" ref="AG28" si="84">SUM(AB28:AF28)</f>
        <v>0</v>
      </c>
      <c r="AH28" s="128">
        <f>INDEX(Direct_Cost_Splits_Network,MATCH($H28,RIN_Asset_Cat_Network,0),MATCH($AY$4,Direct_Cost_Type,0))*$K28*INDEX(Act_Type_Augex_Splits,MATCH($I28,Act_Type_Augex,0),MATCH(AH$4,Mat_Type,0))*INDEX(Escalators!$I$44:$U$49,MATCH(AH$4,Escalators!$C$44:$C$49,0),MATCH(AH$5,Escalators!$I$43:$U$43,0))</f>
        <v>0</v>
      </c>
      <c r="AI28" s="128">
        <f>INDEX(Direct_Cost_Splits_Network,MATCH($H28,RIN_Asset_Cat_Network,0),MATCH($AY$4,Direct_Cost_Type,0))*$K28*INDEX(Act_Type_Augex_Splits,MATCH($I28,Act_Type_Augex,0),MATCH(AI$4,Mat_Type,0))*INDEX(Escalators!$I$44:$U$49,MATCH(AI$4,Escalators!$C$44:$C$49,0),MATCH(AI$5,Escalators!$I$43:$U$43,0))</f>
        <v>0</v>
      </c>
      <c r="AJ28" s="128">
        <f>INDEX(Direct_Cost_Splits_Network,MATCH($H28,RIN_Asset_Cat_Network,0),MATCH($AY$4,Direct_Cost_Type,0))*$K28*INDEX(Act_Type_Augex_Splits,MATCH($I28,Act_Type_Augex,0),MATCH(AJ$4,Mat_Type,0))*INDEX(Escalators!$I$44:$U$49,MATCH(AJ$4,Escalators!$C$44:$C$49,0),MATCH(AJ$5,Escalators!$I$43:$U$43,0))</f>
        <v>0</v>
      </c>
      <c r="AK28" s="128">
        <f>INDEX(Direct_Cost_Splits_Network,MATCH($H28,RIN_Asset_Cat_Network,0),MATCH($AY$4,Direct_Cost_Type,0))*$K28*INDEX(Act_Type_Augex_Splits,MATCH($I28,Act_Type_Augex,0),MATCH(AK$4,Mat_Type,0))*INDEX(Escalators!$I$44:$U$49,MATCH(AK$4,Escalators!$C$44:$C$49,0),MATCH(AK$5,Escalators!$I$43:$U$43,0))</f>
        <v>0</v>
      </c>
      <c r="AL28" s="128">
        <f>INDEX(Direct_Cost_Splits_Network,MATCH($H28,RIN_Asset_Cat_Network,0),MATCH($AY$4,Direct_Cost_Type,0))*$K28*INDEX(Act_Type_Augex_Splits,MATCH($I28,Act_Type_Augex,0),MATCH(AL$4,Mat_Type,0))*INDEX(Escalators!$I$44:$U$49,MATCH(AL$4,Escalators!$C$44:$C$49,0),MATCH(AL$5,Escalators!$I$43:$U$43,0))</f>
        <v>0</v>
      </c>
      <c r="AM28" s="128">
        <f t="shared" ref="AM28" si="85">SUM(AH28:AL28)</f>
        <v>0</v>
      </c>
      <c r="AN28" s="128">
        <f>INDEX(Direct_Cost_Splits_Network,MATCH($H28,RIN_Asset_Cat_Network,0),MATCH($AY$4,Direct_Cost_Type,0))*$L28*INDEX(Act_Type_Augex_Splits,MATCH($I28,Act_Type_Augex,0),MATCH(AN$4,Mat_Type,0))*INDEX(Escalators!$I$44:$U$49,MATCH(AN$4,Escalators!$C$44:$C$49,0),MATCH(AN$5,Escalators!$I$43:$U$43,0))</f>
        <v>0</v>
      </c>
      <c r="AO28" s="128">
        <f>INDEX(Direct_Cost_Splits_Network,MATCH($H28,RIN_Asset_Cat_Network,0),MATCH($AY$4,Direct_Cost_Type,0))*$L28*INDEX(Act_Type_Augex_Splits,MATCH($I28,Act_Type_Augex,0),MATCH(AO$4,Mat_Type,0))*INDEX(Escalators!$I$44:$U$49,MATCH(AO$4,Escalators!$C$44:$C$49,0),MATCH(AO$5,Escalators!$I$43:$U$43,0))</f>
        <v>0</v>
      </c>
      <c r="AP28" s="128">
        <f>INDEX(Direct_Cost_Splits_Network,MATCH($H28,RIN_Asset_Cat_Network,0),MATCH($AY$4,Direct_Cost_Type,0))*$L28*INDEX(Act_Type_Augex_Splits,MATCH($I28,Act_Type_Augex,0),MATCH(AP$4,Mat_Type,0))*INDEX(Escalators!$I$44:$U$49,MATCH(AP$4,Escalators!$C$44:$C$49,0),MATCH(AP$5,Escalators!$I$43:$U$43,0))</f>
        <v>0</v>
      </c>
      <c r="AQ28" s="128">
        <f>INDEX(Direct_Cost_Splits_Network,MATCH($H28,RIN_Asset_Cat_Network,0),MATCH($AY$4,Direct_Cost_Type,0))*$L28*INDEX(Act_Type_Augex_Splits,MATCH($I28,Act_Type_Augex,0),MATCH(AQ$4,Mat_Type,0))*INDEX(Escalators!$I$44:$U$49,MATCH(AQ$4,Escalators!$C$44:$C$49,0),MATCH(AQ$5,Escalators!$I$43:$U$43,0))</f>
        <v>0</v>
      </c>
      <c r="AR28" s="128">
        <f>INDEX(Direct_Cost_Splits_Network,MATCH($H28,RIN_Asset_Cat_Network,0),MATCH($AY$4,Direct_Cost_Type,0))*$L28*INDEX(Act_Type_Augex_Splits,MATCH($I28,Act_Type_Augex,0),MATCH(AR$4,Mat_Type,0))*INDEX(Escalators!$I$44:$U$49,MATCH(AR$4,Escalators!$C$44:$C$49,0),MATCH(AR$5,Escalators!$I$43:$U$43,0))</f>
        <v>0</v>
      </c>
      <c r="AS28" s="128">
        <f t="shared" si="70"/>
        <v>0</v>
      </c>
      <c r="AT28" s="128">
        <f>INDEX(Direct_Cost_Splits_Network,MATCH($H28,RIN_Asset_Cat_Network,0),MATCH($AY$4,Direct_Cost_Type,0))*$M28*INDEX(Act_Type_Augex_Splits,MATCH($I28,Act_Type_Augex,0),MATCH(AT$4,Mat_Type,0))*INDEX(Escalators!$I$44:$U$49,MATCH(AT$4,Escalators!$C$44:$C$49,0),MATCH(AT$5,Escalators!$I$43:$U$43,0))</f>
        <v>0</v>
      </c>
      <c r="AU28" s="128">
        <f>INDEX(Direct_Cost_Splits_Network,MATCH($H28,RIN_Asset_Cat_Network,0),MATCH($AY$4,Direct_Cost_Type,0))*$M28*INDEX(Act_Type_Augex_Splits,MATCH($I28,Act_Type_Augex,0),MATCH(AU$4,Mat_Type,0))*INDEX(Escalators!$I$44:$U$49,MATCH(AU$4,Escalators!$C$44:$C$49,0),MATCH(AU$5,Escalators!$I$43:$U$43,0))</f>
        <v>0</v>
      </c>
      <c r="AV28" s="128">
        <f>INDEX(Direct_Cost_Splits_Network,MATCH($H28,RIN_Asset_Cat_Network,0),MATCH($AY$4,Direct_Cost_Type,0))*$M28*INDEX(Act_Type_Augex_Splits,MATCH($I28,Act_Type_Augex,0),MATCH(AV$4,Mat_Type,0))*INDEX(Escalators!$I$44:$U$49,MATCH(AV$4,Escalators!$C$44:$C$49,0),MATCH(AV$5,Escalators!$I$43:$U$43,0))</f>
        <v>0</v>
      </c>
      <c r="AW28" s="128">
        <f>INDEX(Direct_Cost_Splits_Network,MATCH($H28,RIN_Asset_Cat_Network,0),MATCH($AY$4,Direct_Cost_Type,0))*$M28*INDEX(Act_Type_Augex_Splits,MATCH($I28,Act_Type_Augex,0),MATCH(AW$4,Mat_Type,0))*INDEX(Escalators!$I$44:$U$49,MATCH(AW$4,Escalators!$C$44:$C$49,0),MATCH(AW$5,Escalators!$I$43:$U$43,0))</f>
        <v>0</v>
      </c>
      <c r="AX28" s="128">
        <f>INDEX(Direct_Cost_Splits_Network,MATCH($H28,RIN_Asset_Cat_Network,0),MATCH($AY$4,Direct_Cost_Type,0))*$M28*INDEX(Act_Type_Augex_Splits,MATCH($I28,Act_Type_Augex,0),MATCH(AX$4,Mat_Type,0))*INDEX(Escalators!$I$44:$U$49,MATCH(AX$4,Escalators!$C$44:$C$49,0),MATCH(AX$5,Escalators!$I$43:$U$43,0))</f>
        <v>0</v>
      </c>
      <c r="AY28" s="128">
        <f t="shared" ref="AY28" si="86">SUM(AT28:AX28)</f>
        <v>0</v>
      </c>
      <c r="AZ28" s="128">
        <f>INDEX(Direct_Cost_Splits_Network,MATCH($H28,RIN_Asset_Cat_Network,0),MATCH($BE$4,Direct_Cost_Type,0))*$N28*INDEX(Act_Type_Augex_Splits,MATCH($I28,Act_Type_Augex,0),MATCH(AZ$4,Mat_Type,0))*INDEX(Escalators!$I$44:$U$49,MATCH(AZ$4,Escalators!$C$44:$C$49,0),MATCH(AZ$5,Escalators!$I$43:$U$43,0))</f>
        <v>37.051043740446602</v>
      </c>
      <c r="BA28" s="128">
        <f>INDEX(Direct_Cost_Splits_Network,MATCH($H28,RIN_Asset_Cat_Network,0),MATCH($BE$4,Direct_Cost_Type,0))*$N28*INDEX(Act_Type_Augex_Splits,MATCH($I28,Act_Type_Augex,0),MATCH(BA$4,Mat_Type,0))*INDEX(Escalators!$I$44:$U$49,MATCH(BA$4,Escalators!$C$44:$C$49,0),MATCH(BA$5,Escalators!$I$43:$U$43,0))</f>
        <v>148.20417496178641</v>
      </c>
      <c r="BB28" s="128">
        <f>INDEX(Direct_Cost_Splits_Network,MATCH($H28,RIN_Asset_Cat_Network,0),MATCH($BE$4,Direct_Cost_Type,0))*$N28*INDEX(Act_Type_Augex_Splits,MATCH($I28,Act_Type_Augex,0),MATCH(BB$4,Mat_Type,0))*INDEX(Escalators!$I$44:$U$49,MATCH(BB$4,Escalators!$C$44:$C$49,0),MATCH(BB$5,Escalators!$I$43:$U$43,0))</f>
        <v>259.35730618312618</v>
      </c>
      <c r="BC28" s="128">
        <f>INDEX(Direct_Cost_Splits_Network,MATCH($H28,RIN_Asset_Cat_Network,0),MATCH($BE$4,Direct_Cost_Type,0))*$N28*INDEX(Act_Type_Augex_Splits,MATCH($I28,Act_Type_Augex,0),MATCH(BC$4,Mat_Type,0))*INDEX(Escalators!$I$44:$U$49,MATCH(BC$4,Escalators!$C$44:$C$49,0),MATCH(BC$5,Escalators!$I$43:$U$43,0))</f>
        <v>37.051043740446602</v>
      </c>
      <c r="BD28" s="128">
        <f>INDEX(Direct_Cost_Splits_Network,MATCH($H28,RIN_Asset_Cat_Network,0),MATCH($BE$4,Direct_Cost_Type,0))*$N28*INDEX(Act_Type_Augex_Splits,MATCH($I28,Act_Type_Augex,0),MATCH(BD$4,Mat_Type,0))*INDEX(Escalators!$I$44:$U$49,MATCH(BD$4,Escalators!$C$44:$C$49,0),MATCH(BD$5,Escalators!$I$43:$U$43,0))</f>
        <v>259.35730618312618</v>
      </c>
      <c r="BE28" s="128">
        <f t="shared" ref="BE28" si="87">SUM(AZ28:BD28)</f>
        <v>741.02087480893204</v>
      </c>
      <c r="BF28" s="128">
        <f>INDEX(Direct_Cost_Splits_Network,MATCH($H28,RIN_Asset_Cat_Network,0),MATCH($BK$4,Direct_Cost_Type,0))*$O28*INDEX(Act_Type_Augex_Splits,MATCH($I28,Act_Type_Augex,0),MATCH(BF$4,Mat_Type,0))*INDEX(Escalators!$I$44:$U$49,MATCH(BF$4,Escalators!$C$44:$C$49,0),MATCH(BF$5,Escalators!$I$43:$U$43,0))</f>
        <v>64.901683795517613</v>
      </c>
      <c r="BG28" s="128">
        <f>INDEX(Direct_Cost_Splits_Network,MATCH($H28,RIN_Asset_Cat_Network,0),MATCH($BK$4,Direct_Cost_Type,0))*$O28*INDEX(Act_Type_Augex_Splits,MATCH($I28,Act_Type_Augex,0),MATCH(BG$4,Mat_Type,0))*INDEX(Escalators!$I$44:$U$49,MATCH(BG$4,Escalators!$C$44:$C$49,0),MATCH(BG$5,Escalators!$I$43:$U$43,0))</f>
        <v>259.60673518207045</v>
      </c>
      <c r="BH28" s="128">
        <f>INDEX(Direct_Cost_Splits_Network,MATCH($H28,RIN_Asset_Cat_Network,0),MATCH($BK$4,Direct_Cost_Type,0))*$O28*INDEX(Act_Type_Augex_Splits,MATCH($I28,Act_Type_Augex,0),MATCH(BH$4,Mat_Type,0))*INDEX(Escalators!$I$44:$U$49,MATCH(BH$4,Escalators!$C$44:$C$49,0),MATCH(BH$5,Escalators!$I$43:$U$43,0))</f>
        <v>454.31178656862323</v>
      </c>
      <c r="BI28" s="128">
        <f>INDEX(Direct_Cost_Splits_Network,MATCH($H28,RIN_Asset_Cat_Network,0),MATCH($BK$4,Direct_Cost_Type,0))*$O28*INDEX(Act_Type_Augex_Splits,MATCH($I28,Act_Type_Augex,0),MATCH(BI$4,Mat_Type,0))*INDEX(Escalators!$I$44:$U$49,MATCH(BI$4,Escalators!$C$44:$C$49,0),MATCH(BI$5,Escalators!$I$43:$U$43,0))</f>
        <v>64.901683795517613</v>
      </c>
      <c r="BJ28" s="128">
        <f>INDEX(Direct_Cost_Splits_Network,MATCH($H28,RIN_Asset_Cat_Network,0),MATCH($BK$4,Direct_Cost_Type,0))*$O28*INDEX(Act_Type_Augex_Splits,MATCH($I28,Act_Type_Augex,0),MATCH(BJ$4,Mat_Type,0))*INDEX(Escalators!$I$44:$U$49,MATCH(BJ$4,Escalators!$C$44:$C$49,0),MATCH(BJ$5,Escalators!$I$43:$U$43,0))</f>
        <v>454.31178656862323</v>
      </c>
      <c r="BK28" s="128">
        <f t="shared" ref="BK28" si="88">SUM(BF28:BJ28)</f>
        <v>1298.033675910352</v>
      </c>
      <c r="BL28" s="128">
        <f>INDEX(Direct_Cost_Splits_Network,MATCH($H28,RIN_Asset_Cat_Network,0),MATCH($BQ$4,Direct_Cost_Type,0))*$P28*INDEX(Act_Type_Augex_Splits,MATCH($I28,Act_Type_Augex,0),MATCH(BL$4,Mat_Type,0))*INDEX(Escalators!$I$44:$U$49,MATCH(BL$4,Escalators!$C$44:$C$49,0),MATCH(BL$5,Escalators!$I$43:$U$43,0))</f>
        <v>92.752323850588652</v>
      </c>
      <c r="BM28" s="128">
        <f>INDEX(Direct_Cost_Splits_Network,MATCH($H28,RIN_Asset_Cat_Network,0),MATCH($BQ$4,Direct_Cost_Type,0))*$P28*INDEX(Act_Type_Augex_Splits,MATCH($I28,Act_Type_Augex,0),MATCH(BM$4,Mat_Type,0))*INDEX(Escalators!$I$44:$U$49,MATCH(BM$4,Escalators!$C$44:$C$49,0),MATCH(BM$5,Escalators!$I$43:$U$43,0))</f>
        <v>371.00929540235461</v>
      </c>
      <c r="BN28" s="128">
        <f>INDEX(Direct_Cost_Splits_Network,MATCH($H28,RIN_Asset_Cat_Network,0),MATCH($BQ$4,Direct_Cost_Type,0))*$P28*INDEX(Act_Type_Augex_Splits,MATCH($I28,Act_Type_Augex,0),MATCH(BN$4,Mat_Type,0))*INDEX(Escalators!$I$44:$U$49,MATCH(BN$4,Escalators!$C$44:$C$49,0),MATCH(BN$5,Escalators!$I$43:$U$43,0))</f>
        <v>649.2662669541204</v>
      </c>
      <c r="BO28" s="128">
        <f>INDEX(Direct_Cost_Splits_Network,MATCH($H28,RIN_Asset_Cat_Network,0),MATCH($BQ$4,Direct_Cost_Type,0))*$P28*INDEX(Act_Type_Augex_Splits,MATCH($I28,Act_Type_Augex,0),MATCH(BO$4,Mat_Type,0))*INDEX(Escalators!$I$44:$U$49,MATCH(BO$4,Escalators!$C$44:$C$49,0),MATCH(BO$5,Escalators!$I$43:$U$43,0))</f>
        <v>92.752323850588652</v>
      </c>
      <c r="BP28" s="128">
        <f>INDEX(Direct_Cost_Splits_Network,MATCH($H28,RIN_Asset_Cat_Network,0),MATCH($BQ$4,Direct_Cost_Type,0))*$P28*INDEX(Act_Type_Augex_Splits,MATCH($I28,Act_Type_Augex,0),MATCH(BP$4,Mat_Type,0))*INDEX(Escalators!$I$44:$U$49,MATCH(BP$4,Escalators!$C$44:$C$49,0),MATCH(BP$5,Escalators!$I$43:$U$43,0))</f>
        <v>649.2662669541204</v>
      </c>
      <c r="BQ28" s="128">
        <f t="shared" ref="BQ28" si="89">SUM(BL28:BP28)</f>
        <v>1855.0464770117728</v>
      </c>
      <c r="BR28" s="128">
        <f>INDEX(Direct_Cost_Splits_Network,MATCH($H28,RIN_Asset_Cat_Network,0),MATCH($BW$4,Direct_Cost_Type,0))*$Q28*INDEX(Act_Type_Augex_Splits,MATCH($I28,Act_Type_Augex,0),MATCH(BR$4,Mat_Type,0))*INDEX(Escalators!$I$44:$U$49,MATCH(BR$4,Escalators!$C$44:$C$49,0),MATCH(BR$5,Escalators!$I$43:$U$43,0))</f>
        <v>101.19182085469129</v>
      </c>
      <c r="BS28" s="128">
        <f>INDEX(Direct_Cost_Splits_Network,MATCH($H28,RIN_Asset_Cat_Network,0),MATCH($BW$4,Direct_Cost_Type,0))*$Q28*INDEX(Act_Type_Augex_Splits,MATCH($I28,Act_Type_Augex,0),MATCH(BS$4,Mat_Type,0))*INDEX(Escalators!$I$44:$U$49,MATCH(BS$4,Escalators!$C$44:$C$49,0),MATCH(BS$5,Escalators!$I$43:$U$43,0))</f>
        <v>404.76728341876515</v>
      </c>
      <c r="BT28" s="128">
        <f>INDEX(Direct_Cost_Splits_Network,MATCH($H28,RIN_Asset_Cat_Network,0),MATCH($BW$4,Direct_Cost_Type,0))*$Q28*INDEX(Act_Type_Augex_Splits,MATCH($I28,Act_Type_Augex,0),MATCH(BT$4,Mat_Type,0))*INDEX(Escalators!$I$44:$U$49,MATCH(BT$4,Escalators!$C$44:$C$49,0),MATCH(BT$5,Escalators!$I$43:$U$43,0))</f>
        <v>708.34274598283889</v>
      </c>
      <c r="BU28" s="128">
        <f>INDEX(Direct_Cost_Splits_Network,MATCH($H28,RIN_Asset_Cat_Network,0),MATCH($BW$4,Direct_Cost_Type,0))*$Q28*INDEX(Act_Type_Augex_Splits,MATCH($I28,Act_Type_Augex,0),MATCH(BU$4,Mat_Type,0))*INDEX(Escalators!$I$44:$U$49,MATCH(BU$4,Escalators!$C$44:$C$49,0),MATCH(BU$5,Escalators!$I$43:$U$43,0))</f>
        <v>101.19182085469129</v>
      </c>
      <c r="BV28" s="128">
        <f>INDEX(Direct_Cost_Splits_Network,MATCH($H28,RIN_Asset_Cat_Network,0),MATCH($BW$4,Direct_Cost_Type,0))*$Q28*INDEX(Act_Type_Augex_Splits,MATCH($I28,Act_Type_Augex,0),MATCH(BV$4,Mat_Type,0))*INDEX(Escalators!$I$44:$U$49,MATCH(BV$4,Escalators!$C$44:$C$49,0),MATCH(BV$5,Escalators!$I$43:$U$43,0))</f>
        <v>708.34274598283889</v>
      </c>
      <c r="BW28" s="128">
        <f t="shared" ref="BW28" si="90">SUM(BR28:BV28)</f>
        <v>2023.8364170938257</v>
      </c>
      <c r="BX28" s="129"/>
      <c r="BY28" s="128">
        <f>INDEX(Direct_Cost_Splits_Network,MATCH($H28,RIN_Asset_Cat_Network,0),MATCH($BY$4,Direct_Cost_Type,0))*J28*HLOOKUP(BY$5,Escalators!$I$25:$U$30,6,FALSE)</f>
        <v>0</v>
      </c>
      <c r="BZ28" s="128">
        <f>INDEX(Direct_Cost_Splits_Network,MATCH($H28,RIN_Asset_Cat_Network,0),MATCH($BY$4,Direct_Cost_Type,0))*K28*HLOOKUP(BZ$5,Escalators!$I$25:$U$30,6,FALSE)</f>
        <v>0</v>
      </c>
      <c r="CA28" s="128">
        <f>INDEX(Direct_Cost_Splits_Network,MATCH($H28,RIN_Asset_Cat_Network,0),MATCH($BY$4,Direct_Cost_Type,0))*L28*HLOOKUP(CA$5,Escalators!$I$25:$U$30,6,FALSE)</f>
        <v>0</v>
      </c>
      <c r="CB28" s="128">
        <f>INDEX(Direct_Cost_Splits_Network,MATCH($H28,RIN_Asset_Cat_Network,0),MATCH($BY$4,Direct_Cost_Type,0))*M28*HLOOKUP(CB$5,Escalators!$I$25:$U$30,6,FALSE)</f>
        <v>0</v>
      </c>
      <c r="CC28" s="128">
        <f>INDEX(Direct_Cost_Splits_Network,MATCH($H28,RIN_Asset_Cat_Network,0),MATCH($BY$4,Direct_Cost_Type,0))*N28*HLOOKUP(CC$5,Escalators!$I$25:$U$30,6,FALSE)</f>
        <v>1009.4939893694967</v>
      </c>
      <c r="CD28" s="128">
        <f>INDEX(Direct_Cost_Splits_Network,MATCH($H28,RIN_Asset_Cat_Network,0),MATCH($BY$4,Direct_Cost_Type,0))*O28*HLOOKUP(CD$5,Escalators!$I$25:$U$30,6,FALSE)</f>
        <v>1768.3134691294115</v>
      </c>
      <c r="CE28" s="128">
        <f>INDEX(Direct_Cost_Splits_Network,MATCH($H28,RIN_Asset_Cat_Network,0),MATCH($BY$4,Direct_Cost_Type,0))*P28*HLOOKUP(CE$5,Escalators!$I$25:$U$30,6,FALSE)</f>
        <v>2527.1329488893266</v>
      </c>
      <c r="CF28" s="128">
        <f>INDEX(Direct_Cost_Splits_Network,MATCH($H28,RIN_Asset_Cat_Network,0),MATCH($BY$4,Direct_Cost_Type,0))*Q28*HLOOKUP(CF$5,Escalators!$I$25:$U$30,6,FALSE)</f>
        <v>2757.0757693568394</v>
      </c>
      <c r="CG28" s="129"/>
      <c r="CH28" s="763">
        <f t="shared" ref="CH28" si="91">INDEX(Direct_Cost_Splits_Network,MATCH($H28,RIN_Asset_Cat_Network,0),MATCH($CH$4,Direct_Cost_Type,0))*J28</f>
        <v>0</v>
      </c>
      <c r="CI28" s="763">
        <f t="shared" si="77"/>
        <v>0</v>
      </c>
      <c r="CJ28" s="763">
        <f t="shared" si="78"/>
        <v>0</v>
      </c>
      <c r="CK28" s="763">
        <f t="shared" ref="CK28" si="92">INDEX(Direct_Cost_Splits_Network,MATCH($H28,RIN_Asset_Cat_Network,0),MATCH($CH$4,Direct_Cost_Type,0))*M28</f>
        <v>0</v>
      </c>
      <c r="CL28" s="763">
        <f t="shared" ref="CL28" si="93">INDEX(Direct_Cost_Splits_Network,MATCH($H28,RIN_Asset_Cat_Network,0),MATCH($CH$4,Direct_Cost_Type,0))*N28</f>
        <v>277.34446491315322</v>
      </c>
      <c r="CM28" s="763">
        <f t="shared" ref="CM28" si="94">INDEX(Direct_Cost_Splits_Network,MATCH($H28,RIN_Asset_Cat_Network,0),MATCH($CH$4,Direct_Cost_Type,0))*O28</f>
        <v>485.819586900888</v>
      </c>
      <c r="CN28" s="763">
        <f t="shared" ref="CN28" si="95">INDEX(Direct_Cost_Splits_Network,MATCH($H28,RIN_Asset_Cat_Network,0),MATCH($CH$4,Direct_Cost_Type,0))*P28</f>
        <v>694.29470888862284</v>
      </c>
      <c r="CO28" s="763">
        <f t="shared" ref="CO28" si="96">INDEX(Direct_Cost_Splits_Network,MATCH($H28,RIN_Asset_Cat_Network,0),MATCH($CH$4,Direct_Cost_Type,0))*Q28</f>
        <v>757.46830791422451</v>
      </c>
      <c r="CP28" s="129"/>
      <c r="CQ28" s="128">
        <f t="shared" si="18"/>
        <v>0</v>
      </c>
      <c r="CR28" s="128">
        <f t="shared" si="9"/>
        <v>0</v>
      </c>
      <c r="CS28" s="128">
        <f t="shared" si="19"/>
        <v>0</v>
      </c>
      <c r="CT28" s="128">
        <f t="shared" si="20"/>
        <v>0</v>
      </c>
      <c r="CU28" s="128">
        <f t="shared" si="21"/>
        <v>2405.2973604201111</v>
      </c>
      <c r="CV28" s="128">
        <f t="shared" si="22"/>
        <v>4212.8383195859251</v>
      </c>
      <c r="CW28" s="128">
        <f t="shared" si="23"/>
        <v>6024.121147267595</v>
      </c>
      <c r="CX28" s="128">
        <f t="shared" si="24"/>
        <v>6582.5570411065009</v>
      </c>
      <c r="CZ28" s="39"/>
    </row>
    <row r="29" spans="2:104" x14ac:dyDescent="0.25">
      <c r="B29" s="75" t="s">
        <v>654</v>
      </c>
      <c r="C29" s="75" t="s">
        <v>556</v>
      </c>
      <c r="D29" s="75" t="s">
        <v>426</v>
      </c>
      <c r="E29" s="75" t="s">
        <v>399</v>
      </c>
      <c r="F29" s="75" t="s">
        <v>55</v>
      </c>
      <c r="G29" s="75" t="s">
        <v>34</v>
      </c>
      <c r="H29" s="75" t="s">
        <v>154</v>
      </c>
      <c r="I29" s="75" t="s">
        <v>213</v>
      </c>
      <c r="J29" s="128"/>
      <c r="K29" s="128"/>
      <c r="L29" s="128"/>
      <c r="M29" s="128">
        <v>0</v>
      </c>
      <c r="N29" s="128">
        <v>324.62102565857492</v>
      </c>
      <c r="O29" s="128">
        <v>584.31784618543486</v>
      </c>
      <c r="P29" s="128">
        <v>844.0146667122948</v>
      </c>
      <c r="Q29" s="128">
        <v>911.04241609027724</v>
      </c>
      <c r="R29" s="129"/>
      <c r="S29" s="128">
        <f>INDEX(Direct_Cost_Splits_Network,MATCH($H29,RIN_Asset_Cat_Network,0),MATCH($S$4,Direct_Cost_Type,0))*J29*HLOOKUP(S$5,Escalators!$I$25:$U$30,3,FALSE)</f>
        <v>0</v>
      </c>
      <c r="T29" s="128">
        <f>INDEX(Direct_Cost_Splits_Network,MATCH($H29,RIN_Asset_Cat_Network,0),MATCH($S$4,Direct_Cost_Type,0))*K29*HLOOKUP(T$5,Escalators!$I$25:$U$30,3,FALSE)</f>
        <v>0</v>
      </c>
      <c r="U29" s="128">
        <f>INDEX(Direct_Cost_Splits_Network,MATCH($H29,RIN_Asset_Cat_Network,0),MATCH($S$4,Direct_Cost_Type,0))*L29*HLOOKUP(U$5,Escalators!$I$25:$U$30,3,FALSE)</f>
        <v>0</v>
      </c>
      <c r="V29" s="128">
        <f>INDEX(Direct_Cost_Splits_Network,MATCH($H29,RIN_Asset_Cat_Network,0),MATCH($S$4,Direct_Cost_Type,0))*M29*HLOOKUP(V$5,Escalators!$I$25:$U$30,3,FALSE)</f>
        <v>0</v>
      </c>
      <c r="W29" s="128">
        <f>INDEX(Direct_Cost_Splits_Network,MATCH($H29,RIN_Asset_Cat_Network,0),MATCH($S$4,Direct_Cost_Type,0))*N29*HLOOKUP(W$5,Escalators!$I$25:$U$30,3,FALSE)</f>
        <v>51.061787164321373</v>
      </c>
      <c r="X29" s="128">
        <f>INDEX(Direct_Cost_Splits_Network,MATCH($H29,RIN_Asset_Cat_Network,0),MATCH($S$4,Direct_Cost_Type,0))*O29*HLOOKUP(X$5,Escalators!$I$25:$U$30,3,FALSE)</f>
        <v>91.844461175727091</v>
      </c>
      <c r="Y29" s="128">
        <f>INDEX(Direct_Cost_Splits_Network,MATCH($H29,RIN_Asset_Cat_Network,0),MATCH($S$4,Direct_Cost_Type,0))*P29*HLOOKUP(Y$5,Escalators!$I$25:$U$30,3,FALSE)</f>
        <v>133.15146398626965</v>
      </c>
      <c r="Z29" s="128">
        <f>INDEX(Direct_Cost_Splits_Network,MATCH($H29,RIN_Asset_Cat_Network,0),MATCH($S$4,Direct_Cost_Type,0))*Q29*HLOOKUP(Z$5,Escalators!$I$25:$U$30,3,FALSE)</f>
        <v>145.15809988079309</v>
      </c>
      <c r="AA29" s="129"/>
      <c r="AB29" s="128">
        <f>INDEX(Direct_Cost_Splits_Network,MATCH($H29,RIN_Asset_Cat_Network,0),MATCH($AG$4,Direct_Cost_Type,0))*$J29*INDEX(Act_Type_Augex_Splits,MATCH($I29,Act_Type_Augex,0),MATCH(AB$4,Mat_Type,0))*INDEX(Escalators!$I$44:$U$49,MATCH(AB$4,Escalators!$C$44:$C$49,0),MATCH(AB$5,Escalators!$I$43:$U$43,0))</f>
        <v>0</v>
      </c>
      <c r="AC29" s="128">
        <f>INDEX(Direct_Cost_Splits_Network,MATCH($H29,RIN_Asset_Cat_Network,0),MATCH($AG$4,Direct_Cost_Type,0))*$J29*INDEX(Act_Type_Augex_Splits,MATCH($I29,Act_Type_Augex,0),MATCH(AC$4,Mat_Type,0))*INDEX(Escalators!$I$44:$U$49,MATCH(AC$4,Escalators!$C$44:$C$49,0),MATCH(AC$5,Escalators!$I$43:$U$43,0))</f>
        <v>0</v>
      </c>
      <c r="AD29" s="128">
        <f>INDEX(Direct_Cost_Splits_Network,MATCH($H29,RIN_Asset_Cat_Network,0),MATCH($AG$4,Direct_Cost_Type,0))*$J29*INDEX(Act_Type_Augex_Splits,MATCH($I29,Act_Type_Augex,0),MATCH(AD$4,Mat_Type,0))*INDEX(Escalators!$I$44:$U$49,MATCH(AD$4,Escalators!$C$44:$C$49,0),MATCH(AD$5,Escalators!$I$43:$U$43,0))</f>
        <v>0</v>
      </c>
      <c r="AE29" s="128">
        <f>INDEX(Direct_Cost_Splits_Network,MATCH($H29,RIN_Asset_Cat_Network,0),MATCH($AG$4,Direct_Cost_Type,0))*$J29*INDEX(Act_Type_Augex_Splits,MATCH($I29,Act_Type_Augex,0),MATCH(AE$4,Mat_Type,0))*INDEX(Escalators!$I$44:$U$49,MATCH(AE$4,Escalators!$C$44:$C$49,0),MATCH(AE$5,Escalators!$I$43:$U$43,0))</f>
        <v>0</v>
      </c>
      <c r="AF29" s="128">
        <f>INDEX(Direct_Cost_Splits_Network,MATCH($H29,RIN_Asset_Cat_Network,0),MATCH($AG$4,Direct_Cost_Type,0))*$J29*INDEX(Act_Type_Augex_Splits,MATCH($I29,Act_Type_Augex,0),MATCH(AF$4,Mat_Type,0))*INDEX(Escalators!$I$44:$U$49,MATCH(AF$4,Escalators!$C$44:$C$49,0),MATCH(AF$5,Escalators!$I$43:$U$43,0))</f>
        <v>0</v>
      </c>
      <c r="AG29" s="128">
        <f>SUM(AB29:AF29)</f>
        <v>0</v>
      </c>
      <c r="AH29" s="128">
        <f>INDEX(Direct_Cost_Splits_Network,MATCH($H29,RIN_Asset_Cat_Network,0),MATCH($AY$4,Direct_Cost_Type,0))*$K29*INDEX(Act_Type_Augex_Splits,MATCH($I29,Act_Type_Augex,0),MATCH(AH$4,Mat_Type,0))*INDEX(Escalators!$I$44:$U$49,MATCH(AH$4,Escalators!$C$44:$C$49,0),MATCH(AH$5,Escalators!$I$43:$U$43,0))</f>
        <v>0</v>
      </c>
      <c r="AI29" s="128">
        <f>INDEX(Direct_Cost_Splits_Network,MATCH($H29,RIN_Asset_Cat_Network,0),MATCH($AY$4,Direct_Cost_Type,0))*$K29*INDEX(Act_Type_Augex_Splits,MATCH($I29,Act_Type_Augex,0),MATCH(AI$4,Mat_Type,0))*INDEX(Escalators!$I$44:$U$49,MATCH(AI$4,Escalators!$C$44:$C$49,0),MATCH(AI$5,Escalators!$I$43:$U$43,0))</f>
        <v>0</v>
      </c>
      <c r="AJ29" s="128">
        <f>INDEX(Direct_Cost_Splits_Network,MATCH($H29,RIN_Asset_Cat_Network,0),MATCH($AY$4,Direct_Cost_Type,0))*$K29*INDEX(Act_Type_Augex_Splits,MATCH($I29,Act_Type_Augex,0),MATCH(AJ$4,Mat_Type,0))*INDEX(Escalators!$I$44:$U$49,MATCH(AJ$4,Escalators!$C$44:$C$49,0),MATCH(AJ$5,Escalators!$I$43:$U$43,0))</f>
        <v>0</v>
      </c>
      <c r="AK29" s="128">
        <f>INDEX(Direct_Cost_Splits_Network,MATCH($H29,RIN_Asset_Cat_Network,0),MATCH($AY$4,Direct_Cost_Type,0))*$K29*INDEX(Act_Type_Augex_Splits,MATCH($I29,Act_Type_Augex,0),MATCH(AK$4,Mat_Type,0))*INDEX(Escalators!$I$44:$U$49,MATCH(AK$4,Escalators!$C$44:$C$49,0),MATCH(AK$5,Escalators!$I$43:$U$43,0))</f>
        <v>0</v>
      </c>
      <c r="AL29" s="128">
        <f>INDEX(Direct_Cost_Splits_Network,MATCH($H29,RIN_Asset_Cat_Network,0),MATCH($AY$4,Direct_Cost_Type,0))*$K29*INDEX(Act_Type_Augex_Splits,MATCH($I29,Act_Type_Augex,0),MATCH(AL$4,Mat_Type,0))*INDEX(Escalators!$I$44:$U$49,MATCH(AL$4,Escalators!$C$44:$C$49,0),MATCH(AL$5,Escalators!$I$43:$U$43,0))</f>
        <v>0</v>
      </c>
      <c r="AM29" s="128">
        <f>SUM(AH29:AL29)</f>
        <v>0</v>
      </c>
      <c r="AN29" s="128">
        <f>INDEX(Direct_Cost_Splits_Network,MATCH($H29,RIN_Asset_Cat_Network,0),MATCH($AY$4,Direct_Cost_Type,0))*$L29*INDEX(Act_Type_Augex_Splits,MATCH($I29,Act_Type_Augex,0),MATCH(AN$4,Mat_Type,0))*INDEX(Escalators!$I$44:$U$49,MATCH(AN$4,Escalators!$C$44:$C$49,0),MATCH(AN$5,Escalators!$I$43:$U$43,0))</f>
        <v>0</v>
      </c>
      <c r="AO29" s="128">
        <f>INDEX(Direct_Cost_Splits_Network,MATCH($H29,RIN_Asset_Cat_Network,0),MATCH($AY$4,Direct_Cost_Type,0))*$L29*INDEX(Act_Type_Augex_Splits,MATCH($I29,Act_Type_Augex,0),MATCH(AO$4,Mat_Type,0))*INDEX(Escalators!$I$44:$U$49,MATCH(AO$4,Escalators!$C$44:$C$49,0),MATCH(AO$5,Escalators!$I$43:$U$43,0))</f>
        <v>0</v>
      </c>
      <c r="AP29" s="128">
        <f>INDEX(Direct_Cost_Splits_Network,MATCH($H29,RIN_Asset_Cat_Network,0),MATCH($AY$4,Direct_Cost_Type,0))*$L29*INDEX(Act_Type_Augex_Splits,MATCH($I29,Act_Type_Augex,0),MATCH(AP$4,Mat_Type,0))*INDEX(Escalators!$I$44:$U$49,MATCH(AP$4,Escalators!$C$44:$C$49,0),MATCH(AP$5,Escalators!$I$43:$U$43,0))</f>
        <v>0</v>
      </c>
      <c r="AQ29" s="128">
        <f>INDEX(Direct_Cost_Splits_Network,MATCH($H29,RIN_Asset_Cat_Network,0),MATCH($AY$4,Direct_Cost_Type,0))*$L29*INDEX(Act_Type_Augex_Splits,MATCH($I29,Act_Type_Augex,0),MATCH(AQ$4,Mat_Type,0))*INDEX(Escalators!$I$44:$U$49,MATCH(AQ$4,Escalators!$C$44:$C$49,0),MATCH(AQ$5,Escalators!$I$43:$U$43,0))</f>
        <v>0</v>
      </c>
      <c r="AR29" s="128">
        <f>INDEX(Direct_Cost_Splits_Network,MATCH($H29,RIN_Asset_Cat_Network,0),MATCH($AY$4,Direct_Cost_Type,0))*$L29*INDEX(Act_Type_Augex_Splits,MATCH($I29,Act_Type_Augex,0),MATCH(AR$4,Mat_Type,0))*INDEX(Escalators!$I$44:$U$49,MATCH(AR$4,Escalators!$C$44:$C$49,0),MATCH(AR$5,Escalators!$I$43:$U$43,0))</f>
        <v>0</v>
      </c>
      <c r="AS29" s="128">
        <f t="shared" si="70"/>
        <v>0</v>
      </c>
      <c r="AT29" s="128">
        <f>INDEX(Direct_Cost_Splits_Network,MATCH($H29,RIN_Asset_Cat_Network,0),MATCH($AY$4,Direct_Cost_Type,0))*$M29*INDEX(Act_Type_Augex_Splits,MATCH($I29,Act_Type_Augex,0),MATCH(AT$4,Mat_Type,0))*INDEX(Escalators!$I$44:$U$49,MATCH(AT$4,Escalators!$C$44:$C$49,0),MATCH(AT$5,Escalators!$I$43:$U$43,0))</f>
        <v>0</v>
      </c>
      <c r="AU29" s="128">
        <f>INDEX(Direct_Cost_Splits_Network,MATCH($H29,RIN_Asset_Cat_Network,0),MATCH($AY$4,Direct_Cost_Type,0))*$M29*INDEX(Act_Type_Augex_Splits,MATCH($I29,Act_Type_Augex,0),MATCH(AU$4,Mat_Type,0))*INDEX(Escalators!$I$44:$U$49,MATCH(AU$4,Escalators!$C$44:$C$49,0),MATCH(AU$5,Escalators!$I$43:$U$43,0))</f>
        <v>0</v>
      </c>
      <c r="AV29" s="128">
        <f>INDEX(Direct_Cost_Splits_Network,MATCH($H29,RIN_Asset_Cat_Network,0),MATCH($AY$4,Direct_Cost_Type,0))*$M29*INDEX(Act_Type_Augex_Splits,MATCH($I29,Act_Type_Augex,0),MATCH(AV$4,Mat_Type,0))*INDEX(Escalators!$I$44:$U$49,MATCH(AV$4,Escalators!$C$44:$C$49,0),MATCH(AV$5,Escalators!$I$43:$U$43,0))</f>
        <v>0</v>
      </c>
      <c r="AW29" s="128">
        <f>INDEX(Direct_Cost_Splits_Network,MATCH($H29,RIN_Asset_Cat_Network,0),MATCH($AY$4,Direct_Cost_Type,0))*$M29*INDEX(Act_Type_Augex_Splits,MATCH($I29,Act_Type_Augex,0),MATCH(AW$4,Mat_Type,0))*INDEX(Escalators!$I$44:$U$49,MATCH(AW$4,Escalators!$C$44:$C$49,0),MATCH(AW$5,Escalators!$I$43:$U$43,0))</f>
        <v>0</v>
      </c>
      <c r="AX29" s="128">
        <f>INDEX(Direct_Cost_Splits_Network,MATCH($H29,RIN_Asset_Cat_Network,0),MATCH($AY$4,Direct_Cost_Type,0))*$M29*INDEX(Act_Type_Augex_Splits,MATCH($I29,Act_Type_Augex,0),MATCH(AX$4,Mat_Type,0))*INDEX(Escalators!$I$44:$U$49,MATCH(AX$4,Escalators!$C$44:$C$49,0),MATCH(AX$5,Escalators!$I$43:$U$43,0))</f>
        <v>0</v>
      </c>
      <c r="AY29" s="128">
        <f>SUM(AT29:AX29)</f>
        <v>0</v>
      </c>
      <c r="AZ29" s="128">
        <f>INDEX(Direct_Cost_Splits_Network,MATCH($H29,RIN_Asset_Cat_Network,0),MATCH($BE$4,Direct_Cost_Type,0))*$N29*INDEX(Act_Type_Augex_Splits,MATCH($I29,Act_Type_Augex,0),MATCH(AZ$4,Mat_Type,0))*INDEX(Escalators!$I$44:$U$49,MATCH(AZ$4,Escalators!$C$44:$C$49,0),MATCH(AZ$5,Escalators!$I$43:$U$43,0))</f>
        <v>5.0124586095138604</v>
      </c>
      <c r="BA29" s="128">
        <f>INDEX(Direct_Cost_Splits_Network,MATCH($H29,RIN_Asset_Cat_Network,0),MATCH($BE$4,Direct_Cost_Type,0))*$N29*INDEX(Act_Type_Augex_Splits,MATCH($I29,Act_Type_Augex,0),MATCH(BA$4,Mat_Type,0))*INDEX(Escalators!$I$44:$U$49,MATCH(BA$4,Escalators!$C$44:$C$49,0),MATCH(BA$5,Escalators!$I$43:$U$43,0))</f>
        <v>15.037375828541578</v>
      </c>
      <c r="BB29" s="128">
        <f>INDEX(Direct_Cost_Splits_Network,MATCH($H29,RIN_Asset_Cat_Network,0),MATCH($BE$4,Direct_Cost_Type,0))*$N29*INDEX(Act_Type_Augex_Splits,MATCH($I29,Act_Type_Augex,0),MATCH(BB$4,Mat_Type,0))*INDEX(Escalators!$I$44:$U$49,MATCH(BB$4,Escalators!$C$44:$C$49,0),MATCH(BB$5,Escalators!$I$43:$U$43,0))</f>
        <v>40.099668876110883</v>
      </c>
      <c r="BC29" s="128">
        <f>INDEX(Direct_Cost_Splits_Network,MATCH($H29,RIN_Asset_Cat_Network,0),MATCH($BE$4,Direct_Cost_Type,0))*$N29*INDEX(Act_Type_Augex_Splits,MATCH($I29,Act_Type_Augex,0),MATCH(BC$4,Mat_Type,0))*INDEX(Escalators!$I$44:$U$49,MATCH(BC$4,Escalators!$C$44:$C$49,0),MATCH(BC$5,Escalators!$I$43:$U$43,0))</f>
        <v>5.0124586095138604</v>
      </c>
      <c r="BD29" s="128">
        <f>INDEX(Direct_Cost_Splits_Network,MATCH($H29,RIN_Asset_Cat_Network,0),MATCH($BE$4,Direct_Cost_Type,0))*$N29*INDEX(Act_Type_Augex_Splits,MATCH($I29,Act_Type_Augex,0),MATCH(BD$4,Mat_Type,0))*INDEX(Escalators!$I$44:$U$49,MATCH(BD$4,Escalators!$C$44:$C$49,0),MATCH(BD$5,Escalators!$I$43:$U$43,0))</f>
        <v>35.087210266597012</v>
      </c>
      <c r="BE29" s="128">
        <f>SUM(AZ29:BD29)</f>
        <v>100.24917219027719</v>
      </c>
      <c r="BF29" s="128">
        <f>INDEX(Direct_Cost_Splits_Network,MATCH($H29,RIN_Asset_Cat_Network,0),MATCH($BK$4,Direct_Cost_Type,0))*$O29*INDEX(Act_Type_Augex_Splits,MATCH($I29,Act_Type_Augex,0),MATCH(BF$4,Mat_Type,0))*INDEX(Escalators!$I$44:$U$49,MATCH(BF$4,Escalators!$C$44:$C$49,0),MATCH(BF$5,Escalators!$I$43:$U$43,0))</f>
        <v>9.0224254971249476</v>
      </c>
      <c r="BG29" s="128">
        <f>INDEX(Direct_Cost_Splits_Network,MATCH($H29,RIN_Asset_Cat_Network,0),MATCH($BK$4,Direct_Cost_Type,0))*$O29*INDEX(Act_Type_Augex_Splits,MATCH($I29,Act_Type_Augex,0),MATCH(BG$4,Mat_Type,0))*INDEX(Escalators!$I$44:$U$49,MATCH(BG$4,Escalators!$C$44:$C$49,0),MATCH(BG$5,Escalators!$I$43:$U$43,0))</f>
        <v>27.067276491374844</v>
      </c>
      <c r="BH29" s="128">
        <f>INDEX(Direct_Cost_Splits_Network,MATCH($H29,RIN_Asset_Cat_Network,0),MATCH($BK$4,Direct_Cost_Type,0))*$O29*INDEX(Act_Type_Augex_Splits,MATCH($I29,Act_Type_Augex,0),MATCH(BH$4,Mat_Type,0))*INDEX(Escalators!$I$44:$U$49,MATCH(BH$4,Escalators!$C$44:$C$49,0),MATCH(BH$5,Escalators!$I$43:$U$43,0))</f>
        <v>72.179403976999581</v>
      </c>
      <c r="BI29" s="128">
        <f>INDEX(Direct_Cost_Splits_Network,MATCH($H29,RIN_Asset_Cat_Network,0),MATCH($BK$4,Direct_Cost_Type,0))*$O29*INDEX(Act_Type_Augex_Splits,MATCH($I29,Act_Type_Augex,0),MATCH(BI$4,Mat_Type,0))*INDEX(Escalators!$I$44:$U$49,MATCH(BI$4,Escalators!$C$44:$C$49,0),MATCH(BI$5,Escalators!$I$43:$U$43,0))</f>
        <v>9.0224254971249476</v>
      </c>
      <c r="BJ29" s="128">
        <f>INDEX(Direct_Cost_Splits_Network,MATCH($H29,RIN_Asset_Cat_Network,0),MATCH($BK$4,Direct_Cost_Type,0))*$O29*INDEX(Act_Type_Augex_Splits,MATCH($I29,Act_Type_Augex,0),MATCH(BJ$4,Mat_Type,0))*INDEX(Escalators!$I$44:$U$49,MATCH(BJ$4,Escalators!$C$44:$C$49,0),MATCH(BJ$5,Escalators!$I$43:$U$43,0))</f>
        <v>63.156978479874631</v>
      </c>
      <c r="BK29" s="128">
        <f>SUM(BF29:BJ29)</f>
        <v>180.44850994249893</v>
      </c>
      <c r="BL29" s="128">
        <f>INDEX(Direct_Cost_Splits_Network,MATCH($H29,RIN_Asset_Cat_Network,0),MATCH($BQ$4,Direct_Cost_Type,0))*$P29*INDEX(Act_Type_Augex_Splits,MATCH($I29,Act_Type_Augex,0),MATCH(BL$4,Mat_Type,0))*INDEX(Escalators!$I$44:$U$49,MATCH(BL$4,Escalators!$C$44:$C$49,0),MATCH(BL$5,Escalators!$I$43:$U$43,0))</f>
        <v>13.032392384736037</v>
      </c>
      <c r="BM29" s="128">
        <f>INDEX(Direct_Cost_Splits_Network,MATCH($H29,RIN_Asset_Cat_Network,0),MATCH($BQ$4,Direct_Cost_Type,0))*$P29*INDEX(Act_Type_Augex_Splits,MATCH($I29,Act_Type_Augex,0),MATCH(BM$4,Mat_Type,0))*INDEX(Escalators!$I$44:$U$49,MATCH(BM$4,Escalators!$C$44:$C$49,0),MATCH(BM$5,Escalators!$I$43:$U$43,0))</f>
        <v>39.097177154208104</v>
      </c>
      <c r="BN29" s="128">
        <f>INDEX(Direct_Cost_Splits_Network,MATCH($H29,RIN_Asset_Cat_Network,0),MATCH($BQ$4,Direct_Cost_Type,0))*$P29*INDEX(Act_Type_Augex_Splits,MATCH($I29,Act_Type_Augex,0),MATCH(BN$4,Mat_Type,0))*INDEX(Escalators!$I$44:$U$49,MATCH(BN$4,Escalators!$C$44:$C$49,0),MATCH(BN$5,Escalators!$I$43:$U$43,0))</f>
        <v>104.25913907788829</v>
      </c>
      <c r="BO29" s="128">
        <f>INDEX(Direct_Cost_Splits_Network,MATCH($H29,RIN_Asset_Cat_Network,0),MATCH($BQ$4,Direct_Cost_Type,0))*$P29*INDEX(Act_Type_Augex_Splits,MATCH($I29,Act_Type_Augex,0),MATCH(BO$4,Mat_Type,0))*INDEX(Escalators!$I$44:$U$49,MATCH(BO$4,Escalators!$C$44:$C$49,0),MATCH(BO$5,Escalators!$I$43:$U$43,0))</f>
        <v>13.032392384736037</v>
      </c>
      <c r="BP29" s="128">
        <f>INDEX(Direct_Cost_Splits_Network,MATCH($H29,RIN_Asset_Cat_Network,0),MATCH($BQ$4,Direct_Cost_Type,0))*$P29*INDEX(Act_Type_Augex_Splits,MATCH($I29,Act_Type_Augex,0),MATCH(BP$4,Mat_Type,0))*INDEX(Escalators!$I$44:$U$49,MATCH(BP$4,Escalators!$C$44:$C$49,0),MATCH(BP$5,Escalators!$I$43:$U$43,0))</f>
        <v>91.226746693152251</v>
      </c>
      <c r="BQ29" s="128">
        <f>SUM(BL29:BP29)</f>
        <v>260.64784769472072</v>
      </c>
      <c r="BR29" s="128">
        <f>INDEX(Direct_Cost_Splits_Network,MATCH($H29,RIN_Asset_Cat_Network,0),MATCH($BW$4,Direct_Cost_Type,0))*$Q29*INDEX(Act_Type_Augex_Splits,MATCH($I29,Act_Type_Augex,0),MATCH(BR$4,Mat_Type,0))*INDEX(Escalators!$I$44:$U$49,MATCH(BR$4,Escalators!$C$44:$C$49,0),MATCH(BR$5,Escalators!$I$43:$U$43,0))</f>
        <v>14.067364838428455</v>
      </c>
      <c r="BS29" s="128">
        <f>INDEX(Direct_Cost_Splits_Network,MATCH($H29,RIN_Asset_Cat_Network,0),MATCH($BW$4,Direct_Cost_Type,0))*$Q29*INDEX(Act_Type_Augex_Splits,MATCH($I29,Act_Type_Augex,0),MATCH(BS$4,Mat_Type,0))*INDEX(Escalators!$I$44:$U$49,MATCH(BS$4,Escalators!$C$44:$C$49,0),MATCH(BS$5,Escalators!$I$43:$U$43,0))</f>
        <v>42.20209451528536</v>
      </c>
      <c r="BT29" s="128">
        <f>INDEX(Direct_Cost_Splits_Network,MATCH($H29,RIN_Asset_Cat_Network,0),MATCH($BW$4,Direct_Cost_Type,0))*$Q29*INDEX(Act_Type_Augex_Splits,MATCH($I29,Act_Type_Augex,0),MATCH(BT$4,Mat_Type,0))*INDEX(Escalators!$I$44:$U$49,MATCH(BT$4,Escalators!$C$44:$C$49,0),MATCH(BT$5,Escalators!$I$43:$U$43,0))</f>
        <v>112.53891870742764</v>
      </c>
      <c r="BU29" s="128">
        <f>INDEX(Direct_Cost_Splits_Network,MATCH($H29,RIN_Asset_Cat_Network,0),MATCH($BW$4,Direct_Cost_Type,0))*$Q29*INDEX(Act_Type_Augex_Splits,MATCH($I29,Act_Type_Augex,0),MATCH(BU$4,Mat_Type,0))*INDEX(Escalators!$I$44:$U$49,MATCH(BU$4,Escalators!$C$44:$C$49,0),MATCH(BU$5,Escalators!$I$43:$U$43,0))</f>
        <v>14.067364838428455</v>
      </c>
      <c r="BV29" s="128">
        <f>INDEX(Direct_Cost_Splits_Network,MATCH($H29,RIN_Asset_Cat_Network,0),MATCH($BW$4,Direct_Cost_Type,0))*$Q29*INDEX(Act_Type_Augex_Splits,MATCH($I29,Act_Type_Augex,0),MATCH(BV$4,Mat_Type,0))*INDEX(Escalators!$I$44:$U$49,MATCH(BV$4,Escalators!$C$44:$C$49,0),MATCH(BV$5,Escalators!$I$43:$U$43,0))</f>
        <v>98.47155386899918</v>
      </c>
      <c r="BW29" s="128">
        <f>SUM(BR29:BV29)</f>
        <v>281.34729676856909</v>
      </c>
      <c r="BX29" s="129"/>
      <c r="BY29" s="128">
        <f>INDEX(Direct_Cost_Splits_Network,MATCH($H29,RIN_Asset_Cat_Network,0),MATCH($BY$4,Direct_Cost_Type,0))*J29*HLOOKUP(BY$5,Escalators!$I$25:$U$30,6,FALSE)</f>
        <v>0</v>
      </c>
      <c r="BZ29" s="128">
        <f>INDEX(Direct_Cost_Splits_Network,MATCH($H29,RIN_Asset_Cat_Network,0),MATCH($BY$4,Direct_Cost_Type,0))*K29*HLOOKUP(BZ$5,Escalators!$I$25:$U$30,6,FALSE)</f>
        <v>0</v>
      </c>
      <c r="CA29" s="128">
        <f>INDEX(Direct_Cost_Splits_Network,MATCH($H29,RIN_Asset_Cat_Network,0),MATCH($BY$4,Direct_Cost_Type,0))*L29*HLOOKUP(CA$5,Escalators!$I$25:$U$30,6,FALSE)</f>
        <v>0</v>
      </c>
      <c r="CB29" s="128">
        <f>INDEX(Direct_Cost_Splits_Network,MATCH($H29,RIN_Asset_Cat_Network,0),MATCH($BY$4,Direct_Cost_Type,0))*M29*HLOOKUP(CB$5,Escalators!$I$25:$U$30,6,FALSE)</f>
        <v>0</v>
      </c>
      <c r="CC29" s="128">
        <f>INDEX(Direct_Cost_Splits_Network,MATCH($H29,RIN_Asset_Cat_Network,0),MATCH($BY$4,Direct_Cost_Type,0))*N29*HLOOKUP(CC$5,Escalators!$I$25:$U$30,6,FALSE)</f>
        <v>136.56961660013505</v>
      </c>
      <c r="CD29" s="128">
        <f>INDEX(Direct_Cost_Splits_Network,MATCH($H29,RIN_Asset_Cat_Network,0),MATCH($BY$4,Direct_Cost_Type,0))*O29*HLOOKUP(CD$5,Escalators!$I$25:$U$30,6,FALSE)</f>
        <v>245.82530988024308</v>
      </c>
      <c r="CE29" s="128">
        <f>INDEX(Direct_Cost_Splits_Network,MATCH($H29,RIN_Asset_Cat_Network,0),MATCH($BY$4,Direct_Cost_Type,0))*P29*HLOOKUP(CE$5,Escalators!$I$25:$U$30,6,FALSE)</f>
        <v>355.08100316035109</v>
      </c>
      <c r="CF29" s="128">
        <f>INDEX(Direct_Cost_Splits_Network,MATCH($H29,RIN_Asset_Cat_Network,0),MATCH($BY$4,Direct_Cost_Type,0))*Q29*HLOOKUP(CF$5,Escalators!$I$25:$U$30,6,FALSE)</f>
        <v>383.27989759594692</v>
      </c>
      <c r="CG29" s="129"/>
      <c r="CH29" s="763">
        <f>INDEX(Direct_Cost_Splits_Network,MATCH($H29,RIN_Asset_Cat_Network,0),MATCH($CH$4,Direct_Cost_Type,0))*J29</f>
        <v>0</v>
      </c>
      <c r="CI29" s="763">
        <f t="shared" si="77"/>
        <v>0</v>
      </c>
      <c r="CJ29" s="763">
        <f t="shared" si="78"/>
        <v>0</v>
      </c>
      <c r="CK29" s="763">
        <f>INDEX(Direct_Cost_Splits_Network,MATCH($H29,RIN_Asset_Cat_Network,0),MATCH($CH$4,Direct_Cost_Type,0))*M29</f>
        <v>0</v>
      </c>
      <c r="CL29" s="763">
        <f>INDEX(Direct_Cost_Splits_Network,MATCH($H29,RIN_Asset_Cat_Network,0),MATCH($CH$4,Direct_Cost_Type,0))*N29</f>
        <v>37.520606995407476</v>
      </c>
      <c r="CM29" s="763">
        <f>INDEX(Direct_Cost_Splits_Network,MATCH($H29,RIN_Asset_Cat_Network,0),MATCH($CH$4,Direct_Cost_Type,0))*O29</f>
        <v>67.537092591733455</v>
      </c>
      <c r="CN29" s="763">
        <f>INDEX(Direct_Cost_Splits_Network,MATCH($H29,RIN_Asset_Cat_Network,0),MATCH($CH$4,Direct_Cost_Type,0))*P29</f>
        <v>97.553578188059433</v>
      </c>
      <c r="CO29" s="763">
        <f>INDEX(Direct_Cost_Splits_Network,MATCH($H29,RIN_Asset_Cat_Network,0),MATCH($CH$4,Direct_Cost_Type,0))*Q29</f>
        <v>105.30083312047117</v>
      </c>
      <c r="CP29" s="129"/>
      <c r="CQ29" s="128">
        <f>S29+AG29+BY29+CH29</f>
        <v>0</v>
      </c>
      <c r="CR29" s="128">
        <f t="shared" si="9"/>
        <v>0</v>
      </c>
      <c r="CS29" s="128">
        <f t="shared" si="19"/>
        <v>0</v>
      </c>
      <c r="CT29" s="128">
        <f>V29+AY29+CB29+CK29</f>
        <v>0</v>
      </c>
      <c r="CU29" s="128">
        <f>W29+BE29+CC29+CL29</f>
        <v>325.40118295014111</v>
      </c>
      <c r="CV29" s="128">
        <f>X29+BK29+CD29+CM29</f>
        <v>585.65537359020254</v>
      </c>
      <c r="CW29" s="128">
        <f>Y29+BQ29+CE29+CN29</f>
        <v>846.43389302940091</v>
      </c>
      <c r="CX29" s="128">
        <f>Z29+BW29+CF29+CO29</f>
        <v>915.08612736578038</v>
      </c>
      <c r="CZ29" s="39"/>
    </row>
    <row r="30" spans="2:104" x14ac:dyDescent="0.25">
      <c r="B30" s="75"/>
      <c r="C30" s="75"/>
      <c r="D30" s="75"/>
      <c r="E30" s="75"/>
      <c r="F30" s="75"/>
      <c r="G30" s="75"/>
      <c r="H30" s="75"/>
      <c r="I30" s="75"/>
      <c r="J30" s="128"/>
      <c r="K30" s="128"/>
      <c r="L30" s="128"/>
      <c r="M30" s="128"/>
      <c r="N30" s="128"/>
      <c r="O30" s="128"/>
      <c r="P30" s="128"/>
      <c r="Q30" s="128"/>
      <c r="S30" s="47"/>
      <c r="T30" s="47"/>
      <c r="U30" s="47"/>
      <c r="V30" s="47"/>
      <c r="W30" s="47"/>
      <c r="X30" s="47"/>
      <c r="Y30" s="47"/>
      <c r="Z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Y30" s="47"/>
      <c r="BZ30" s="47"/>
      <c r="CA30" s="47"/>
      <c r="CB30" s="47"/>
      <c r="CC30" s="47"/>
      <c r="CD30" s="47"/>
      <c r="CE30" s="47"/>
      <c r="CF30" s="47"/>
      <c r="CH30" s="82"/>
      <c r="CI30" s="82"/>
      <c r="CJ30" s="82"/>
      <c r="CK30" s="82"/>
      <c r="CL30" s="82"/>
      <c r="CM30" s="82"/>
      <c r="CN30" s="82"/>
      <c r="CO30" s="82"/>
      <c r="CQ30" s="374">
        <f>S30+AG30+BY30+CH30</f>
        <v>0</v>
      </c>
      <c r="CR30" s="47">
        <f t="shared" si="9"/>
        <v>0</v>
      </c>
      <c r="CS30" s="47">
        <f t="shared" ref="CS30" si="97">U30+AS30+CA30+CJ30</f>
        <v>0</v>
      </c>
      <c r="CT30" s="47">
        <f>V30+AY30+CB30+CK30</f>
        <v>0</v>
      </c>
      <c r="CU30" s="47">
        <f>W30+BE30+CC30+CL30</f>
        <v>0</v>
      </c>
      <c r="CV30" s="47">
        <f>X30+BK30+CD30+CM30</f>
        <v>0</v>
      </c>
      <c r="CW30" s="47">
        <f>Y30+BQ30+CE30+CN30</f>
        <v>0</v>
      </c>
      <c r="CX30" s="47">
        <f>Z30+BW30+CF30+CO30</f>
        <v>0</v>
      </c>
      <c r="CZ30" s="39"/>
    </row>
    <row r="31" spans="2:104" x14ac:dyDescent="0.25">
      <c r="B31" s="75"/>
      <c r="C31" s="332" t="s">
        <v>580</v>
      </c>
      <c r="D31" s="75"/>
      <c r="E31" s="75" t="s">
        <v>45</v>
      </c>
      <c r="F31" s="75" t="s">
        <v>51</v>
      </c>
      <c r="G31" s="75" t="s">
        <v>10</v>
      </c>
      <c r="H31" s="75" t="s">
        <v>164</v>
      </c>
      <c r="I31" s="75" t="s">
        <v>214</v>
      </c>
      <c r="J31" s="128"/>
      <c r="K31" s="128"/>
      <c r="L31" s="128"/>
      <c r="M31" s="128">
        <f>-8210/2/5</f>
        <v>-821</v>
      </c>
      <c r="N31" s="128">
        <f t="shared" ref="N31:Q31" si="98">-8210/2/5</f>
        <v>-821</v>
      </c>
      <c r="O31" s="128">
        <f t="shared" si="98"/>
        <v>-821</v>
      </c>
      <c r="P31" s="128">
        <f t="shared" si="98"/>
        <v>-821</v>
      </c>
      <c r="Q31" s="128">
        <f t="shared" si="98"/>
        <v>-821</v>
      </c>
      <c r="R31" s="129"/>
      <c r="S31" s="128">
        <f>INDEX(Direct_Cost_Splits_Network,MATCH($H31,RIN_Asset_Cat_Network,0),MATCH($S$4,Direct_Cost_Type,0))*J31*HLOOKUP(S$5,Escalators!$I$25:$U$30,3,FALSE)</f>
        <v>0</v>
      </c>
      <c r="T31" s="128">
        <f>INDEX(Direct_Cost_Splits_Network,MATCH($H31,RIN_Asset_Cat_Network,0),MATCH($S$4,Direct_Cost_Type,0))*K31*HLOOKUP(T$5,Escalators!$I$25:$U$30,3,FALSE)</f>
        <v>0</v>
      </c>
      <c r="U31" s="128">
        <f>INDEX(Direct_Cost_Splits_Network,MATCH($H31,RIN_Asset_Cat_Network,0),MATCH($S$4,Direct_Cost_Type,0))*L31*HLOOKUP(U$5,Escalators!$I$25:$U$30,3,FALSE)</f>
        <v>0</v>
      </c>
      <c r="V31" s="128">
        <f>INDEX(Direct_Cost_Splits_Network,MATCH($H31,RIN_Asset_Cat_Network,0),MATCH($S$4,Direct_Cost_Type,0))*M31*HLOOKUP(V$5,Escalators!$I$25:$U$30,3,FALSE)</f>
        <v>-129.4638842122732</v>
      </c>
      <c r="W31" s="128">
        <f>INDEX(Direct_Cost_Splits_Network,MATCH($H31,RIN_Asset_Cat_Network,0),MATCH($S$4,Direct_Cost_Type,0))*N31*HLOOKUP(W$5,Escalators!$I$25:$U$30,3,FALSE)</f>
        <v>-129.14051755230318</v>
      </c>
      <c r="X31" s="128">
        <f>INDEX(Direct_Cost_Splits_Network,MATCH($H31,RIN_Asset_Cat_Network,0),MATCH($S$4,Direct_Cost_Type,0))*O31*HLOOKUP(X$5,Escalators!$I$25:$U$30,3,FALSE)</f>
        <v>-129.04672194684636</v>
      </c>
      <c r="Y31" s="128">
        <f>INDEX(Direct_Cost_Splits_Network,MATCH($H31,RIN_Asset_Cat_Network,0),MATCH($S$4,Direct_Cost_Type,0))*P31*HLOOKUP(Y$5,Escalators!$I$25:$U$30,3,FALSE)</f>
        <v>-129.52067806896437</v>
      </c>
      <c r="Z31" s="128">
        <f>INDEX(Direct_Cost_Splits_Network,MATCH($H31,RIN_Asset_Cat_Network,0),MATCH($S$4,Direct_Cost_Type,0))*Q31*HLOOKUP(Z$5,Escalators!$I$25:$U$30,3,FALSE)</f>
        <v>-130.81147254764247</v>
      </c>
      <c r="AA31" s="129"/>
      <c r="AB31" s="128">
        <f>INDEX(Direct_Cost_Splits_Network,MATCH($H31,RIN_Asset_Cat_Network,0),MATCH($AG$4,Direct_Cost_Type,0))*$J31*INDEX(Act_Type_Augex_Splits,MATCH($I31,Act_Type_Augex,0),MATCH(AB$4,Mat_Type,0))*INDEX(Escalators!$I$44:$U$49,MATCH(AB$4,Escalators!$C$44:$C$49,0),MATCH(AB$5,Escalators!$I$43:$U$43,0))</f>
        <v>0</v>
      </c>
      <c r="AC31" s="128">
        <f>INDEX(Direct_Cost_Splits_Network,MATCH($H31,RIN_Asset_Cat_Network,0),MATCH($AG$4,Direct_Cost_Type,0))*$J31*INDEX(Act_Type_Augex_Splits,MATCH($I31,Act_Type_Augex,0),MATCH(AC$4,Mat_Type,0))*INDEX(Escalators!$I$44:$U$49,MATCH(AC$4,Escalators!$C$44:$C$49,0),MATCH(AC$5,Escalators!$I$43:$U$43,0))</f>
        <v>0</v>
      </c>
      <c r="AD31" s="128">
        <f>INDEX(Direct_Cost_Splits_Network,MATCH($H31,RIN_Asset_Cat_Network,0),MATCH($AG$4,Direct_Cost_Type,0))*$J31*INDEX(Act_Type_Augex_Splits,MATCH($I31,Act_Type_Augex,0),MATCH(AD$4,Mat_Type,0))*INDEX(Escalators!$I$44:$U$49,MATCH(AD$4,Escalators!$C$44:$C$49,0),MATCH(AD$5,Escalators!$I$43:$U$43,0))</f>
        <v>0</v>
      </c>
      <c r="AE31" s="128">
        <f>INDEX(Direct_Cost_Splits_Network,MATCH($H31,RIN_Asset_Cat_Network,0),MATCH($AG$4,Direct_Cost_Type,0))*$J31*INDEX(Act_Type_Augex_Splits,MATCH($I31,Act_Type_Augex,0),MATCH(AE$4,Mat_Type,0))*INDEX(Escalators!$I$44:$U$49,MATCH(AE$4,Escalators!$C$44:$C$49,0),MATCH(AE$5,Escalators!$I$43:$U$43,0))</f>
        <v>0</v>
      </c>
      <c r="AF31" s="128">
        <f>INDEX(Direct_Cost_Splits_Network,MATCH($H31,RIN_Asset_Cat_Network,0),MATCH($AG$4,Direct_Cost_Type,0))*$J31*INDEX(Act_Type_Augex_Splits,MATCH($I31,Act_Type_Augex,0),MATCH(AF$4,Mat_Type,0))*INDEX(Escalators!$I$44:$U$49,MATCH(AF$4,Escalators!$C$44:$C$49,0),MATCH(AF$5,Escalators!$I$43:$U$43,0))</f>
        <v>0</v>
      </c>
      <c r="AG31" s="128">
        <f>SUM(AB31:AF31)</f>
        <v>0</v>
      </c>
      <c r="AH31" s="128">
        <f>INDEX(Direct_Cost_Splits_Network,MATCH($H31,RIN_Asset_Cat_Network,0),MATCH($AY$4,Direct_Cost_Type,0))*$K31*INDEX(Act_Type_Augex_Splits,MATCH($I31,Act_Type_Augex,0),MATCH(AH$4,Mat_Type,0))*INDEX(Escalators!$I$44:$U$49,MATCH(AH$4,Escalators!$C$44:$C$49,0),MATCH(AH$5,Escalators!$I$43:$U$43,0))</f>
        <v>0</v>
      </c>
      <c r="AI31" s="128">
        <f>INDEX(Direct_Cost_Splits_Network,MATCH($H31,RIN_Asset_Cat_Network,0),MATCH($AY$4,Direct_Cost_Type,0))*$K31*INDEX(Act_Type_Augex_Splits,MATCH($I31,Act_Type_Augex,0),MATCH(AI$4,Mat_Type,0))*INDEX(Escalators!$I$44:$U$49,MATCH(AI$4,Escalators!$C$44:$C$49,0),MATCH(AI$5,Escalators!$I$43:$U$43,0))</f>
        <v>0</v>
      </c>
      <c r="AJ31" s="128">
        <f>INDEX(Direct_Cost_Splits_Network,MATCH($H31,RIN_Asset_Cat_Network,0),MATCH($AY$4,Direct_Cost_Type,0))*$K31*INDEX(Act_Type_Augex_Splits,MATCH($I31,Act_Type_Augex,0),MATCH(AJ$4,Mat_Type,0))*INDEX(Escalators!$I$44:$U$49,MATCH(AJ$4,Escalators!$C$44:$C$49,0),MATCH(AJ$5,Escalators!$I$43:$U$43,0))</f>
        <v>0</v>
      </c>
      <c r="AK31" s="128">
        <f>INDEX(Direct_Cost_Splits_Network,MATCH($H31,RIN_Asset_Cat_Network,0),MATCH($AY$4,Direct_Cost_Type,0))*$K31*INDEX(Act_Type_Augex_Splits,MATCH($I31,Act_Type_Augex,0),MATCH(AK$4,Mat_Type,0))*INDEX(Escalators!$I$44:$U$49,MATCH(AK$4,Escalators!$C$44:$C$49,0),MATCH(AK$5,Escalators!$I$43:$U$43,0))</f>
        <v>0</v>
      </c>
      <c r="AL31" s="128">
        <f>INDEX(Direct_Cost_Splits_Network,MATCH($H31,RIN_Asset_Cat_Network,0),MATCH($AY$4,Direct_Cost_Type,0))*$K31*INDEX(Act_Type_Augex_Splits,MATCH($I31,Act_Type_Augex,0),MATCH(AL$4,Mat_Type,0))*INDEX(Escalators!$I$44:$U$49,MATCH(AL$4,Escalators!$C$44:$C$49,0),MATCH(AL$5,Escalators!$I$43:$U$43,0))</f>
        <v>0</v>
      </c>
      <c r="AM31" s="128">
        <f>SUM(AH31:AL31)</f>
        <v>0</v>
      </c>
      <c r="AN31" s="128">
        <f>INDEX(Direct_Cost_Splits_Network,MATCH($H31,RIN_Asset_Cat_Network,0),MATCH($AY$4,Direct_Cost_Type,0))*$L31*INDEX(Act_Type_Augex_Splits,MATCH($I31,Act_Type_Augex,0),MATCH(AN$4,Mat_Type,0))*INDEX(Escalators!$I$44:$U$49,MATCH(AN$4,Escalators!$C$44:$C$49,0),MATCH(AN$5,Escalators!$I$43:$U$43,0))</f>
        <v>0</v>
      </c>
      <c r="AO31" s="128">
        <f>INDEX(Direct_Cost_Splits_Network,MATCH($H31,RIN_Asset_Cat_Network,0),MATCH($AY$4,Direct_Cost_Type,0))*$L31*INDEX(Act_Type_Augex_Splits,MATCH($I31,Act_Type_Augex,0),MATCH(AO$4,Mat_Type,0))*INDEX(Escalators!$I$44:$U$49,MATCH(AO$4,Escalators!$C$44:$C$49,0),MATCH(AO$5,Escalators!$I$43:$U$43,0))</f>
        <v>0</v>
      </c>
      <c r="AP31" s="128">
        <f>INDEX(Direct_Cost_Splits_Network,MATCH($H31,RIN_Asset_Cat_Network,0),MATCH($AY$4,Direct_Cost_Type,0))*$L31*INDEX(Act_Type_Augex_Splits,MATCH($I31,Act_Type_Augex,0),MATCH(AP$4,Mat_Type,0))*INDEX(Escalators!$I$44:$U$49,MATCH(AP$4,Escalators!$C$44:$C$49,0),MATCH(AP$5,Escalators!$I$43:$U$43,0))</f>
        <v>0</v>
      </c>
      <c r="AQ31" s="128">
        <f>INDEX(Direct_Cost_Splits_Network,MATCH($H31,RIN_Asset_Cat_Network,0),MATCH($AY$4,Direct_Cost_Type,0))*$L31*INDEX(Act_Type_Augex_Splits,MATCH($I31,Act_Type_Augex,0),MATCH(AQ$4,Mat_Type,0))*INDEX(Escalators!$I$44:$U$49,MATCH(AQ$4,Escalators!$C$44:$C$49,0),MATCH(AQ$5,Escalators!$I$43:$U$43,0))</f>
        <v>0</v>
      </c>
      <c r="AR31" s="128">
        <f>INDEX(Direct_Cost_Splits_Network,MATCH($H31,RIN_Asset_Cat_Network,0),MATCH($AY$4,Direct_Cost_Type,0))*$L31*INDEX(Act_Type_Augex_Splits,MATCH($I31,Act_Type_Augex,0),MATCH(AR$4,Mat_Type,0))*INDEX(Escalators!$I$44:$U$49,MATCH(AR$4,Escalators!$C$44:$C$49,0),MATCH(AR$5,Escalators!$I$43:$U$43,0))</f>
        <v>0</v>
      </c>
      <c r="AS31" s="128">
        <f>SUM(AN31:AR31)</f>
        <v>0</v>
      </c>
      <c r="AT31" s="128">
        <f>INDEX(Direct_Cost_Splits_Network,MATCH($H31,RIN_Asset_Cat_Network,0),MATCH($AY$4,Direct_Cost_Type,0))*$M31*INDEX(Act_Type_Augex_Splits,MATCH($I31,Act_Type_Augex,0),MATCH(AT$4,Mat_Type,0))*INDEX(Escalators!$I$44:$U$49,MATCH(AT$4,Escalators!$C$44:$C$49,0),MATCH(AT$5,Escalators!$I$43:$U$43,0))</f>
        <v>-169.87212099041417</v>
      </c>
      <c r="AU31" s="128">
        <f>INDEX(Direct_Cost_Splits_Network,MATCH($H31,RIN_Asset_Cat_Network,0),MATCH($AY$4,Direct_Cost_Type,0))*$M31*INDEX(Act_Type_Augex_Splits,MATCH($I31,Act_Type_Augex,0),MATCH(AU$4,Mat_Type,0))*INDEX(Escalators!$I$44:$U$49,MATCH(AU$4,Escalators!$C$44:$C$49,0),MATCH(AU$5,Escalators!$I$43:$U$43,0))</f>
        <v>0</v>
      </c>
      <c r="AV31" s="128">
        <f>INDEX(Direct_Cost_Splits_Network,MATCH($H31,RIN_Asset_Cat_Network,0),MATCH($AY$4,Direct_Cost_Type,0))*$M31*INDEX(Act_Type_Augex_Splits,MATCH($I31,Act_Type_Augex,0),MATCH(AV$4,Mat_Type,0))*INDEX(Escalators!$I$44:$U$49,MATCH(AV$4,Escalators!$C$44:$C$49,0),MATCH(AV$5,Escalators!$I$43:$U$43,0))</f>
        <v>-32.960262281722152</v>
      </c>
      <c r="AW31" s="128">
        <f>INDEX(Direct_Cost_Splits_Network,MATCH($H31,RIN_Asset_Cat_Network,0),MATCH($AY$4,Direct_Cost_Type,0))*$M31*INDEX(Act_Type_Augex_Splits,MATCH($I31,Act_Type_Augex,0),MATCH(AW$4,Mat_Type,0))*INDEX(Escalators!$I$44:$U$49,MATCH(AW$4,Escalators!$C$44:$C$49,0),MATCH(AW$5,Escalators!$I$43:$U$43,0))</f>
        <v>0</v>
      </c>
      <c r="AX31" s="128">
        <f>INDEX(Direct_Cost_Splits_Network,MATCH($H31,RIN_Asset_Cat_Network,0),MATCH($AY$4,Direct_Cost_Type,0))*$M31*INDEX(Act_Type_Augex_Splits,MATCH($I31,Act_Type_Augex,0),MATCH(AX$4,Mat_Type,0))*INDEX(Escalators!$I$44:$U$49,MATCH(AX$4,Escalators!$C$44:$C$49,0),MATCH(AX$5,Escalators!$I$43:$U$43,0))</f>
        <v>-50.708095818034082</v>
      </c>
      <c r="AY31" s="128">
        <f>SUM(AT31:AX31)</f>
        <v>-253.54047909017041</v>
      </c>
      <c r="AZ31" s="128">
        <f>INDEX(Direct_Cost_Splits_Network,MATCH($H31,RIN_Asset_Cat_Network,0),MATCH($BE$4,Direct_Cost_Type,0))*$N31*INDEX(Act_Type_Augex_Splits,MATCH($I31,Act_Type_Augex,0),MATCH(AZ$4,Mat_Type,0))*INDEX(Escalators!$I$44:$U$49,MATCH(AZ$4,Escalators!$C$44:$C$49,0),MATCH(AZ$5,Escalators!$I$43:$U$43,0))</f>
        <v>-169.87212099041417</v>
      </c>
      <c r="BA31" s="128">
        <f>INDEX(Direct_Cost_Splits_Network,MATCH($H31,RIN_Asset_Cat_Network,0),MATCH($BE$4,Direct_Cost_Type,0))*$N31*INDEX(Act_Type_Augex_Splits,MATCH($I31,Act_Type_Augex,0),MATCH(BA$4,Mat_Type,0))*INDEX(Escalators!$I$44:$U$49,MATCH(BA$4,Escalators!$C$44:$C$49,0),MATCH(BA$5,Escalators!$I$43:$U$43,0))</f>
        <v>0</v>
      </c>
      <c r="BB31" s="128">
        <f>INDEX(Direct_Cost_Splits_Network,MATCH($H31,RIN_Asset_Cat_Network,0),MATCH($BE$4,Direct_Cost_Type,0))*$N31*INDEX(Act_Type_Augex_Splits,MATCH($I31,Act_Type_Augex,0),MATCH(BB$4,Mat_Type,0))*INDEX(Escalators!$I$44:$U$49,MATCH(BB$4,Escalators!$C$44:$C$49,0),MATCH(BB$5,Escalators!$I$43:$U$43,0))</f>
        <v>-32.960262281722152</v>
      </c>
      <c r="BC31" s="128">
        <f>INDEX(Direct_Cost_Splits_Network,MATCH($H31,RIN_Asset_Cat_Network,0),MATCH($BE$4,Direct_Cost_Type,0))*$N31*INDEX(Act_Type_Augex_Splits,MATCH($I31,Act_Type_Augex,0),MATCH(BC$4,Mat_Type,0))*INDEX(Escalators!$I$44:$U$49,MATCH(BC$4,Escalators!$C$44:$C$49,0),MATCH(BC$5,Escalators!$I$43:$U$43,0))</f>
        <v>0</v>
      </c>
      <c r="BD31" s="128">
        <f>INDEX(Direct_Cost_Splits_Network,MATCH($H31,RIN_Asset_Cat_Network,0),MATCH($BE$4,Direct_Cost_Type,0))*$N31*INDEX(Act_Type_Augex_Splits,MATCH($I31,Act_Type_Augex,0),MATCH(BD$4,Mat_Type,0))*INDEX(Escalators!$I$44:$U$49,MATCH(BD$4,Escalators!$C$44:$C$49,0),MATCH(BD$5,Escalators!$I$43:$U$43,0))</f>
        <v>-50.708095818034082</v>
      </c>
      <c r="BE31" s="128">
        <f>SUM(AZ31:BD31)</f>
        <v>-253.54047909017041</v>
      </c>
      <c r="BF31" s="128">
        <f>INDEX(Direct_Cost_Splits_Network,MATCH($H31,RIN_Asset_Cat_Network,0),MATCH($BK$4,Direct_Cost_Type,0))*$O31*INDEX(Act_Type_Augex_Splits,MATCH($I31,Act_Type_Augex,0),MATCH(BF$4,Mat_Type,0))*INDEX(Escalators!$I$44:$U$49,MATCH(BF$4,Escalators!$C$44:$C$49,0),MATCH(BF$5,Escalators!$I$43:$U$43,0))</f>
        <v>-169.87212099041417</v>
      </c>
      <c r="BG31" s="128">
        <f>INDEX(Direct_Cost_Splits_Network,MATCH($H31,RIN_Asset_Cat_Network,0),MATCH($BK$4,Direct_Cost_Type,0))*$O31*INDEX(Act_Type_Augex_Splits,MATCH($I31,Act_Type_Augex,0),MATCH(BG$4,Mat_Type,0))*INDEX(Escalators!$I$44:$U$49,MATCH(BG$4,Escalators!$C$44:$C$49,0),MATCH(BG$5,Escalators!$I$43:$U$43,0))</f>
        <v>0</v>
      </c>
      <c r="BH31" s="128">
        <f>INDEX(Direct_Cost_Splits_Network,MATCH($H31,RIN_Asset_Cat_Network,0),MATCH($BK$4,Direct_Cost_Type,0))*$O31*INDEX(Act_Type_Augex_Splits,MATCH($I31,Act_Type_Augex,0),MATCH(BH$4,Mat_Type,0))*INDEX(Escalators!$I$44:$U$49,MATCH(BH$4,Escalators!$C$44:$C$49,0),MATCH(BH$5,Escalators!$I$43:$U$43,0))</f>
        <v>-32.960262281722152</v>
      </c>
      <c r="BI31" s="128">
        <f>INDEX(Direct_Cost_Splits_Network,MATCH($H31,RIN_Asset_Cat_Network,0),MATCH($BK$4,Direct_Cost_Type,0))*$O31*INDEX(Act_Type_Augex_Splits,MATCH($I31,Act_Type_Augex,0),MATCH(BI$4,Mat_Type,0))*INDEX(Escalators!$I$44:$U$49,MATCH(BI$4,Escalators!$C$44:$C$49,0),MATCH(BI$5,Escalators!$I$43:$U$43,0))</f>
        <v>0</v>
      </c>
      <c r="BJ31" s="128">
        <f>INDEX(Direct_Cost_Splits_Network,MATCH($H31,RIN_Asset_Cat_Network,0),MATCH($BK$4,Direct_Cost_Type,0))*$O31*INDEX(Act_Type_Augex_Splits,MATCH($I31,Act_Type_Augex,0),MATCH(BJ$4,Mat_Type,0))*INDEX(Escalators!$I$44:$U$49,MATCH(BJ$4,Escalators!$C$44:$C$49,0),MATCH(BJ$5,Escalators!$I$43:$U$43,0))</f>
        <v>-50.708095818034082</v>
      </c>
      <c r="BK31" s="128">
        <f>SUM(BF31:BJ31)</f>
        <v>-253.54047909017041</v>
      </c>
      <c r="BL31" s="128">
        <f>INDEX(Direct_Cost_Splits_Network,MATCH($H31,RIN_Asset_Cat_Network,0),MATCH($BQ$4,Direct_Cost_Type,0))*$P31*INDEX(Act_Type_Augex_Splits,MATCH($I31,Act_Type_Augex,0),MATCH(BL$4,Mat_Type,0))*INDEX(Escalators!$I$44:$U$49,MATCH(BL$4,Escalators!$C$44:$C$49,0),MATCH(BL$5,Escalators!$I$43:$U$43,0))</f>
        <v>-169.87212099041417</v>
      </c>
      <c r="BM31" s="128">
        <f>INDEX(Direct_Cost_Splits_Network,MATCH($H31,RIN_Asset_Cat_Network,0),MATCH($BQ$4,Direct_Cost_Type,0))*$P31*INDEX(Act_Type_Augex_Splits,MATCH($I31,Act_Type_Augex,0),MATCH(BM$4,Mat_Type,0))*INDEX(Escalators!$I$44:$U$49,MATCH(BM$4,Escalators!$C$44:$C$49,0),MATCH(BM$5,Escalators!$I$43:$U$43,0))</f>
        <v>0</v>
      </c>
      <c r="BN31" s="128">
        <f>INDEX(Direct_Cost_Splits_Network,MATCH($H31,RIN_Asset_Cat_Network,0),MATCH($BQ$4,Direct_Cost_Type,0))*$P31*INDEX(Act_Type_Augex_Splits,MATCH($I31,Act_Type_Augex,0),MATCH(BN$4,Mat_Type,0))*INDEX(Escalators!$I$44:$U$49,MATCH(BN$4,Escalators!$C$44:$C$49,0),MATCH(BN$5,Escalators!$I$43:$U$43,0))</f>
        <v>-32.960262281722152</v>
      </c>
      <c r="BO31" s="128">
        <f>INDEX(Direct_Cost_Splits_Network,MATCH($H31,RIN_Asset_Cat_Network,0),MATCH($BQ$4,Direct_Cost_Type,0))*$P31*INDEX(Act_Type_Augex_Splits,MATCH($I31,Act_Type_Augex,0),MATCH(BO$4,Mat_Type,0))*INDEX(Escalators!$I$44:$U$49,MATCH(BO$4,Escalators!$C$44:$C$49,0),MATCH(BO$5,Escalators!$I$43:$U$43,0))</f>
        <v>0</v>
      </c>
      <c r="BP31" s="128">
        <f>INDEX(Direct_Cost_Splits_Network,MATCH($H31,RIN_Asset_Cat_Network,0),MATCH($BQ$4,Direct_Cost_Type,0))*$P31*INDEX(Act_Type_Augex_Splits,MATCH($I31,Act_Type_Augex,0),MATCH(BP$4,Mat_Type,0))*INDEX(Escalators!$I$44:$U$49,MATCH(BP$4,Escalators!$C$44:$C$49,0),MATCH(BP$5,Escalators!$I$43:$U$43,0))</f>
        <v>-50.708095818034082</v>
      </c>
      <c r="BQ31" s="128">
        <f>SUM(BL31:BP31)</f>
        <v>-253.54047909017041</v>
      </c>
      <c r="BR31" s="128">
        <f>INDEX(Direct_Cost_Splits_Network,MATCH($H31,RIN_Asset_Cat_Network,0),MATCH($BW$4,Direct_Cost_Type,0))*$Q31*INDEX(Act_Type_Augex_Splits,MATCH($I31,Act_Type_Augex,0),MATCH(BR$4,Mat_Type,0))*INDEX(Escalators!$I$44:$U$49,MATCH(BR$4,Escalators!$C$44:$C$49,0),MATCH(BR$5,Escalators!$I$43:$U$43,0))</f>
        <v>-169.87212099041417</v>
      </c>
      <c r="BS31" s="128">
        <f>INDEX(Direct_Cost_Splits_Network,MATCH($H31,RIN_Asset_Cat_Network,0),MATCH($BW$4,Direct_Cost_Type,0))*$Q31*INDEX(Act_Type_Augex_Splits,MATCH($I31,Act_Type_Augex,0),MATCH(BS$4,Mat_Type,0))*INDEX(Escalators!$I$44:$U$49,MATCH(BS$4,Escalators!$C$44:$C$49,0),MATCH(BS$5,Escalators!$I$43:$U$43,0))</f>
        <v>0</v>
      </c>
      <c r="BT31" s="128">
        <f>INDEX(Direct_Cost_Splits_Network,MATCH($H31,RIN_Asset_Cat_Network,0),MATCH($BW$4,Direct_Cost_Type,0))*$Q31*INDEX(Act_Type_Augex_Splits,MATCH($I31,Act_Type_Augex,0),MATCH(BT$4,Mat_Type,0))*INDEX(Escalators!$I$44:$U$49,MATCH(BT$4,Escalators!$C$44:$C$49,0),MATCH(BT$5,Escalators!$I$43:$U$43,0))</f>
        <v>-32.960262281722152</v>
      </c>
      <c r="BU31" s="128">
        <f>INDEX(Direct_Cost_Splits_Network,MATCH($H31,RIN_Asset_Cat_Network,0),MATCH($BW$4,Direct_Cost_Type,0))*$Q31*INDEX(Act_Type_Augex_Splits,MATCH($I31,Act_Type_Augex,0),MATCH(BU$4,Mat_Type,0))*INDEX(Escalators!$I$44:$U$49,MATCH(BU$4,Escalators!$C$44:$C$49,0),MATCH(BU$5,Escalators!$I$43:$U$43,0))</f>
        <v>0</v>
      </c>
      <c r="BV31" s="128">
        <f>INDEX(Direct_Cost_Splits_Network,MATCH($H31,RIN_Asset_Cat_Network,0),MATCH($BW$4,Direct_Cost_Type,0))*$Q31*INDEX(Act_Type_Augex_Splits,MATCH($I31,Act_Type_Augex,0),MATCH(BV$4,Mat_Type,0))*INDEX(Escalators!$I$44:$U$49,MATCH(BV$4,Escalators!$C$44:$C$49,0),MATCH(BV$5,Escalators!$I$43:$U$43,0))</f>
        <v>-50.708095818034082</v>
      </c>
      <c r="BW31" s="128">
        <f>SUM(BR31:BV31)</f>
        <v>-253.54047909017041</v>
      </c>
      <c r="BX31" s="129"/>
      <c r="BY31" s="128">
        <f>INDEX(Direct_Cost_Splits_Network,MATCH($H31,RIN_Asset_Cat_Network,0),MATCH($BY$4,Direct_Cost_Type,0))*J31*HLOOKUP(BY$5,Escalators!$I$25:$U$30,6,FALSE)</f>
        <v>0</v>
      </c>
      <c r="BZ31" s="128">
        <f>INDEX(Direct_Cost_Splits_Network,MATCH($H31,RIN_Asset_Cat_Network,0),MATCH($BY$4,Direct_Cost_Type,0))*K31*HLOOKUP(BZ$5,Escalators!$I$25:$U$30,6,FALSE)</f>
        <v>0</v>
      </c>
      <c r="CA31" s="128">
        <f>INDEX(Direct_Cost_Splits_Network,MATCH($H31,RIN_Asset_Cat_Network,0),MATCH($BY$4,Direct_Cost_Type,0))*L31*HLOOKUP(CA$5,Escalators!$I$25:$U$30,6,FALSE)</f>
        <v>0</v>
      </c>
      <c r="CB31" s="128">
        <f>INDEX(Direct_Cost_Splits_Network,MATCH($H31,RIN_Asset_Cat_Network,0),MATCH($BY$4,Direct_Cost_Type,0))*M31*HLOOKUP(CB$5,Escalators!$I$25:$U$30,6,FALSE)</f>
        <v>-345.39862290570983</v>
      </c>
      <c r="CC31" s="128">
        <f>INDEX(Direct_Cost_Splits_Network,MATCH($H31,RIN_Asset_Cat_Network,0),MATCH($BY$4,Direct_Cost_Type,0))*N31*HLOOKUP(CC$5,Escalators!$I$25:$U$30,6,FALSE)</f>
        <v>-345.39862290570983</v>
      </c>
      <c r="CD31" s="128">
        <f>INDEX(Direct_Cost_Splits_Network,MATCH($H31,RIN_Asset_Cat_Network,0),MATCH($BY$4,Direct_Cost_Type,0))*O31*HLOOKUP(CD$5,Escalators!$I$25:$U$30,6,FALSE)</f>
        <v>-345.39862290570983</v>
      </c>
      <c r="CE31" s="128">
        <f>INDEX(Direct_Cost_Splits_Network,MATCH($H31,RIN_Asset_Cat_Network,0),MATCH($BY$4,Direct_Cost_Type,0))*P31*HLOOKUP(CE$5,Escalators!$I$25:$U$30,6,FALSE)</f>
        <v>-345.39862290570983</v>
      </c>
      <c r="CF31" s="128">
        <f>INDEX(Direct_Cost_Splits_Network,MATCH($H31,RIN_Asset_Cat_Network,0),MATCH($BY$4,Direct_Cost_Type,0))*Q31*HLOOKUP(CF$5,Escalators!$I$25:$U$30,6,FALSE)</f>
        <v>-345.39862290570983</v>
      </c>
      <c r="CG31" s="129"/>
      <c r="CH31" s="763">
        <f t="shared" ref="CH31" si="99">INDEX(Direct_Cost_Splits_Network,MATCH($H31,RIN_Asset_Cat_Network,0),MATCH($CH$4,Direct_Cost_Type,0))*J31</f>
        <v>0</v>
      </c>
      <c r="CI31" s="763">
        <f>INDEX(Direct_Cost_Splits_Network,MATCH($H31,RIN_Asset_Cat_Network,0),MATCH($CH$4,Direct_Cost_Type,0))*K31</f>
        <v>0</v>
      </c>
      <c r="CJ31" s="763">
        <f>INDEX(Direct_Cost_Splits_Network,MATCH($H31,RIN_Asset_Cat_Network,0),MATCH($CH$4,Direct_Cost_Type,0))*L31</f>
        <v>0</v>
      </c>
      <c r="CK31" s="763">
        <f t="shared" ref="CK31" si="100">INDEX(Direct_Cost_Splits_Network,MATCH($H31,RIN_Asset_Cat_Network,0),MATCH($CH$4,Direct_Cost_Type,0))*M31</f>
        <v>-94.893478574701305</v>
      </c>
      <c r="CL31" s="763">
        <f t="shared" ref="CL31" si="101">INDEX(Direct_Cost_Splits_Network,MATCH($H31,RIN_Asset_Cat_Network,0),MATCH($CH$4,Direct_Cost_Type,0))*N31</f>
        <v>-94.893478574701305</v>
      </c>
      <c r="CM31" s="763">
        <f t="shared" ref="CM31" si="102">INDEX(Direct_Cost_Splits_Network,MATCH($H31,RIN_Asset_Cat_Network,0),MATCH($CH$4,Direct_Cost_Type,0))*O31</f>
        <v>-94.893478574701305</v>
      </c>
      <c r="CN31" s="763">
        <f t="shared" ref="CN31" si="103">INDEX(Direct_Cost_Splits_Network,MATCH($H31,RIN_Asset_Cat_Network,0),MATCH($CH$4,Direct_Cost_Type,0))*P31</f>
        <v>-94.893478574701305</v>
      </c>
      <c r="CO31" s="763">
        <f t="shared" ref="CO31" si="104">INDEX(Direct_Cost_Splits_Network,MATCH($H31,RIN_Asset_Cat_Network,0),MATCH($CH$4,Direct_Cost_Type,0))*Q31</f>
        <v>-94.893478574701305</v>
      </c>
      <c r="CP31" s="129"/>
      <c r="CQ31" s="128">
        <f t="shared" si="18"/>
        <v>0</v>
      </c>
      <c r="CR31" s="128">
        <f t="shared" si="9"/>
        <v>0</v>
      </c>
      <c r="CS31" s="128">
        <f t="shared" si="19"/>
        <v>0</v>
      </c>
      <c r="CT31" s="128">
        <f t="shared" si="20"/>
        <v>-823.29646478285463</v>
      </c>
      <c r="CU31" s="128">
        <f t="shared" si="21"/>
        <v>-822.97309812288472</v>
      </c>
      <c r="CV31" s="128">
        <f t="shared" si="22"/>
        <v>-822.87930251742796</v>
      </c>
      <c r="CW31" s="128">
        <f t="shared" si="23"/>
        <v>-823.35325863954586</v>
      </c>
      <c r="CX31" s="128">
        <f t="shared" si="24"/>
        <v>-824.64405311822406</v>
      </c>
      <c r="CZ31" s="39"/>
    </row>
    <row r="32" spans="2:104" x14ac:dyDescent="0.25">
      <c r="B32" s="75"/>
      <c r="C32" s="75"/>
      <c r="D32" s="75"/>
      <c r="E32" s="75"/>
      <c r="F32" s="75"/>
      <c r="G32" s="75"/>
      <c r="H32" s="75"/>
      <c r="I32" s="75"/>
      <c r="J32" s="128"/>
      <c r="K32" s="128"/>
      <c r="L32" s="128"/>
      <c r="M32" s="128"/>
      <c r="N32" s="128"/>
      <c r="O32" s="128"/>
      <c r="P32" s="128"/>
      <c r="Q32" s="128"/>
      <c r="S32" s="47"/>
      <c r="T32" s="47"/>
      <c r="U32" s="47"/>
      <c r="V32" s="47"/>
      <c r="W32" s="47"/>
      <c r="X32" s="47"/>
      <c r="Y32" s="47"/>
      <c r="Z32" s="47"/>
      <c r="AB32" s="6"/>
      <c r="AC32" s="6"/>
      <c r="AD32" s="6"/>
      <c r="AE32" s="6"/>
      <c r="AF32" s="6"/>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Y32" s="47"/>
      <c r="BZ32" s="47"/>
      <c r="CA32" s="47"/>
      <c r="CB32" s="47"/>
      <c r="CC32" s="47"/>
      <c r="CD32" s="47"/>
      <c r="CE32" s="47"/>
      <c r="CF32" s="47"/>
      <c r="CH32" s="47"/>
      <c r="CI32" s="47"/>
      <c r="CJ32" s="47"/>
      <c r="CK32" s="47"/>
      <c r="CL32" s="47"/>
      <c r="CM32" s="47"/>
      <c r="CN32" s="47"/>
      <c r="CO32" s="47"/>
      <c r="CQ32" s="374">
        <f t="shared" si="18"/>
        <v>0</v>
      </c>
      <c r="CR32" s="47">
        <f t="shared" si="9"/>
        <v>0</v>
      </c>
      <c r="CS32" s="47">
        <f t="shared" si="19"/>
        <v>0</v>
      </c>
      <c r="CT32" s="47">
        <f t="shared" si="20"/>
        <v>0</v>
      </c>
      <c r="CU32" s="47">
        <f t="shared" si="21"/>
        <v>0</v>
      </c>
      <c r="CV32" s="47">
        <f t="shared" si="22"/>
        <v>0</v>
      </c>
      <c r="CW32" s="47">
        <f t="shared" si="23"/>
        <v>0</v>
      </c>
      <c r="CX32" s="47">
        <f t="shared" si="24"/>
        <v>0</v>
      </c>
      <c r="CZ32" s="39"/>
    </row>
    <row r="33" spans="2:104" x14ac:dyDescent="0.25">
      <c r="B33" s="75"/>
      <c r="C33" s="75"/>
      <c r="D33" s="75"/>
      <c r="E33" s="75"/>
      <c r="F33" s="75"/>
      <c r="G33" s="75"/>
      <c r="H33" s="75"/>
      <c r="I33" s="75"/>
      <c r="J33" s="128"/>
      <c r="K33" s="128"/>
      <c r="L33" s="128"/>
      <c r="M33" s="128"/>
      <c r="N33" s="128"/>
      <c r="O33" s="128"/>
      <c r="P33" s="128"/>
      <c r="Q33" s="128"/>
      <c r="S33" s="47"/>
      <c r="T33" s="47"/>
      <c r="U33" s="47"/>
      <c r="V33" s="47"/>
      <c r="W33" s="47"/>
      <c r="X33" s="47"/>
      <c r="Y33" s="47"/>
      <c r="Z33" s="47"/>
      <c r="AB33" s="6"/>
      <c r="AC33" s="6"/>
      <c r="AD33" s="6"/>
      <c r="AE33" s="6"/>
      <c r="AF33" s="6"/>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Y33" s="47"/>
      <c r="BZ33" s="47"/>
      <c r="CA33" s="47"/>
      <c r="CB33" s="47"/>
      <c r="CC33" s="47"/>
      <c r="CD33" s="47"/>
      <c r="CE33" s="47"/>
      <c r="CF33" s="47"/>
      <c r="CH33" s="47"/>
      <c r="CI33" s="47"/>
      <c r="CJ33" s="47"/>
      <c r="CK33" s="47"/>
      <c r="CL33" s="47"/>
      <c r="CM33" s="47"/>
      <c r="CN33" s="47"/>
      <c r="CO33" s="47"/>
      <c r="CQ33" s="374">
        <f t="shared" si="18"/>
        <v>0</v>
      </c>
      <c r="CR33" s="47">
        <f t="shared" si="9"/>
        <v>0</v>
      </c>
      <c r="CS33" s="47">
        <f t="shared" si="19"/>
        <v>0</v>
      </c>
      <c r="CT33" s="47">
        <f t="shared" si="20"/>
        <v>0</v>
      </c>
      <c r="CU33" s="47">
        <f t="shared" si="21"/>
        <v>0</v>
      </c>
      <c r="CV33" s="47">
        <f t="shared" si="22"/>
        <v>0</v>
      </c>
      <c r="CW33" s="47">
        <f t="shared" si="23"/>
        <v>0</v>
      </c>
      <c r="CX33" s="47">
        <f t="shared" si="24"/>
        <v>0</v>
      </c>
      <c r="CZ33" s="39"/>
    </row>
    <row r="34" spans="2:104" x14ac:dyDescent="0.25">
      <c r="B34" s="75"/>
      <c r="C34" s="75"/>
      <c r="D34" s="75"/>
      <c r="E34" s="75"/>
      <c r="F34" s="75"/>
      <c r="G34" s="75"/>
      <c r="H34" s="75"/>
      <c r="I34" s="75"/>
      <c r="J34" s="128"/>
      <c r="K34" s="128"/>
      <c r="L34" s="128"/>
      <c r="M34" s="128"/>
      <c r="N34" s="128"/>
      <c r="O34" s="128"/>
      <c r="P34" s="128"/>
      <c r="Q34" s="128"/>
      <c r="S34" s="47"/>
      <c r="T34" s="47"/>
      <c r="U34" s="47"/>
      <c r="V34" s="47"/>
      <c r="W34" s="47"/>
      <c r="X34" s="47"/>
      <c r="Y34" s="47"/>
      <c r="Z34" s="47"/>
      <c r="AB34" s="6"/>
      <c r="AC34" s="6"/>
      <c r="AD34" s="6"/>
      <c r="AE34" s="6"/>
      <c r="AF34" s="6"/>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Y34" s="47"/>
      <c r="BZ34" s="47"/>
      <c r="CA34" s="47"/>
      <c r="CB34" s="47"/>
      <c r="CC34" s="47"/>
      <c r="CD34" s="47"/>
      <c r="CE34" s="47"/>
      <c r="CF34" s="47"/>
      <c r="CH34" s="47"/>
      <c r="CI34" s="47"/>
      <c r="CJ34" s="47"/>
      <c r="CK34" s="47"/>
      <c r="CL34" s="47"/>
      <c r="CM34" s="47"/>
      <c r="CN34" s="47"/>
      <c r="CO34" s="47"/>
      <c r="CQ34" s="374">
        <f t="shared" si="18"/>
        <v>0</v>
      </c>
      <c r="CR34" s="47">
        <f t="shared" si="9"/>
        <v>0</v>
      </c>
      <c r="CS34" s="47">
        <f t="shared" si="19"/>
        <v>0</v>
      </c>
      <c r="CT34" s="47">
        <f t="shared" si="20"/>
        <v>0</v>
      </c>
      <c r="CU34" s="47">
        <f t="shared" si="21"/>
        <v>0</v>
      </c>
      <c r="CV34" s="47">
        <f t="shared" si="22"/>
        <v>0</v>
      </c>
      <c r="CW34" s="47">
        <f t="shared" si="23"/>
        <v>0</v>
      </c>
      <c r="CX34" s="47">
        <f t="shared" si="24"/>
        <v>0</v>
      </c>
      <c r="CZ34" s="39"/>
    </row>
    <row r="35" spans="2:104" x14ac:dyDescent="0.25">
      <c r="B35" s="75"/>
      <c r="C35" s="75"/>
      <c r="D35" s="75"/>
      <c r="E35" s="75"/>
      <c r="F35" s="75"/>
      <c r="G35" s="75"/>
      <c r="H35" s="75"/>
      <c r="I35" s="75"/>
      <c r="J35" s="128"/>
      <c r="K35" s="128"/>
      <c r="L35" s="128"/>
      <c r="M35" s="128"/>
      <c r="N35" s="128"/>
      <c r="O35" s="128"/>
      <c r="P35" s="128"/>
      <c r="Q35" s="128"/>
      <c r="S35" s="47"/>
      <c r="T35" s="47"/>
      <c r="U35" s="47"/>
      <c r="V35" s="47"/>
      <c r="W35" s="47"/>
      <c r="X35" s="47"/>
      <c r="Y35" s="47"/>
      <c r="Z35" s="47"/>
      <c r="AB35" s="6"/>
      <c r="AC35" s="6"/>
      <c r="AD35" s="6"/>
      <c r="AE35" s="6"/>
      <c r="AF35" s="6"/>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Y35" s="47"/>
      <c r="BZ35" s="47"/>
      <c r="CA35" s="47"/>
      <c r="CB35" s="47"/>
      <c r="CC35" s="47"/>
      <c r="CD35" s="47"/>
      <c r="CE35" s="47"/>
      <c r="CF35" s="47"/>
      <c r="CH35" s="47"/>
      <c r="CI35" s="47"/>
      <c r="CJ35" s="47"/>
      <c r="CK35" s="47"/>
      <c r="CL35" s="47"/>
      <c r="CM35" s="47"/>
      <c r="CN35" s="47"/>
      <c r="CO35" s="47"/>
      <c r="CQ35" s="374">
        <f t="shared" si="18"/>
        <v>0</v>
      </c>
      <c r="CR35" s="47">
        <f t="shared" si="9"/>
        <v>0</v>
      </c>
      <c r="CS35" s="47">
        <f t="shared" si="19"/>
        <v>0</v>
      </c>
      <c r="CT35" s="47">
        <f t="shared" si="20"/>
        <v>0</v>
      </c>
      <c r="CU35" s="47">
        <f t="shared" si="21"/>
        <v>0</v>
      </c>
      <c r="CV35" s="47">
        <f t="shared" si="22"/>
        <v>0</v>
      </c>
      <c r="CW35" s="47">
        <f t="shared" si="23"/>
        <v>0</v>
      </c>
      <c r="CX35" s="47">
        <f t="shared" si="24"/>
        <v>0</v>
      </c>
      <c r="CZ35" s="39"/>
    </row>
    <row r="36" spans="2:104" x14ac:dyDescent="0.25">
      <c r="B36" s="75"/>
      <c r="C36" s="75"/>
      <c r="D36" s="75"/>
      <c r="E36" s="75"/>
      <c r="F36" s="75"/>
      <c r="G36" s="75"/>
      <c r="H36" s="75"/>
      <c r="I36" s="75"/>
      <c r="J36" s="128"/>
      <c r="K36" s="128"/>
      <c r="L36" s="128"/>
      <c r="M36" s="128"/>
      <c r="N36" s="128"/>
      <c r="O36" s="128"/>
      <c r="P36" s="128"/>
      <c r="Q36" s="128"/>
      <c r="S36" s="47"/>
      <c r="T36" s="47"/>
      <c r="U36" s="47"/>
      <c r="V36" s="47"/>
      <c r="W36" s="47"/>
      <c r="X36" s="47"/>
      <c r="Y36" s="47"/>
      <c r="Z36" s="47"/>
      <c r="AB36" s="6"/>
      <c r="AC36" s="6"/>
      <c r="AD36" s="6"/>
      <c r="AE36" s="6"/>
      <c r="AF36" s="6"/>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Y36" s="47"/>
      <c r="BZ36" s="47"/>
      <c r="CA36" s="47"/>
      <c r="CB36" s="47"/>
      <c r="CC36" s="47"/>
      <c r="CD36" s="47"/>
      <c r="CE36" s="47"/>
      <c r="CF36" s="47"/>
      <c r="CH36" s="47"/>
      <c r="CI36" s="47"/>
      <c r="CJ36" s="47"/>
      <c r="CK36" s="47"/>
      <c r="CL36" s="47"/>
      <c r="CM36" s="47"/>
      <c r="CN36" s="47"/>
      <c r="CO36" s="47"/>
      <c r="CQ36" s="374">
        <f t="shared" si="18"/>
        <v>0</v>
      </c>
      <c r="CR36" s="47">
        <f t="shared" si="9"/>
        <v>0</v>
      </c>
      <c r="CS36" s="47">
        <f t="shared" si="19"/>
        <v>0</v>
      </c>
      <c r="CT36" s="47">
        <f t="shared" si="20"/>
        <v>0</v>
      </c>
      <c r="CU36" s="47">
        <f t="shared" si="21"/>
        <v>0</v>
      </c>
      <c r="CV36" s="47">
        <f t="shared" si="22"/>
        <v>0</v>
      </c>
      <c r="CW36" s="47">
        <f t="shared" si="23"/>
        <v>0</v>
      </c>
      <c r="CX36" s="47">
        <f t="shared" si="24"/>
        <v>0</v>
      </c>
      <c r="CZ36" s="39"/>
    </row>
    <row r="37" spans="2:104" x14ac:dyDescent="0.25">
      <c r="J37" s="48">
        <f t="shared" ref="J37:Q37" si="105">SUM(J6:J36)</f>
        <v>0</v>
      </c>
      <c r="K37" s="48">
        <f t="shared" si="105"/>
        <v>0</v>
      </c>
      <c r="L37" s="48">
        <f t="shared" si="105"/>
        <v>0</v>
      </c>
      <c r="M37" s="764">
        <f t="shared" si="105"/>
        <v>16152.3</v>
      </c>
      <c r="N37" s="764">
        <f t="shared" si="105"/>
        <v>29137.797892036626</v>
      </c>
      <c r="O37" s="764">
        <f t="shared" si="105"/>
        <v>35297.765208252938</v>
      </c>
      <c r="P37" s="764">
        <f t="shared" si="105"/>
        <v>40590.932524469259</v>
      </c>
      <c r="Q37" s="764">
        <f t="shared" si="105"/>
        <v>42712.496167587611</v>
      </c>
      <c r="R37" s="129"/>
      <c r="S37" s="764">
        <f t="shared" ref="S37:Z37" si="106">SUM(S6:S36)</f>
        <v>0</v>
      </c>
      <c r="T37" s="764">
        <f t="shared" si="106"/>
        <v>0</v>
      </c>
      <c r="U37" s="764">
        <f t="shared" ref="U37" si="107">SUM(U6:U36)</f>
        <v>0</v>
      </c>
      <c r="V37" s="764">
        <f t="shared" si="106"/>
        <v>2547.0639427063343</v>
      </c>
      <c r="W37" s="764">
        <f t="shared" si="106"/>
        <v>4583.2768576273056</v>
      </c>
      <c r="X37" s="764">
        <f t="shared" si="106"/>
        <v>5548.1862267655106</v>
      </c>
      <c r="Y37" s="764">
        <f t="shared" si="106"/>
        <v>6403.6115761520559</v>
      </c>
      <c r="Z37" s="764">
        <f t="shared" si="106"/>
        <v>6805.4622653686602</v>
      </c>
      <c r="AA37" s="129"/>
      <c r="AB37" s="764">
        <f t="shared" ref="AB37:BW37" si="108">SUM(AB6:AB36)</f>
        <v>0</v>
      </c>
      <c r="AC37" s="764">
        <f t="shared" si="108"/>
        <v>0</v>
      </c>
      <c r="AD37" s="764">
        <f t="shared" si="108"/>
        <v>0</v>
      </c>
      <c r="AE37" s="764">
        <f t="shared" si="108"/>
        <v>0</v>
      </c>
      <c r="AF37" s="764">
        <f t="shared" si="108"/>
        <v>0</v>
      </c>
      <c r="AG37" s="764">
        <f t="shared" si="108"/>
        <v>0</v>
      </c>
      <c r="AH37" s="764">
        <f t="shared" si="108"/>
        <v>0</v>
      </c>
      <c r="AI37" s="764">
        <f t="shared" si="108"/>
        <v>0</v>
      </c>
      <c r="AJ37" s="764">
        <f t="shared" si="108"/>
        <v>0</v>
      </c>
      <c r="AK37" s="764">
        <f t="shared" si="108"/>
        <v>0</v>
      </c>
      <c r="AL37" s="764">
        <f t="shared" si="108"/>
        <v>0</v>
      </c>
      <c r="AM37" s="764">
        <f t="shared" si="108"/>
        <v>0</v>
      </c>
      <c r="AN37" s="764">
        <f t="shared" ref="AN37:AS37" si="109">SUM(AN6:AN36)</f>
        <v>0</v>
      </c>
      <c r="AO37" s="764">
        <f t="shared" si="109"/>
        <v>0</v>
      </c>
      <c r="AP37" s="764">
        <f t="shared" si="109"/>
        <v>0</v>
      </c>
      <c r="AQ37" s="764">
        <f t="shared" si="109"/>
        <v>0</v>
      </c>
      <c r="AR37" s="764">
        <f t="shared" si="109"/>
        <v>0</v>
      </c>
      <c r="AS37" s="764">
        <f t="shared" si="109"/>
        <v>0</v>
      </c>
      <c r="AT37" s="764">
        <f t="shared" si="108"/>
        <v>1522.2326397486761</v>
      </c>
      <c r="AU37" s="764">
        <f t="shared" si="108"/>
        <v>366.9635572390593</v>
      </c>
      <c r="AV37" s="764">
        <f t="shared" si="108"/>
        <v>684.76157005235643</v>
      </c>
      <c r="AW37" s="764">
        <f t="shared" si="108"/>
        <v>26.141536607774569</v>
      </c>
      <c r="AX37" s="764">
        <f t="shared" si="108"/>
        <v>2388.0394057408776</v>
      </c>
      <c r="AY37" s="764">
        <f t="shared" si="108"/>
        <v>4988.1387093887442</v>
      </c>
      <c r="AZ37" s="764">
        <f t="shared" si="108"/>
        <v>1859.4133418517583</v>
      </c>
      <c r="BA37" s="764">
        <f t="shared" si="108"/>
        <v>1000.7564542006968</v>
      </c>
      <c r="BB37" s="764">
        <f t="shared" si="108"/>
        <v>2200.7633604236321</v>
      </c>
      <c r="BC37" s="764">
        <f t="shared" si="108"/>
        <v>220.9770167998351</v>
      </c>
      <c r="BD37" s="764">
        <f t="shared" si="108"/>
        <v>3716.3982763946283</v>
      </c>
      <c r="BE37" s="764">
        <f t="shared" si="108"/>
        <v>8998.3084496705487</v>
      </c>
      <c r="BF37" s="764">
        <f t="shared" si="108"/>
        <v>1748.2799614614858</v>
      </c>
      <c r="BG37" s="764">
        <f t="shared" si="108"/>
        <v>1344.5367816178759</v>
      </c>
      <c r="BH37" s="764">
        <f t="shared" si="108"/>
        <v>3042.9737555462734</v>
      </c>
      <c r="BI37" s="764">
        <f t="shared" si="108"/>
        <v>332.72579077116325</v>
      </c>
      <c r="BJ37" s="764">
        <f t="shared" si="108"/>
        <v>4432.1077078173284</v>
      </c>
      <c r="BK37" s="764">
        <f t="shared" si="108"/>
        <v>10900.623997214125</v>
      </c>
      <c r="BL37" s="764">
        <f t="shared" si="108"/>
        <v>1549.5111328443045</v>
      </c>
      <c r="BM37" s="764">
        <f t="shared" si="108"/>
        <v>1658.7322394895764</v>
      </c>
      <c r="BN37" s="764">
        <f t="shared" si="108"/>
        <v>3817.8418229803424</v>
      </c>
      <c r="BO37" s="764">
        <f t="shared" si="108"/>
        <v>437.07834735612164</v>
      </c>
      <c r="BP37" s="764">
        <f t="shared" si="108"/>
        <v>5072.0916083293077</v>
      </c>
      <c r="BQ37" s="764">
        <f t="shared" si="108"/>
        <v>12535.255150999654</v>
      </c>
      <c r="BR37" s="764">
        <f t="shared" si="108"/>
        <v>1568.9630864141341</v>
      </c>
      <c r="BS37" s="764">
        <f t="shared" si="108"/>
        <v>1764.6843146772712</v>
      </c>
      <c r="BT37" s="764">
        <f t="shared" si="108"/>
        <v>4081.2528305669784</v>
      </c>
      <c r="BU37" s="764">
        <f t="shared" si="108"/>
        <v>470.91046220345913</v>
      </c>
      <c r="BV37" s="764">
        <f t="shared" si="108"/>
        <v>5304.6238268046982</v>
      </c>
      <c r="BW37" s="764">
        <f t="shared" si="108"/>
        <v>13190.43452066654</v>
      </c>
      <c r="BX37" s="129"/>
      <c r="BY37" s="764">
        <f t="shared" ref="BY37:CF37" si="110">SUM(BY6:BY36)</f>
        <v>0</v>
      </c>
      <c r="BZ37" s="764">
        <f t="shared" si="110"/>
        <v>0</v>
      </c>
      <c r="CA37" s="764">
        <f t="shared" ref="CA37" si="111">SUM(CA6:CA36)</f>
        <v>0</v>
      </c>
      <c r="CB37" s="764">
        <f t="shared" si="110"/>
        <v>6795.3497889889131</v>
      </c>
      <c r="CC37" s="764">
        <f t="shared" si="110"/>
        <v>12258.410799530262</v>
      </c>
      <c r="CD37" s="764">
        <f t="shared" si="110"/>
        <v>14849.938483044632</v>
      </c>
      <c r="CE37" s="764">
        <f t="shared" si="110"/>
        <v>17076.79926481154</v>
      </c>
      <c r="CF37" s="764">
        <f t="shared" si="110"/>
        <v>17969.3512267359</v>
      </c>
      <c r="CG37" s="129"/>
      <c r="CH37" s="764">
        <f t="shared" ref="CH37:CO37" si="112">SUM(CH6:CH36)</f>
        <v>0</v>
      </c>
      <c r="CI37" s="764">
        <f t="shared" si="112"/>
        <v>0</v>
      </c>
      <c r="CJ37" s="764">
        <f t="shared" ref="CJ37" si="113">SUM(CJ6:CJ36)</f>
        <v>0</v>
      </c>
      <c r="CK37" s="764">
        <f t="shared" si="112"/>
        <v>1866.9280560074883</v>
      </c>
      <c r="CL37" s="764">
        <f t="shared" si="112"/>
        <v>3367.8282581997005</v>
      </c>
      <c r="CM37" s="764">
        <f t="shared" si="112"/>
        <v>4079.8145268260496</v>
      </c>
      <c r="CN37" s="764">
        <f t="shared" si="112"/>
        <v>4691.6136246502683</v>
      </c>
      <c r="CO37" s="764">
        <f t="shared" si="112"/>
        <v>4936.8298903178884</v>
      </c>
      <c r="CP37" s="129"/>
      <c r="CQ37" s="764">
        <f t="shared" ref="CQ37:CX37" si="114">SUM(CQ6:CQ36)</f>
        <v>0</v>
      </c>
      <c r="CR37" s="764">
        <f t="shared" si="114"/>
        <v>0</v>
      </c>
      <c r="CS37" s="764">
        <f t="shared" si="114"/>
        <v>0</v>
      </c>
      <c r="CT37" s="764">
        <f t="shared" si="114"/>
        <v>16197.480497091479</v>
      </c>
      <c r="CU37" s="764">
        <f t="shared" si="114"/>
        <v>29207.824365027816</v>
      </c>
      <c r="CV37" s="764">
        <f t="shared" si="114"/>
        <v>35378.56323385032</v>
      </c>
      <c r="CW37" s="764">
        <f t="shared" si="114"/>
        <v>40707.279616613516</v>
      </c>
      <c r="CX37" s="764">
        <f t="shared" si="114"/>
        <v>42902.077903088983</v>
      </c>
    </row>
    <row r="38" spans="2:104" x14ac:dyDescent="0.25">
      <c r="CQ38" s="84">
        <f t="shared" ref="CQ38:CX38" si="115">IF(ISERROR((CQ37-J37)/J37),0,(CQ37-J37)/J37)</f>
        <v>0</v>
      </c>
      <c r="CR38" s="84">
        <f t="shared" si="115"/>
        <v>0</v>
      </c>
      <c r="CS38" s="84">
        <f t="shared" si="115"/>
        <v>0</v>
      </c>
      <c r="CT38" s="84">
        <f t="shared" si="115"/>
        <v>2.7971556429412527E-3</v>
      </c>
      <c r="CU38" s="84">
        <f t="shared" si="115"/>
        <v>2.4032863859738966E-3</v>
      </c>
      <c r="CV38" s="84">
        <f t="shared" si="115"/>
        <v>2.2890408251253912E-3</v>
      </c>
      <c r="CW38" s="84">
        <f t="shared" si="115"/>
        <v>2.8663320822728015E-3</v>
      </c>
      <c r="CX38" s="84">
        <f t="shared" si="115"/>
        <v>4.438554346192382E-3</v>
      </c>
    </row>
    <row r="39" spans="2:104" x14ac:dyDescent="0.25">
      <c r="H39" s="1" t="s">
        <v>133</v>
      </c>
      <c r="J39" s="39"/>
      <c r="K39" s="39"/>
      <c r="L39" s="39"/>
      <c r="M39" s="39"/>
      <c r="N39" s="39"/>
      <c r="O39" s="39"/>
      <c r="P39" s="39"/>
      <c r="Q39" s="39"/>
    </row>
    <row r="40" spans="2:104" x14ac:dyDescent="0.25">
      <c r="J40" s="39"/>
      <c r="K40" s="39"/>
      <c r="L40" s="39"/>
      <c r="M40" s="107"/>
      <c r="N40" s="39"/>
      <c r="O40" s="39"/>
      <c r="P40" s="39"/>
      <c r="Q40" s="39"/>
      <c r="V40" s="39"/>
    </row>
    <row r="41" spans="2:104" x14ac:dyDescent="0.25">
      <c r="V41" s="84"/>
    </row>
    <row r="42" spans="2:104" x14ac:dyDescent="0.25">
      <c r="J42" s="39"/>
      <c r="K42" s="39"/>
      <c r="L42" s="39"/>
      <c r="M42" s="39"/>
      <c r="N42" s="39"/>
      <c r="O42" s="39"/>
      <c r="P42" s="39"/>
      <c r="Q42" s="39"/>
      <c r="V42" s="39"/>
    </row>
    <row r="43" spans="2:104" x14ac:dyDescent="0.25">
      <c r="J43" s="39"/>
      <c r="K43" s="39"/>
      <c r="L43" s="39"/>
      <c r="M43" s="39"/>
      <c r="N43" s="39"/>
      <c r="O43" s="39"/>
      <c r="P43" s="39"/>
      <c r="Q43" s="39"/>
      <c r="V43" s="157"/>
    </row>
    <row r="44" spans="2:104" x14ac:dyDescent="0.25">
      <c r="J44" s="39"/>
      <c r="K44" s="39"/>
      <c r="L44" s="39"/>
      <c r="M44" s="39"/>
      <c r="N44" s="39"/>
      <c r="O44" s="39"/>
      <c r="P44" s="39"/>
      <c r="Q44" s="39"/>
      <c r="V44" s="39"/>
    </row>
    <row r="45" spans="2:104" x14ac:dyDescent="0.25">
      <c r="J45" s="39"/>
      <c r="K45" s="39"/>
      <c r="L45" s="39"/>
      <c r="M45" s="39"/>
      <c r="N45" s="39"/>
      <c r="O45" s="39"/>
      <c r="P45" s="39"/>
      <c r="Q45" s="39"/>
      <c r="V45" s="39"/>
    </row>
    <row r="46" spans="2:104" x14ac:dyDescent="0.25">
      <c r="J46" s="39"/>
      <c r="K46" s="39"/>
      <c r="L46" s="39"/>
      <c r="M46" s="39"/>
      <c r="N46" s="39"/>
      <c r="O46" s="39"/>
      <c r="P46" s="39"/>
      <c r="Q46" s="39"/>
      <c r="V46" s="39"/>
    </row>
    <row r="47" spans="2:104" x14ac:dyDescent="0.25">
      <c r="J47" s="50"/>
      <c r="K47" s="50"/>
      <c r="L47" s="50"/>
      <c r="M47" s="50"/>
      <c r="N47" s="50"/>
      <c r="O47" s="50"/>
      <c r="P47" s="50"/>
      <c r="Q47" s="50"/>
    </row>
    <row r="48" spans="2:104" x14ac:dyDescent="0.25">
      <c r="J48" s="50"/>
      <c r="K48" s="50"/>
      <c r="L48" s="50"/>
      <c r="M48" s="50"/>
      <c r="N48" s="50"/>
      <c r="O48" s="50"/>
      <c r="P48" s="50"/>
      <c r="Q48" s="50"/>
      <c r="V48" s="39"/>
      <c r="X48" s="160"/>
      <c r="Z48" s="616"/>
    </row>
    <row r="49" spans="3:51" x14ac:dyDescent="0.25">
      <c r="V49" s="39"/>
      <c r="X49" s="160"/>
      <c r="Z49" s="616"/>
    </row>
    <row r="50" spans="3:51" x14ac:dyDescent="0.25">
      <c r="T50" s="107"/>
      <c r="V50" s="39"/>
      <c r="X50" s="160"/>
      <c r="Z50" s="617"/>
      <c r="AM50" s="84"/>
      <c r="AS50" s="84"/>
      <c r="AY50" s="614"/>
    </row>
    <row r="51" spans="3:51" x14ac:dyDescent="0.25">
      <c r="T51" s="107"/>
      <c r="V51" s="39"/>
      <c r="X51" s="160"/>
      <c r="Z51" s="618"/>
    </row>
    <row r="52" spans="3:51" x14ac:dyDescent="0.25">
      <c r="T52" s="107"/>
      <c r="V52" s="39"/>
      <c r="X52" s="160"/>
      <c r="Z52" s="618"/>
    </row>
    <row r="53" spans="3:51" x14ac:dyDescent="0.25">
      <c r="T53" s="107"/>
      <c r="V53" s="39"/>
      <c r="X53" s="160"/>
      <c r="Z53" s="618"/>
    </row>
    <row r="54" spans="3:51" x14ac:dyDescent="0.25">
      <c r="C54" s="615"/>
    </row>
  </sheetData>
  <autoFilter ref="B5:I36"/>
  <mergeCells count="10">
    <mergeCell ref="M1:N1"/>
    <mergeCell ref="J4:Q4"/>
    <mergeCell ref="S3:Z3"/>
    <mergeCell ref="BY3:CF3"/>
    <mergeCell ref="CQ3:CX3"/>
    <mergeCell ref="CH3:CO3"/>
    <mergeCell ref="CQ4:CX4"/>
    <mergeCell ref="CH4:CO4"/>
    <mergeCell ref="BY4:CF4"/>
    <mergeCell ref="S4:Z4"/>
  </mergeCells>
  <hyperlinks>
    <hyperlink ref="B2" location="Contents!A1" display="Table of Contents"/>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errorStyle="warning" showInputMessage="1" showErrorMessage="1" error="Invalid data entered" prompt="Select from drop down list">
          <x14:formula1>
            <xm:f>Lookups!$C$5:$C$13</xm:f>
          </x14:formula1>
          <xm:sqref>E6:E36</xm:sqref>
        </x14:dataValidation>
        <x14:dataValidation type="list" errorStyle="warning" allowBlank="1" showInputMessage="1" showErrorMessage="1" prompt="Select from drop down list">
          <x14:formula1>
            <xm:f>Lab_Mat!$C$6:$C$11</xm:f>
          </x14:formula1>
          <xm:sqref>H6:H36</xm:sqref>
        </x14:dataValidation>
        <x14:dataValidation type="list" errorStyle="warning" allowBlank="1" showInputMessage="1" showErrorMessage="1" prompt="Select from drop down list">
          <x14:formula1>
            <xm:f>Lab_Mat!$C$33:$C$48</xm:f>
          </x14:formula1>
          <xm:sqref>I6:I36</xm:sqref>
        </x14:dataValidation>
        <x14:dataValidation type="list" errorStyle="warning" showInputMessage="1" showErrorMessage="1" error="Invalid data entered" prompt="Select from drop down list">
          <x14:formula1>
            <xm:f>Lookups!$I$5:$I$10</xm:f>
          </x14:formula1>
          <xm:sqref>G6:G36</xm:sqref>
        </x14:dataValidation>
        <x14:dataValidation type="list" errorStyle="warning" showInputMessage="1" showErrorMessage="1" error="Invalid data entered" prompt="Select from drop down list">
          <x14:formula1>
            <xm:f>Lookups!$C$16:$C$27</xm:f>
          </x14:formula1>
          <xm:sqref>F6:F36</xm:sqref>
        </x14:dataValidation>
      </x14:dataValidation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CY53"/>
  <sheetViews>
    <sheetView zoomScale="80" zoomScaleNormal="80" zoomScalePageLayoutView="125" workbookViewId="0">
      <pane xSplit="7" topLeftCell="H1" activePane="topRight" state="frozen"/>
      <selection activeCell="V33" sqref="V33"/>
      <selection pane="topRight" activeCell="V33" sqref="V33"/>
    </sheetView>
  </sheetViews>
  <sheetFormatPr defaultColWidth="8.85546875" defaultRowHeight="15" outlineLevelRow="1" outlineLevelCol="1" x14ac:dyDescent="0.25"/>
  <cols>
    <col min="1" max="1" width="4" style="1" customWidth="1"/>
    <col min="2" max="2" width="8.85546875" style="1"/>
    <col min="3" max="3" width="47.42578125" style="1" bestFit="1" customWidth="1"/>
    <col min="4" max="4" width="19.140625" style="1" customWidth="1"/>
    <col min="5" max="5" width="24.42578125" style="1" hidden="1" customWidth="1" outlineLevel="1"/>
    <col min="6" max="6" width="33.85546875" style="1" hidden="1" customWidth="1" outlineLevel="1"/>
    <col min="7" max="7" width="40.42578125" style="1" hidden="1" customWidth="1" outlineLevel="1"/>
    <col min="8" max="8" width="9.42578125" style="1" customWidth="1" collapsed="1"/>
    <col min="9" max="15" width="9.42578125" style="1" customWidth="1"/>
    <col min="16" max="16" width="3.28515625" style="1" customWidth="1"/>
    <col min="17" max="23" width="8.85546875" style="1"/>
    <col min="24" max="24" width="3" style="1" customWidth="1"/>
    <col min="25" max="28" width="9.7109375" style="1" customWidth="1"/>
    <col min="29" max="29" width="3" style="1" customWidth="1"/>
    <col min="30" max="31" width="10.7109375" style="1" customWidth="1"/>
    <col min="32" max="36" width="8.85546875" style="1"/>
    <col min="37" max="37" width="2.85546875" style="1" customWidth="1"/>
    <col min="38" max="42" width="8.7109375" style="1" hidden="1" customWidth="1" outlineLevel="1"/>
    <col min="43" max="43" width="8.85546875" style="1" collapsed="1"/>
    <col min="44" max="48" width="8.85546875" style="1" hidden="1" customWidth="1" outlineLevel="1"/>
    <col min="49" max="49" width="8.85546875" style="1" collapsed="1"/>
    <col min="50" max="54" width="8.85546875" style="1" hidden="1" customWidth="1" outlineLevel="1"/>
    <col min="55" max="55" width="8.85546875" style="1" collapsed="1"/>
    <col min="56" max="60" width="8.85546875" style="1" hidden="1" customWidth="1" outlineLevel="1"/>
    <col min="61" max="61" width="8.85546875" style="1" collapsed="1"/>
    <col min="62" max="66" width="8.85546875" style="1" hidden="1" customWidth="1" outlineLevel="1"/>
    <col min="67" max="67" width="8.85546875" style="1" collapsed="1"/>
    <col min="68" max="72" width="8.85546875" style="1" hidden="1" customWidth="1" outlineLevel="1"/>
    <col min="73" max="73" width="8.85546875" style="1" collapsed="1"/>
    <col min="74" max="78" width="8.85546875" style="1" hidden="1" customWidth="1" outlineLevel="1"/>
    <col min="79" max="79" width="8.85546875" style="1" collapsed="1"/>
    <col min="80" max="80" width="2.42578125" style="1" customWidth="1"/>
    <col min="81" max="87" width="8.85546875" style="1"/>
    <col min="88" max="88" width="2.85546875" style="1" customWidth="1"/>
    <col min="89" max="95" width="8.85546875" style="1"/>
    <col min="96" max="96" width="2.85546875" style="1" customWidth="1"/>
    <col min="97" max="16384" width="8.85546875" style="1"/>
  </cols>
  <sheetData>
    <row r="1" spans="2:103" ht="18.75" x14ac:dyDescent="0.3">
      <c r="B1" s="10" t="s">
        <v>26</v>
      </c>
      <c r="I1" s="574" t="s">
        <v>758</v>
      </c>
      <c r="AD1" s="52"/>
      <c r="AE1" s="52"/>
    </row>
    <row r="2" spans="2:103" x14ac:dyDescent="0.25">
      <c r="B2" s="25" t="s">
        <v>6</v>
      </c>
      <c r="AQ2" s="88"/>
      <c r="AR2" s="88"/>
      <c r="AS2" s="88"/>
      <c r="AT2" s="88"/>
      <c r="AU2" s="88"/>
      <c r="AV2" s="88"/>
      <c r="AX2" s="88"/>
      <c r="AY2" s="88"/>
      <c r="AZ2" s="88"/>
      <c r="BA2" s="88"/>
      <c r="BB2" s="88"/>
    </row>
    <row r="3" spans="2:103" x14ac:dyDescent="0.25">
      <c r="Q3" s="829"/>
      <c r="R3" s="829"/>
      <c r="S3" s="829"/>
      <c r="T3" s="829"/>
      <c r="U3" s="829"/>
      <c r="V3" s="829"/>
      <c r="W3" s="829"/>
      <c r="AD3" s="829"/>
      <c r="AE3" s="829"/>
      <c r="AF3" s="829"/>
      <c r="AG3" s="829"/>
      <c r="AH3" s="829"/>
      <c r="AI3" s="829"/>
      <c r="AJ3" s="829"/>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C3" s="829"/>
      <c r="CD3" s="829"/>
      <c r="CE3" s="829"/>
      <c r="CF3" s="829"/>
      <c r="CG3" s="829"/>
      <c r="CH3" s="829"/>
      <c r="CI3" s="829"/>
      <c r="CK3" s="829"/>
      <c r="CL3" s="829"/>
      <c r="CM3" s="829"/>
      <c r="CN3" s="829"/>
      <c r="CO3" s="829"/>
      <c r="CP3" s="829"/>
      <c r="CQ3" s="829"/>
      <c r="CS3" s="829"/>
      <c r="CT3" s="829"/>
      <c r="CU3" s="829"/>
      <c r="CV3" s="829"/>
      <c r="CW3" s="829"/>
      <c r="CX3" s="829"/>
      <c r="CY3" s="829"/>
    </row>
    <row r="4" spans="2:103" hidden="1" outlineLevel="1" x14ac:dyDescent="0.25">
      <c r="Q4" s="103"/>
      <c r="R4" s="221"/>
      <c r="S4" s="103"/>
      <c r="T4" s="103"/>
      <c r="U4" s="103"/>
      <c r="V4" s="103"/>
      <c r="W4" s="103"/>
      <c r="Y4" s="1" t="s">
        <v>174</v>
      </c>
      <c r="Z4" s="1" t="s">
        <v>173</v>
      </c>
      <c r="AA4" s="1" t="s">
        <v>299</v>
      </c>
      <c r="AB4" s="1" t="s">
        <v>175</v>
      </c>
      <c r="AD4" s="103"/>
      <c r="AE4" s="221"/>
      <c r="AF4" s="103"/>
      <c r="AG4" s="103"/>
      <c r="AH4" s="103"/>
      <c r="AI4" s="103"/>
      <c r="AJ4" s="103"/>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C4" s="103"/>
      <c r="CD4" s="221"/>
      <c r="CE4" s="103"/>
      <c r="CF4" s="103"/>
      <c r="CG4" s="103"/>
      <c r="CH4" s="103"/>
      <c r="CI4" s="103"/>
      <c r="CK4" s="103"/>
      <c r="CL4" s="221"/>
      <c r="CM4" s="103"/>
      <c r="CN4" s="103"/>
      <c r="CO4" s="103"/>
      <c r="CP4" s="103"/>
      <c r="CQ4" s="103"/>
      <c r="CS4" s="103"/>
      <c r="CT4" s="221"/>
      <c r="CU4" s="103"/>
      <c r="CV4" s="103"/>
      <c r="CW4" s="103"/>
      <c r="CX4" s="103"/>
      <c r="CY4" s="103"/>
    </row>
    <row r="5" spans="2:103" ht="60" collapsed="1" x14ac:dyDescent="0.25">
      <c r="B5" s="2" t="s">
        <v>291</v>
      </c>
      <c r="H5" s="830" t="s">
        <v>387</v>
      </c>
      <c r="I5" s="831"/>
      <c r="J5" s="831"/>
      <c r="K5" s="831"/>
      <c r="L5" s="831"/>
      <c r="M5" s="831"/>
      <c r="N5" s="832"/>
      <c r="O5" s="9" t="s">
        <v>379</v>
      </c>
      <c r="Q5" s="826" t="s">
        <v>388</v>
      </c>
      <c r="R5" s="827"/>
      <c r="S5" s="827"/>
      <c r="T5" s="827"/>
      <c r="U5" s="827"/>
      <c r="V5" s="827"/>
      <c r="W5" s="828"/>
      <c r="Y5" s="9" t="s">
        <v>383</v>
      </c>
      <c r="Z5" s="9" t="s">
        <v>384</v>
      </c>
      <c r="AA5" s="9" t="s">
        <v>385</v>
      </c>
      <c r="AB5" s="9" t="s">
        <v>386</v>
      </c>
      <c r="AD5" s="826" t="s">
        <v>174</v>
      </c>
      <c r="AE5" s="827"/>
      <c r="AF5" s="827"/>
      <c r="AG5" s="827"/>
      <c r="AH5" s="827"/>
      <c r="AI5" s="827"/>
      <c r="AJ5" s="828"/>
      <c r="AL5" s="9" t="s">
        <v>180</v>
      </c>
      <c r="AM5" s="9" t="s">
        <v>181</v>
      </c>
      <c r="AN5" s="9" t="s">
        <v>182</v>
      </c>
      <c r="AO5" s="9" t="s">
        <v>183</v>
      </c>
      <c r="AP5" s="9" t="s">
        <v>5</v>
      </c>
      <c r="AQ5" s="9" t="s">
        <v>173</v>
      </c>
      <c r="AR5" s="9" t="s">
        <v>180</v>
      </c>
      <c r="AS5" s="9" t="s">
        <v>181</v>
      </c>
      <c r="AT5" s="9" t="s">
        <v>182</v>
      </c>
      <c r="AU5" s="9" t="s">
        <v>183</v>
      </c>
      <c r="AV5" s="9" t="s">
        <v>5</v>
      </c>
      <c r="AW5" s="9" t="s">
        <v>173</v>
      </c>
      <c r="AX5" s="9" t="s">
        <v>180</v>
      </c>
      <c r="AY5" s="9" t="s">
        <v>181</v>
      </c>
      <c r="AZ5" s="9" t="s">
        <v>182</v>
      </c>
      <c r="BA5" s="9" t="s">
        <v>183</v>
      </c>
      <c r="BB5" s="9" t="s">
        <v>5</v>
      </c>
      <c r="BC5" s="9" t="s">
        <v>173</v>
      </c>
      <c r="BD5" s="9" t="s">
        <v>180</v>
      </c>
      <c r="BE5" s="9" t="s">
        <v>181</v>
      </c>
      <c r="BF5" s="9" t="s">
        <v>182</v>
      </c>
      <c r="BG5" s="9" t="s">
        <v>183</v>
      </c>
      <c r="BH5" s="9" t="s">
        <v>5</v>
      </c>
      <c r="BI5" s="9" t="s">
        <v>173</v>
      </c>
      <c r="BJ5" s="9" t="s">
        <v>180</v>
      </c>
      <c r="BK5" s="9" t="s">
        <v>181</v>
      </c>
      <c r="BL5" s="9" t="s">
        <v>182</v>
      </c>
      <c r="BM5" s="9" t="s">
        <v>183</v>
      </c>
      <c r="BN5" s="9" t="s">
        <v>5</v>
      </c>
      <c r="BO5" s="9" t="s">
        <v>173</v>
      </c>
      <c r="BP5" s="9" t="s">
        <v>180</v>
      </c>
      <c r="BQ5" s="9" t="s">
        <v>181</v>
      </c>
      <c r="BR5" s="9" t="s">
        <v>182</v>
      </c>
      <c r="BS5" s="9" t="s">
        <v>183</v>
      </c>
      <c r="BT5" s="9" t="s">
        <v>5</v>
      </c>
      <c r="BU5" s="9" t="s">
        <v>173</v>
      </c>
      <c r="BV5" s="9" t="s">
        <v>180</v>
      </c>
      <c r="BW5" s="9" t="s">
        <v>181</v>
      </c>
      <c r="BX5" s="9" t="s">
        <v>182</v>
      </c>
      <c r="BY5" s="9" t="s">
        <v>183</v>
      </c>
      <c r="BZ5" s="9" t="s">
        <v>5</v>
      </c>
      <c r="CA5" s="9" t="s">
        <v>173</v>
      </c>
      <c r="CC5" s="826" t="s">
        <v>299</v>
      </c>
      <c r="CD5" s="827"/>
      <c r="CE5" s="827"/>
      <c r="CF5" s="827"/>
      <c r="CG5" s="827"/>
      <c r="CH5" s="827"/>
      <c r="CI5" s="828"/>
      <c r="CK5" s="826" t="s">
        <v>175</v>
      </c>
      <c r="CL5" s="827"/>
      <c r="CM5" s="827"/>
      <c r="CN5" s="827"/>
      <c r="CO5" s="827"/>
      <c r="CP5" s="827"/>
      <c r="CQ5" s="828"/>
      <c r="CS5" s="826" t="s">
        <v>381</v>
      </c>
      <c r="CT5" s="827"/>
      <c r="CU5" s="827"/>
      <c r="CV5" s="827"/>
      <c r="CW5" s="827"/>
      <c r="CX5" s="827"/>
      <c r="CY5" s="828"/>
    </row>
    <row r="6" spans="2:103" x14ac:dyDescent="0.25">
      <c r="B6" s="8" t="s">
        <v>23</v>
      </c>
      <c r="C6" s="8" t="s">
        <v>24</v>
      </c>
      <c r="D6" s="17" t="s">
        <v>98</v>
      </c>
      <c r="E6" s="17" t="s">
        <v>76</v>
      </c>
      <c r="F6" s="17" t="s">
        <v>77</v>
      </c>
      <c r="G6" s="17" t="s">
        <v>212</v>
      </c>
      <c r="H6" s="335">
        <f>CP_Yr_4</f>
        <v>43800</v>
      </c>
      <c r="I6" s="335">
        <f>CP_Yr_5</f>
        <v>44166</v>
      </c>
      <c r="J6" s="335">
        <f>Yr_1</f>
        <v>44742</v>
      </c>
      <c r="K6" s="335">
        <f>Yr_2</f>
        <v>45107</v>
      </c>
      <c r="L6" s="335">
        <f>Yr_3</f>
        <v>45473</v>
      </c>
      <c r="M6" s="335">
        <f>Yr_4</f>
        <v>45838</v>
      </c>
      <c r="N6" s="335">
        <f>Yr_5</f>
        <v>46203</v>
      </c>
      <c r="O6" s="335"/>
      <c r="P6" s="336"/>
      <c r="Q6" s="335">
        <f>CP_Yr_4</f>
        <v>43800</v>
      </c>
      <c r="R6" s="335">
        <f>CP_Yr_5</f>
        <v>44166</v>
      </c>
      <c r="S6" s="335">
        <f>Yr_1</f>
        <v>44742</v>
      </c>
      <c r="T6" s="335">
        <f>Yr_2</f>
        <v>45107</v>
      </c>
      <c r="U6" s="335">
        <f>Yr_3</f>
        <v>45473</v>
      </c>
      <c r="V6" s="335">
        <f>Yr_4</f>
        <v>45838</v>
      </c>
      <c r="W6" s="335">
        <f>Yr_5</f>
        <v>46203</v>
      </c>
      <c r="X6" s="336"/>
      <c r="Y6" s="335"/>
      <c r="Z6" s="335"/>
      <c r="AA6" s="335"/>
      <c r="AB6" s="335"/>
      <c r="AC6" s="336"/>
      <c r="AD6" s="335">
        <f>CP_Yr_4</f>
        <v>43800</v>
      </c>
      <c r="AE6" s="335">
        <f>CP_Yr_5</f>
        <v>44166</v>
      </c>
      <c r="AF6" s="335">
        <f>Yr_1</f>
        <v>44742</v>
      </c>
      <c r="AG6" s="335">
        <f>Yr_2</f>
        <v>45107</v>
      </c>
      <c r="AH6" s="335">
        <f>Yr_3</f>
        <v>45473</v>
      </c>
      <c r="AI6" s="335">
        <f>Yr_4</f>
        <v>45838</v>
      </c>
      <c r="AJ6" s="335">
        <f>Yr_5</f>
        <v>46203</v>
      </c>
      <c r="AK6" s="336"/>
      <c r="AL6" s="335">
        <f t="shared" ref="AL6:AQ6" si="0">CP_Yr_4</f>
        <v>43800</v>
      </c>
      <c r="AM6" s="335">
        <f t="shared" si="0"/>
        <v>43800</v>
      </c>
      <c r="AN6" s="335">
        <f t="shared" si="0"/>
        <v>43800</v>
      </c>
      <c r="AO6" s="335">
        <f t="shared" si="0"/>
        <v>43800</v>
      </c>
      <c r="AP6" s="335">
        <f t="shared" si="0"/>
        <v>43800</v>
      </c>
      <c r="AQ6" s="335">
        <f t="shared" si="0"/>
        <v>43800</v>
      </c>
      <c r="AR6" s="335">
        <f t="shared" ref="AR6:AW6" si="1">CP_Yr_5</f>
        <v>44166</v>
      </c>
      <c r="AS6" s="335">
        <f t="shared" si="1"/>
        <v>44166</v>
      </c>
      <c r="AT6" s="335">
        <f t="shared" si="1"/>
        <v>44166</v>
      </c>
      <c r="AU6" s="335">
        <f t="shared" si="1"/>
        <v>44166</v>
      </c>
      <c r="AV6" s="335">
        <f t="shared" si="1"/>
        <v>44166</v>
      </c>
      <c r="AW6" s="335">
        <f t="shared" si="1"/>
        <v>44166</v>
      </c>
      <c r="AX6" s="335">
        <f t="shared" ref="AX6:BC6" si="2">Yr_1</f>
        <v>44742</v>
      </c>
      <c r="AY6" s="335">
        <f t="shared" si="2"/>
        <v>44742</v>
      </c>
      <c r="AZ6" s="335">
        <f t="shared" si="2"/>
        <v>44742</v>
      </c>
      <c r="BA6" s="335">
        <f t="shared" si="2"/>
        <v>44742</v>
      </c>
      <c r="BB6" s="335">
        <f t="shared" si="2"/>
        <v>44742</v>
      </c>
      <c r="BC6" s="335">
        <f t="shared" si="2"/>
        <v>44742</v>
      </c>
      <c r="BD6" s="335">
        <f t="shared" ref="BD6:BI6" si="3">Yr_2</f>
        <v>45107</v>
      </c>
      <c r="BE6" s="335">
        <f t="shared" si="3"/>
        <v>45107</v>
      </c>
      <c r="BF6" s="335">
        <f t="shared" si="3"/>
        <v>45107</v>
      </c>
      <c r="BG6" s="335">
        <f t="shared" si="3"/>
        <v>45107</v>
      </c>
      <c r="BH6" s="335">
        <f t="shared" si="3"/>
        <v>45107</v>
      </c>
      <c r="BI6" s="335">
        <f t="shared" si="3"/>
        <v>45107</v>
      </c>
      <c r="BJ6" s="335">
        <f t="shared" ref="BJ6:BO6" si="4">Yr_3</f>
        <v>45473</v>
      </c>
      <c r="BK6" s="335">
        <f t="shared" si="4"/>
        <v>45473</v>
      </c>
      <c r="BL6" s="335">
        <f t="shared" si="4"/>
        <v>45473</v>
      </c>
      <c r="BM6" s="335">
        <f t="shared" si="4"/>
        <v>45473</v>
      </c>
      <c r="BN6" s="335">
        <f t="shared" si="4"/>
        <v>45473</v>
      </c>
      <c r="BO6" s="335">
        <f t="shared" si="4"/>
        <v>45473</v>
      </c>
      <c r="BP6" s="335">
        <f t="shared" ref="BP6:BU6" si="5">Yr_4</f>
        <v>45838</v>
      </c>
      <c r="BQ6" s="335">
        <f t="shared" si="5"/>
        <v>45838</v>
      </c>
      <c r="BR6" s="335">
        <f t="shared" si="5"/>
        <v>45838</v>
      </c>
      <c r="BS6" s="335">
        <f t="shared" si="5"/>
        <v>45838</v>
      </c>
      <c r="BT6" s="335">
        <f t="shared" si="5"/>
        <v>45838</v>
      </c>
      <c r="BU6" s="335">
        <f t="shared" si="5"/>
        <v>45838</v>
      </c>
      <c r="BV6" s="335">
        <f t="shared" ref="BV6:CA6" si="6">Yr_5</f>
        <v>46203</v>
      </c>
      <c r="BW6" s="335">
        <f t="shared" si="6"/>
        <v>46203</v>
      </c>
      <c r="BX6" s="335">
        <f t="shared" si="6"/>
        <v>46203</v>
      </c>
      <c r="BY6" s="335">
        <f t="shared" si="6"/>
        <v>46203</v>
      </c>
      <c r="BZ6" s="335">
        <f t="shared" si="6"/>
        <v>46203</v>
      </c>
      <c r="CA6" s="335">
        <f t="shared" si="6"/>
        <v>46203</v>
      </c>
      <c r="CB6" s="336"/>
      <c r="CC6" s="335">
        <f>CP_Yr_4</f>
        <v>43800</v>
      </c>
      <c r="CD6" s="335">
        <f>CP_Yr_5</f>
        <v>44166</v>
      </c>
      <c r="CE6" s="335">
        <f>Yr_1</f>
        <v>44742</v>
      </c>
      <c r="CF6" s="335">
        <f>Yr_2</f>
        <v>45107</v>
      </c>
      <c r="CG6" s="335">
        <f>Yr_3</f>
        <v>45473</v>
      </c>
      <c r="CH6" s="335">
        <f>Yr_4</f>
        <v>45838</v>
      </c>
      <c r="CI6" s="335">
        <f>Yr_5</f>
        <v>46203</v>
      </c>
      <c r="CJ6" s="336"/>
      <c r="CK6" s="335">
        <f>CP_Yr_4</f>
        <v>43800</v>
      </c>
      <c r="CL6" s="335">
        <f>CP_Yr_5</f>
        <v>44166</v>
      </c>
      <c r="CM6" s="335">
        <f>Yr_1</f>
        <v>44742</v>
      </c>
      <c r="CN6" s="335">
        <f>Yr_2</f>
        <v>45107</v>
      </c>
      <c r="CO6" s="335">
        <f>Yr_3</f>
        <v>45473</v>
      </c>
      <c r="CP6" s="335">
        <f>Yr_4</f>
        <v>45838</v>
      </c>
      <c r="CQ6" s="335">
        <f>Yr_5</f>
        <v>46203</v>
      </c>
      <c r="CS6" s="335">
        <f>CP_Yr_4</f>
        <v>43800</v>
      </c>
      <c r="CT6" s="335">
        <f>CP_Yr_5</f>
        <v>44166</v>
      </c>
      <c r="CU6" s="335">
        <f>Yr_1</f>
        <v>44742</v>
      </c>
      <c r="CV6" s="335">
        <f>Yr_2</f>
        <v>45107</v>
      </c>
      <c r="CW6" s="335">
        <f>Yr_3</f>
        <v>45473</v>
      </c>
      <c r="CX6" s="335">
        <f>Yr_4</f>
        <v>45838</v>
      </c>
      <c r="CY6" s="335">
        <f>Yr_5</f>
        <v>46203</v>
      </c>
    </row>
    <row r="7" spans="2:103" x14ac:dyDescent="0.25">
      <c r="B7" s="7"/>
      <c r="C7" s="7"/>
      <c r="D7" s="7"/>
      <c r="E7" s="7" t="s">
        <v>45</v>
      </c>
      <c r="F7" s="7" t="s">
        <v>51</v>
      </c>
      <c r="G7" s="7" t="s">
        <v>167</v>
      </c>
      <c r="H7" s="45"/>
      <c r="I7" s="45"/>
      <c r="J7" s="45"/>
      <c r="K7" s="45"/>
      <c r="L7" s="45"/>
      <c r="M7" s="45"/>
      <c r="N7" s="45"/>
      <c r="O7" s="105"/>
      <c r="Q7" s="47"/>
      <c r="R7" s="47"/>
      <c r="S7" s="47"/>
      <c r="T7" s="47"/>
      <c r="U7" s="47"/>
      <c r="V7" s="47"/>
      <c r="W7" s="47"/>
      <c r="X7" s="52"/>
      <c r="Y7" s="106"/>
      <c r="Z7" s="106"/>
      <c r="AA7" s="106"/>
      <c r="AB7" s="106"/>
      <c r="AC7" s="52"/>
      <c r="AD7" s="47"/>
      <c r="AE7" s="47"/>
      <c r="AF7" s="47"/>
      <c r="AG7" s="47"/>
      <c r="AH7" s="47"/>
      <c r="AI7" s="47"/>
      <c r="AJ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C7" s="47"/>
      <c r="CD7" s="47"/>
      <c r="CE7" s="47"/>
      <c r="CF7" s="47"/>
      <c r="CG7" s="47"/>
      <c r="CH7" s="47"/>
      <c r="CI7" s="47"/>
      <c r="CK7" s="82"/>
      <c r="CL7" s="82"/>
      <c r="CM7" s="82"/>
      <c r="CN7" s="82"/>
      <c r="CO7" s="82"/>
      <c r="CP7" s="82"/>
      <c r="CQ7" s="82"/>
      <c r="CS7" s="47">
        <f>AD7+AQ7+CC7+CK7</f>
        <v>0</v>
      </c>
      <c r="CT7" s="47">
        <f>AE7+BB7+CD7+CL7</f>
        <v>0</v>
      </c>
      <c r="CU7" s="47">
        <f>AF7+BC7+CE7+CM7</f>
        <v>0</v>
      </c>
      <c r="CV7" s="47">
        <f>AG7+BI7+CF7+CN7</f>
        <v>0</v>
      </c>
      <c r="CW7" s="47">
        <f>AH7+BO7+CG7+CO7</f>
        <v>0</v>
      </c>
      <c r="CX7" s="47">
        <f>AI7+BU7+CH7+CP7</f>
        <v>0</v>
      </c>
      <c r="CY7" s="47">
        <f>AJ7+CA7+CI7+CQ7</f>
        <v>0</v>
      </c>
    </row>
    <row r="8" spans="2:103" x14ac:dyDescent="0.25">
      <c r="B8" s="7"/>
      <c r="C8" s="224" t="s">
        <v>382</v>
      </c>
      <c r="D8" s="7"/>
      <c r="E8" s="7" t="s">
        <v>45</v>
      </c>
      <c r="F8" s="7" t="s">
        <v>51</v>
      </c>
      <c r="G8" s="7" t="s">
        <v>167</v>
      </c>
      <c r="H8" s="45"/>
      <c r="I8" s="45"/>
      <c r="J8" s="45"/>
      <c r="K8" s="45"/>
      <c r="L8" s="45"/>
      <c r="M8" s="45"/>
      <c r="N8" s="45"/>
      <c r="O8" s="105"/>
      <c r="Q8" s="47"/>
      <c r="R8" s="47"/>
      <c r="S8" s="47"/>
      <c r="T8" s="47"/>
      <c r="U8" s="47"/>
      <c r="V8" s="47"/>
      <c r="W8" s="47"/>
      <c r="Y8" s="106"/>
      <c r="Z8" s="106"/>
      <c r="AA8" s="106"/>
      <c r="AB8" s="106"/>
      <c r="AD8" s="47"/>
      <c r="AE8" s="47"/>
      <c r="AF8" s="47"/>
      <c r="AG8" s="47"/>
      <c r="AH8" s="47"/>
      <c r="AI8" s="47"/>
      <c r="AJ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C8" s="47"/>
      <c r="CD8" s="47"/>
      <c r="CE8" s="47"/>
      <c r="CF8" s="47"/>
      <c r="CG8" s="47"/>
      <c r="CH8" s="47"/>
      <c r="CI8" s="47"/>
      <c r="CK8" s="82"/>
      <c r="CL8" s="82"/>
      <c r="CM8" s="82"/>
      <c r="CN8" s="82"/>
      <c r="CO8" s="82"/>
      <c r="CP8" s="82"/>
      <c r="CQ8" s="82"/>
      <c r="CS8" s="47">
        <f t="shared" ref="CS8:CS37" si="7">AD8+AQ8+CC8+CK8</f>
        <v>0</v>
      </c>
      <c r="CT8" s="47">
        <f t="shared" ref="CT8:CU37" si="8">AE8+BB8+CD8+CL8</f>
        <v>0</v>
      </c>
      <c r="CU8" s="47">
        <f t="shared" si="8"/>
        <v>0</v>
      </c>
      <c r="CV8" s="47">
        <f t="shared" ref="CV8:CV37" si="9">AG8+BI8+CF8+CN8</f>
        <v>0</v>
      </c>
      <c r="CW8" s="47">
        <f t="shared" ref="CW8:CW37" si="10">AH8+BO8+CG8+CO8</f>
        <v>0</v>
      </c>
      <c r="CX8" s="47">
        <f t="shared" ref="CX8:CX37" si="11">AI8+BU8+CH8+CP8</f>
        <v>0</v>
      </c>
      <c r="CY8" s="47">
        <f t="shared" ref="CY8:CY37" si="12">AJ8+CA8+CI8+CQ8</f>
        <v>0</v>
      </c>
    </row>
    <row r="9" spans="2:103" x14ac:dyDescent="0.25">
      <c r="B9" s="7"/>
      <c r="C9" s="7"/>
      <c r="D9" s="7"/>
      <c r="E9" s="7" t="s">
        <v>45</v>
      </c>
      <c r="F9" s="7" t="s">
        <v>51</v>
      </c>
      <c r="G9" s="7" t="s">
        <v>167</v>
      </c>
      <c r="H9" s="45"/>
      <c r="I9" s="45"/>
      <c r="J9" s="45"/>
      <c r="K9" s="45"/>
      <c r="L9" s="45"/>
      <c r="M9" s="45"/>
      <c r="N9" s="45"/>
      <c r="O9" s="105"/>
      <c r="Q9" s="47"/>
      <c r="R9" s="47"/>
      <c r="S9" s="47"/>
      <c r="T9" s="47"/>
      <c r="U9" s="47"/>
      <c r="V9" s="47"/>
      <c r="W9" s="47"/>
      <c r="Y9" s="106"/>
      <c r="Z9" s="106"/>
      <c r="AA9" s="106"/>
      <c r="AB9" s="106"/>
      <c r="AD9" s="47"/>
      <c r="AE9" s="47"/>
      <c r="AF9" s="47"/>
      <c r="AG9" s="47"/>
      <c r="AH9" s="47"/>
      <c r="AI9" s="47"/>
      <c r="AJ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C9" s="47"/>
      <c r="CD9" s="47"/>
      <c r="CE9" s="47"/>
      <c r="CF9" s="47"/>
      <c r="CG9" s="47"/>
      <c r="CH9" s="47"/>
      <c r="CI9" s="47"/>
      <c r="CK9" s="82"/>
      <c r="CL9" s="82"/>
      <c r="CM9" s="82"/>
      <c r="CN9" s="82"/>
      <c r="CO9" s="82"/>
      <c r="CP9" s="82"/>
      <c r="CQ9" s="82"/>
      <c r="CS9" s="47">
        <f t="shared" si="7"/>
        <v>0</v>
      </c>
      <c r="CT9" s="47">
        <f t="shared" si="8"/>
        <v>0</v>
      </c>
      <c r="CU9" s="47">
        <f t="shared" si="8"/>
        <v>0</v>
      </c>
      <c r="CV9" s="47">
        <f t="shared" si="9"/>
        <v>0</v>
      </c>
      <c r="CW9" s="47">
        <f t="shared" si="10"/>
        <v>0</v>
      </c>
      <c r="CX9" s="47">
        <f t="shared" si="11"/>
        <v>0</v>
      </c>
      <c r="CY9" s="47">
        <f t="shared" si="12"/>
        <v>0</v>
      </c>
    </row>
    <row r="10" spans="2:103" x14ac:dyDescent="0.25">
      <c r="B10" s="7"/>
      <c r="C10" s="7"/>
      <c r="D10" s="7"/>
      <c r="E10" s="7" t="s">
        <v>45</v>
      </c>
      <c r="F10" s="7" t="s">
        <v>51</v>
      </c>
      <c r="G10" s="7" t="s">
        <v>167</v>
      </c>
      <c r="H10" s="45"/>
      <c r="I10" s="45"/>
      <c r="J10" s="45"/>
      <c r="K10" s="45"/>
      <c r="L10" s="45"/>
      <c r="M10" s="45"/>
      <c r="N10" s="45"/>
      <c r="O10" s="105"/>
      <c r="Q10" s="47"/>
      <c r="R10" s="47"/>
      <c r="S10" s="47"/>
      <c r="T10" s="47"/>
      <c r="U10" s="47"/>
      <c r="V10" s="47"/>
      <c r="W10" s="47"/>
      <c r="Y10" s="106"/>
      <c r="Z10" s="106"/>
      <c r="AA10" s="106"/>
      <c r="AB10" s="106"/>
      <c r="AD10" s="47"/>
      <c r="AE10" s="47"/>
      <c r="AF10" s="47"/>
      <c r="AG10" s="47"/>
      <c r="AH10" s="47"/>
      <c r="AI10" s="47"/>
      <c r="AJ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C10" s="47"/>
      <c r="CD10" s="47"/>
      <c r="CE10" s="47"/>
      <c r="CF10" s="47"/>
      <c r="CG10" s="47"/>
      <c r="CH10" s="47"/>
      <c r="CI10" s="47"/>
      <c r="CK10" s="82"/>
      <c r="CL10" s="82"/>
      <c r="CM10" s="82"/>
      <c r="CN10" s="82"/>
      <c r="CO10" s="82"/>
      <c r="CP10" s="82"/>
      <c r="CQ10" s="82"/>
      <c r="CS10" s="47">
        <f t="shared" si="7"/>
        <v>0</v>
      </c>
      <c r="CT10" s="47">
        <f t="shared" si="8"/>
        <v>0</v>
      </c>
      <c r="CU10" s="47">
        <f t="shared" si="8"/>
        <v>0</v>
      </c>
      <c r="CV10" s="47">
        <f t="shared" si="9"/>
        <v>0</v>
      </c>
      <c r="CW10" s="47">
        <f t="shared" si="10"/>
        <v>0</v>
      </c>
      <c r="CX10" s="47">
        <f t="shared" si="11"/>
        <v>0</v>
      </c>
      <c r="CY10" s="47">
        <f t="shared" si="12"/>
        <v>0</v>
      </c>
    </row>
    <row r="11" spans="2:103" x14ac:dyDescent="0.25">
      <c r="B11" s="7"/>
      <c r="C11" s="7"/>
      <c r="D11" s="7"/>
      <c r="E11" s="7" t="s">
        <v>45</v>
      </c>
      <c r="F11" s="7" t="s">
        <v>51</v>
      </c>
      <c r="G11" s="7" t="s">
        <v>167</v>
      </c>
      <c r="H11" s="7"/>
      <c r="I11" s="7"/>
      <c r="J11" s="7"/>
      <c r="K11" s="7"/>
      <c r="L11" s="7"/>
      <c r="M11" s="7"/>
      <c r="N11" s="7"/>
      <c r="O11" s="104"/>
      <c r="Q11" s="47"/>
      <c r="R11" s="47"/>
      <c r="S11" s="47"/>
      <c r="T11" s="47"/>
      <c r="U11" s="47"/>
      <c r="V11" s="47"/>
      <c r="W11" s="47"/>
      <c r="X11" s="52"/>
      <c r="Y11" s="106"/>
      <c r="Z11" s="106"/>
      <c r="AA11" s="106"/>
      <c r="AB11" s="106"/>
      <c r="AC11" s="52"/>
      <c r="AD11" s="47"/>
      <c r="AE11" s="47"/>
      <c r="AF11" s="47"/>
      <c r="AG11" s="47"/>
      <c r="AH11" s="47"/>
      <c r="AI11" s="47"/>
      <c r="AJ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C11" s="47"/>
      <c r="CD11" s="47"/>
      <c r="CE11" s="47"/>
      <c r="CF11" s="47"/>
      <c r="CG11" s="47"/>
      <c r="CH11" s="47"/>
      <c r="CI11" s="47"/>
      <c r="CK11" s="82"/>
      <c r="CL11" s="82"/>
      <c r="CM11" s="82"/>
      <c r="CN11" s="82"/>
      <c r="CO11" s="82"/>
      <c r="CP11" s="82"/>
      <c r="CQ11" s="82"/>
      <c r="CS11" s="47">
        <f t="shared" si="7"/>
        <v>0</v>
      </c>
      <c r="CT11" s="47">
        <f t="shared" si="8"/>
        <v>0</v>
      </c>
      <c r="CU11" s="47">
        <f t="shared" si="8"/>
        <v>0</v>
      </c>
      <c r="CV11" s="47">
        <f t="shared" si="9"/>
        <v>0</v>
      </c>
      <c r="CW11" s="47">
        <f t="shared" si="10"/>
        <v>0</v>
      </c>
      <c r="CX11" s="47">
        <f t="shared" si="11"/>
        <v>0</v>
      </c>
      <c r="CY11" s="47">
        <f t="shared" si="12"/>
        <v>0</v>
      </c>
    </row>
    <row r="12" spans="2:103" x14ac:dyDescent="0.25">
      <c r="B12" s="7"/>
      <c r="C12" s="7"/>
      <c r="D12" s="7"/>
      <c r="E12" s="7"/>
      <c r="F12" s="7"/>
      <c r="G12" s="7"/>
      <c r="H12" s="7"/>
      <c r="I12" s="7"/>
      <c r="J12" s="7"/>
      <c r="K12" s="7"/>
      <c r="L12" s="7"/>
      <c r="M12" s="7"/>
      <c r="N12" s="7"/>
      <c r="O12" s="104"/>
      <c r="Q12" s="47"/>
      <c r="R12" s="47"/>
      <c r="S12" s="47"/>
      <c r="T12" s="47"/>
      <c r="U12" s="47"/>
      <c r="V12" s="47"/>
      <c r="W12" s="47"/>
      <c r="Y12" s="106"/>
      <c r="Z12" s="106"/>
      <c r="AA12" s="106"/>
      <c r="AB12" s="106"/>
      <c r="AD12" s="47"/>
      <c r="AE12" s="47"/>
      <c r="AF12" s="47"/>
      <c r="AG12" s="47"/>
      <c r="AH12" s="47"/>
      <c r="AI12" s="47"/>
      <c r="AJ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C12" s="47"/>
      <c r="CD12" s="47"/>
      <c r="CE12" s="47"/>
      <c r="CF12" s="47"/>
      <c r="CG12" s="47"/>
      <c r="CH12" s="47"/>
      <c r="CI12" s="47"/>
      <c r="CK12" s="47"/>
      <c r="CL12" s="47"/>
      <c r="CM12" s="47"/>
      <c r="CN12" s="47"/>
      <c r="CO12" s="47"/>
      <c r="CP12" s="47"/>
      <c r="CQ12" s="47"/>
      <c r="CS12" s="47">
        <f t="shared" si="7"/>
        <v>0</v>
      </c>
      <c r="CT12" s="47">
        <f t="shared" si="8"/>
        <v>0</v>
      </c>
      <c r="CU12" s="47">
        <f t="shared" si="8"/>
        <v>0</v>
      </c>
      <c r="CV12" s="47">
        <f t="shared" si="9"/>
        <v>0</v>
      </c>
      <c r="CW12" s="47">
        <f t="shared" si="10"/>
        <v>0</v>
      </c>
      <c r="CX12" s="47">
        <f t="shared" si="11"/>
        <v>0</v>
      </c>
      <c r="CY12" s="47">
        <f t="shared" si="12"/>
        <v>0</v>
      </c>
    </row>
    <row r="13" spans="2:103" x14ac:dyDescent="0.25">
      <c r="B13" s="7"/>
      <c r="C13" s="7"/>
      <c r="D13" s="7"/>
      <c r="E13" s="7"/>
      <c r="F13" s="7"/>
      <c r="G13" s="7"/>
      <c r="H13" s="7"/>
      <c r="I13" s="7"/>
      <c r="J13" s="7"/>
      <c r="K13" s="7"/>
      <c r="L13" s="7"/>
      <c r="M13" s="7"/>
      <c r="N13" s="7"/>
      <c r="O13" s="104"/>
      <c r="Q13" s="47"/>
      <c r="R13" s="47"/>
      <c r="S13" s="47"/>
      <c r="T13" s="47"/>
      <c r="U13" s="47"/>
      <c r="V13" s="47"/>
      <c r="W13" s="47"/>
      <c r="Y13" s="106"/>
      <c r="Z13" s="106"/>
      <c r="AA13" s="106"/>
      <c r="AB13" s="106"/>
      <c r="AD13" s="47"/>
      <c r="AE13" s="47"/>
      <c r="AF13" s="47"/>
      <c r="AG13" s="47"/>
      <c r="AH13" s="47"/>
      <c r="AI13" s="47"/>
      <c r="AJ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C13" s="47"/>
      <c r="CD13" s="47"/>
      <c r="CE13" s="47"/>
      <c r="CF13" s="47"/>
      <c r="CG13" s="47"/>
      <c r="CH13" s="47"/>
      <c r="CI13" s="47"/>
      <c r="CK13" s="47"/>
      <c r="CL13" s="47"/>
      <c r="CM13" s="47"/>
      <c r="CN13" s="47"/>
      <c r="CO13" s="47"/>
      <c r="CP13" s="47"/>
      <c r="CQ13" s="47"/>
      <c r="CS13" s="47">
        <f t="shared" si="7"/>
        <v>0</v>
      </c>
      <c r="CT13" s="47">
        <f t="shared" si="8"/>
        <v>0</v>
      </c>
      <c r="CU13" s="47">
        <f t="shared" si="8"/>
        <v>0</v>
      </c>
      <c r="CV13" s="47">
        <f t="shared" si="9"/>
        <v>0</v>
      </c>
      <c r="CW13" s="47">
        <f t="shared" si="10"/>
        <v>0</v>
      </c>
      <c r="CX13" s="47">
        <f t="shared" si="11"/>
        <v>0</v>
      </c>
      <c r="CY13" s="47">
        <f t="shared" si="12"/>
        <v>0</v>
      </c>
    </row>
    <row r="14" spans="2:103" x14ac:dyDescent="0.25">
      <c r="B14" s="7"/>
      <c r="C14" s="7"/>
      <c r="D14" s="7"/>
      <c r="E14" s="7"/>
      <c r="F14" s="7"/>
      <c r="G14" s="7"/>
      <c r="H14" s="7"/>
      <c r="I14" s="7"/>
      <c r="J14" s="7"/>
      <c r="K14" s="7"/>
      <c r="L14" s="7"/>
      <c r="M14" s="7"/>
      <c r="N14" s="7"/>
      <c r="O14" s="104"/>
      <c r="Q14" s="47"/>
      <c r="R14" s="47"/>
      <c r="S14" s="47"/>
      <c r="T14" s="47"/>
      <c r="U14" s="47"/>
      <c r="V14" s="47"/>
      <c r="W14" s="47"/>
      <c r="Y14" s="106"/>
      <c r="Z14" s="106"/>
      <c r="AA14" s="106"/>
      <c r="AB14" s="106"/>
      <c r="AD14" s="47"/>
      <c r="AE14" s="47"/>
      <c r="AF14" s="47"/>
      <c r="AG14" s="47"/>
      <c r="AH14" s="47"/>
      <c r="AI14" s="47"/>
      <c r="AJ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C14" s="47"/>
      <c r="CD14" s="47"/>
      <c r="CE14" s="47"/>
      <c r="CF14" s="47"/>
      <c r="CG14" s="47"/>
      <c r="CH14" s="47"/>
      <c r="CI14" s="47"/>
      <c r="CK14" s="47"/>
      <c r="CL14" s="47"/>
      <c r="CM14" s="47"/>
      <c r="CN14" s="47"/>
      <c r="CO14" s="47"/>
      <c r="CP14" s="47"/>
      <c r="CQ14" s="47"/>
      <c r="CS14" s="47">
        <f t="shared" si="7"/>
        <v>0</v>
      </c>
      <c r="CT14" s="47">
        <f t="shared" si="8"/>
        <v>0</v>
      </c>
      <c r="CU14" s="47">
        <f t="shared" si="8"/>
        <v>0</v>
      </c>
      <c r="CV14" s="47">
        <f t="shared" si="9"/>
        <v>0</v>
      </c>
      <c r="CW14" s="47">
        <f t="shared" si="10"/>
        <v>0</v>
      </c>
      <c r="CX14" s="47">
        <f t="shared" si="11"/>
        <v>0</v>
      </c>
      <c r="CY14" s="47">
        <f t="shared" si="12"/>
        <v>0</v>
      </c>
    </row>
    <row r="15" spans="2:103" x14ac:dyDescent="0.25">
      <c r="B15" s="7"/>
      <c r="C15" s="7"/>
      <c r="D15" s="7"/>
      <c r="E15" s="7"/>
      <c r="F15" s="7"/>
      <c r="G15" s="7"/>
      <c r="H15" s="7"/>
      <c r="I15" s="7"/>
      <c r="J15" s="7"/>
      <c r="K15" s="7"/>
      <c r="L15" s="7"/>
      <c r="M15" s="7"/>
      <c r="N15" s="7"/>
      <c r="O15" s="104"/>
      <c r="Q15" s="47"/>
      <c r="R15" s="47"/>
      <c r="S15" s="47"/>
      <c r="T15" s="47"/>
      <c r="U15" s="47"/>
      <c r="V15" s="47"/>
      <c r="W15" s="47"/>
      <c r="Y15" s="106"/>
      <c r="Z15" s="106"/>
      <c r="AA15" s="106"/>
      <c r="AB15" s="106"/>
      <c r="AD15" s="47"/>
      <c r="AE15" s="47"/>
      <c r="AF15" s="47"/>
      <c r="AG15" s="47"/>
      <c r="AH15" s="47"/>
      <c r="AI15" s="47"/>
      <c r="AJ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C15" s="47"/>
      <c r="CD15" s="47"/>
      <c r="CE15" s="47"/>
      <c r="CF15" s="47"/>
      <c r="CG15" s="47"/>
      <c r="CH15" s="47"/>
      <c r="CI15" s="47"/>
      <c r="CK15" s="47"/>
      <c r="CL15" s="47"/>
      <c r="CM15" s="47"/>
      <c r="CN15" s="47"/>
      <c r="CO15" s="47"/>
      <c r="CP15" s="47"/>
      <c r="CQ15" s="47"/>
      <c r="CS15" s="47">
        <f t="shared" si="7"/>
        <v>0</v>
      </c>
      <c r="CT15" s="47">
        <f t="shared" si="8"/>
        <v>0</v>
      </c>
      <c r="CU15" s="47">
        <f t="shared" si="8"/>
        <v>0</v>
      </c>
      <c r="CV15" s="47">
        <f t="shared" si="9"/>
        <v>0</v>
      </c>
      <c r="CW15" s="47">
        <f t="shared" si="10"/>
        <v>0</v>
      </c>
      <c r="CX15" s="47">
        <f t="shared" si="11"/>
        <v>0</v>
      </c>
      <c r="CY15" s="47">
        <f t="shared" si="12"/>
        <v>0</v>
      </c>
    </row>
    <row r="16" spans="2:103" x14ac:dyDescent="0.25">
      <c r="B16" s="7"/>
      <c r="C16" s="7"/>
      <c r="D16" s="7"/>
      <c r="E16" s="7"/>
      <c r="F16" s="7"/>
      <c r="G16" s="7"/>
      <c r="H16" s="7"/>
      <c r="I16" s="7"/>
      <c r="J16" s="7"/>
      <c r="K16" s="7"/>
      <c r="L16" s="7"/>
      <c r="M16" s="7"/>
      <c r="N16" s="7"/>
      <c r="O16" s="104"/>
      <c r="Q16" s="47"/>
      <c r="R16" s="47"/>
      <c r="S16" s="47"/>
      <c r="T16" s="47"/>
      <c r="U16" s="47"/>
      <c r="V16" s="47"/>
      <c r="W16" s="47"/>
      <c r="Y16" s="106"/>
      <c r="Z16" s="106"/>
      <c r="AA16" s="106"/>
      <c r="AB16" s="106"/>
      <c r="AD16" s="47"/>
      <c r="AE16" s="47"/>
      <c r="AF16" s="47"/>
      <c r="AG16" s="47"/>
      <c r="AH16" s="47"/>
      <c r="AI16" s="47"/>
      <c r="AJ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C16" s="47"/>
      <c r="CD16" s="47"/>
      <c r="CE16" s="47"/>
      <c r="CF16" s="47"/>
      <c r="CG16" s="47"/>
      <c r="CH16" s="47"/>
      <c r="CI16" s="47"/>
      <c r="CK16" s="47"/>
      <c r="CL16" s="47"/>
      <c r="CM16" s="47"/>
      <c r="CN16" s="47"/>
      <c r="CO16" s="47"/>
      <c r="CP16" s="47"/>
      <c r="CQ16" s="47"/>
      <c r="CS16" s="47">
        <f t="shared" si="7"/>
        <v>0</v>
      </c>
      <c r="CT16" s="47">
        <f t="shared" si="8"/>
        <v>0</v>
      </c>
      <c r="CU16" s="47">
        <f t="shared" si="8"/>
        <v>0</v>
      </c>
      <c r="CV16" s="47">
        <f t="shared" si="9"/>
        <v>0</v>
      </c>
      <c r="CW16" s="47">
        <f t="shared" si="10"/>
        <v>0</v>
      </c>
      <c r="CX16" s="47">
        <f t="shared" si="11"/>
        <v>0</v>
      </c>
      <c r="CY16" s="47">
        <f t="shared" si="12"/>
        <v>0</v>
      </c>
    </row>
    <row r="17" spans="2:103" x14ac:dyDescent="0.25">
      <c r="B17" s="7"/>
      <c r="C17" s="7"/>
      <c r="D17" s="7"/>
      <c r="E17" s="7"/>
      <c r="F17" s="7"/>
      <c r="G17" s="7"/>
      <c r="H17" s="7"/>
      <c r="I17" s="7"/>
      <c r="J17" s="7"/>
      <c r="K17" s="7"/>
      <c r="L17" s="7"/>
      <c r="M17" s="7"/>
      <c r="N17" s="7"/>
      <c r="O17" s="104"/>
      <c r="Q17" s="47"/>
      <c r="R17" s="47"/>
      <c r="S17" s="47"/>
      <c r="T17" s="47"/>
      <c r="U17" s="47"/>
      <c r="V17" s="47"/>
      <c r="W17" s="47"/>
      <c r="Y17" s="106"/>
      <c r="Z17" s="106"/>
      <c r="AA17" s="106"/>
      <c r="AB17" s="106"/>
      <c r="AD17" s="47"/>
      <c r="AE17" s="47"/>
      <c r="AF17" s="47"/>
      <c r="AG17" s="47"/>
      <c r="AH17" s="47"/>
      <c r="AI17" s="47"/>
      <c r="AJ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C17" s="47"/>
      <c r="CD17" s="47"/>
      <c r="CE17" s="47"/>
      <c r="CF17" s="47"/>
      <c r="CG17" s="47"/>
      <c r="CH17" s="47"/>
      <c r="CI17" s="47"/>
      <c r="CK17" s="47"/>
      <c r="CL17" s="47"/>
      <c r="CM17" s="47"/>
      <c r="CN17" s="47"/>
      <c r="CO17" s="47"/>
      <c r="CP17" s="47"/>
      <c r="CQ17" s="47"/>
      <c r="CS17" s="47">
        <f t="shared" si="7"/>
        <v>0</v>
      </c>
      <c r="CT17" s="47">
        <f t="shared" si="8"/>
        <v>0</v>
      </c>
      <c r="CU17" s="47">
        <f t="shared" si="8"/>
        <v>0</v>
      </c>
      <c r="CV17" s="47">
        <f t="shared" si="9"/>
        <v>0</v>
      </c>
      <c r="CW17" s="47">
        <f t="shared" si="10"/>
        <v>0</v>
      </c>
      <c r="CX17" s="47">
        <f t="shared" si="11"/>
        <v>0</v>
      </c>
      <c r="CY17" s="47">
        <f t="shared" si="12"/>
        <v>0</v>
      </c>
    </row>
    <row r="18" spans="2:103" x14ac:dyDescent="0.25">
      <c r="B18" s="7"/>
      <c r="C18" s="7"/>
      <c r="D18" s="7"/>
      <c r="E18" s="7"/>
      <c r="F18" s="7"/>
      <c r="G18" s="7"/>
      <c r="H18" s="7"/>
      <c r="I18" s="7"/>
      <c r="J18" s="7"/>
      <c r="K18" s="7"/>
      <c r="L18" s="7"/>
      <c r="M18" s="7"/>
      <c r="N18" s="7"/>
      <c r="O18" s="104"/>
      <c r="Q18" s="47"/>
      <c r="R18" s="47"/>
      <c r="S18" s="47"/>
      <c r="T18" s="47"/>
      <c r="U18" s="47"/>
      <c r="V18" s="47"/>
      <c r="W18" s="47"/>
      <c r="Y18" s="106"/>
      <c r="Z18" s="106"/>
      <c r="AA18" s="106"/>
      <c r="AB18" s="106"/>
      <c r="AD18" s="47"/>
      <c r="AE18" s="47"/>
      <c r="AF18" s="47"/>
      <c r="AG18" s="47"/>
      <c r="AH18" s="47"/>
      <c r="AI18" s="47"/>
      <c r="AJ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C18" s="47"/>
      <c r="CD18" s="47"/>
      <c r="CE18" s="47"/>
      <c r="CF18" s="47"/>
      <c r="CG18" s="47"/>
      <c r="CH18" s="47"/>
      <c r="CI18" s="47"/>
      <c r="CK18" s="47"/>
      <c r="CL18" s="47"/>
      <c r="CM18" s="47"/>
      <c r="CN18" s="47"/>
      <c r="CO18" s="47"/>
      <c r="CP18" s="47"/>
      <c r="CQ18" s="47"/>
      <c r="CS18" s="47">
        <f t="shared" si="7"/>
        <v>0</v>
      </c>
      <c r="CT18" s="47">
        <f t="shared" si="8"/>
        <v>0</v>
      </c>
      <c r="CU18" s="47">
        <f t="shared" si="8"/>
        <v>0</v>
      </c>
      <c r="CV18" s="47">
        <f t="shared" si="9"/>
        <v>0</v>
      </c>
      <c r="CW18" s="47">
        <f t="shared" si="10"/>
        <v>0</v>
      </c>
      <c r="CX18" s="47">
        <f t="shared" si="11"/>
        <v>0</v>
      </c>
      <c r="CY18" s="47">
        <f t="shared" si="12"/>
        <v>0</v>
      </c>
    </row>
    <row r="19" spans="2:103" x14ac:dyDescent="0.25">
      <c r="B19" s="7"/>
      <c r="C19" s="7"/>
      <c r="D19" s="7"/>
      <c r="E19" s="7"/>
      <c r="F19" s="7"/>
      <c r="G19" s="7"/>
      <c r="H19" s="7"/>
      <c r="I19" s="7"/>
      <c r="J19" s="7"/>
      <c r="K19" s="7"/>
      <c r="L19" s="7"/>
      <c r="M19" s="7"/>
      <c r="N19" s="7"/>
      <c r="O19" s="104"/>
      <c r="Q19" s="47"/>
      <c r="R19" s="47"/>
      <c r="S19" s="47"/>
      <c r="T19" s="47"/>
      <c r="U19" s="47"/>
      <c r="V19" s="47"/>
      <c r="W19" s="47"/>
      <c r="Y19" s="106"/>
      <c r="Z19" s="106"/>
      <c r="AA19" s="106"/>
      <c r="AB19" s="106"/>
      <c r="AD19" s="47"/>
      <c r="AE19" s="47"/>
      <c r="AF19" s="47"/>
      <c r="AG19" s="47"/>
      <c r="AH19" s="47"/>
      <c r="AI19" s="47"/>
      <c r="AJ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C19" s="47"/>
      <c r="CD19" s="47"/>
      <c r="CE19" s="47"/>
      <c r="CF19" s="47"/>
      <c r="CG19" s="47"/>
      <c r="CH19" s="47"/>
      <c r="CI19" s="47"/>
      <c r="CK19" s="47"/>
      <c r="CL19" s="47"/>
      <c r="CM19" s="47"/>
      <c r="CN19" s="47"/>
      <c r="CO19" s="47"/>
      <c r="CP19" s="47"/>
      <c r="CQ19" s="47"/>
      <c r="CS19" s="47">
        <f t="shared" si="7"/>
        <v>0</v>
      </c>
      <c r="CT19" s="47">
        <f t="shared" si="8"/>
        <v>0</v>
      </c>
      <c r="CU19" s="47">
        <f t="shared" si="8"/>
        <v>0</v>
      </c>
      <c r="CV19" s="47">
        <f t="shared" si="9"/>
        <v>0</v>
      </c>
      <c r="CW19" s="47">
        <f t="shared" si="10"/>
        <v>0</v>
      </c>
      <c r="CX19" s="47">
        <f t="shared" si="11"/>
        <v>0</v>
      </c>
      <c r="CY19" s="47">
        <f t="shared" si="12"/>
        <v>0</v>
      </c>
    </row>
    <row r="20" spans="2:103" x14ac:dyDescent="0.25">
      <c r="B20" s="7"/>
      <c r="C20" s="7"/>
      <c r="D20" s="7"/>
      <c r="E20" s="7"/>
      <c r="F20" s="7"/>
      <c r="G20" s="7"/>
      <c r="H20" s="7"/>
      <c r="I20" s="7"/>
      <c r="J20" s="7"/>
      <c r="K20" s="7"/>
      <c r="L20" s="7"/>
      <c r="M20" s="7"/>
      <c r="N20" s="7"/>
      <c r="O20" s="104"/>
      <c r="Q20" s="47"/>
      <c r="R20" s="47"/>
      <c r="S20" s="47"/>
      <c r="T20" s="47"/>
      <c r="U20" s="47"/>
      <c r="V20" s="47"/>
      <c r="W20" s="47"/>
      <c r="Y20" s="106"/>
      <c r="Z20" s="106"/>
      <c r="AA20" s="106"/>
      <c r="AB20" s="106"/>
      <c r="AD20" s="47"/>
      <c r="AE20" s="47"/>
      <c r="AF20" s="47"/>
      <c r="AG20" s="47"/>
      <c r="AH20" s="47"/>
      <c r="AI20" s="47"/>
      <c r="AJ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C20" s="47"/>
      <c r="CD20" s="47"/>
      <c r="CE20" s="47"/>
      <c r="CF20" s="47"/>
      <c r="CG20" s="47"/>
      <c r="CH20" s="47"/>
      <c r="CI20" s="47"/>
      <c r="CK20" s="47"/>
      <c r="CL20" s="47"/>
      <c r="CM20" s="47"/>
      <c r="CN20" s="47"/>
      <c r="CO20" s="47"/>
      <c r="CP20" s="47"/>
      <c r="CQ20" s="47"/>
      <c r="CS20" s="47">
        <f t="shared" si="7"/>
        <v>0</v>
      </c>
      <c r="CT20" s="47">
        <f t="shared" si="8"/>
        <v>0</v>
      </c>
      <c r="CU20" s="47">
        <f t="shared" si="8"/>
        <v>0</v>
      </c>
      <c r="CV20" s="47">
        <f t="shared" si="9"/>
        <v>0</v>
      </c>
      <c r="CW20" s="47">
        <f t="shared" si="10"/>
        <v>0</v>
      </c>
      <c r="CX20" s="47">
        <f t="shared" si="11"/>
        <v>0</v>
      </c>
      <c r="CY20" s="47">
        <f t="shared" si="12"/>
        <v>0</v>
      </c>
    </row>
    <row r="21" spans="2:103" x14ac:dyDescent="0.25">
      <c r="B21" s="7"/>
      <c r="C21" s="7"/>
      <c r="D21" s="7"/>
      <c r="E21" s="7"/>
      <c r="F21" s="7"/>
      <c r="G21" s="7"/>
      <c r="H21" s="7"/>
      <c r="I21" s="7"/>
      <c r="J21" s="7"/>
      <c r="K21" s="7"/>
      <c r="L21" s="7"/>
      <c r="M21" s="7"/>
      <c r="N21" s="7"/>
      <c r="O21" s="104"/>
      <c r="Q21" s="47"/>
      <c r="R21" s="47"/>
      <c r="S21" s="47"/>
      <c r="T21" s="47"/>
      <c r="U21" s="47"/>
      <c r="V21" s="47"/>
      <c r="W21" s="47"/>
      <c r="Y21" s="106"/>
      <c r="Z21" s="106"/>
      <c r="AA21" s="106"/>
      <c r="AB21" s="106"/>
      <c r="AD21" s="47"/>
      <c r="AE21" s="47"/>
      <c r="AF21" s="47"/>
      <c r="AG21" s="47"/>
      <c r="AH21" s="47"/>
      <c r="AI21" s="47"/>
      <c r="AJ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C21" s="47"/>
      <c r="CD21" s="47"/>
      <c r="CE21" s="47"/>
      <c r="CF21" s="47"/>
      <c r="CG21" s="47"/>
      <c r="CH21" s="47"/>
      <c r="CI21" s="47"/>
      <c r="CK21" s="47"/>
      <c r="CL21" s="47"/>
      <c r="CM21" s="47"/>
      <c r="CN21" s="47"/>
      <c r="CO21" s="47"/>
      <c r="CP21" s="47"/>
      <c r="CQ21" s="47"/>
      <c r="CS21" s="47">
        <f t="shared" si="7"/>
        <v>0</v>
      </c>
      <c r="CT21" s="47">
        <f t="shared" si="8"/>
        <v>0</v>
      </c>
      <c r="CU21" s="47">
        <f t="shared" si="8"/>
        <v>0</v>
      </c>
      <c r="CV21" s="47">
        <f t="shared" si="9"/>
        <v>0</v>
      </c>
      <c r="CW21" s="47">
        <f t="shared" si="10"/>
        <v>0</v>
      </c>
      <c r="CX21" s="47">
        <f t="shared" si="11"/>
        <v>0</v>
      </c>
      <c r="CY21" s="47">
        <f t="shared" si="12"/>
        <v>0</v>
      </c>
    </row>
    <row r="22" spans="2:103" x14ac:dyDescent="0.25">
      <c r="B22" s="7"/>
      <c r="C22" s="7"/>
      <c r="D22" s="7"/>
      <c r="E22" s="7"/>
      <c r="F22" s="7"/>
      <c r="G22" s="7"/>
      <c r="H22" s="7"/>
      <c r="I22" s="7"/>
      <c r="J22" s="7"/>
      <c r="K22" s="7"/>
      <c r="L22" s="7"/>
      <c r="M22" s="7"/>
      <c r="N22" s="7"/>
      <c r="O22" s="104"/>
      <c r="Q22" s="47"/>
      <c r="R22" s="47"/>
      <c r="S22" s="47"/>
      <c r="T22" s="47"/>
      <c r="U22" s="47"/>
      <c r="V22" s="47"/>
      <c r="W22" s="47"/>
      <c r="Y22" s="106"/>
      <c r="Z22" s="106"/>
      <c r="AA22" s="106"/>
      <c r="AB22" s="106"/>
      <c r="AD22" s="47"/>
      <c r="AE22" s="47"/>
      <c r="AF22" s="47"/>
      <c r="AG22" s="47"/>
      <c r="AH22" s="47"/>
      <c r="AI22" s="47"/>
      <c r="AJ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C22" s="47"/>
      <c r="CD22" s="47"/>
      <c r="CE22" s="47"/>
      <c r="CF22" s="47"/>
      <c r="CG22" s="47"/>
      <c r="CH22" s="47"/>
      <c r="CI22" s="47"/>
      <c r="CK22" s="47"/>
      <c r="CL22" s="47"/>
      <c r="CM22" s="47"/>
      <c r="CN22" s="47"/>
      <c r="CO22" s="47"/>
      <c r="CP22" s="47"/>
      <c r="CQ22" s="47"/>
      <c r="CS22" s="47">
        <f t="shared" si="7"/>
        <v>0</v>
      </c>
      <c r="CT22" s="47">
        <f t="shared" si="8"/>
        <v>0</v>
      </c>
      <c r="CU22" s="47">
        <f t="shared" si="8"/>
        <v>0</v>
      </c>
      <c r="CV22" s="47">
        <f t="shared" si="9"/>
        <v>0</v>
      </c>
      <c r="CW22" s="47">
        <f t="shared" si="10"/>
        <v>0</v>
      </c>
      <c r="CX22" s="47">
        <f t="shared" si="11"/>
        <v>0</v>
      </c>
      <c r="CY22" s="47">
        <f t="shared" si="12"/>
        <v>0</v>
      </c>
    </row>
    <row r="23" spans="2:103" x14ac:dyDescent="0.25">
      <c r="B23" s="7"/>
      <c r="C23" s="7"/>
      <c r="D23" s="7"/>
      <c r="E23" s="7"/>
      <c r="F23" s="7"/>
      <c r="G23" s="7"/>
      <c r="H23" s="7"/>
      <c r="I23" s="7"/>
      <c r="J23" s="7"/>
      <c r="K23" s="7"/>
      <c r="L23" s="7"/>
      <c r="M23" s="7"/>
      <c r="N23" s="7"/>
      <c r="O23" s="104"/>
      <c r="Q23" s="47"/>
      <c r="R23" s="47"/>
      <c r="S23" s="47"/>
      <c r="T23" s="47"/>
      <c r="U23" s="47"/>
      <c r="V23" s="47"/>
      <c r="W23" s="47"/>
      <c r="Y23" s="106"/>
      <c r="Z23" s="106"/>
      <c r="AA23" s="106"/>
      <c r="AB23" s="106"/>
      <c r="AD23" s="47"/>
      <c r="AE23" s="47"/>
      <c r="AF23" s="47"/>
      <c r="AG23" s="47"/>
      <c r="AH23" s="47"/>
      <c r="AI23" s="47"/>
      <c r="AJ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C23" s="47"/>
      <c r="CD23" s="47"/>
      <c r="CE23" s="47"/>
      <c r="CF23" s="47"/>
      <c r="CG23" s="47"/>
      <c r="CH23" s="47"/>
      <c r="CI23" s="47"/>
      <c r="CK23" s="47"/>
      <c r="CL23" s="47"/>
      <c r="CM23" s="47"/>
      <c r="CN23" s="47"/>
      <c r="CO23" s="47"/>
      <c r="CP23" s="47"/>
      <c r="CQ23" s="47"/>
      <c r="CS23" s="47">
        <f t="shared" si="7"/>
        <v>0</v>
      </c>
      <c r="CT23" s="47">
        <f t="shared" si="8"/>
        <v>0</v>
      </c>
      <c r="CU23" s="47">
        <f t="shared" si="8"/>
        <v>0</v>
      </c>
      <c r="CV23" s="47">
        <f t="shared" si="9"/>
        <v>0</v>
      </c>
      <c r="CW23" s="47">
        <f t="shared" si="10"/>
        <v>0</v>
      </c>
      <c r="CX23" s="47">
        <f t="shared" si="11"/>
        <v>0</v>
      </c>
      <c r="CY23" s="47">
        <f t="shared" si="12"/>
        <v>0</v>
      </c>
    </row>
    <row r="24" spans="2:103" x14ac:dyDescent="0.25">
      <c r="B24" s="7"/>
      <c r="C24" s="7"/>
      <c r="D24" s="7"/>
      <c r="E24" s="7"/>
      <c r="F24" s="7"/>
      <c r="G24" s="7"/>
      <c r="H24" s="7"/>
      <c r="I24" s="7"/>
      <c r="J24" s="7"/>
      <c r="K24" s="7"/>
      <c r="L24" s="7"/>
      <c r="M24" s="7"/>
      <c r="N24" s="7"/>
      <c r="O24" s="104"/>
      <c r="Q24" s="47"/>
      <c r="R24" s="47"/>
      <c r="S24" s="47"/>
      <c r="T24" s="47"/>
      <c r="U24" s="47"/>
      <c r="V24" s="47"/>
      <c r="W24" s="47"/>
      <c r="Y24" s="106"/>
      <c r="Z24" s="106"/>
      <c r="AA24" s="106"/>
      <c r="AB24" s="106"/>
      <c r="AD24" s="47"/>
      <c r="AE24" s="47"/>
      <c r="AF24" s="47"/>
      <c r="AG24" s="47"/>
      <c r="AH24" s="47"/>
      <c r="AI24" s="47"/>
      <c r="AJ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C24" s="47"/>
      <c r="CD24" s="47"/>
      <c r="CE24" s="47"/>
      <c r="CF24" s="47"/>
      <c r="CG24" s="47"/>
      <c r="CH24" s="47"/>
      <c r="CI24" s="47"/>
      <c r="CK24" s="47"/>
      <c r="CL24" s="47"/>
      <c r="CM24" s="47"/>
      <c r="CN24" s="47"/>
      <c r="CO24" s="47"/>
      <c r="CP24" s="47"/>
      <c r="CQ24" s="47"/>
      <c r="CS24" s="47">
        <f t="shared" si="7"/>
        <v>0</v>
      </c>
      <c r="CT24" s="47">
        <f t="shared" si="8"/>
        <v>0</v>
      </c>
      <c r="CU24" s="47">
        <f t="shared" si="8"/>
        <v>0</v>
      </c>
      <c r="CV24" s="47">
        <f t="shared" si="9"/>
        <v>0</v>
      </c>
      <c r="CW24" s="47">
        <f t="shared" si="10"/>
        <v>0</v>
      </c>
      <c r="CX24" s="47">
        <f t="shared" si="11"/>
        <v>0</v>
      </c>
      <c r="CY24" s="47">
        <f t="shared" si="12"/>
        <v>0</v>
      </c>
    </row>
    <row r="25" spans="2:103" x14ac:dyDescent="0.25">
      <c r="B25" s="7"/>
      <c r="C25" s="7"/>
      <c r="D25" s="7"/>
      <c r="E25" s="7"/>
      <c r="F25" s="7"/>
      <c r="G25" s="7"/>
      <c r="H25" s="7"/>
      <c r="I25" s="7"/>
      <c r="J25" s="7"/>
      <c r="K25" s="7"/>
      <c r="L25" s="7"/>
      <c r="M25" s="7"/>
      <c r="N25" s="7"/>
      <c r="O25" s="104"/>
      <c r="Q25" s="47"/>
      <c r="R25" s="47"/>
      <c r="S25" s="47"/>
      <c r="T25" s="47"/>
      <c r="U25" s="47"/>
      <c r="V25" s="47"/>
      <c r="W25" s="47"/>
      <c r="Y25" s="106"/>
      <c r="Z25" s="106"/>
      <c r="AA25" s="106"/>
      <c r="AB25" s="106"/>
      <c r="AD25" s="47"/>
      <c r="AE25" s="47"/>
      <c r="AF25" s="47"/>
      <c r="AG25" s="47"/>
      <c r="AH25" s="47"/>
      <c r="AI25" s="47"/>
      <c r="AJ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C25" s="47"/>
      <c r="CD25" s="47"/>
      <c r="CE25" s="47"/>
      <c r="CF25" s="47"/>
      <c r="CG25" s="47"/>
      <c r="CH25" s="47"/>
      <c r="CI25" s="47"/>
      <c r="CK25" s="47"/>
      <c r="CL25" s="47"/>
      <c r="CM25" s="47"/>
      <c r="CN25" s="47"/>
      <c r="CO25" s="47"/>
      <c r="CP25" s="47"/>
      <c r="CQ25" s="47"/>
      <c r="CS25" s="47">
        <f t="shared" si="7"/>
        <v>0</v>
      </c>
      <c r="CT25" s="47">
        <f t="shared" si="8"/>
        <v>0</v>
      </c>
      <c r="CU25" s="47">
        <f t="shared" si="8"/>
        <v>0</v>
      </c>
      <c r="CV25" s="47">
        <f t="shared" si="9"/>
        <v>0</v>
      </c>
      <c r="CW25" s="47">
        <f t="shared" si="10"/>
        <v>0</v>
      </c>
      <c r="CX25" s="47">
        <f t="shared" si="11"/>
        <v>0</v>
      </c>
      <c r="CY25" s="47">
        <f t="shared" si="12"/>
        <v>0</v>
      </c>
    </row>
    <row r="26" spans="2:103" x14ac:dyDescent="0.25">
      <c r="B26" s="7"/>
      <c r="C26" s="7"/>
      <c r="D26" s="7"/>
      <c r="E26" s="7"/>
      <c r="F26" s="7"/>
      <c r="G26" s="7"/>
      <c r="H26" s="7"/>
      <c r="I26" s="7"/>
      <c r="J26" s="7"/>
      <c r="K26" s="7"/>
      <c r="L26" s="7"/>
      <c r="M26" s="7"/>
      <c r="N26" s="7"/>
      <c r="O26" s="104"/>
      <c r="Q26" s="47"/>
      <c r="R26" s="47"/>
      <c r="S26" s="47"/>
      <c r="T26" s="47"/>
      <c r="U26" s="47"/>
      <c r="V26" s="47"/>
      <c r="W26" s="47"/>
      <c r="Y26" s="106"/>
      <c r="Z26" s="106"/>
      <c r="AA26" s="106"/>
      <c r="AB26" s="106"/>
      <c r="AD26" s="47"/>
      <c r="AE26" s="47"/>
      <c r="AF26" s="47"/>
      <c r="AG26" s="47"/>
      <c r="AH26" s="47"/>
      <c r="AI26" s="47"/>
      <c r="AJ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C26" s="47"/>
      <c r="CD26" s="47"/>
      <c r="CE26" s="47"/>
      <c r="CF26" s="47"/>
      <c r="CG26" s="47"/>
      <c r="CH26" s="47"/>
      <c r="CI26" s="47"/>
      <c r="CK26" s="47"/>
      <c r="CL26" s="47"/>
      <c r="CM26" s="47"/>
      <c r="CN26" s="47"/>
      <c r="CO26" s="47"/>
      <c r="CP26" s="47"/>
      <c r="CQ26" s="47"/>
      <c r="CS26" s="47">
        <f t="shared" si="7"/>
        <v>0</v>
      </c>
      <c r="CT26" s="47">
        <f t="shared" si="8"/>
        <v>0</v>
      </c>
      <c r="CU26" s="47">
        <f t="shared" si="8"/>
        <v>0</v>
      </c>
      <c r="CV26" s="47">
        <f t="shared" si="9"/>
        <v>0</v>
      </c>
      <c r="CW26" s="47">
        <f t="shared" si="10"/>
        <v>0</v>
      </c>
      <c r="CX26" s="47">
        <f t="shared" si="11"/>
        <v>0</v>
      </c>
      <c r="CY26" s="47">
        <f t="shared" si="12"/>
        <v>0</v>
      </c>
    </row>
    <row r="27" spans="2:103" x14ac:dyDescent="0.25">
      <c r="B27" s="7"/>
      <c r="C27" s="7"/>
      <c r="D27" s="7"/>
      <c r="E27" s="7"/>
      <c r="F27" s="7"/>
      <c r="G27" s="7"/>
      <c r="H27" s="7"/>
      <c r="I27" s="7"/>
      <c r="J27" s="7"/>
      <c r="K27" s="7"/>
      <c r="L27" s="7"/>
      <c r="M27" s="7"/>
      <c r="N27" s="7"/>
      <c r="O27" s="104"/>
      <c r="Q27" s="47"/>
      <c r="R27" s="47"/>
      <c r="S27" s="47"/>
      <c r="T27" s="47"/>
      <c r="U27" s="47"/>
      <c r="V27" s="47"/>
      <c r="W27" s="47"/>
      <c r="Y27" s="106"/>
      <c r="Z27" s="106"/>
      <c r="AA27" s="106"/>
      <c r="AB27" s="106"/>
      <c r="AD27" s="47"/>
      <c r="AE27" s="47"/>
      <c r="AF27" s="47"/>
      <c r="AG27" s="47"/>
      <c r="AH27" s="47"/>
      <c r="AI27" s="47"/>
      <c r="AJ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C27" s="47"/>
      <c r="CD27" s="47"/>
      <c r="CE27" s="47"/>
      <c r="CF27" s="47"/>
      <c r="CG27" s="47"/>
      <c r="CH27" s="47"/>
      <c r="CI27" s="47"/>
      <c r="CK27" s="47"/>
      <c r="CL27" s="47"/>
      <c r="CM27" s="47"/>
      <c r="CN27" s="47"/>
      <c r="CO27" s="47"/>
      <c r="CP27" s="47"/>
      <c r="CQ27" s="47"/>
      <c r="CS27" s="47">
        <f t="shared" si="7"/>
        <v>0</v>
      </c>
      <c r="CT27" s="47">
        <f t="shared" si="8"/>
        <v>0</v>
      </c>
      <c r="CU27" s="47">
        <f t="shared" si="8"/>
        <v>0</v>
      </c>
      <c r="CV27" s="47">
        <f t="shared" si="9"/>
        <v>0</v>
      </c>
      <c r="CW27" s="47">
        <f t="shared" si="10"/>
        <v>0</v>
      </c>
      <c r="CX27" s="47">
        <f t="shared" si="11"/>
        <v>0</v>
      </c>
      <c r="CY27" s="47">
        <f t="shared" si="12"/>
        <v>0</v>
      </c>
    </row>
    <row r="28" spans="2:103" x14ac:dyDescent="0.25">
      <c r="B28" s="7"/>
      <c r="C28" s="7"/>
      <c r="D28" s="7"/>
      <c r="E28" s="7"/>
      <c r="F28" s="7"/>
      <c r="G28" s="7"/>
      <c r="H28" s="7"/>
      <c r="I28" s="7"/>
      <c r="J28" s="7"/>
      <c r="K28" s="7"/>
      <c r="L28" s="7"/>
      <c r="M28" s="7"/>
      <c r="N28" s="7"/>
      <c r="O28" s="104"/>
      <c r="Q28" s="47"/>
      <c r="R28" s="47"/>
      <c r="S28" s="47"/>
      <c r="T28" s="47"/>
      <c r="U28" s="47"/>
      <c r="V28" s="47"/>
      <c r="W28" s="47"/>
      <c r="Y28" s="106"/>
      <c r="Z28" s="106"/>
      <c r="AA28" s="106"/>
      <c r="AB28" s="106"/>
      <c r="AD28" s="47"/>
      <c r="AE28" s="47"/>
      <c r="AF28" s="47"/>
      <c r="AG28" s="47"/>
      <c r="AH28" s="47"/>
      <c r="AI28" s="47"/>
      <c r="AJ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C28" s="47"/>
      <c r="CD28" s="47"/>
      <c r="CE28" s="47"/>
      <c r="CF28" s="47"/>
      <c r="CG28" s="47"/>
      <c r="CH28" s="47"/>
      <c r="CI28" s="47"/>
      <c r="CK28" s="47"/>
      <c r="CL28" s="47"/>
      <c r="CM28" s="47"/>
      <c r="CN28" s="47"/>
      <c r="CO28" s="47"/>
      <c r="CP28" s="47"/>
      <c r="CQ28" s="47"/>
      <c r="CS28" s="47">
        <f t="shared" si="7"/>
        <v>0</v>
      </c>
      <c r="CT28" s="47">
        <f t="shared" si="8"/>
        <v>0</v>
      </c>
      <c r="CU28" s="47">
        <f t="shared" si="8"/>
        <v>0</v>
      </c>
      <c r="CV28" s="47">
        <f t="shared" si="9"/>
        <v>0</v>
      </c>
      <c r="CW28" s="47">
        <f t="shared" si="10"/>
        <v>0</v>
      </c>
      <c r="CX28" s="47">
        <f t="shared" si="11"/>
        <v>0</v>
      </c>
      <c r="CY28" s="47">
        <f t="shared" si="12"/>
        <v>0</v>
      </c>
    </row>
    <row r="29" spans="2:103" x14ac:dyDescent="0.25">
      <c r="B29" s="7"/>
      <c r="C29" s="7"/>
      <c r="D29" s="7"/>
      <c r="E29" s="7"/>
      <c r="F29" s="7"/>
      <c r="G29" s="7"/>
      <c r="H29" s="7"/>
      <c r="I29" s="7"/>
      <c r="J29" s="7"/>
      <c r="K29" s="7"/>
      <c r="L29" s="7"/>
      <c r="M29" s="7"/>
      <c r="N29" s="7"/>
      <c r="O29" s="104"/>
      <c r="Q29" s="47"/>
      <c r="R29" s="47"/>
      <c r="S29" s="47"/>
      <c r="T29" s="47"/>
      <c r="U29" s="47"/>
      <c r="V29" s="47"/>
      <c r="W29" s="47"/>
      <c r="Y29" s="106"/>
      <c r="Z29" s="106"/>
      <c r="AA29" s="106"/>
      <c r="AB29" s="106"/>
      <c r="AD29" s="47"/>
      <c r="AE29" s="47"/>
      <c r="AF29" s="47"/>
      <c r="AG29" s="47"/>
      <c r="AH29" s="47"/>
      <c r="AI29" s="47"/>
      <c r="AJ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C29" s="47"/>
      <c r="CD29" s="47"/>
      <c r="CE29" s="47"/>
      <c r="CF29" s="47"/>
      <c r="CG29" s="47"/>
      <c r="CH29" s="47"/>
      <c r="CI29" s="47"/>
      <c r="CK29" s="47"/>
      <c r="CL29" s="47"/>
      <c r="CM29" s="47"/>
      <c r="CN29" s="47"/>
      <c r="CO29" s="47"/>
      <c r="CP29" s="47"/>
      <c r="CQ29" s="47"/>
      <c r="CS29" s="47">
        <f t="shared" si="7"/>
        <v>0</v>
      </c>
      <c r="CT29" s="47">
        <f t="shared" si="8"/>
        <v>0</v>
      </c>
      <c r="CU29" s="47">
        <f t="shared" si="8"/>
        <v>0</v>
      </c>
      <c r="CV29" s="47">
        <f t="shared" si="9"/>
        <v>0</v>
      </c>
      <c r="CW29" s="47">
        <f t="shared" si="10"/>
        <v>0</v>
      </c>
      <c r="CX29" s="47">
        <f t="shared" si="11"/>
        <v>0</v>
      </c>
      <c r="CY29" s="47">
        <f t="shared" si="12"/>
        <v>0</v>
      </c>
    </row>
    <row r="30" spans="2:103" x14ac:dyDescent="0.25">
      <c r="B30" s="7"/>
      <c r="C30" s="7"/>
      <c r="D30" s="7"/>
      <c r="E30" s="7"/>
      <c r="F30" s="7"/>
      <c r="G30" s="7"/>
      <c r="H30" s="7"/>
      <c r="I30" s="7"/>
      <c r="J30" s="7"/>
      <c r="K30" s="7"/>
      <c r="L30" s="7"/>
      <c r="M30" s="7"/>
      <c r="N30" s="7"/>
      <c r="O30" s="104"/>
      <c r="Q30" s="47"/>
      <c r="R30" s="47"/>
      <c r="S30" s="47"/>
      <c r="T30" s="47"/>
      <c r="U30" s="47"/>
      <c r="V30" s="47"/>
      <c r="W30" s="47"/>
      <c r="Y30" s="106"/>
      <c r="Z30" s="106"/>
      <c r="AA30" s="106"/>
      <c r="AB30" s="106"/>
      <c r="AD30" s="47"/>
      <c r="AE30" s="47"/>
      <c r="AF30" s="47"/>
      <c r="AG30" s="47"/>
      <c r="AH30" s="47"/>
      <c r="AI30" s="47"/>
      <c r="AJ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C30" s="47"/>
      <c r="CD30" s="47"/>
      <c r="CE30" s="47"/>
      <c r="CF30" s="47"/>
      <c r="CG30" s="47"/>
      <c r="CH30" s="47"/>
      <c r="CI30" s="47"/>
      <c r="CK30" s="47"/>
      <c r="CL30" s="47"/>
      <c r="CM30" s="47"/>
      <c r="CN30" s="47"/>
      <c r="CO30" s="47"/>
      <c r="CP30" s="47"/>
      <c r="CQ30" s="47"/>
      <c r="CS30" s="47">
        <f t="shared" si="7"/>
        <v>0</v>
      </c>
      <c r="CT30" s="47">
        <f t="shared" si="8"/>
        <v>0</v>
      </c>
      <c r="CU30" s="47">
        <f t="shared" si="8"/>
        <v>0</v>
      </c>
      <c r="CV30" s="47">
        <f t="shared" si="9"/>
        <v>0</v>
      </c>
      <c r="CW30" s="47">
        <f t="shared" si="10"/>
        <v>0</v>
      </c>
      <c r="CX30" s="47">
        <f t="shared" si="11"/>
        <v>0</v>
      </c>
      <c r="CY30" s="47">
        <f t="shared" si="12"/>
        <v>0</v>
      </c>
    </row>
    <row r="31" spans="2:103" x14ac:dyDescent="0.25">
      <c r="B31" s="7"/>
      <c r="C31" s="7"/>
      <c r="D31" s="7"/>
      <c r="E31" s="7"/>
      <c r="F31" s="7"/>
      <c r="G31" s="7"/>
      <c r="H31" s="7"/>
      <c r="I31" s="7"/>
      <c r="J31" s="7"/>
      <c r="K31" s="7"/>
      <c r="L31" s="7"/>
      <c r="M31" s="7"/>
      <c r="N31" s="7"/>
      <c r="O31" s="104"/>
      <c r="Q31" s="47"/>
      <c r="R31" s="47"/>
      <c r="S31" s="47"/>
      <c r="T31" s="47"/>
      <c r="U31" s="47"/>
      <c r="V31" s="47"/>
      <c r="W31" s="47"/>
      <c r="Y31" s="106"/>
      <c r="Z31" s="106"/>
      <c r="AA31" s="106"/>
      <c r="AB31" s="106"/>
      <c r="AD31" s="47"/>
      <c r="AE31" s="47"/>
      <c r="AF31" s="47"/>
      <c r="AG31" s="47"/>
      <c r="AH31" s="47"/>
      <c r="AI31" s="47"/>
      <c r="AJ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C31" s="47"/>
      <c r="CD31" s="47"/>
      <c r="CE31" s="47"/>
      <c r="CF31" s="47"/>
      <c r="CG31" s="47"/>
      <c r="CH31" s="47"/>
      <c r="CI31" s="47"/>
      <c r="CK31" s="47"/>
      <c r="CL31" s="47"/>
      <c r="CM31" s="47"/>
      <c r="CN31" s="47"/>
      <c r="CO31" s="47"/>
      <c r="CP31" s="47"/>
      <c r="CQ31" s="47"/>
      <c r="CS31" s="47">
        <f t="shared" si="7"/>
        <v>0</v>
      </c>
      <c r="CT31" s="47">
        <f t="shared" si="8"/>
        <v>0</v>
      </c>
      <c r="CU31" s="47">
        <f t="shared" si="8"/>
        <v>0</v>
      </c>
      <c r="CV31" s="47">
        <f t="shared" si="9"/>
        <v>0</v>
      </c>
      <c r="CW31" s="47">
        <f t="shared" si="10"/>
        <v>0</v>
      </c>
      <c r="CX31" s="47">
        <f t="shared" si="11"/>
        <v>0</v>
      </c>
      <c r="CY31" s="47">
        <f t="shared" si="12"/>
        <v>0</v>
      </c>
    </row>
    <row r="32" spans="2:103" x14ac:dyDescent="0.25">
      <c r="B32" s="7"/>
      <c r="C32" s="7"/>
      <c r="D32" s="7"/>
      <c r="E32" s="7"/>
      <c r="F32" s="7"/>
      <c r="G32" s="7"/>
      <c r="H32" s="7"/>
      <c r="I32" s="7"/>
      <c r="J32" s="7"/>
      <c r="K32" s="7"/>
      <c r="L32" s="7"/>
      <c r="M32" s="7"/>
      <c r="N32" s="7"/>
      <c r="O32" s="104"/>
      <c r="Q32" s="47"/>
      <c r="R32" s="47"/>
      <c r="S32" s="47"/>
      <c r="T32" s="47"/>
      <c r="U32" s="47"/>
      <c r="V32" s="47"/>
      <c r="W32" s="47"/>
      <c r="Y32" s="106"/>
      <c r="Z32" s="106"/>
      <c r="AA32" s="106"/>
      <c r="AB32" s="106"/>
      <c r="AD32" s="47"/>
      <c r="AE32" s="47"/>
      <c r="AF32" s="47"/>
      <c r="AG32" s="47"/>
      <c r="AH32" s="47"/>
      <c r="AI32" s="47"/>
      <c r="AJ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C32" s="47"/>
      <c r="CD32" s="47"/>
      <c r="CE32" s="47"/>
      <c r="CF32" s="47"/>
      <c r="CG32" s="47"/>
      <c r="CH32" s="47"/>
      <c r="CI32" s="47"/>
      <c r="CK32" s="47"/>
      <c r="CL32" s="47"/>
      <c r="CM32" s="47"/>
      <c r="CN32" s="47"/>
      <c r="CO32" s="47"/>
      <c r="CP32" s="47"/>
      <c r="CQ32" s="47"/>
      <c r="CS32" s="47">
        <f t="shared" si="7"/>
        <v>0</v>
      </c>
      <c r="CT32" s="47">
        <f t="shared" si="8"/>
        <v>0</v>
      </c>
      <c r="CU32" s="47">
        <f t="shared" si="8"/>
        <v>0</v>
      </c>
      <c r="CV32" s="47">
        <f t="shared" si="9"/>
        <v>0</v>
      </c>
      <c r="CW32" s="47">
        <f t="shared" si="10"/>
        <v>0</v>
      </c>
      <c r="CX32" s="47">
        <f t="shared" si="11"/>
        <v>0</v>
      </c>
      <c r="CY32" s="47">
        <f t="shared" si="12"/>
        <v>0</v>
      </c>
    </row>
    <row r="33" spans="2:103" x14ac:dyDescent="0.25">
      <c r="B33" s="7"/>
      <c r="C33" s="7"/>
      <c r="D33" s="7"/>
      <c r="E33" s="7"/>
      <c r="F33" s="7"/>
      <c r="G33" s="7"/>
      <c r="H33" s="7"/>
      <c r="I33" s="7"/>
      <c r="J33" s="7"/>
      <c r="K33" s="7"/>
      <c r="L33" s="7"/>
      <c r="M33" s="7"/>
      <c r="N33" s="7"/>
      <c r="O33" s="104"/>
      <c r="Q33" s="47"/>
      <c r="R33" s="47"/>
      <c r="S33" s="47"/>
      <c r="T33" s="47"/>
      <c r="U33" s="47"/>
      <c r="V33" s="47"/>
      <c r="W33" s="47"/>
      <c r="Y33" s="106"/>
      <c r="Z33" s="106"/>
      <c r="AA33" s="106"/>
      <c r="AB33" s="106"/>
      <c r="AD33" s="47"/>
      <c r="AE33" s="47"/>
      <c r="AF33" s="47"/>
      <c r="AG33" s="47"/>
      <c r="AH33" s="47"/>
      <c r="AI33" s="47"/>
      <c r="AJ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C33" s="47"/>
      <c r="CD33" s="47"/>
      <c r="CE33" s="47"/>
      <c r="CF33" s="47"/>
      <c r="CG33" s="47"/>
      <c r="CH33" s="47"/>
      <c r="CI33" s="47"/>
      <c r="CK33" s="47"/>
      <c r="CL33" s="47"/>
      <c r="CM33" s="47"/>
      <c r="CN33" s="47"/>
      <c r="CO33" s="47"/>
      <c r="CP33" s="47"/>
      <c r="CQ33" s="47"/>
      <c r="CS33" s="47">
        <f t="shared" si="7"/>
        <v>0</v>
      </c>
      <c r="CT33" s="47">
        <f t="shared" si="8"/>
        <v>0</v>
      </c>
      <c r="CU33" s="47">
        <f t="shared" si="8"/>
        <v>0</v>
      </c>
      <c r="CV33" s="47">
        <f t="shared" si="9"/>
        <v>0</v>
      </c>
      <c r="CW33" s="47">
        <f t="shared" si="10"/>
        <v>0</v>
      </c>
      <c r="CX33" s="47">
        <f t="shared" si="11"/>
        <v>0</v>
      </c>
      <c r="CY33" s="47">
        <f t="shared" si="12"/>
        <v>0</v>
      </c>
    </row>
    <row r="34" spans="2:103" x14ac:dyDescent="0.25">
      <c r="B34" s="7"/>
      <c r="C34" s="7"/>
      <c r="D34" s="7"/>
      <c r="E34" s="7"/>
      <c r="F34" s="7"/>
      <c r="G34" s="7"/>
      <c r="H34" s="7"/>
      <c r="I34" s="7"/>
      <c r="J34" s="7"/>
      <c r="K34" s="7"/>
      <c r="L34" s="7"/>
      <c r="M34" s="7"/>
      <c r="N34" s="7"/>
      <c r="O34" s="104"/>
      <c r="Q34" s="47"/>
      <c r="R34" s="47"/>
      <c r="S34" s="47"/>
      <c r="T34" s="47"/>
      <c r="U34" s="47"/>
      <c r="V34" s="47"/>
      <c r="W34" s="47"/>
      <c r="Y34" s="106"/>
      <c r="Z34" s="106"/>
      <c r="AA34" s="106"/>
      <c r="AB34" s="106"/>
      <c r="AD34" s="47"/>
      <c r="AE34" s="47"/>
      <c r="AF34" s="47"/>
      <c r="AG34" s="47"/>
      <c r="AH34" s="47"/>
      <c r="AI34" s="47"/>
      <c r="AJ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C34" s="47"/>
      <c r="CD34" s="47"/>
      <c r="CE34" s="47"/>
      <c r="CF34" s="47"/>
      <c r="CG34" s="47"/>
      <c r="CH34" s="47"/>
      <c r="CI34" s="47"/>
      <c r="CK34" s="47"/>
      <c r="CL34" s="47"/>
      <c r="CM34" s="47"/>
      <c r="CN34" s="47"/>
      <c r="CO34" s="47"/>
      <c r="CP34" s="47"/>
      <c r="CQ34" s="47"/>
      <c r="CS34" s="47">
        <f t="shared" si="7"/>
        <v>0</v>
      </c>
      <c r="CT34" s="47">
        <f t="shared" si="8"/>
        <v>0</v>
      </c>
      <c r="CU34" s="47">
        <f t="shared" si="8"/>
        <v>0</v>
      </c>
      <c r="CV34" s="47">
        <f t="shared" si="9"/>
        <v>0</v>
      </c>
      <c r="CW34" s="47">
        <f t="shared" si="10"/>
        <v>0</v>
      </c>
      <c r="CX34" s="47">
        <f t="shared" si="11"/>
        <v>0</v>
      </c>
      <c r="CY34" s="47">
        <f t="shared" si="12"/>
        <v>0</v>
      </c>
    </row>
    <row r="35" spans="2:103" x14ac:dyDescent="0.25">
      <c r="B35" s="7"/>
      <c r="C35" s="7"/>
      <c r="D35" s="7"/>
      <c r="E35" s="7"/>
      <c r="F35" s="7"/>
      <c r="G35" s="7"/>
      <c r="H35" s="7"/>
      <c r="I35" s="7"/>
      <c r="J35" s="7"/>
      <c r="K35" s="7"/>
      <c r="L35" s="7"/>
      <c r="M35" s="7"/>
      <c r="N35" s="7"/>
      <c r="O35" s="104"/>
      <c r="Q35" s="47"/>
      <c r="R35" s="47"/>
      <c r="S35" s="47"/>
      <c r="T35" s="47"/>
      <c r="U35" s="47"/>
      <c r="V35" s="47"/>
      <c r="W35" s="47"/>
      <c r="Y35" s="106"/>
      <c r="Z35" s="106"/>
      <c r="AA35" s="106"/>
      <c r="AB35" s="106"/>
      <c r="AD35" s="47"/>
      <c r="AE35" s="47"/>
      <c r="AF35" s="47"/>
      <c r="AG35" s="47"/>
      <c r="AH35" s="47"/>
      <c r="AI35" s="47"/>
      <c r="AJ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C35" s="47"/>
      <c r="CD35" s="47"/>
      <c r="CE35" s="47"/>
      <c r="CF35" s="47"/>
      <c r="CG35" s="47"/>
      <c r="CH35" s="47"/>
      <c r="CI35" s="47"/>
      <c r="CK35" s="47"/>
      <c r="CL35" s="47"/>
      <c r="CM35" s="47"/>
      <c r="CN35" s="47"/>
      <c r="CO35" s="47"/>
      <c r="CP35" s="47"/>
      <c r="CQ35" s="47"/>
      <c r="CS35" s="47">
        <f t="shared" si="7"/>
        <v>0</v>
      </c>
      <c r="CT35" s="47">
        <f t="shared" si="8"/>
        <v>0</v>
      </c>
      <c r="CU35" s="47">
        <f t="shared" si="8"/>
        <v>0</v>
      </c>
      <c r="CV35" s="47">
        <f t="shared" si="9"/>
        <v>0</v>
      </c>
      <c r="CW35" s="47">
        <f t="shared" si="10"/>
        <v>0</v>
      </c>
      <c r="CX35" s="47">
        <f t="shared" si="11"/>
        <v>0</v>
      </c>
      <c r="CY35" s="47">
        <f t="shared" si="12"/>
        <v>0</v>
      </c>
    </row>
    <row r="36" spans="2:103" x14ac:dyDescent="0.25">
      <c r="B36" s="7"/>
      <c r="C36" s="7"/>
      <c r="D36" s="7"/>
      <c r="E36" s="7"/>
      <c r="F36" s="7"/>
      <c r="G36" s="7"/>
      <c r="H36" s="7"/>
      <c r="I36" s="7"/>
      <c r="J36" s="7"/>
      <c r="K36" s="7"/>
      <c r="L36" s="7"/>
      <c r="M36" s="7"/>
      <c r="N36" s="7"/>
      <c r="O36" s="104"/>
      <c r="Q36" s="47"/>
      <c r="R36" s="47"/>
      <c r="S36" s="47"/>
      <c r="T36" s="47"/>
      <c r="U36" s="47"/>
      <c r="V36" s="47"/>
      <c r="W36" s="47"/>
      <c r="Y36" s="106"/>
      <c r="Z36" s="106"/>
      <c r="AA36" s="106"/>
      <c r="AB36" s="106"/>
      <c r="AD36" s="47"/>
      <c r="AE36" s="47"/>
      <c r="AF36" s="47"/>
      <c r="AG36" s="47"/>
      <c r="AH36" s="47"/>
      <c r="AI36" s="47"/>
      <c r="AJ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C36" s="47"/>
      <c r="CD36" s="47"/>
      <c r="CE36" s="47"/>
      <c r="CF36" s="47"/>
      <c r="CG36" s="47"/>
      <c r="CH36" s="47"/>
      <c r="CI36" s="47"/>
      <c r="CK36" s="47"/>
      <c r="CL36" s="47"/>
      <c r="CM36" s="47"/>
      <c r="CN36" s="47"/>
      <c r="CO36" s="47"/>
      <c r="CP36" s="47"/>
      <c r="CQ36" s="47"/>
      <c r="CS36" s="47">
        <f t="shared" si="7"/>
        <v>0</v>
      </c>
      <c r="CT36" s="47">
        <f t="shared" si="8"/>
        <v>0</v>
      </c>
      <c r="CU36" s="47">
        <f t="shared" si="8"/>
        <v>0</v>
      </c>
      <c r="CV36" s="47">
        <f t="shared" si="9"/>
        <v>0</v>
      </c>
      <c r="CW36" s="47">
        <f t="shared" si="10"/>
        <v>0</v>
      </c>
      <c r="CX36" s="47">
        <f t="shared" si="11"/>
        <v>0</v>
      </c>
      <c r="CY36" s="47">
        <f t="shared" si="12"/>
        <v>0</v>
      </c>
    </row>
    <row r="37" spans="2:103" x14ac:dyDescent="0.25">
      <c r="B37" s="7"/>
      <c r="C37" s="7"/>
      <c r="D37" s="7"/>
      <c r="E37" s="7"/>
      <c r="F37" s="7"/>
      <c r="G37" s="7"/>
      <c r="H37" s="7"/>
      <c r="I37" s="7"/>
      <c r="J37" s="7"/>
      <c r="K37" s="7"/>
      <c r="L37" s="7"/>
      <c r="M37" s="7"/>
      <c r="N37" s="7"/>
      <c r="O37" s="104"/>
      <c r="Q37" s="47"/>
      <c r="R37" s="47"/>
      <c r="S37" s="47"/>
      <c r="T37" s="47"/>
      <c r="U37" s="47"/>
      <c r="V37" s="47"/>
      <c r="W37" s="47"/>
      <c r="Y37" s="106"/>
      <c r="Z37" s="106"/>
      <c r="AA37" s="106"/>
      <c r="AB37" s="106"/>
      <c r="AD37" s="47"/>
      <c r="AE37" s="47"/>
      <c r="AF37" s="47"/>
      <c r="AG37" s="47"/>
      <c r="AH37" s="47"/>
      <c r="AI37" s="47"/>
      <c r="AJ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C37" s="47"/>
      <c r="CD37" s="47"/>
      <c r="CE37" s="47"/>
      <c r="CF37" s="47"/>
      <c r="CG37" s="47"/>
      <c r="CH37" s="47"/>
      <c r="CI37" s="47"/>
      <c r="CK37" s="47"/>
      <c r="CL37" s="47"/>
      <c r="CM37" s="47"/>
      <c r="CN37" s="47"/>
      <c r="CO37" s="47"/>
      <c r="CP37" s="47"/>
      <c r="CQ37" s="47"/>
      <c r="CS37" s="47">
        <f t="shared" si="7"/>
        <v>0</v>
      </c>
      <c r="CT37" s="47">
        <f t="shared" si="8"/>
        <v>0</v>
      </c>
      <c r="CU37" s="47">
        <f t="shared" si="8"/>
        <v>0</v>
      </c>
      <c r="CV37" s="47">
        <f t="shared" si="9"/>
        <v>0</v>
      </c>
      <c r="CW37" s="47">
        <f t="shared" si="10"/>
        <v>0</v>
      </c>
      <c r="CX37" s="47">
        <f t="shared" si="11"/>
        <v>0</v>
      </c>
      <c r="CY37" s="47">
        <f t="shared" si="12"/>
        <v>0</v>
      </c>
    </row>
    <row r="38" spans="2:103" x14ac:dyDescent="0.25">
      <c r="Q38" s="48">
        <f t="shared" ref="Q38:W38" si="13">SUM(Q7:Q37)</f>
        <v>0</v>
      </c>
      <c r="R38" s="48">
        <f t="shared" si="13"/>
        <v>0</v>
      </c>
      <c r="S38" s="48">
        <f t="shared" si="13"/>
        <v>0</v>
      </c>
      <c r="T38" s="48">
        <f t="shared" si="13"/>
        <v>0</v>
      </c>
      <c r="U38" s="48">
        <f t="shared" si="13"/>
        <v>0</v>
      </c>
      <c r="V38" s="48">
        <f t="shared" si="13"/>
        <v>0</v>
      </c>
      <c r="W38" s="48">
        <f t="shared" si="13"/>
        <v>0</v>
      </c>
      <c r="AD38" s="48">
        <f t="shared" ref="AD38:AJ38" si="14">SUM(AD7:AD37)</f>
        <v>0</v>
      </c>
      <c r="AE38" s="48">
        <f t="shared" si="14"/>
        <v>0</v>
      </c>
      <c r="AF38" s="48">
        <f t="shared" si="14"/>
        <v>0</v>
      </c>
      <c r="AG38" s="48">
        <f t="shared" si="14"/>
        <v>0</v>
      </c>
      <c r="AH38" s="48">
        <f t="shared" si="14"/>
        <v>0</v>
      </c>
      <c r="AI38" s="48">
        <f t="shared" si="14"/>
        <v>0</v>
      </c>
      <c r="AJ38" s="48">
        <f t="shared" si="14"/>
        <v>0</v>
      </c>
      <c r="AL38" s="48">
        <f t="shared" ref="AL38:AP38" si="15">SUM(AL7:AL37)</f>
        <v>0</v>
      </c>
      <c r="AM38" s="48">
        <f t="shared" si="15"/>
        <v>0</v>
      </c>
      <c r="AN38" s="48">
        <f t="shared" si="15"/>
        <v>0</v>
      </c>
      <c r="AO38" s="48">
        <f t="shared" si="15"/>
        <v>0</v>
      </c>
      <c r="AP38" s="48">
        <f t="shared" si="15"/>
        <v>0</v>
      </c>
      <c r="AQ38" s="48">
        <f t="shared" ref="AQ38:CA38" si="16">SUM(AQ7:AQ37)</f>
        <v>0</v>
      </c>
      <c r="AR38" s="48">
        <f t="shared" ref="AR38:AW38" si="17">SUM(AR7:AR37)</f>
        <v>0</v>
      </c>
      <c r="AS38" s="48">
        <f t="shared" si="17"/>
        <v>0</v>
      </c>
      <c r="AT38" s="48">
        <f t="shared" si="17"/>
        <v>0</v>
      </c>
      <c r="AU38" s="48">
        <f t="shared" si="17"/>
        <v>0</v>
      </c>
      <c r="AV38" s="48">
        <f t="shared" si="17"/>
        <v>0</v>
      </c>
      <c r="AW38" s="48">
        <f t="shared" si="17"/>
        <v>0</v>
      </c>
      <c r="AX38" s="48">
        <f t="shared" si="16"/>
        <v>0</v>
      </c>
      <c r="AY38" s="48">
        <f t="shared" si="16"/>
        <v>0</v>
      </c>
      <c r="AZ38" s="48">
        <f t="shared" si="16"/>
        <v>0</v>
      </c>
      <c r="BA38" s="48">
        <f t="shared" si="16"/>
        <v>0</v>
      </c>
      <c r="BB38" s="48">
        <f t="shared" si="16"/>
        <v>0</v>
      </c>
      <c r="BC38" s="48">
        <f t="shared" si="16"/>
        <v>0</v>
      </c>
      <c r="BD38" s="48">
        <f t="shared" si="16"/>
        <v>0</v>
      </c>
      <c r="BE38" s="48">
        <f t="shared" si="16"/>
        <v>0</v>
      </c>
      <c r="BF38" s="48">
        <f t="shared" si="16"/>
        <v>0</v>
      </c>
      <c r="BG38" s="48">
        <f t="shared" si="16"/>
        <v>0</v>
      </c>
      <c r="BH38" s="48">
        <f t="shared" si="16"/>
        <v>0</v>
      </c>
      <c r="BI38" s="48">
        <f t="shared" si="16"/>
        <v>0</v>
      </c>
      <c r="BJ38" s="48">
        <f t="shared" si="16"/>
        <v>0</v>
      </c>
      <c r="BK38" s="48">
        <f t="shared" si="16"/>
        <v>0</v>
      </c>
      <c r="BL38" s="48">
        <f t="shared" si="16"/>
        <v>0</v>
      </c>
      <c r="BM38" s="48">
        <f t="shared" si="16"/>
        <v>0</v>
      </c>
      <c r="BN38" s="48">
        <f t="shared" si="16"/>
        <v>0</v>
      </c>
      <c r="BO38" s="48">
        <f t="shared" si="16"/>
        <v>0</v>
      </c>
      <c r="BP38" s="48">
        <f t="shared" si="16"/>
        <v>0</v>
      </c>
      <c r="BQ38" s="48">
        <f t="shared" si="16"/>
        <v>0</v>
      </c>
      <c r="BR38" s="48">
        <f t="shared" si="16"/>
        <v>0</v>
      </c>
      <c r="BS38" s="48">
        <f t="shared" si="16"/>
        <v>0</v>
      </c>
      <c r="BT38" s="48">
        <f t="shared" si="16"/>
        <v>0</v>
      </c>
      <c r="BU38" s="48">
        <f t="shared" si="16"/>
        <v>0</v>
      </c>
      <c r="BV38" s="48">
        <f t="shared" si="16"/>
        <v>0</v>
      </c>
      <c r="BW38" s="48">
        <f t="shared" si="16"/>
        <v>0</v>
      </c>
      <c r="BX38" s="48">
        <f t="shared" si="16"/>
        <v>0</v>
      </c>
      <c r="BY38" s="48">
        <f t="shared" si="16"/>
        <v>0</v>
      </c>
      <c r="BZ38" s="48">
        <f t="shared" si="16"/>
        <v>0</v>
      </c>
      <c r="CA38" s="48">
        <f t="shared" si="16"/>
        <v>0</v>
      </c>
      <c r="CC38" s="48">
        <f t="shared" ref="CC38:CI38" si="18">SUM(CC7:CC37)</f>
        <v>0</v>
      </c>
      <c r="CD38" s="48">
        <f t="shared" si="18"/>
        <v>0</v>
      </c>
      <c r="CE38" s="48">
        <f t="shared" si="18"/>
        <v>0</v>
      </c>
      <c r="CF38" s="48">
        <f t="shared" si="18"/>
        <v>0</v>
      </c>
      <c r="CG38" s="48">
        <f t="shared" si="18"/>
        <v>0</v>
      </c>
      <c r="CH38" s="48">
        <f t="shared" si="18"/>
        <v>0</v>
      </c>
      <c r="CI38" s="48">
        <f t="shared" si="18"/>
        <v>0</v>
      </c>
      <c r="CK38" s="48">
        <f t="shared" ref="CK38:CQ38" si="19">SUM(CK7:CK37)</f>
        <v>0</v>
      </c>
      <c r="CL38" s="48">
        <f t="shared" si="19"/>
        <v>0</v>
      </c>
      <c r="CM38" s="48">
        <f t="shared" si="19"/>
        <v>0</v>
      </c>
      <c r="CN38" s="48">
        <f t="shared" si="19"/>
        <v>0</v>
      </c>
      <c r="CO38" s="48">
        <f t="shared" si="19"/>
        <v>0</v>
      </c>
      <c r="CP38" s="48">
        <f t="shared" si="19"/>
        <v>0</v>
      </c>
      <c r="CQ38" s="48">
        <f t="shared" si="19"/>
        <v>0</v>
      </c>
      <c r="CS38" s="48">
        <f t="shared" ref="CS38:CY38" si="20">SUM(CS7:CS37)</f>
        <v>0</v>
      </c>
      <c r="CT38" s="48">
        <f t="shared" ref="CT38" si="21">SUM(CT7:CT37)</f>
        <v>0</v>
      </c>
      <c r="CU38" s="48">
        <f t="shared" si="20"/>
        <v>0</v>
      </c>
      <c r="CV38" s="48">
        <f t="shared" si="20"/>
        <v>0</v>
      </c>
      <c r="CW38" s="48">
        <f t="shared" si="20"/>
        <v>0</v>
      </c>
      <c r="CX38" s="48">
        <f t="shared" si="20"/>
        <v>0</v>
      </c>
      <c r="CY38" s="48">
        <f t="shared" si="20"/>
        <v>0</v>
      </c>
    </row>
    <row r="39" spans="2:103" x14ac:dyDescent="0.25">
      <c r="CS39" s="84">
        <f t="shared" ref="CS39:CY39" si="22">IF(ISERROR((CS38-Q38)/Q38),0,(CS38-Q38)/Q38)</f>
        <v>0</v>
      </c>
      <c r="CT39" s="84">
        <f t="shared" si="22"/>
        <v>0</v>
      </c>
      <c r="CU39" s="84">
        <f t="shared" si="22"/>
        <v>0</v>
      </c>
      <c r="CV39" s="84">
        <f t="shared" si="22"/>
        <v>0</v>
      </c>
      <c r="CW39" s="84">
        <f t="shared" si="22"/>
        <v>0</v>
      </c>
      <c r="CX39" s="84">
        <f t="shared" si="22"/>
        <v>0</v>
      </c>
      <c r="CY39" s="84">
        <f t="shared" si="22"/>
        <v>0</v>
      </c>
    </row>
    <row r="40" spans="2:103" x14ac:dyDescent="0.25">
      <c r="Q40" s="39"/>
      <c r="R40" s="39"/>
      <c r="S40" s="39"/>
      <c r="T40" s="39"/>
      <c r="U40" s="39"/>
      <c r="V40" s="39"/>
      <c r="W40" s="39"/>
      <c r="CS40" s="84"/>
      <c r="CT40" s="84"/>
      <c r="CU40" s="84"/>
      <c r="CV40" s="84"/>
      <c r="CW40" s="84"/>
      <c r="CX40" s="84"/>
      <c r="CY40" s="84"/>
    </row>
    <row r="41" spans="2:103" x14ac:dyDescent="0.25">
      <c r="Q41" s="39"/>
      <c r="R41" s="39"/>
      <c r="S41" s="39"/>
      <c r="T41" s="39"/>
      <c r="U41" s="39"/>
      <c r="V41" s="39"/>
      <c r="W41" s="39"/>
      <c r="CS41" s="84"/>
      <c r="CT41" s="84"/>
      <c r="CU41" s="84"/>
      <c r="CV41" s="84"/>
      <c r="CW41" s="84"/>
      <c r="CX41" s="84"/>
      <c r="CY41" s="84"/>
    </row>
    <row r="42" spans="2:103" x14ac:dyDescent="0.25">
      <c r="Q42" s="39"/>
      <c r="R42" s="39"/>
      <c r="S42" s="39"/>
      <c r="T42" s="39"/>
      <c r="U42" s="39"/>
      <c r="V42" s="39"/>
      <c r="W42" s="39"/>
      <c r="CS42" s="84"/>
      <c r="CT42" s="84"/>
      <c r="CU42" s="84"/>
      <c r="CV42" s="84"/>
      <c r="CW42" s="84"/>
      <c r="CX42" s="84"/>
      <c r="CY42" s="84"/>
    </row>
    <row r="43" spans="2:103" x14ac:dyDescent="0.25">
      <c r="B43" s="2" t="s">
        <v>292</v>
      </c>
      <c r="Q43" s="829"/>
      <c r="R43" s="829"/>
      <c r="S43" s="829"/>
      <c r="T43" s="829"/>
      <c r="U43" s="829"/>
      <c r="V43" s="829"/>
      <c r="W43" s="829"/>
      <c r="CS43" s="829"/>
      <c r="CT43" s="829"/>
      <c r="CU43" s="829"/>
      <c r="CV43" s="829"/>
      <c r="CW43" s="829"/>
      <c r="CX43" s="829"/>
      <c r="CY43" s="829"/>
    </row>
    <row r="44" spans="2:103" ht="43.15" customHeight="1" x14ac:dyDescent="0.25">
      <c r="Q44" s="826" t="s">
        <v>79</v>
      </c>
      <c r="R44" s="827"/>
      <c r="S44" s="827"/>
      <c r="T44" s="827"/>
      <c r="U44" s="827"/>
      <c r="V44" s="827"/>
      <c r="W44" s="828"/>
      <c r="CS44" s="826" t="s">
        <v>79</v>
      </c>
      <c r="CT44" s="827"/>
      <c r="CU44" s="827"/>
      <c r="CV44" s="827"/>
      <c r="CW44" s="827"/>
      <c r="CX44" s="827"/>
      <c r="CY44" s="828"/>
    </row>
    <row r="45" spans="2:103" ht="18.600000000000001" customHeight="1" x14ac:dyDescent="0.25">
      <c r="B45" s="8" t="s">
        <v>23</v>
      </c>
      <c r="C45" s="8" t="s">
        <v>24</v>
      </c>
      <c r="D45" s="17" t="s">
        <v>98</v>
      </c>
      <c r="E45" s="17" t="s">
        <v>76</v>
      </c>
      <c r="F45" s="17" t="s">
        <v>77</v>
      </c>
      <c r="G45" s="17" t="s">
        <v>212</v>
      </c>
      <c r="H45" s="17"/>
      <c r="I45" s="17"/>
      <c r="J45" s="17"/>
      <c r="K45" s="17"/>
      <c r="L45" s="17"/>
      <c r="M45" s="17"/>
      <c r="N45" s="17"/>
      <c r="O45" s="17"/>
      <c r="Q45" s="335">
        <f>CP_Yr_4</f>
        <v>43800</v>
      </c>
      <c r="R45" s="335">
        <f>CP_Yr_5</f>
        <v>44166</v>
      </c>
      <c r="S45" s="335">
        <f>Yr_1</f>
        <v>44742</v>
      </c>
      <c r="T45" s="335">
        <f>Yr_2</f>
        <v>45107</v>
      </c>
      <c r="U45" s="335">
        <f>Yr_3</f>
        <v>45473</v>
      </c>
      <c r="V45" s="335">
        <f>Yr_4</f>
        <v>45838</v>
      </c>
      <c r="W45" s="335">
        <f>Yr_5</f>
        <v>46203</v>
      </c>
      <c r="Y45" s="3" t="s">
        <v>319</v>
      </c>
      <c r="CS45" s="335">
        <f>CP_Yr_4</f>
        <v>43800</v>
      </c>
      <c r="CT45" s="335">
        <f>CP_Yr_5</f>
        <v>44166</v>
      </c>
      <c r="CU45" s="335">
        <f>Yr_1</f>
        <v>44742</v>
      </c>
      <c r="CV45" s="335">
        <f>Yr_2</f>
        <v>45107</v>
      </c>
      <c r="CW45" s="335">
        <f>Yr_3</f>
        <v>45473</v>
      </c>
      <c r="CX45" s="335">
        <f>Yr_4</f>
        <v>45838</v>
      </c>
      <c r="CY45" s="335">
        <f>Yr_5</f>
        <v>46203</v>
      </c>
    </row>
    <row r="46" spans="2:103" x14ac:dyDescent="0.25">
      <c r="B46" s="7"/>
      <c r="C46" s="7"/>
      <c r="D46" s="7" t="s">
        <v>139</v>
      </c>
      <c r="E46" s="7" t="s">
        <v>45</v>
      </c>
      <c r="F46" s="7" t="s">
        <v>51</v>
      </c>
      <c r="G46" s="7" t="s">
        <v>167</v>
      </c>
      <c r="H46" s="7"/>
      <c r="I46" s="7"/>
      <c r="J46" s="7"/>
      <c r="K46" s="7"/>
      <c r="L46" s="7"/>
      <c r="M46" s="7"/>
      <c r="N46" s="7"/>
      <c r="O46" s="7"/>
      <c r="Q46" s="45"/>
      <c r="R46" s="45"/>
      <c r="S46" s="45"/>
      <c r="T46" s="45"/>
      <c r="U46" s="45"/>
      <c r="V46" s="45"/>
      <c r="W46" s="45"/>
      <c r="CS46" s="45"/>
      <c r="CT46" s="45"/>
      <c r="CU46" s="45"/>
      <c r="CV46" s="45"/>
      <c r="CW46" s="45"/>
      <c r="CX46" s="45"/>
      <c r="CY46" s="45"/>
    </row>
    <row r="47" spans="2:103" x14ac:dyDescent="0.25">
      <c r="B47" s="7"/>
      <c r="C47" s="7"/>
      <c r="D47" s="7" t="s">
        <v>139</v>
      </c>
      <c r="E47" s="7" t="s">
        <v>45</v>
      </c>
      <c r="F47" s="7" t="s">
        <v>51</v>
      </c>
      <c r="G47" s="7" t="s">
        <v>167</v>
      </c>
      <c r="H47" s="7"/>
      <c r="I47" s="7"/>
      <c r="J47" s="7"/>
      <c r="K47" s="7"/>
      <c r="L47" s="7"/>
      <c r="M47" s="7"/>
      <c r="N47" s="7"/>
      <c r="O47" s="7"/>
      <c r="Q47" s="45"/>
      <c r="R47" s="45"/>
      <c r="S47" s="45"/>
      <c r="T47" s="45"/>
      <c r="U47" s="45"/>
      <c r="V47" s="45"/>
      <c r="W47" s="45"/>
      <c r="X47" s="34"/>
      <c r="CS47" s="45"/>
      <c r="CT47" s="45"/>
      <c r="CU47" s="45"/>
      <c r="CV47" s="45"/>
      <c r="CW47" s="45"/>
      <c r="CX47" s="45"/>
      <c r="CY47" s="45"/>
    </row>
    <row r="48" spans="2:103" x14ac:dyDescent="0.25">
      <c r="B48" s="7"/>
      <c r="C48" s="7"/>
      <c r="D48" s="7" t="s">
        <v>139</v>
      </c>
      <c r="E48" s="7" t="s">
        <v>45</v>
      </c>
      <c r="F48" s="7" t="s">
        <v>51</v>
      </c>
      <c r="G48" s="7" t="s">
        <v>167</v>
      </c>
      <c r="H48" s="7"/>
      <c r="I48" s="7"/>
      <c r="J48" s="7"/>
      <c r="K48" s="7"/>
      <c r="L48" s="7"/>
      <c r="M48" s="7"/>
      <c r="N48" s="7"/>
      <c r="O48" s="7"/>
      <c r="Q48" s="45"/>
      <c r="R48" s="45"/>
      <c r="S48" s="45"/>
      <c r="T48" s="45"/>
      <c r="U48" s="45"/>
      <c r="V48" s="45"/>
      <c r="W48" s="45"/>
      <c r="CS48" s="45"/>
      <c r="CT48" s="45"/>
      <c r="CU48" s="45"/>
      <c r="CV48" s="45"/>
      <c r="CW48" s="45"/>
      <c r="CX48" s="45"/>
      <c r="CY48" s="45"/>
    </row>
    <row r="49" spans="2:103" x14ac:dyDescent="0.25">
      <c r="B49" s="7"/>
      <c r="C49" s="7"/>
      <c r="D49" s="7" t="s">
        <v>139</v>
      </c>
      <c r="E49" s="7" t="s">
        <v>45</v>
      </c>
      <c r="F49" s="7" t="s">
        <v>51</v>
      </c>
      <c r="G49" s="7" t="s">
        <v>167</v>
      </c>
      <c r="H49" s="7"/>
      <c r="I49" s="7"/>
      <c r="J49" s="7"/>
      <c r="K49" s="7"/>
      <c r="L49" s="7"/>
      <c r="M49" s="7"/>
      <c r="N49" s="7"/>
      <c r="O49" s="7"/>
      <c r="Q49" s="45"/>
      <c r="R49" s="45"/>
      <c r="S49" s="45"/>
      <c r="T49" s="45"/>
      <c r="U49" s="45"/>
      <c r="V49" s="45"/>
      <c r="W49" s="45"/>
      <c r="CS49" s="45"/>
      <c r="CT49" s="45"/>
      <c r="CU49" s="45"/>
      <c r="CV49" s="45"/>
      <c r="CW49" s="45"/>
      <c r="CX49" s="45"/>
      <c r="CY49" s="45"/>
    </row>
    <row r="50" spans="2:103" x14ac:dyDescent="0.25">
      <c r="B50" s="7"/>
      <c r="C50" s="7"/>
      <c r="D50" s="7" t="s">
        <v>139</v>
      </c>
      <c r="E50" s="7" t="s">
        <v>45</v>
      </c>
      <c r="F50" s="7" t="s">
        <v>51</v>
      </c>
      <c r="G50" s="7" t="s">
        <v>167</v>
      </c>
      <c r="H50" s="7"/>
      <c r="I50" s="7"/>
      <c r="J50" s="7"/>
      <c r="K50" s="7"/>
      <c r="L50" s="7"/>
      <c r="M50" s="7"/>
      <c r="N50" s="7"/>
      <c r="O50" s="7"/>
      <c r="Q50" s="45"/>
      <c r="R50" s="45"/>
      <c r="S50" s="45"/>
      <c r="T50" s="45"/>
      <c r="U50" s="45"/>
      <c r="V50" s="45"/>
      <c r="W50" s="45"/>
      <c r="CS50" s="45"/>
      <c r="CT50" s="45"/>
      <c r="CU50" s="45"/>
      <c r="CV50" s="45"/>
      <c r="CW50" s="45"/>
      <c r="CX50" s="45"/>
      <c r="CY50" s="45"/>
    </row>
    <row r="51" spans="2:103" x14ac:dyDescent="0.25">
      <c r="Q51" s="48">
        <f>SUM(Q46:Q50)</f>
        <v>0</v>
      </c>
      <c r="R51" s="48"/>
      <c r="S51" s="48">
        <f t="shared" ref="S51:W51" si="23">SUM(S46:S50)</f>
        <v>0</v>
      </c>
      <c r="T51" s="48">
        <f t="shared" si="23"/>
        <v>0</v>
      </c>
      <c r="U51" s="48">
        <f t="shared" si="23"/>
        <v>0</v>
      </c>
      <c r="V51" s="48">
        <f t="shared" si="23"/>
        <v>0</v>
      </c>
      <c r="W51" s="48">
        <f t="shared" si="23"/>
        <v>0</v>
      </c>
      <c r="CS51" s="48">
        <f>SUM(CS46:CS50)</f>
        <v>0</v>
      </c>
      <c r="CT51" s="48">
        <f>SUM(CT46:CT50)</f>
        <v>0</v>
      </c>
      <c r="CU51" s="48">
        <f t="shared" ref="CU51:CY51" si="24">SUM(CU46:CU50)</f>
        <v>0</v>
      </c>
      <c r="CV51" s="48">
        <f t="shared" si="24"/>
        <v>0</v>
      </c>
      <c r="CW51" s="48">
        <f t="shared" si="24"/>
        <v>0</v>
      </c>
      <c r="CX51" s="48">
        <f t="shared" si="24"/>
        <v>0</v>
      </c>
      <c r="CY51" s="48">
        <f t="shared" si="24"/>
        <v>0</v>
      </c>
    </row>
    <row r="52" spans="2:103" x14ac:dyDescent="0.25">
      <c r="S52" s="39"/>
      <c r="T52" s="39"/>
      <c r="U52" s="39"/>
      <c r="V52" s="39"/>
      <c r="W52" s="39"/>
    </row>
    <row r="53" spans="2:103" x14ac:dyDescent="0.25">
      <c r="Q53" s="54"/>
      <c r="R53" s="54"/>
    </row>
  </sheetData>
  <mergeCells count="15">
    <mergeCell ref="Q44:W44"/>
    <mergeCell ref="CS44:CY44"/>
    <mergeCell ref="H5:N5"/>
    <mergeCell ref="Q5:W5"/>
    <mergeCell ref="AD5:AJ5"/>
    <mergeCell ref="CC5:CI5"/>
    <mergeCell ref="CK5:CQ5"/>
    <mergeCell ref="CS43:CY43"/>
    <mergeCell ref="CS3:CY3"/>
    <mergeCell ref="Q3:W3"/>
    <mergeCell ref="Q43:W43"/>
    <mergeCell ref="AD3:AJ3"/>
    <mergeCell ref="CC3:CI3"/>
    <mergeCell ref="CK3:CQ3"/>
    <mergeCell ref="CS5:CY5"/>
  </mergeCells>
  <dataValidations count="1">
    <dataValidation type="list" errorStyle="warning" showInputMessage="1" showErrorMessage="1" error="Invalid data entered" prompt="Select from drop down list" sqref="F46:F50">
      <formula1>$C$16:$C$27</formula1>
    </dataValidation>
  </dataValidations>
  <hyperlinks>
    <hyperlink ref="B2" location="Contents!A1" display="Table of Contents"/>
    <hyperlink ref="Y45" location="Connections!CH44" display="Escalated values --&gt;"/>
  </hyperlink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errorStyle="warning" showInputMessage="1" showErrorMessage="1" error="Invalid data entered" prompt="Select from drop down list">
          <x14:formula1>
            <xm:f>Lookups!$C$5:$C$11</xm:f>
          </x14:formula1>
          <xm:sqref>E7:E18 E46:E50</xm:sqref>
        </x14:dataValidation>
        <x14:dataValidation type="list" errorStyle="warning" showInputMessage="1" showErrorMessage="1" error="Invalid data entered" prompt="Select from drop down list">
          <x14:formula1>
            <xm:f>Lookups!$C$16:$C$27</xm:f>
          </x14:formula1>
          <xm:sqref>F7:F37</xm:sqref>
        </x14:dataValidation>
        <x14:dataValidation type="list" errorStyle="warning" allowBlank="1" showInputMessage="1" showErrorMessage="1" prompt="Select from drop down list">
          <x14:formula1>
            <xm:f>Lab_Mat!$C$12</xm:f>
          </x14:formula1>
          <xm:sqref>G7:G37 G46:G50</xm:sqref>
        </x14:dataValidation>
      </x14:dataValidation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DH62"/>
  <sheetViews>
    <sheetView zoomScale="85" zoomScaleNormal="85" zoomScalePageLayoutView="125" workbookViewId="0">
      <pane xSplit="9" topLeftCell="J1" activePane="topRight" state="frozen"/>
      <selection activeCell="V33" sqref="V33"/>
      <selection pane="topRight" activeCell="D25" sqref="D25"/>
    </sheetView>
  </sheetViews>
  <sheetFormatPr defaultColWidth="8.85546875" defaultRowHeight="15" outlineLevelCol="1" x14ac:dyDescent="0.25"/>
  <cols>
    <col min="1" max="1" width="4" style="1" customWidth="1"/>
    <col min="2" max="2" width="14.85546875" style="1" customWidth="1"/>
    <col min="3" max="3" width="27.85546875" style="1" customWidth="1"/>
    <col min="4" max="4" width="41.7109375" style="1" customWidth="1"/>
    <col min="5" max="5" width="22.28515625" style="1" customWidth="1" outlineLevel="1"/>
    <col min="6" max="6" width="31.140625" style="1" customWidth="1" outlineLevel="1"/>
    <col min="7" max="7" width="18" style="1" customWidth="1" outlineLevel="1"/>
    <col min="8" max="8" width="27.140625" style="1" customWidth="1" outlineLevel="1"/>
    <col min="9" max="9" width="19.7109375" style="1" customWidth="1" outlineLevel="1"/>
    <col min="10" max="17" width="10" style="1" customWidth="1"/>
    <col min="18" max="18" width="3.140625" style="1" customWidth="1"/>
    <col min="19" max="26" width="8.85546875" style="1"/>
    <col min="27" max="27" width="2.7109375" style="1" customWidth="1"/>
    <col min="28" max="32" width="10.42578125" style="1" hidden="1" customWidth="1" outlineLevel="1"/>
    <col min="33" max="33" width="8.85546875" style="1" collapsed="1"/>
    <col min="34" max="38" width="10.42578125" style="1" hidden="1" customWidth="1" outlineLevel="1"/>
    <col min="39" max="39" width="8.85546875" style="1" collapsed="1"/>
    <col min="40" max="44" width="0" style="1" hidden="1" customWidth="1" outlineLevel="1"/>
    <col min="45" max="45" width="8.85546875" style="1" collapsed="1"/>
    <col min="46" max="50" width="10.42578125" style="1" hidden="1" customWidth="1" outlineLevel="1"/>
    <col min="51" max="51" width="8.85546875" style="1" collapsed="1"/>
    <col min="52" max="56" width="9.140625" style="1" hidden="1" customWidth="1" outlineLevel="1"/>
    <col min="57" max="57" width="8.85546875" style="1" collapsed="1"/>
    <col min="58" max="62" width="9.140625" style="1" hidden="1" customWidth="1" outlineLevel="1"/>
    <col min="63" max="63" width="8.85546875" style="1" collapsed="1"/>
    <col min="64" max="68" width="9.140625" style="1" hidden="1" customWidth="1" outlineLevel="1"/>
    <col min="69" max="69" width="8.85546875" style="1" collapsed="1"/>
    <col min="70" max="74" width="9.140625" style="1" hidden="1" customWidth="1" outlineLevel="1"/>
    <col min="75" max="75" width="8.85546875" style="1" collapsed="1"/>
    <col min="76" max="76" width="2.7109375" style="1" customWidth="1"/>
    <col min="77" max="84" width="8.85546875" style="1"/>
    <col min="85" max="85" width="2.85546875" style="1" customWidth="1"/>
    <col min="86" max="93" width="8.85546875" style="1"/>
    <col min="94" max="94" width="2.85546875" style="1" customWidth="1"/>
    <col min="95" max="102" width="8.85546875" style="1"/>
    <col min="103" max="103" width="3.140625" style="1" customWidth="1"/>
    <col min="104" max="104" width="11.85546875" style="1" customWidth="1"/>
    <col min="105" max="106" width="12.28515625" style="1" customWidth="1"/>
    <col min="107" max="107" width="11.5703125" style="1" customWidth="1"/>
    <col min="108" max="108" width="11" style="1" customWidth="1"/>
    <col min="109" max="110" width="8" style="1" customWidth="1"/>
    <col min="111" max="16384" width="8.85546875" style="1"/>
  </cols>
  <sheetData>
    <row r="1" spans="2:112" ht="18.75" x14ac:dyDescent="0.3">
      <c r="B1" s="10" t="s">
        <v>11</v>
      </c>
      <c r="M1" s="825" t="s">
        <v>749</v>
      </c>
      <c r="N1" s="825"/>
    </row>
    <row r="2" spans="2:112" x14ac:dyDescent="0.25">
      <c r="B2" s="25" t="s">
        <v>6</v>
      </c>
      <c r="J2" s="34"/>
      <c r="K2" s="34"/>
      <c r="L2" s="34"/>
    </row>
    <row r="3" spans="2:112" x14ac:dyDescent="0.25">
      <c r="J3" s="829"/>
      <c r="K3" s="829"/>
      <c r="L3" s="829"/>
      <c r="M3" s="829"/>
      <c r="N3" s="829"/>
      <c r="O3" s="829"/>
      <c r="P3" s="829"/>
      <c r="Q3" s="829"/>
      <c r="S3" s="829"/>
      <c r="T3" s="829"/>
      <c r="U3" s="829"/>
      <c r="V3" s="829"/>
      <c r="W3" s="829"/>
      <c r="X3" s="829"/>
      <c r="Y3" s="829"/>
      <c r="Z3" s="829"/>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Y3" s="829"/>
      <c r="BZ3" s="829"/>
      <c r="CA3" s="829"/>
      <c r="CB3" s="829"/>
      <c r="CC3" s="829"/>
      <c r="CD3" s="829"/>
      <c r="CE3" s="829"/>
      <c r="CF3" s="829"/>
      <c r="CH3" s="829"/>
      <c r="CI3" s="829"/>
      <c r="CJ3" s="829"/>
      <c r="CK3" s="829"/>
      <c r="CL3" s="829"/>
      <c r="CM3" s="829"/>
      <c r="CN3" s="829"/>
      <c r="CO3" s="829"/>
      <c r="CQ3" s="829"/>
      <c r="CR3" s="829"/>
      <c r="CS3" s="829"/>
      <c r="CT3" s="829"/>
      <c r="CU3" s="829"/>
      <c r="CV3" s="829"/>
      <c r="CW3" s="829"/>
      <c r="CX3" s="829"/>
    </row>
    <row r="4" spans="2:112" ht="60" x14ac:dyDescent="0.25">
      <c r="J4" s="826" t="s">
        <v>380</v>
      </c>
      <c r="K4" s="827"/>
      <c r="L4" s="827"/>
      <c r="M4" s="827"/>
      <c r="N4" s="827"/>
      <c r="O4" s="827"/>
      <c r="P4" s="827"/>
      <c r="Q4" s="828"/>
      <c r="S4" s="826" t="s">
        <v>174</v>
      </c>
      <c r="T4" s="827"/>
      <c r="U4" s="827"/>
      <c r="V4" s="827"/>
      <c r="W4" s="827"/>
      <c r="X4" s="827"/>
      <c r="Y4" s="827"/>
      <c r="Z4" s="828"/>
      <c r="AA4" s="57"/>
      <c r="AB4" s="9" t="s">
        <v>180</v>
      </c>
      <c r="AC4" s="9" t="s">
        <v>181</v>
      </c>
      <c r="AD4" s="9" t="s">
        <v>182</v>
      </c>
      <c r="AE4" s="9" t="s">
        <v>183</v>
      </c>
      <c r="AF4" s="9" t="s">
        <v>5</v>
      </c>
      <c r="AG4" s="9" t="s">
        <v>173</v>
      </c>
      <c r="AH4" s="9" t="s">
        <v>180</v>
      </c>
      <c r="AI4" s="9" t="s">
        <v>181</v>
      </c>
      <c r="AJ4" s="9" t="s">
        <v>182</v>
      </c>
      <c r="AK4" s="9" t="s">
        <v>183</v>
      </c>
      <c r="AL4" s="9" t="s">
        <v>5</v>
      </c>
      <c r="AM4" s="9" t="s">
        <v>173</v>
      </c>
      <c r="AN4" s="9" t="s">
        <v>180</v>
      </c>
      <c r="AO4" s="9" t="s">
        <v>181</v>
      </c>
      <c r="AP4" s="9" t="s">
        <v>182</v>
      </c>
      <c r="AQ4" s="9" t="s">
        <v>183</v>
      </c>
      <c r="AR4" s="9" t="s">
        <v>5</v>
      </c>
      <c r="AS4" s="9" t="s">
        <v>173</v>
      </c>
      <c r="AT4" s="9" t="s">
        <v>180</v>
      </c>
      <c r="AU4" s="9" t="s">
        <v>181</v>
      </c>
      <c r="AV4" s="9" t="s">
        <v>182</v>
      </c>
      <c r="AW4" s="9" t="s">
        <v>183</v>
      </c>
      <c r="AX4" s="9" t="s">
        <v>5</v>
      </c>
      <c r="AY4" s="9" t="s">
        <v>173</v>
      </c>
      <c r="AZ4" s="9" t="s">
        <v>180</v>
      </c>
      <c r="BA4" s="9" t="s">
        <v>181</v>
      </c>
      <c r="BB4" s="9" t="s">
        <v>182</v>
      </c>
      <c r="BC4" s="9" t="s">
        <v>183</v>
      </c>
      <c r="BD4" s="9" t="s">
        <v>5</v>
      </c>
      <c r="BE4" s="9" t="s">
        <v>173</v>
      </c>
      <c r="BF4" s="9" t="s">
        <v>180</v>
      </c>
      <c r="BG4" s="9" t="s">
        <v>181</v>
      </c>
      <c r="BH4" s="9" t="s">
        <v>182</v>
      </c>
      <c r="BI4" s="9" t="s">
        <v>183</v>
      </c>
      <c r="BJ4" s="9" t="s">
        <v>5</v>
      </c>
      <c r="BK4" s="9" t="s">
        <v>173</v>
      </c>
      <c r="BL4" s="9" t="s">
        <v>180</v>
      </c>
      <c r="BM4" s="9" t="s">
        <v>181</v>
      </c>
      <c r="BN4" s="9" t="s">
        <v>182</v>
      </c>
      <c r="BO4" s="9" t="s">
        <v>183</v>
      </c>
      <c r="BP4" s="9" t="s">
        <v>5</v>
      </c>
      <c r="BQ4" s="9" t="s">
        <v>173</v>
      </c>
      <c r="BR4" s="9" t="s">
        <v>180</v>
      </c>
      <c r="BS4" s="9" t="s">
        <v>181</v>
      </c>
      <c r="BT4" s="9" t="s">
        <v>182</v>
      </c>
      <c r="BU4" s="9" t="s">
        <v>183</v>
      </c>
      <c r="BV4" s="9" t="s">
        <v>5</v>
      </c>
      <c r="BW4" s="9" t="s">
        <v>173</v>
      </c>
      <c r="BX4" s="57"/>
      <c r="BY4" s="826" t="s">
        <v>299</v>
      </c>
      <c r="BZ4" s="827"/>
      <c r="CA4" s="827"/>
      <c r="CB4" s="827"/>
      <c r="CC4" s="827"/>
      <c r="CD4" s="827"/>
      <c r="CE4" s="827"/>
      <c r="CF4" s="828"/>
      <c r="CG4" s="57"/>
      <c r="CH4" s="826" t="s">
        <v>175</v>
      </c>
      <c r="CI4" s="827"/>
      <c r="CJ4" s="827"/>
      <c r="CK4" s="827"/>
      <c r="CL4" s="827"/>
      <c r="CM4" s="827"/>
      <c r="CN4" s="827"/>
      <c r="CO4" s="828"/>
      <c r="CP4" s="57"/>
      <c r="CQ4" s="826" t="s">
        <v>381</v>
      </c>
      <c r="CR4" s="827"/>
      <c r="CS4" s="827"/>
      <c r="CT4" s="827"/>
      <c r="CU4" s="827"/>
      <c r="CV4" s="827"/>
      <c r="CW4" s="827"/>
      <c r="CX4" s="828"/>
      <c r="CZ4" s="9" t="s">
        <v>547</v>
      </c>
      <c r="DA4" s="9" t="s">
        <v>546</v>
      </c>
      <c r="DB4" s="9" t="s">
        <v>673</v>
      </c>
      <c r="DC4" s="9" t="s">
        <v>671</v>
      </c>
      <c r="DD4" s="9" t="s">
        <v>672</v>
      </c>
      <c r="DH4" s="264"/>
    </row>
    <row r="5" spans="2:112" x14ac:dyDescent="0.25">
      <c r="B5" s="8" t="s">
        <v>23</v>
      </c>
      <c r="C5" s="8" t="s">
        <v>24</v>
      </c>
      <c r="D5" s="17" t="s">
        <v>98</v>
      </c>
      <c r="E5" s="17" t="s">
        <v>76</v>
      </c>
      <c r="F5" s="17" t="s">
        <v>77</v>
      </c>
      <c r="G5" s="17" t="s">
        <v>324</v>
      </c>
      <c r="H5" s="17" t="s">
        <v>212</v>
      </c>
      <c r="I5" s="17" t="s">
        <v>177</v>
      </c>
      <c r="J5" s="335">
        <f>CP_Yr_4</f>
        <v>43800</v>
      </c>
      <c r="K5" s="335">
        <f>CP_Yr_5</f>
        <v>44166</v>
      </c>
      <c r="L5" s="335">
        <f>Stub</f>
        <v>44377</v>
      </c>
      <c r="M5" s="335">
        <f>Yr_1</f>
        <v>44742</v>
      </c>
      <c r="N5" s="335">
        <f>Yr_2</f>
        <v>45107</v>
      </c>
      <c r="O5" s="335">
        <f>Yr_3</f>
        <v>45473</v>
      </c>
      <c r="P5" s="335">
        <f>Yr_4</f>
        <v>45838</v>
      </c>
      <c r="Q5" s="335">
        <f>Yr_5</f>
        <v>46203</v>
      </c>
      <c r="R5" s="336"/>
      <c r="S5" s="335">
        <f>CP_Yr_4</f>
        <v>43800</v>
      </c>
      <c r="T5" s="335">
        <f>CP_Yr_5</f>
        <v>44166</v>
      </c>
      <c r="U5" s="335">
        <f>Stub</f>
        <v>44377</v>
      </c>
      <c r="V5" s="335">
        <f>Yr_1</f>
        <v>44742</v>
      </c>
      <c r="W5" s="335">
        <f>Yr_2</f>
        <v>45107</v>
      </c>
      <c r="X5" s="335">
        <f>Yr_3</f>
        <v>45473</v>
      </c>
      <c r="Y5" s="335">
        <f>Yr_4</f>
        <v>45838</v>
      </c>
      <c r="Z5" s="335">
        <f>Yr_5</f>
        <v>46203</v>
      </c>
      <c r="AA5" s="336"/>
      <c r="AB5" s="335">
        <f t="shared" ref="AB5:AG5" si="0">CP_Yr_4</f>
        <v>43800</v>
      </c>
      <c r="AC5" s="335">
        <f t="shared" si="0"/>
        <v>43800</v>
      </c>
      <c r="AD5" s="335">
        <f t="shared" si="0"/>
        <v>43800</v>
      </c>
      <c r="AE5" s="335">
        <f t="shared" si="0"/>
        <v>43800</v>
      </c>
      <c r="AF5" s="335">
        <f t="shared" si="0"/>
        <v>43800</v>
      </c>
      <c r="AG5" s="335">
        <f t="shared" si="0"/>
        <v>43800</v>
      </c>
      <c r="AH5" s="335">
        <f t="shared" ref="AH5:AM5" si="1">CP_Yr_5</f>
        <v>44166</v>
      </c>
      <c r="AI5" s="335">
        <f t="shared" si="1"/>
        <v>44166</v>
      </c>
      <c r="AJ5" s="335">
        <f t="shared" si="1"/>
        <v>44166</v>
      </c>
      <c r="AK5" s="335">
        <f t="shared" si="1"/>
        <v>44166</v>
      </c>
      <c r="AL5" s="335">
        <f t="shared" si="1"/>
        <v>44166</v>
      </c>
      <c r="AM5" s="335">
        <f t="shared" si="1"/>
        <v>44166</v>
      </c>
      <c r="AN5" s="335">
        <f t="shared" ref="AN5:AS5" si="2">Stub</f>
        <v>44377</v>
      </c>
      <c r="AO5" s="335">
        <f t="shared" si="2"/>
        <v>44377</v>
      </c>
      <c r="AP5" s="335">
        <f t="shared" si="2"/>
        <v>44377</v>
      </c>
      <c r="AQ5" s="335">
        <f t="shared" si="2"/>
        <v>44377</v>
      </c>
      <c r="AR5" s="335">
        <f t="shared" si="2"/>
        <v>44377</v>
      </c>
      <c r="AS5" s="335">
        <f t="shared" si="2"/>
        <v>44377</v>
      </c>
      <c r="AT5" s="335">
        <f t="shared" ref="AT5:AY5" si="3">Yr_1</f>
        <v>44742</v>
      </c>
      <c r="AU5" s="335">
        <f t="shared" si="3"/>
        <v>44742</v>
      </c>
      <c r="AV5" s="335">
        <f t="shared" si="3"/>
        <v>44742</v>
      </c>
      <c r="AW5" s="335">
        <f t="shared" si="3"/>
        <v>44742</v>
      </c>
      <c r="AX5" s="335">
        <f t="shared" si="3"/>
        <v>44742</v>
      </c>
      <c r="AY5" s="335">
        <f t="shared" si="3"/>
        <v>44742</v>
      </c>
      <c r="AZ5" s="335">
        <f t="shared" ref="AZ5:BE5" si="4">Yr_2</f>
        <v>45107</v>
      </c>
      <c r="BA5" s="335">
        <f t="shared" si="4"/>
        <v>45107</v>
      </c>
      <c r="BB5" s="335">
        <f t="shared" si="4"/>
        <v>45107</v>
      </c>
      <c r="BC5" s="335">
        <f t="shared" si="4"/>
        <v>45107</v>
      </c>
      <c r="BD5" s="335">
        <f t="shared" si="4"/>
        <v>45107</v>
      </c>
      <c r="BE5" s="335">
        <f t="shared" si="4"/>
        <v>45107</v>
      </c>
      <c r="BF5" s="335">
        <f t="shared" ref="BF5:BK5" si="5">Yr_3</f>
        <v>45473</v>
      </c>
      <c r="BG5" s="335">
        <f t="shared" si="5"/>
        <v>45473</v>
      </c>
      <c r="BH5" s="335">
        <f t="shared" si="5"/>
        <v>45473</v>
      </c>
      <c r="BI5" s="335">
        <f t="shared" si="5"/>
        <v>45473</v>
      </c>
      <c r="BJ5" s="335">
        <f t="shared" si="5"/>
        <v>45473</v>
      </c>
      <c r="BK5" s="335">
        <f t="shared" si="5"/>
        <v>45473</v>
      </c>
      <c r="BL5" s="335">
        <f t="shared" ref="BL5:BQ5" si="6">Yr_4</f>
        <v>45838</v>
      </c>
      <c r="BM5" s="335">
        <f t="shared" si="6"/>
        <v>45838</v>
      </c>
      <c r="BN5" s="335">
        <f t="shared" si="6"/>
        <v>45838</v>
      </c>
      <c r="BO5" s="335">
        <f t="shared" si="6"/>
        <v>45838</v>
      </c>
      <c r="BP5" s="335">
        <f t="shared" si="6"/>
        <v>45838</v>
      </c>
      <c r="BQ5" s="335">
        <f t="shared" si="6"/>
        <v>45838</v>
      </c>
      <c r="BR5" s="335">
        <f t="shared" ref="BR5:BW5" si="7">Yr_5</f>
        <v>46203</v>
      </c>
      <c r="BS5" s="335">
        <f t="shared" si="7"/>
        <v>46203</v>
      </c>
      <c r="BT5" s="335">
        <f t="shared" si="7"/>
        <v>46203</v>
      </c>
      <c r="BU5" s="335">
        <f t="shared" si="7"/>
        <v>46203</v>
      </c>
      <c r="BV5" s="335">
        <f t="shared" si="7"/>
        <v>46203</v>
      </c>
      <c r="BW5" s="335">
        <f t="shared" si="7"/>
        <v>46203</v>
      </c>
      <c r="BX5" s="336"/>
      <c r="BY5" s="335">
        <f>CP_Yr_4</f>
        <v>43800</v>
      </c>
      <c r="BZ5" s="335">
        <f>CP_Yr_5</f>
        <v>44166</v>
      </c>
      <c r="CA5" s="335">
        <f>Stub</f>
        <v>44377</v>
      </c>
      <c r="CB5" s="335">
        <f>Yr_1</f>
        <v>44742</v>
      </c>
      <c r="CC5" s="335">
        <f>Yr_2</f>
        <v>45107</v>
      </c>
      <c r="CD5" s="335">
        <f>Yr_3</f>
        <v>45473</v>
      </c>
      <c r="CE5" s="335">
        <f>Yr_4</f>
        <v>45838</v>
      </c>
      <c r="CF5" s="335">
        <f>Yr_5</f>
        <v>46203</v>
      </c>
      <c r="CG5" s="336"/>
      <c r="CH5" s="335">
        <f>CP_Yr_4</f>
        <v>43800</v>
      </c>
      <c r="CI5" s="335">
        <f>CP_Yr_5</f>
        <v>44166</v>
      </c>
      <c r="CJ5" s="335">
        <f>Stub</f>
        <v>44377</v>
      </c>
      <c r="CK5" s="335">
        <f>Yr_1</f>
        <v>44742</v>
      </c>
      <c r="CL5" s="335">
        <f>Yr_2</f>
        <v>45107</v>
      </c>
      <c r="CM5" s="335">
        <f>Yr_3</f>
        <v>45473</v>
      </c>
      <c r="CN5" s="335">
        <f>Yr_4</f>
        <v>45838</v>
      </c>
      <c r="CO5" s="335">
        <f>Yr_5</f>
        <v>46203</v>
      </c>
      <c r="CP5" s="336"/>
      <c r="CQ5" s="335">
        <f>CP_Yr_4</f>
        <v>43800</v>
      </c>
      <c r="CR5" s="335">
        <f>CP_Yr_5</f>
        <v>44166</v>
      </c>
      <c r="CS5" s="335">
        <f>Stub</f>
        <v>44377</v>
      </c>
      <c r="CT5" s="335">
        <f>Yr_1</f>
        <v>44742</v>
      </c>
      <c r="CU5" s="335">
        <f>Yr_2</f>
        <v>45107</v>
      </c>
      <c r="CV5" s="335">
        <f>Yr_3</f>
        <v>45473</v>
      </c>
      <c r="CW5" s="335">
        <f>Yr_4</f>
        <v>45838</v>
      </c>
      <c r="CX5" s="335">
        <f>Yr_5</f>
        <v>46203</v>
      </c>
      <c r="CZ5" s="17" t="str">
        <f>NReg_Period</f>
        <v>2022-26</v>
      </c>
      <c r="DA5" s="17" t="str">
        <f>NReg_Period</f>
        <v>2022-26</v>
      </c>
      <c r="DB5" s="17" t="str">
        <f>NReg_Period</f>
        <v>2022-26</v>
      </c>
      <c r="DC5" s="17" t="str">
        <f>NReg_Period</f>
        <v>2022-26</v>
      </c>
      <c r="DD5" s="17" t="str">
        <f>NReg_Period</f>
        <v>2022-26</v>
      </c>
      <c r="DG5" s="264"/>
      <c r="DH5" s="264"/>
    </row>
    <row r="6" spans="2:112" x14ac:dyDescent="0.25">
      <c r="B6" s="75">
        <v>74422206</v>
      </c>
      <c r="C6" s="75" t="s">
        <v>431</v>
      </c>
      <c r="D6" s="75" t="s">
        <v>107</v>
      </c>
      <c r="E6" s="75" t="s">
        <v>44</v>
      </c>
      <c r="F6" s="75" t="s">
        <v>131</v>
      </c>
      <c r="G6" s="75" t="s">
        <v>150</v>
      </c>
      <c r="H6" s="75" t="s">
        <v>176</v>
      </c>
      <c r="I6" s="75" t="s">
        <v>250</v>
      </c>
      <c r="J6" s="128"/>
      <c r="K6" s="128">
        <v>0</v>
      </c>
      <c r="L6" s="128">
        <v>95.63</v>
      </c>
      <c r="M6" s="128">
        <v>2211.4437499999999</v>
      </c>
      <c r="N6" s="128">
        <v>4470.7024999999994</v>
      </c>
      <c r="O6" s="128">
        <v>2665.6862499999997</v>
      </c>
      <c r="P6" s="128">
        <v>119.53750000000001</v>
      </c>
      <c r="Q6" s="128">
        <v>0</v>
      </c>
      <c r="R6" s="129"/>
      <c r="S6" s="128">
        <f>INDEX(Direct_Cost_Splits_Network,MATCH($H6,RIN_Asset_Cat_Network,0),MATCH($S$4,Direct_Cost_Type,0))*J6*HLOOKUP(S$5,Escalators!$I$25:$U$30,3,FALSE)</f>
        <v>0</v>
      </c>
      <c r="T6" s="128">
        <f>INDEX(Direct_Cost_Splits_Network,MATCH($H6,RIN_Asset_Cat_Network,0),MATCH($S$4,Direct_Cost_Type,0))*K6*HLOOKUP(T$5,Escalators!$I$25:$U$30,3,FALSE)</f>
        <v>0</v>
      </c>
      <c r="U6" s="128">
        <f>INDEX(Direct_Cost_Splits_Network,MATCH($H6,RIN_Asset_Cat_Network,0),MATCH($S$4,Direct_Cost_Type,0))*L6*HLOOKUP(U$5,Escalators!$I$25:$U$30,3,FALSE)</f>
        <v>9.6986416968503519</v>
      </c>
      <c r="V6" s="128">
        <f>INDEX(Direct_Cost_Splits_Network,MATCH($H6,RIN_Asset_Cat_Network,0),MATCH($S$4,Direct_Cost_Type,0))*M6*HLOOKUP(V$5,Escalators!$I$25:$U$30,3,FALSE)</f>
        <v>224.81639794088505</v>
      </c>
      <c r="W6" s="128">
        <f>INDEX(Direct_Cost_Splits_Network,MATCH($H6,RIN_Asset_Cat_Network,0),MATCH($S$4,Direct_Cost_Type,0))*N6*HLOOKUP(W$5,Escalators!$I$25:$U$30,3,FALSE)</f>
        <v>453.35848552322386</v>
      </c>
      <c r="X6" s="128">
        <f>INDEX(Direct_Cost_Splits_Network,MATCH($H6,RIN_Asset_Cat_Network,0),MATCH($S$4,Direct_Cost_Type,0))*O6*HLOOKUP(X$5,Escalators!$I$25:$U$30,3,FALSE)</f>
        <v>270.12169370691799</v>
      </c>
      <c r="Y6" s="128">
        <f>INDEX(Direct_Cost_Splits_Network,MATCH($H6,RIN_Asset_Cat_Network,0),MATCH($S$4,Direct_Cost_Type,0))*P6*HLOOKUP(Y$5,Escalators!$I$25:$U$30,3,FALSE)</f>
        <v>12.157568730251059</v>
      </c>
      <c r="Z6" s="128">
        <f>INDEX(Direct_Cost_Splits_Network,MATCH($H6,RIN_Asset_Cat_Network,0),MATCH($S$4,Direct_Cost_Type,0))*Q6*HLOOKUP(Z$5,Escalators!$I$25:$U$30,3,FALSE)</f>
        <v>0</v>
      </c>
      <c r="AA6" s="129"/>
      <c r="AB6" s="128">
        <f>INDEX(Direct_Cost_Splits_Network,MATCH($H6,RIN_Asset_Cat_Network,0),MATCH($AG$4,Direct_Cost_Type,0))*$J6*INDEX(Act_Type_Repex_Splits,MATCH($I6,Act_Type_Repex,0),MATCH(AB$4,Mat_Type,0))*INDEX(Escalators!$I$44:$U$49,MATCH(AB$4,Escalators!$C$44:$C$49,0),MATCH(AB$5,Escalators!$I$43:$U$43,0))</f>
        <v>0</v>
      </c>
      <c r="AC6" s="128">
        <f>INDEX(Direct_Cost_Splits_Network,MATCH($H6,RIN_Asset_Cat_Network,0),MATCH($AG$4,Direct_Cost_Type,0))*$J6*INDEX(Act_Type_Repex_Splits,MATCH($I6,Act_Type_Repex,0),MATCH(AC$4,Mat_Type,0))*INDEX(Escalators!$I$44:$U$49,MATCH(AC$4,Escalators!$C$44:$C$49,0),MATCH(AC$5,Escalators!$I$43:$U$43,0))</f>
        <v>0</v>
      </c>
      <c r="AD6" s="128">
        <f>INDEX(Direct_Cost_Splits_Network,MATCH($H6,RIN_Asset_Cat_Network,0),MATCH($AG$4,Direct_Cost_Type,0))*$J6*INDEX(Act_Type_Repex_Splits,MATCH($I6,Act_Type_Repex,0),MATCH(AD$4,Mat_Type,0))*INDEX(Escalators!$I$44:$U$49,MATCH(AD$4,Escalators!$C$44:$C$49,0),MATCH(AD$5,Escalators!$I$43:$U$43,0))</f>
        <v>0</v>
      </c>
      <c r="AE6" s="128">
        <f>INDEX(Direct_Cost_Splits_Network,MATCH($H6,RIN_Asset_Cat_Network,0),MATCH($AG$4,Direct_Cost_Type,0))*$J6*INDEX(Act_Type_Repex_Splits,MATCH($I6,Act_Type_Repex,0),MATCH(AE$4,Mat_Type,0))*INDEX(Escalators!$I$44:$U$49,MATCH(AE$4,Escalators!$C$44:$C$49,0),MATCH(AE$5,Escalators!$I$43:$U$43,0))</f>
        <v>0</v>
      </c>
      <c r="AF6" s="128">
        <f>INDEX(Direct_Cost_Splits_Network,MATCH($H6,RIN_Asset_Cat_Network,0),MATCH($AG$4,Direct_Cost_Type,0))*$J6*INDEX(Act_Type_Repex_Splits,MATCH($I6,Act_Type_Repex,0),MATCH(AF$4,Mat_Type,0))*INDEX(Escalators!$I$44:$U$49,MATCH(AF$4,Escalators!$C$44:$C$49,0),MATCH(AF$5,Escalators!$I$43:$U$43,0))</f>
        <v>0</v>
      </c>
      <c r="AG6" s="128">
        <f>SUM(AB6:AF6)</f>
        <v>0</v>
      </c>
      <c r="AH6" s="128">
        <f>INDEX(Direct_Cost_Splits_Network,MATCH($H6,RIN_Asset_Cat_Network,0),MATCH($AY$4,Direct_Cost_Type,0))*$K6*INDEX(Act_Type_Repex_Splits,MATCH($I6,Act_Type_Repex,0),MATCH(AH$4,Mat_Type,0))*INDEX(Escalators!$I$44:$U$49,MATCH(AH$4,Escalators!$C$44:$C$49,0),MATCH(AH$5,Escalators!$I$43:$U$43,0))</f>
        <v>0</v>
      </c>
      <c r="AI6" s="128">
        <f>INDEX(Direct_Cost_Splits_Network,MATCH($H6,RIN_Asset_Cat_Network,0),MATCH($AY$4,Direct_Cost_Type,0))*$K6*INDEX(Act_Type_Repex_Splits,MATCH($I6,Act_Type_Repex,0),MATCH(AI$4,Mat_Type,0))*INDEX(Escalators!$I$44:$U$49,MATCH(AI$4,Escalators!$C$44:$C$49,0),MATCH(AI$5,Escalators!$I$43:$U$43,0))</f>
        <v>0</v>
      </c>
      <c r="AJ6" s="128">
        <f>INDEX(Direct_Cost_Splits_Network,MATCH($H6,RIN_Asset_Cat_Network,0),MATCH($AY$4,Direct_Cost_Type,0))*$K6*INDEX(Act_Type_Repex_Splits,MATCH($I6,Act_Type_Repex,0),MATCH(AJ$4,Mat_Type,0))*INDEX(Escalators!$I$44:$U$49,MATCH(AJ$4,Escalators!$C$44:$C$49,0),MATCH(AJ$5,Escalators!$I$43:$U$43,0))</f>
        <v>0</v>
      </c>
      <c r="AK6" s="128">
        <f>INDEX(Direct_Cost_Splits_Network,MATCH($H6,RIN_Asset_Cat_Network,0),MATCH($AY$4,Direct_Cost_Type,0))*$K6*INDEX(Act_Type_Repex_Splits,MATCH($I6,Act_Type_Repex,0),MATCH(AK$4,Mat_Type,0))*INDEX(Escalators!$I$44:$U$49,MATCH(AK$4,Escalators!$C$44:$C$49,0),MATCH(AK$5,Escalators!$I$43:$U$43,0))</f>
        <v>0</v>
      </c>
      <c r="AL6" s="128">
        <f>INDEX(Direct_Cost_Splits_Network,MATCH($H6,RIN_Asset_Cat_Network,0),MATCH($AY$4,Direct_Cost_Type,0))*$K6*INDEX(Act_Type_Repex_Splits,MATCH($I6,Act_Type_Repex,0),MATCH(AL$4,Mat_Type,0))*INDEX(Escalators!$I$44:$U$49,MATCH(AL$4,Escalators!$C$44:$C$49,0),MATCH(AL$5,Escalators!$I$43:$U$43,0))</f>
        <v>0</v>
      </c>
      <c r="AM6" s="128">
        <f t="shared" ref="AM6:AM17" si="8">SUM(AH6:AL6)</f>
        <v>0</v>
      </c>
      <c r="AN6" s="128">
        <f>INDEX(Direct_Cost_Splits_Network,MATCH($H6,RIN_Asset_Cat_Network,0),MATCH($AY$4,Direct_Cost_Type,0))*$L6*INDEX(Act_Type_Repex_Splits,MATCH($I6,Act_Type_Repex,0),MATCH(AN$4,Mat_Type,0))*INDEX(Escalators!$I$44:$U$49,MATCH(AN$4,Escalators!$C$44:$C$49,0),MATCH(AN$5,Escalators!$I$43:$U$43,0))</f>
        <v>1.0514476501511072</v>
      </c>
      <c r="AO6" s="128">
        <f>INDEX(Direct_Cost_Splits_Network,MATCH($H6,RIN_Asset_Cat_Network,0),MATCH($AY$4,Direct_Cost_Type,0))*$L6*INDEX(Act_Type_Repex_Splits,MATCH($I6,Act_Type_Repex,0),MATCH(AO$4,Mat_Type,0))*INDEX(Escalators!$I$44:$U$49,MATCH(AO$4,Escalators!$C$44:$C$49,0),MATCH(AO$5,Escalators!$I$43:$U$43,0))</f>
        <v>3.1543429504533211</v>
      </c>
      <c r="AP6" s="128">
        <f>INDEX(Direct_Cost_Splits_Network,MATCH($H6,RIN_Asset_Cat_Network,0),MATCH($AY$4,Direct_Cost_Type,0))*$L6*INDEX(Act_Type_Repex_Splits,MATCH($I6,Act_Type_Repex,0),MATCH(AP$4,Mat_Type,0))*INDEX(Escalators!$I$44:$U$49,MATCH(AP$4,Escalators!$C$44:$C$49,0),MATCH(AP$5,Escalators!$I$43:$U$43,0))</f>
        <v>8.4115812012088576</v>
      </c>
      <c r="AQ6" s="128">
        <f>INDEX(Direct_Cost_Splits_Network,MATCH($H6,RIN_Asset_Cat_Network,0),MATCH($AY$4,Direct_Cost_Type,0))*$L6*INDEX(Act_Type_Repex_Splits,MATCH($I6,Act_Type_Repex,0),MATCH(AQ$4,Mat_Type,0))*INDEX(Escalators!$I$44:$U$49,MATCH(AQ$4,Escalators!$C$44:$C$49,0),MATCH(AQ$5,Escalators!$I$43:$U$43,0))</f>
        <v>0</v>
      </c>
      <c r="AR6" s="128">
        <f>INDEX(Direct_Cost_Splits_Network,MATCH($H6,RIN_Asset_Cat_Network,0),MATCH($AY$4,Direct_Cost_Type,0))*$L6*INDEX(Act_Type_Repex_Splits,MATCH($I6,Act_Type_Repex,0),MATCH(AR$4,Mat_Type,0))*INDEX(Escalators!$I$44:$U$49,MATCH(AR$4,Escalators!$C$44:$C$49,0),MATCH(AR$5,Escalators!$I$43:$U$43,0))</f>
        <v>8.4115812012088576</v>
      </c>
      <c r="AS6" s="128">
        <f t="shared" ref="AS6:AS17" si="9">SUM(AN6:AR6)</f>
        <v>21.028953003022146</v>
      </c>
      <c r="AT6" s="128">
        <f>INDEX(Direct_Cost_Splits_Network,MATCH($H6,RIN_Asset_Cat_Network,0),MATCH($AY$4,Direct_Cost_Type,0))*$M6*INDEX(Act_Type_Repex_Splits,MATCH($I6,Act_Type_Repex,0),MATCH(AT$4,Mat_Type,0))*INDEX(Escalators!$I$44:$U$49,MATCH(AT$4,Escalators!$C$44:$C$49,0),MATCH(AT$5,Escalators!$I$43:$U$43,0))</f>
        <v>24.314726909744351</v>
      </c>
      <c r="AU6" s="128">
        <f>INDEX(Direct_Cost_Splits_Network,MATCH($H6,RIN_Asset_Cat_Network,0),MATCH($AY$4,Direct_Cost_Type,0))*$M6*INDEX(Act_Type_Repex_Splits,MATCH($I6,Act_Type_Repex,0),MATCH(AU$4,Mat_Type,0))*INDEX(Escalators!$I$44:$U$49,MATCH(AU$4,Escalators!$C$44:$C$49,0),MATCH(AU$5,Escalators!$I$43:$U$43,0))</f>
        <v>72.944180729233054</v>
      </c>
      <c r="AV6" s="128">
        <f>INDEX(Direct_Cost_Splits_Network,MATCH($H6,RIN_Asset_Cat_Network,0),MATCH($AY$4,Direct_Cost_Type,0))*$M6*INDEX(Act_Type_Repex_Splits,MATCH($I6,Act_Type_Repex,0),MATCH(AV$4,Mat_Type,0))*INDEX(Escalators!$I$44:$U$49,MATCH(AV$4,Escalators!$C$44:$C$49,0),MATCH(AV$5,Escalators!$I$43:$U$43,0))</f>
        <v>194.51781527795481</v>
      </c>
      <c r="AW6" s="128">
        <f>INDEX(Direct_Cost_Splits_Network,MATCH($H6,RIN_Asset_Cat_Network,0),MATCH($AY$4,Direct_Cost_Type,0))*$M6*INDEX(Act_Type_Repex_Splits,MATCH($I6,Act_Type_Repex,0),MATCH(AW$4,Mat_Type,0))*INDEX(Escalators!$I$44:$U$49,MATCH(AW$4,Escalators!$C$44:$C$49,0),MATCH(AW$5,Escalators!$I$43:$U$43,0))</f>
        <v>0</v>
      </c>
      <c r="AX6" s="128">
        <f>INDEX(Direct_Cost_Splits_Network,MATCH($H6,RIN_Asset_Cat_Network,0),MATCH($AY$4,Direct_Cost_Type,0))*$M6*INDEX(Act_Type_Repex_Splits,MATCH($I6,Act_Type_Repex,0),MATCH(AX$4,Mat_Type,0))*INDEX(Escalators!$I$44:$U$49,MATCH(AX$4,Escalators!$C$44:$C$49,0),MATCH(AX$5,Escalators!$I$43:$U$43,0))</f>
        <v>194.51781527795481</v>
      </c>
      <c r="AY6" s="128">
        <f t="shared" ref="AY6:AY17" si="10">SUM(AT6:AX6)</f>
        <v>486.29453819488702</v>
      </c>
      <c r="AZ6" s="128">
        <f>INDEX(Direct_Cost_Splits_Network,MATCH($H6,RIN_Asset_Cat_Network,0),MATCH($BE$4,Direct_Cost_Type,0))*$N6*INDEX(Act_Type_Repex_Splits,MATCH($I6,Act_Type_Repex,0),MATCH(AZ$4,Mat_Type,0))*INDEX(Escalators!$I$44:$U$49,MATCH(AZ$4,Escalators!$C$44:$C$49,0),MATCH(AZ$5,Escalators!$I$43:$U$43,0))</f>
        <v>49.155177644564247</v>
      </c>
      <c r="BA6" s="128">
        <f>INDEX(Direct_Cost_Splits_Network,MATCH($H6,RIN_Asset_Cat_Network,0),MATCH($BE$4,Direct_Cost_Type,0))*$N6*INDEX(Act_Type_Repex_Splits,MATCH($I6,Act_Type_Repex,0),MATCH(BA$4,Mat_Type,0))*INDEX(Escalators!$I$44:$U$49,MATCH(BA$4,Escalators!$C$44:$C$49,0),MATCH(BA$5,Escalators!$I$43:$U$43,0))</f>
        <v>147.46553293369274</v>
      </c>
      <c r="BB6" s="128">
        <f>INDEX(Direct_Cost_Splits_Network,MATCH($H6,RIN_Asset_Cat_Network,0),MATCH($BE$4,Direct_Cost_Type,0))*$N6*INDEX(Act_Type_Repex_Splits,MATCH($I6,Act_Type_Repex,0),MATCH(BB$4,Mat_Type,0))*INDEX(Escalators!$I$44:$U$49,MATCH(BB$4,Escalators!$C$44:$C$49,0),MATCH(BB$5,Escalators!$I$43:$U$43,0))</f>
        <v>393.24142115651398</v>
      </c>
      <c r="BC6" s="128">
        <f>INDEX(Direct_Cost_Splits_Network,MATCH($H6,RIN_Asset_Cat_Network,0),MATCH($BE$4,Direct_Cost_Type,0))*$N6*INDEX(Act_Type_Repex_Splits,MATCH($I6,Act_Type_Repex,0),MATCH(BC$4,Mat_Type,0))*INDEX(Escalators!$I$44:$U$49,MATCH(BC$4,Escalators!$C$44:$C$49,0),MATCH(BC$5,Escalators!$I$43:$U$43,0))</f>
        <v>0</v>
      </c>
      <c r="BD6" s="128">
        <f>INDEX(Direct_Cost_Splits_Network,MATCH($H6,RIN_Asset_Cat_Network,0),MATCH($BE$4,Direct_Cost_Type,0))*$N6*INDEX(Act_Type_Repex_Splits,MATCH($I6,Act_Type_Repex,0),MATCH(BD$4,Mat_Type,0))*INDEX(Escalators!$I$44:$U$49,MATCH(BD$4,Escalators!$C$44:$C$49,0),MATCH(BD$5,Escalators!$I$43:$U$43,0))</f>
        <v>393.24142115651398</v>
      </c>
      <c r="BE6" s="128">
        <f>SUM(AZ6:BD6)</f>
        <v>983.10355289128495</v>
      </c>
      <c r="BF6" s="128">
        <f>INDEX(Direct_Cost_Splits_Network,MATCH($H6,RIN_Asset_Cat_Network,0),MATCH($BK$4,Direct_Cost_Type,0))*$O6*INDEX(Act_Type_Repex_Splits,MATCH($I6,Act_Type_Repex,0),MATCH(BF$4,Mat_Type,0))*INDEX(Escalators!$I$44:$U$49,MATCH(BF$4,Escalators!$C$44:$C$49,0),MATCH(BF$5,Escalators!$I$43:$U$43,0))</f>
        <v>29.309103247962106</v>
      </c>
      <c r="BG6" s="128">
        <f>INDEX(Direct_Cost_Splits_Network,MATCH($H6,RIN_Asset_Cat_Network,0),MATCH($BK$4,Direct_Cost_Type,0))*$O6*INDEX(Act_Type_Repex_Splits,MATCH($I6,Act_Type_Repex,0),MATCH(BG$4,Mat_Type,0))*INDEX(Escalators!$I$44:$U$49,MATCH(BG$4,Escalators!$C$44:$C$49,0),MATCH(BG$5,Escalators!$I$43:$U$43,0))</f>
        <v>87.927309743886312</v>
      </c>
      <c r="BH6" s="128">
        <f>INDEX(Direct_Cost_Splits_Network,MATCH($H6,RIN_Asset_Cat_Network,0),MATCH($BK$4,Direct_Cost_Type,0))*$O6*INDEX(Act_Type_Repex_Splits,MATCH($I6,Act_Type_Repex,0),MATCH(BH$4,Mat_Type,0))*INDEX(Escalators!$I$44:$U$49,MATCH(BH$4,Escalators!$C$44:$C$49,0),MATCH(BH$5,Escalators!$I$43:$U$43,0))</f>
        <v>234.47282598369685</v>
      </c>
      <c r="BI6" s="128">
        <f>INDEX(Direct_Cost_Splits_Network,MATCH($H6,RIN_Asset_Cat_Network,0),MATCH($BK$4,Direct_Cost_Type,0))*$O6*INDEX(Act_Type_Repex_Splits,MATCH($I6,Act_Type_Repex,0),MATCH(BI$4,Mat_Type,0))*INDEX(Escalators!$I$44:$U$49,MATCH(BI$4,Escalators!$C$44:$C$49,0),MATCH(BI$5,Escalators!$I$43:$U$43,0))</f>
        <v>0</v>
      </c>
      <c r="BJ6" s="128">
        <f>INDEX(Direct_Cost_Splits_Network,MATCH($H6,RIN_Asset_Cat_Network,0),MATCH($BK$4,Direct_Cost_Type,0))*$O6*INDEX(Act_Type_Repex_Splits,MATCH($I6,Act_Type_Repex,0),MATCH(BJ$4,Mat_Type,0))*INDEX(Escalators!$I$44:$U$49,MATCH(BJ$4,Escalators!$C$44:$C$49,0),MATCH(BJ$5,Escalators!$I$43:$U$43,0))</f>
        <v>234.47282598369685</v>
      </c>
      <c r="BK6" s="128">
        <f>SUM(BF6:BJ6)</f>
        <v>586.1820649592421</v>
      </c>
      <c r="BL6" s="128">
        <f>INDEX(Direct_Cost_Splits_Network,MATCH($H6,RIN_Asset_Cat_Network,0),MATCH($BQ$4,Direct_Cost_Type,0))*$P6*INDEX(Act_Type_Repex_Splits,MATCH($I6,Act_Type_Repex,0),MATCH(BL$4,Mat_Type,0))*INDEX(Escalators!$I$44:$U$49,MATCH(BL$4,Escalators!$C$44:$C$49,0),MATCH(BL$5,Escalators!$I$43:$U$43,0))</f>
        <v>1.3143095626888841</v>
      </c>
      <c r="BM6" s="128">
        <f>INDEX(Direct_Cost_Splits_Network,MATCH($H6,RIN_Asset_Cat_Network,0),MATCH($BQ$4,Direct_Cost_Type,0))*$P6*INDEX(Act_Type_Repex_Splits,MATCH($I6,Act_Type_Repex,0),MATCH(BM$4,Mat_Type,0))*INDEX(Escalators!$I$44:$U$49,MATCH(BM$4,Escalators!$C$44:$C$49,0),MATCH(BM$5,Escalators!$I$43:$U$43,0))</f>
        <v>3.9429286880666519</v>
      </c>
      <c r="BN6" s="128">
        <f>INDEX(Direct_Cost_Splits_Network,MATCH($H6,RIN_Asset_Cat_Network,0),MATCH($BQ$4,Direct_Cost_Type,0))*$P6*INDEX(Act_Type_Repex_Splits,MATCH($I6,Act_Type_Repex,0),MATCH(BN$4,Mat_Type,0))*INDEX(Escalators!$I$44:$U$49,MATCH(BN$4,Escalators!$C$44:$C$49,0),MATCH(BN$5,Escalators!$I$43:$U$43,0))</f>
        <v>10.514476501511073</v>
      </c>
      <c r="BO6" s="128">
        <f>INDEX(Direct_Cost_Splits_Network,MATCH($H6,RIN_Asset_Cat_Network,0),MATCH($BQ$4,Direct_Cost_Type,0))*$P6*INDEX(Act_Type_Repex_Splits,MATCH($I6,Act_Type_Repex,0),MATCH(BO$4,Mat_Type,0))*INDEX(Escalators!$I$44:$U$49,MATCH(BO$4,Escalators!$C$44:$C$49,0),MATCH(BO$5,Escalators!$I$43:$U$43,0))</f>
        <v>0</v>
      </c>
      <c r="BP6" s="128">
        <f>INDEX(Direct_Cost_Splits_Network,MATCH($H6,RIN_Asset_Cat_Network,0),MATCH($BQ$4,Direct_Cost_Type,0))*$P6*INDEX(Act_Type_Repex_Splits,MATCH($I6,Act_Type_Repex,0),MATCH(BP$4,Mat_Type,0))*INDEX(Escalators!$I$44:$U$49,MATCH(BP$4,Escalators!$C$44:$C$49,0),MATCH(BP$5,Escalators!$I$43:$U$43,0))</f>
        <v>10.514476501511073</v>
      </c>
      <c r="BQ6" s="128">
        <f>SUM(BL6:BP6)</f>
        <v>26.28619125377768</v>
      </c>
      <c r="BR6" s="128">
        <f>INDEX(Direct_Cost_Splits_Network,MATCH($H6,RIN_Asset_Cat_Network,0),MATCH($BW$4,Direct_Cost_Type,0))*$Q6*INDEX(Act_Type_Repex_Splits,MATCH($I6,Act_Type_Repex,0),MATCH(BR$4,Mat_Type,0))*INDEX(Escalators!$I$44:$U$49,MATCH(BR$4,Escalators!$C$44:$C$49,0),MATCH(BR$5,Escalators!$I$43:$U$43,0))</f>
        <v>0</v>
      </c>
      <c r="BS6" s="128">
        <f>INDEX(Direct_Cost_Splits_Network,MATCH($H6,RIN_Asset_Cat_Network,0),MATCH($BW$4,Direct_Cost_Type,0))*$Q6*INDEX(Act_Type_Repex_Splits,MATCH($I6,Act_Type_Repex,0),MATCH(BS$4,Mat_Type,0))*INDEX(Escalators!$I$44:$U$49,MATCH(BS$4,Escalators!$C$44:$C$49,0),MATCH(BS$5,Escalators!$I$43:$U$43,0))</f>
        <v>0</v>
      </c>
      <c r="BT6" s="128">
        <f>INDEX(Direct_Cost_Splits_Network,MATCH($H6,RIN_Asset_Cat_Network,0),MATCH($BW$4,Direct_Cost_Type,0))*$Q6*INDEX(Act_Type_Repex_Splits,MATCH($I6,Act_Type_Repex,0),MATCH(BT$4,Mat_Type,0))*INDEX(Escalators!$I$44:$U$49,MATCH(BT$4,Escalators!$C$44:$C$49,0),MATCH(BT$5,Escalators!$I$43:$U$43,0))</f>
        <v>0</v>
      </c>
      <c r="BU6" s="128">
        <f>INDEX(Direct_Cost_Splits_Network,MATCH($H6,RIN_Asset_Cat_Network,0),MATCH($BW$4,Direct_Cost_Type,0))*$Q6*INDEX(Act_Type_Repex_Splits,MATCH($I6,Act_Type_Repex,0),MATCH(BU$4,Mat_Type,0))*INDEX(Escalators!$I$44:$U$49,MATCH(BU$4,Escalators!$C$44:$C$49,0),MATCH(BU$5,Escalators!$I$43:$U$43,0))</f>
        <v>0</v>
      </c>
      <c r="BV6" s="128">
        <f>INDEX(Direct_Cost_Splits_Network,MATCH($H6,RIN_Asset_Cat_Network,0),MATCH($BW$4,Direct_Cost_Type,0))*$Q6*INDEX(Act_Type_Repex_Splits,MATCH($I6,Act_Type_Repex,0),MATCH(BV$4,Mat_Type,0))*INDEX(Escalators!$I$44:$U$49,MATCH(BV$4,Escalators!$C$44:$C$49,0),MATCH(BV$5,Escalators!$I$43:$U$43,0))</f>
        <v>0</v>
      </c>
      <c r="BW6" s="128">
        <f>SUM(BR6:BV6)</f>
        <v>0</v>
      </c>
      <c r="BX6" s="129"/>
      <c r="BY6" s="128">
        <f>INDEX(Direct_Cost_Splits_Network,MATCH($H6,RIN_Asset_Cat_Network,0),MATCH($BY$4,Direct_Cost_Type,0))*J6*HLOOKUP(BY$5,Escalators!$I$25:$U$30,6,FALSE)</f>
        <v>0</v>
      </c>
      <c r="BZ6" s="128">
        <f>INDEX(Direct_Cost_Splits_Network,MATCH($H6,RIN_Asset_Cat_Network,0),MATCH($BY$4,Direct_Cost_Type,0))*K6*HLOOKUP(BZ$5,Escalators!$I$25:$U$30,6,FALSE)</f>
        <v>0</v>
      </c>
      <c r="CA6" s="128">
        <f>INDEX(Direct_Cost_Splits_Network,MATCH($H6,RIN_Asset_Cat_Network,0),MATCH($BY$4,Direct_Cost_Type,0))*L6*HLOOKUP(CA$5,Escalators!$I$25:$U$30,6,FALSE)</f>
        <v>56.333772302343313</v>
      </c>
      <c r="CB6" s="128">
        <f>INDEX(Direct_Cost_Splits_Network,MATCH($H6,RIN_Asset_Cat_Network,0),MATCH($BY$4,Direct_Cost_Type,0))*M6*HLOOKUP(CB$5,Escalators!$I$25:$U$30,6,FALSE)</f>
        <v>1302.7184844916892</v>
      </c>
      <c r="CC6" s="128">
        <f>INDEX(Direct_Cost_Splits_Network,MATCH($H6,RIN_Asset_Cat_Network,0),MATCH($BY$4,Direct_Cost_Type,0))*N6*HLOOKUP(CC$5,Escalators!$I$25:$U$30,6,FALSE)</f>
        <v>2633.6038551345496</v>
      </c>
      <c r="CD6" s="128">
        <f>INDEX(Direct_Cost_Splits_Network,MATCH($H6,RIN_Asset_Cat_Network,0),MATCH($BY$4,Direct_Cost_Type,0))*O6*HLOOKUP(CD$5,Escalators!$I$25:$U$30,6,FALSE)</f>
        <v>1570.3039029278198</v>
      </c>
      <c r="CE6" s="128">
        <f>INDEX(Direct_Cost_Splits_Network,MATCH($H6,RIN_Asset_Cat_Network,0),MATCH($BY$4,Direct_Cost_Type,0))*P6*HLOOKUP(CE$5,Escalators!$I$25:$U$30,6,FALSE)</f>
        <v>70.417215377929153</v>
      </c>
      <c r="CF6" s="128">
        <f>INDEX(Direct_Cost_Splits_Network,MATCH($H6,RIN_Asset_Cat_Network,0),MATCH($BY$4,Direct_Cost_Type,0))*Q6*HLOOKUP(CF$5,Escalators!$I$25:$U$30,6,FALSE)</f>
        <v>0</v>
      </c>
      <c r="CG6" s="129"/>
      <c r="CH6" s="763">
        <f t="shared" ref="CH6:CH17" si="11">INDEX(Direct_Cost_Splits_Network,MATCH($H6,RIN_Asset_Cat_Network,0),MATCH($CH$4,Direct_Cost_Type,0))*J6</f>
        <v>0</v>
      </c>
      <c r="CI6" s="763">
        <f t="shared" ref="CI6:CJ17" si="12">INDEX(Direct_Cost_Splits_Network,MATCH($H6,RIN_Asset_Cat_Network,0),MATCH($CH$4,Direct_Cost_Type,0))*K6</f>
        <v>0</v>
      </c>
      <c r="CJ6" s="763">
        <f t="shared" si="12"/>
        <v>8.7179322111826654</v>
      </c>
      <c r="CK6" s="763">
        <f t="shared" ref="CK6:CK17" si="13">INDEX(Direct_Cost_Splits_Network,MATCH($H6,RIN_Asset_Cat_Network,0),MATCH($CH$4,Direct_Cost_Type,0))*M6</f>
        <v>201.60218238359914</v>
      </c>
      <c r="CL6" s="763">
        <f t="shared" ref="CL6:CL17" si="14">INDEX(Direct_Cost_Splits_Network,MATCH($H6,RIN_Asset_Cat_Network,0),MATCH($CH$4,Direct_Cost_Type,0))*N6</f>
        <v>407.56333087278961</v>
      </c>
      <c r="CM6" s="763">
        <f t="shared" ref="CM6:CM17" si="15">INDEX(Direct_Cost_Splits_Network,MATCH($H6,RIN_Asset_Cat_Network,0),MATCH($CH$4,Direct_Cost_Type,0))*O6</f>
        <v>243.01236038671681</v>
      </c>
      <c r="CN6" s="763">
        <f t="shared" ref="CN6:CN17" si="16">INDEX(Direct_Cost_Splits_Network,MATCH($H6,RIN_Asset_Cat_Network,0),MATCH($CH$4,Direct_Cost_Type,0))*P6</f>
        <v>10.897415263978333</v>
      </c>
      <c r="CO6" s="763">
        <f t="shared" ref="CO6:CO17" si="17">INDEX(Direct_Cost_Splits_Network,MATCH($H6,RIN_Asset_Cat_Network,0),MATCH($CH$4,Direct_Cost_Type,0))*Q6</f>
        <v>0</v>
      </c>
      <c r="CP6" s="129"/>
      <c r="CQ6" s="128">
        <f t="shared" ref="CQ6:CQ36" si="18">S6+AG6+BY6+CH6</f>
        <v>0</v>
      </c>
      <c r="CR6" s="128">
        <f>T6+AM6+BZ6+CI6</f>
        <v>0</v>
      </c>
      <c r="CS6" s="128">
        <f>U6+AS6+CA6+CJ6</f>
        <v>95.779299213398474</v>
      </c>
      <c r="CT6" s="128">
        <f t="shared" ref="CT6:CT36" si="19">V6+AY6+CB6+CK6</f>
        <v>2215.4316030110604</v>
      </c>
      <c r="CU6" s="128">
        <f t="shared" ref="CU6:CU36" si="20">W6+BE6+CC6+CL6</f>
        <v>4477.6292244218475</v>
      </c>
      <c r="CV6" s="128">
        <f t="shared" ref="CV6:CV36" si="21">X6+BK6+CD6+CM6</f>
        <v>2669.6200219806969</v>
      </c>
      <c r="CW6" s="128">
        <f t="shared" ref="CW6:CW36" si="22">Y6+BQ6+CE6+CN6</f>
        <v>119.75839062593622</v>
      </c>
      <c r="CX6" s="128">
        <f t="shared" ref="CX6:CX36" si="23">Z6+BW6+CF6+CO6</f>
        <v>0</v>
      </c>
      <c r="CY6" s="129"/>
      <c r="CZ6" s="128">
        <f>SUM(M6:Q6)</f>
        <v>9467.3700000000008</v>
      </c>
      <c r="DA6" s="128">
        <f>SUM(CT6:CX6)</f>
        <v>9482.4392400395427</v>
      </c>
      <c r="DB6" s="128">
        <f>DA6*Escalators!$M$17</f>
        <v>9953.563140854516</v>
      </c>
      <c r="DC6" s="128">
        <f>SUMPRODUCT(1+AusNet_Overheads!$K$20:$O$20,CT6:CX6)</f>
        <v>10559.301082636883</v>
      </c>
      <c r="DD6" s="128">
        <f>DC6*Escalators!$M$17</f>
        <v>11083.927604357777</v>
      </c>
      <c r="DG6" s="263"/>
    </row>
    <row r="7" spans="2:112" x14ac:dyDescent="0.25">
      <c r="B7" s="75">
        <v>74422210</v>
      </c>
      <c r="C7" s="75" t="s">
        <v>432</v>
      </c>
      <c r="D7" s="75" t="s">
        <v>107</v>
      </c>
      <c r="E7" s="75" t="s">
        <v>44</v>
      </c>
      <c r="F7" s="75" t="s">
        <v>131</v>
      </c>
      <c r="G7" s="75" t="s">
        <v>150</v>
      </c>
      <c r="H7" s="75" t="s">
        <v>176</v>
      </c>
      <c r="I7" s="75" t="s">
        <v>250</v>
      </c>
      <c r="J7" s="128"/>
      <c r="K7" s="128">
        <v>0</v>
      </c>
      <c r="L7" s="128">
        <v>77.78</v>
      </c>
      <c r="M7" s="128">
        <v>1798.6625000000001</v>
      </c>
      <c r="N7" s="128">
        <v>3636.2150000000001</v>
      </c>
      <c r="O7" s="128">
        <v>2168.1175000000003</v>
      </c>
      <c r="P7" s="128">
        <v>97.225000000000009</v>
      </c>
      <c r="Q7" s="128">
        <v>0</v>
      </c>
      <c r="R7" s="129"/>
      <c r="S7" s="128">
        <f>INDEX(Direct_Cost_Splits_Network,MATCH($H7,RIN_Asset_Cat_Network,0),MATCH($S$4,Direct_Cost_Type,0))*J7*HLOOKUP(S$5,Escalators!$I$25:$U$30,3,FALSE)</f>
        <v>0</v>
      </c>
      <c r="T7" s="128">
        <f>INDEX(Direct_Cost_Splits_Network,MATCH($H7,RIN_Asset_Cat_Network,0),MATCH($S$4,Direct_Cost_Type,0))*K7*HLOOKUP(T$5,Escalators!$I$25:$U$30,3,FALSE)</f>
        <v>0</v>
      </c>
      <c r="U7" s="128">
        <f>INDEX(Direct_Cost_Splits_Network,MATCH($H7,RIN_Asset_Cat_Network,0),MATCH($S$4,Direct_Cost_Type,0))*L7*HLOOKUP(U$5,Escalators!$I$25:$U$30,3,FALSE)</f>
        <v>7.8883232372793106</v>
      </c>
      <c r="V7" s="128">
        <f>INDEX(Direct_Cost_Splits_Network,MATCH($H7,RIN_Asset_Cat_Network,0),MATCH($S$4,Direct_Cost_Type,0))*M7*HLOOKUP(V$5,Escalators!$I$25:$U$30,3,FALSE)</f>
        <v>182.85286449693655</v>
      </c>
      <c r="W7" s="128">
        <f>INDEX(Direct_Cost_Splits_Network,MATCH($H7,RIN_Asset_Cat_Network,0),MATCH($S$4,Direct_Cost_Type,0))*N7*HLOOKUP(W$5,Escalators!$I$25:$U$30,3,FALSE)</f>
        <v>368.73599293105048</v>
      </c>
      <c r="X7" s="128">
        <f>INDEX(Direct_Cost_Splits_Network,MATCH($H7,RIN_Asset_Cat_Network,0),MATCH($S$4,Direct_Cost_Type,0))*O7*HLOOKUP(X$5,Escalators!$I$25:$U$30,3,FALSE)</f>
        <v>219.7016138923359</v>
      </c>
      <c r="Y7" s="128">
        <f>INDEX(Direct_Cost_Splits_Network,MATCH($H7,RIN_Asset_Cat_Network,0),MATCH($S$4,Direct_Cost_Type,0))*P7*HLOOKUP(Y$5,Escalators!$I$25:$U$30,3,FALSE)</f>
        <v>9.8882745565087049</v>
      </c>
      <c r="Z7" s="128">
        <f>INDEX(Direct_Cost_Splits_Network,MATCH($H7,RIN_Asset_Cat_Network,0),MATCH($S$4,Direct_Cost_Type,0))*Q7*HLOOKUP(Z$5,Escalators!$I$25:$U$30,3,FALSE)</f>
        <v>0</v>
      </c>
      <c r="AA7" s="129"/>
      <c r="AB7" s="128">
        <f>INDEX(Direct_Cost_Splits_Network,MATCH($H7,RIN_Asset_Cat_Network,0),MATCH($AG$4,Direct_Cost_Type,0))*$J7*INDEX(Act_Type_Repex_Splits,MATCH($I7,Act_Type_Repex,0),MATCH(AB$4,Mat_Type,0))*INDEX(Escalators!$I$44:$U$49,MATCH(AB$4,Escalators!$C$44:$C$49,0),MATCH(AB$5,Escalators!$I$43:$U$43,0))</f>
        <v>0</v>
      </c>
      <c r="AC7" s="128">
        <f>INDEX(Direct_Cost_Splits_Network,MATCH($H7,RIN_Asset_Cat_Network,0),MATCH($AG$4,Direct_Cost_Type,0))*$J7*INDEX(Act_Type_Repex_Splits,MATCH($I7,Act_Type_Repex,0),MATCH(AC$4,Mat_Type,0))*INDEX(Escalators!$I$44:$U$49,MATCH(AC$4,Escalators!$C$44:$C$49,0),MATCH(AC$5,Escalators!$I$43:$U$43,0))</f>
        <v>0</v>
      </c>
      <c r="AD7" s="128">
        <f>INDEX(Direct_Cost_Splits_Network,MATCH($H7,RIN_Asset_Cat_Network,0),MATCH($AG$4,Direct_Cost_Type,0))*$J7*INDEX(Act_Type_Repex_Splits,MATCH($I7,Act_Type_Repex,0),MATCH(AD$4,Mat_Type,0))*INDEX(Escalators!$I$44:$U$49,MATCH(AD$4,Escalators!$C$44:$C$49,0),MATCH(AD$5,Escalators!$I$43:$U$43,0))</f>
        <v>0</v>
      </c>
      <c r="AE7" s="128">
        <f>INDEX(Direct_Cost_Splits_Network,MATCH($H7,RIN_Asset_Cat_Network,0),MATCH($AG$4,Direct_Cost_Type,0))*$J7*INDEX(Act_Type_Repex_Splits,MATCH($I7,Act_Type_Repex,0),MATCH(AE$4,Mat_Type,0))*INDEX(Escalators!$I$44:$U$49,MATCH(AE$4,Escalators!$C$44:$C$49,0),MATCH(AE$5,Escalators!$I$43:$U$43,0))</f>
        <v>0</v>
      </c>
      <c r="AF7" s="128">
        <f>INDEX(Direct_Cost_Splits_Network,MATCH($H7,RIN_Asset_Cat_Network,0),MATCH($AG$4,Direct_Cost_Type,0))*$J7*INDEX(Act_Type_Repex_Splits,MATCH($I7,Act_Type_Repex,0),MATCH(AF$4,Mat_Type,0))*INDEX(Escalators!$I$44:$U$49,MATCH(AF$4,Escalators!$C$44:$C$49,0),MATCH(AF$5,Escalators!$I$43:$U$43,0))</f>
        <v>0</v>
      </c>
      <c r="AG7" s="128">
        <f t="shared" ref="AG7:AG17" si="24">SUM(AB7:AF7)</f>
        <v>0</v>
      </c>
      <c r="AH7" s="128">
        <f>INDEX(Direct_Cost_Splits_Network,MATCH($H7,RIN_Asset_Cat_Network,0),MATCH($AY$4,Direct_Cost_Type,0))*$K7*INDEX(Act_Type_Repex_Splits,MATCH($I7,Act_Type_Repex,0),MATCH(AH$4,Mat_Type,0))*INDEX(Escalators!$I$44:$U$49,MATCH(AH$4,Escalators!$C$44:$C$49,0),MATCH(AH$5,Escalators!$I$43:$U$43,0))</f>
        <v>0</v>
      </c>
      <c r="AI7" s="128">
        <f>INDEX(Direct_Cost_Splits_Network,MATCH($H7,RIN_Asset_Cat_Network,0),MATCH($AY$4,Direct_Cost_Type,0))*$K7*INDEX(Act_Type_Repex_Splits,MATCH($I7,Act_Type_Repex,0),MATCH(AI$4,Mat_Type,0))*INDEX(Escalators!$I$44:$U$49,MATCH(AI$4,Escalators!$C$44:$C$49,0),MATCH(AI$5,Escalators!$I$43:$U$43,0))</f>
        <v>0</v>
      </c>
      <c r="AJ7" s="128">
        <f>INDEX(Direct_Cost_Splits_Network,MATCH($H7,RIN_Asset_Cat_Network,0),MATCH($AY$4,Direct_Cost_Type,0))*$K7*INDEX(Act_Type_Repex_Splits,MATCH($I7,Act_Type_Repex,0),MATCH(AJ$4,Mat_Type,0))*INDEX(Escalators!$I$44:$U$49,MATCH(AJ$4,Escalators!$C$44:$C$49,0),MATCH(AJ$5,Escalators!$I$43:$U$43,0))</f>
        <v>0</v>
      </c>
      <c r="AK7" s="128">
        <f>INDEX(Direct_Cost_Splits_Network,MATCH($H7,RIN_Asset_Cat_Network,0),MATCH($AY$4,Direct_Cost_Type,0))*$K7*INDEX(Act_Type_Repex_Splits,MATCH($I7,Act_Type_Repex,0),MATCH(AK$4,Mat_Type,0))*INDEX(Escalators!$I$44:$U$49,MATCH(AK$4,Escalators!$C$44:$C$49,0),MATCH(AK$5,Escalators!$I$43:$U$43,0))</f>
        <v>0</v>
      </c>
      <c r="AL7" s="128">
        <f>INDEX(Direct_Cost_Splits_Network,MATCH($H7,RIN_Asset_Cat_Network,0),MATCH($AY$4,Direct_Cost_Type,0))*$K7*INDEX(Act_Type_Repex_Splits,MATCH($I7,Act_Type_Repex,0),MATCH(AL$4,Mat_Type,0))*INDEX(Escalators!$I$44:$U$49,MATCH(AL$4,Escalators!$C$44:$C$49,0),MATCH(AL$5,Escalators!$I$43:$U$43,0))</f>
        <v>0</v>
      </c>
      <c r="AM7" s="128">
        <f t="shared" si="8"/>
        <v>0</v>
      </c>
      <c r="AN7" s="128">
        <f>INDEX(Direct_Cost_Splits_Network,MATCH($H7,RIN_Asset_Cat_Network,0),MATCH($AY$4,Direct_Cost_Type,0))*$L7*INDEX(Act_Type_Repex_Splits,MATCH($I7,Act_Type_Repex,0),MATCH(AN$4,Mat_Type,0))*INDEX(Escalators!$I$44:$U$49,MATCH(AN$4,Escalators!$C$44:$C$49,0),MATCH(AN$5,Escalators!$I$43:$U$43,0))</f>
        <v>0.8551876840819107</v>
      </c>
      <c r="AO7" s="128">
        <f>INDEX(Direct_Cost_Splits_Network,MATCH($H7,RIN_Asset_Cat_Network,0),MATCH($AY$4,Direct_Cost_Type,0))*$L7*INDEX(Act_Type_Repex_Splits,MATCH($I7,Act_Type_Repex,0),MATCH(AO$4,Mat_Type,0))*INDEX(Escalators!$I$44:$U$49,MATCH(AO$4,Escalators!$C$44:$C$49,0),MATCH(AO$5,Escalators!$I$43:$U$43,0))</f>
        <v>2.5655630522457318</v>
      </c>
      <c r="AP7" s="128">
        <f>INDEX(Direct_Cost_Splits_Network,MATCH($H7,RIN_Asset_Cat_Network,0),MATCH($AY$4,Direct_Cost_Type,0))*$L7*INDEX(Act_Type_Repex_Splits,MATCH($I7,Act_Type_Repex,0),MATCH(AP$4,Mat_Type,0))*INDEX(Escalators!$I$44:$U$49,MATCH(AP$4,Escalators!$C$44:$C$49,0),MATCH(AP$5,Escalators!$I$43:$U$43,0))</f>
        <v>6.8415014726552856</v>
      </c>
      <c r="AQ7" s="128">
        <f>INDEX(Direct_Cost_Splits_Network,MATCH($H7,RIN_Asset_Cat_Network,0),MATCH($AY$4,Direct_Cost_Type,0))*$L7*INDEX(Act_Type_Repex_Splits,MATCH($I7,Act_Type_Repex,0),MATCH(AQ$4,Mat_Type,0))*INDEX(Escalators!$I$44:$U$49,MATCH(AQ$4,Escalators!$C$44:$C$49,0),MATCH(AQ$5,Escalators!$I$43:$U$43,0))</f>
        <v>0</v>
      </c>
      <c r="AR7" s="128">
        <f>INDEX(Direct_Cost_Splits_Network,MATCH($H7,RIN_Asset_Cat_Network,0),MATCH($AY$4,Direct_Cost_Type,0))*$L7*INDEX(Act_Type_Repex_Splits,MATCH($I7,Act_Type_Repex,0),MATCH(AR$4,Mat_Type,0))*INDEX(Escalators!$I$44:$U$49,MATCH(AR$4,Escalators!$C$44:$C$49,0),MATCH(AR$5,Escalators!$I$43:$U$43,0))</f>
        <v>6.8415014726552856</v>
      </c>
      <c r="AS7" s="128">
        <f t="shared" si="9"/>
        <v>17.103753681638214</v>
      </c>
      <c r="AT7" s="128">
        <f>INDEX(Direct_Cost_Splits_Network,MATCH($H7,RIN_Asset_Cat_Network,0),MATCH($AY$4,Direct_Cost_Type,0))*$M7*INDEX(Act_Type_Repex_Splits,MATCH($I7,Act_Type_Repex,0),MATCH(AT$4,Mat_Type,0))*INDEX(Escalators!$I$44:$U$49,MATCH(AT$4,Escalators!$C$44:$C$49,0),MATCH(AT$5,Escalators!$I$43:$U$43,0))</f>
        <v>19.776215194394183</v>
      </c>
      <c r="AU7" s="128">
        <f>INDEX(Direct_Cost_Splits_Network,MATCH($H7,RIN_Asset_Cat_Network,0),MATCH($AY$4,Direct_Cost_Type,0))*$M7*INDEX(Act_Type_Repex_Splits,MATCH($I7,Act_Type_Repex,0),MATCH(AU$4,Mat_Type,0))*INDEX(Escalators!$I$44:$U$49,MATCH(AU$4,Escalators!$C$44:$C$49,0),MATCH(AU$5,Escalators!$I$43:$U$43,0))</f>
        <v>59.328645583182549</v>
      </c>
      <c r="AV7" s="128">
        <f>INDEX(Direct_Cost_Splits_Network,MATCH($H7,RIN_Asset_Cat_Network,0),MATCH($AY$4,Direct_Cost_Type,0))*$M7*INDEX(Act_Type_Repex_Splits,MATCH($I7,Act_Type_Repex,0),MATCH(AV$4,Mat_Type,0))*INDEX(Escalators!$I$44:$U$49,MATCH(AV$4,Escalators!$C$44:$C$49,0),MATCH(AV$5,Escalators!$I$43:$U$43,0))</f>
        <v>158.20972155515346</v>
      </c>
      <c r="AW7" s="128">
        <f>INDEX(Direct_Cost_Splits_Network,MATCH($H7,RIN_Asset_Cat_Network,0),MATCH($AY$4,Direct_Cost_Type,0))*$M7*INDEX(Act_Type_Repex_Splits,MATCH($I7,Act_Type_Repex,0),MATCH(AW$4,Mat_Type,0))*INDEX(Escalators!$I$44:$U$49,MATCH(AW$4,Escalators!$C$44:$C$49,0),MATCH(AW$5,Escalators!$I$43:$U$43,0))</f>
        <v>0</v>
      </c>
      <c r="AX7" s="128">
        <f>INDEX(Direct_Cost_Splits_Network,MATCH($H7,RIN_Asset_Cat_Network,0),MATCH($AY$4,Direct_Cost_Type,0))*$M7*INDEX(Act_Type_Repex_Splits,MATCH($I7,Act_Type_Repex,0),MATCH(AX$4,Mat_Type,0))*INDEX(Escalators!$I$44:$U$49,MATCH(AX$4,Escalators!$C$44:$C$49,0),MATCH(AX$5,Escalators!$I$43:$U$43,0))</f>
        <v>158.20972155515346</v>
      </c>
      <c r="AY7" s="128">
        <f t="shared" si="10"/>
        <v>395.52430388788366</v>
      </c>
      <c r="AZ7" s="128">
        <f>INDEX(Direct_Cost_Splits_Network,MATCH($H7,RIN_Asset_Cat_Network,0),MATCH($BE$4,Direct_Cost_Type,0))*$N7*INDEX(Act_Type_Repex_Splits,MATCH($I7,Act_Type_Repex,0),MATCH(AZ$4,Mat_Type,0))*INDEX(Escalators!$I$44:$U$49,MATCH(AZ$4,Escalators!$C$44:$C$49,0),MATCH(AZ$5,Escalators!$I$43:$U$43,0))</f>
        <v>39.980024230829322</v>
      </c>
      <c r="BA7" s="128">
        <f>INDEX(Direct_Cost_Splits_Network,MATCH($H7,RIN_Asset_Cat_Network,0),MATCH($BE$4,Direct_Cost_Type,0))*$N7*INDEX(Act_Type_Repex_Splits,MATCH($I7,Act_Type_Repex,0),MATCH(BA$4,Mat_Type,0))*INDEX(Escalators!$I$44:$U$49,MATCH(BA$4,Escalators!$C$44:$C$49,0),MATCH(BA$5,Escalators!$I$43:$U$43,0))</f>
        <v>119.94007269248796</v>
      </c>
      <c r="BB7" s="128">
        <f>INDEX(Direct_Cost_Splits_Network,MATCH($H7,RIN_Asset_Cat_Network,0),MATCH($BE$4,Direct_Cost_Type,0))*$N7*INDEX(Act_Type_Repex_Splits,MATCH($I7,Act_Type_Repex,0),MATCH(BB$4,Mat_Type,0))*INDEX(Escalators!$I$44:$U$49,MATCH(BB$4,Escalators!$C$44:$C$49,0),MATCH(BB$5,Escalators!$I$43:$U$43,0))</f>
        <v>319.84019384663458</v>
      </c>
      <c r="BC7" s="128">
        <f>INDEX(Direct_Cost_Splits_Network,MATCH($H7,RIN_Asset_Cat_Network,0),MATCH($BE$4,Direct_Cost_Type,0))*$N7*INDEX(Act_Type_Repex_Splits,MATCH($I7,Act_Type_Repex,0),MATCH(BC$4,Mat_Type,0))*INDEX(Escalators!$I$44:$U$49,MATCH(BC$4,Escalators!$C$44:$C$49,0),MATCH(BC$5,Escalators!$I$43:$U$43,0))</f>
        <v>0</v>
      </c>
      <c r="BD7" s="128">
        <f>INDEX(Direct_Cost_Splits_Network,MATCH($H7,RIN_Asset_Cat_Network,0),MATCH($BE$4,Direct_Cost_Type,0))*$N7*INDEX(Act_Type_Repex_Splits,MATCH($I7,Act_Type_Repex,0),MATCH(BD$4,Mat_Type,0))*INDEX(Escalators!$I$44:$U$49,MATCH(BD$4,Escalators!$C$44:$C$49,0),MATCH(BD$5,Escalators!$I$43:$U$43,0))</f>
        <v>319.84019384663458</v>
      </c>
      <c r="BE7" s="128">
        <f t="shared" ref="BE7:BE17" si="25">SUM(AZ7:BD7)</f>
        <v>799.60048461658653</v>
      </c>
      <c r="BF7" s="128">
        <f>INDEX(Direct_Cost_Splits_Network,MATCH($H7,RIN_Asset_Cat_Network,0),MATCH($BK$4,Direct_Cost_Type,0))*$O7*INDEX(Act_Type_Repex_Splits,MATCH($I7,Act_Type_Repex,0),MATCH(BF$4,Mat_Type,0))*INDEX(Escalators!$I$44:$U$49,MATCH(BF$4,Escalators!$C$44:$C$49,0),MATCH(BF$5,Escalators!$I$43:$U$43,0))</f>
        <v>23.838356693783261</v>
      </c>
      <c r="BG7" s="128">
        <f>INDEX(Direct_Cost_Splits_Network,MATCH($H7,RIN_Asset_Cat_Network,0),MATCH($BK$4,Direct_Cost_Type,0))*$O7*INDEX(Act_Type_Repex_Splits,MATCH($I7,Act_Type_Repex,0),MATCH(BG$4,Mat_Type,0))*INDEX(Escalators!$I$44:$U$49,MATCH(BG$4,Escalators!$C$44:$C$49,0),MATCH(BG$5,Escalators!$I$43:$U$43,0))</f>
        <v>71.515070081349776</v>
      </c>
      <c r="BH7" s="128">
        <f>INDEX(Direct_Cost_Splits_Network,MATCH($H7,RIN_Asset_Cat_Network,0),MATCH($BK$4,Direct_Cost_Type,0))*$O7*INDEX(Act_Type_Repex_Splits,MATCH($I7,Act_Type_Repex,0),MATCH(BH$4,Mat_Type,0))*INDEX(Escalators!$I$44:$U$49,MATCH(BH$4,Escalators!$C$44:$C$49,0),MATCH(BH$5,Escalators!$I$43:$U$43,0))</f>
        <v>190.70685355026609</v>
      </c>
      <c r="BI7" s="128">
        <f>INDEX(Direct_Cost_Splits_Network,MATCH($H7,RIN_Asset_Cat_Network,0),MATCH($BK$4,Direct_Cost_Type,0))*$O7*INDEX(Act_Type_Repex_Splits,MATCH($I7,Act_Type_Repex,0),MATCH(BI$4,Mat_Type,0))*INDEX(Escalators!$I$44:$U$49,MATCH(BI$4,Escalators!$C$44:$C$49,0),MATCH(BI$5,Escalators!$I$43:$U$43,0))</f>
        <v>0</v>
      </c>
      <c r="BJ7" s="128">
        <f>INDEX(Direct_Cost_Splits_Network,MATCH($H7,RIN_Asset_Cat_Network,0),MATCH($BK$4,Direct_Cost_Type,0))*$O7*INDEX(Act_Type_Repex_Splits,MATCH($I7,Act_Type_Repex,0),MATCH(BJ$4,Mat_Type,0))*INDEX(Escalators!$I$44:$U$49,MATCH(BJ$4,Escalators!$C$44:$C$49,0),MATCH(BJ$5,Escalators!$I$43:$U$43,0))</f>
        <v>190.70685355026609</v>
      </c>
      <c r="BK7" s="128">
        <f t="shared" ref="BK7:BK17" si="26">SUM(BF7:BJ7)</f>
        <v>476.76713387566525</v>
      </c>
      <c r="BL7" s="128">
        <f>INDEX(Direct_Cost_Splits_Network,MATCH($H7,RIN_Asset_Cat_Network,0),MATCH($BQ$4,Direct_Cost_Type,0))*$P7*INDEX(Act_Type_Repex_Splits,MATCH($I7,Act_Type_Repex,0),MATCH(BL$4,Mat_Type,0))*INDEX(Escalators!$I$44:$U$49,MATCH(BL$4,Escalators!$C$44:$C$49,0),MATCH(BL$5,Escalators!$I$43:$U$43,0))</f>
        <v>1.0689846051023884</v>
      </c>
      <c r="BM7" s="128">
        <f>INDEX(Direct_Cost_Splits_Network,MATCH($H7,RIN_Asset_Cat_Network,0),MATCH($BQ$4,Direct_Cost_Type,0))*$P7*INDEX(Act_Type_Repex_Splits,MATCH($I7,Act_Type_Repex,0),MATCH(BM$4,Mat_Type,0))*INDEX(Escalators!$I$44:$U$49,MATCH(BM$4,Escalators!$C$44:$C$49,0),MATCH(BM$5,Escalators!$I$43:$U$43,0))</f>
        <v>3.2069538153071648</v>
      </c>
      <c r="BN7" s="128">
        <f>INDEX(Direct_Cost_Splits_Network,MATCH($H7,RIN_Asset_Cat_Network,0),MATCH($BQ$4,Direct_Cost_Type,0))*$P7*INDEX(Act_Type_Repex_Splits,MATCH($I7,Act_Type_Repex,0),MATCH(BN$4,Mat_Type,0))*INDEX(Escalators!$I$44:$U$49,MATCH(BN$4,Escalators!$C$44:$C$49,0),MATCH(BN$5,Escalators!$I$43:$U$43,0))</f>
        <v>8.5518768408191068</v>
      </c>
      <c r="BO7" s="128">
        <f>INDEX(Direct_Cost_Splits_Network,MATCH($H7,RIN_Asset_Cat_Network,0),MATCH($BQ$4,Direct_Cost_Type,0))*$P7*INDEX(Act_Type_Repex_Splits,MATCH($I7,Act_Type_Repex,0),MATCH(BO$4,Mat_Type,0))*INDEX(Escalators!$I$44:$U$49,MATCH(BO$4,Escalators!$C$44:$C$49,0),MATCH(BO$5,Escalators!$I$43:$U$43,0))</f>
        <v>0</v>
      </c>
      <c r="BP7" s="128">
        <f>INDEX(Direct_Cost_Splits_Network,MATCH($H7,RIN_Asset_Cat_Network,0),MATCH($BQ$4,Direct_Cost_Type,0))*$P7*INDEX(Act_Type_Repex_Splits,MATCH($I7,Act_Type_Repex,0),MATCH(BP$4,Mat_Type,0))*INDEX(Escalators!$I$44:$U$49,MATCH(BP$4,Escalators!$C$44:$C$49,0),MATCH(BP$5,Escalators!$I$43:$U$43,0))</f>
        <v>8.5518768408191068</v>
      </c>
      <c r="BQ7" s="128">
        <f t="shared" ref="BQ7:BQ17" si="27">SUM(BL7:BP7)</f>
        <v>21.37969210204777</v>
      </c>
      <c r="BR7" s="128">
        <f>INDEX(Direct_Cost_Splits_Network,MATCH($H7,RIN_Asset_Cat_Network,0),MATCH($BW$4,Direct_Cost_Type,0))*$Q7*INDEX(Act_Type_Repex_Splits,MATCH($I7,Act_Type_Repex,0),MATCH(BR$4,Mat_Type,0))*INDEX(Escalators!$I$44:$U$49,MATCH(BR$4,Escalators!$C$44:$C$49,0),MATCH(BR$5,Escalators!$I$43:$U$43,0))</f>
        <v>0</v>
      </c>
      <c r="BS7" s="128">
        <f>INDEX(Direct_Cost_Splits_Network,MATCH($H7,RIN_Asset_Cat_Network,0),MATCH($BW$4,Direct_Cost_Type,0))*$Q7*INDEX(Act_Type_Repex_Splits,MATCH($I7,Act_Type_Repex,0),MATCH(BS$4,Mat_Type,0))*INDEX(Escalators!$I$44:$U$49,MATCH(BS$4,Escalators!$C$44:$C$49,0),MATCH(BS$5,Escalators!$I$43:$U$43,0))</f>
        <v>0</v>
      </c>
      <c r="BT7" s="128">
        <f>INDEX(Direct_Cost_Splits_Network,MATCH($H7,RIN_Asset_Cat_Network,0),MATCH($BW$4,Direct_Cost_Type,0))*$Q7*INDEX(Act_Type_Repex_Splits,MATCH($I7,Act_Type_Repex,0),MATCH(BT$4,Mat_Type,0))*INDEX(Escalators!$I$44:$U$49,MATCH(BT$4,Escalators!$C$44:$C$49,0),MATCH(BT$5,Escalators!$I$43:$U$43,0))</f>
        <v>0</v>
      </c>
      <c r="BU7" s="128">
        <f>INDEX(Direct_Cost_Splits_Network,MATCH($H7,RIN_Asset_Cat_Network,0),MATCH($BW$4,Direct_Cost_Type,0))*$Q7*INDEX(Act_Type_Repex_Splits,MATCH($I7,Act_Type_Repex,0),MATCH(BU$4,Mat_Type,0))*INDEX(Escalators!$I$44:$U$49,MATCH(BU$4,Escalators!$C$44:$C$49,0),MATCH(BU$5,Escalators!$I$43:$U$43,0))</f>
        <v>0</v>
      </c>
      <c r="BV7" s="128">
        <f>INDEX(Direct_Cost_Splits_Network,MATCH($H7,RIN_Asset_Cat_Network,0),MATCH($BW$4,Direct_Cost_Type,0))*$Q7*INDEX(Act_Type_Repex_Splits,MATCH($I7,Act_Type_Repex,0),MATCH(BV$4,Mat_Type,0))*INDEX(Escalators!$I$44:$U$49,MATCH(BV$4,Escalators!$C$44:$C$49,0),MATCH(BV$5,Escalators!$I$43:$U$43,0))</f>
        <v>0</v>
      </c>
      <c r="BW7" s="128">
        <f t="shared" ref="BW7:BW17" si="28">SUM(BR7:BV7)</f>
        <v>0</v>
      </c>
      <c r="BX7" s="129"/>
      <c r="BY7" s="128">
        <f>INDEX(Direct_Cost_Splits_Network,MATCH($H7,RIN_Asset_Cat_Network,0),MATCH($BY$4,Direct_Cost_Type,0))*J7*HLOOKUP(BY$5,Escalators!$I$25:$U$30,6,FALSE)</f>
        <v>0</v>
      </c>
      <c r="BZ7" s="128">
        <f>INDEX(Direct_Cost_Splits_Network,MATCH($H7,RIN_Asset_Cat_Network,0),MATCH($BY$4,Direct_Cost_Type,0))*K7*HLOOKUP(BZ$5,Escalators!$I$25:$U$30,6,FALSE)</f>
        <v>0</v>
      </c>
      <c r="CA7" s="128">
        <f>INDEX(Direct_Cost_Splits_Network,MATCH($H7,RIN_Asset_Cat_Network,0),MATCH($BY$4,Direct_Cost_Type,0))*L7*HLOOKUP(CA$5,Escalators!$I$25:$U$30,6,FALSE)</f>
        <v>45.818684614412454</v>
      </c>
      <c r="CB7" s="128">
        <f>INDEX(Direct_Cost_Splits_Network,MATCH($H7,RIN_Asset_Cat_Network,0),MATCH($BY$4,Direct_Cost_Type,0))*M7*HLOOKUP(CB$5,Escalators!$I$25:$U$30,6,FALSE)</f>
        <v>1059.557081708288</v>
      </c>
      <c r="CC7" s="128">
        <f>INDEX(Direct_Cost_Splits_Network,MATCH($H7,RIN_Asset_Cat_Network,0),MATCH($BY$4,Direct_Cost_Type,0))*N7*HLOOKUP(CC$5,Escalators!$I$25:$U$30,6,FALSE)</f>
        <v>2142.0235057237824</v>
      </c>
      <c r="CD7" s="128">
        <f>INDEX(Direct_Cost_Splits_Network,MATCH($H7,RIN_Asset_Cat_Network,0),MATCH($BY$4,Direct_Cost_Type,0))*O7*HLOOKUP(CD$5,Escalators!$I$25:$U$30,6,FALSE)</f>
        <v>1277.1958336267473</v>
      </c>
      <c r="CE7" s="128">
        <f>INDEX(Direct_Cost_Splits_Network,MATCH($H7,RIN_Asset_Cat_Network,0),MATCH($BY$4,Direct_Cost_Type,0))*P7*HLOOKUP(CE$5,Escalators!$I$25:$U$30,6,FALSE)</f>
        <v>57.273355768015577</v>
      </c>
      <c r="CF7" s="128">
        <f>INDEX(Direct_Cost_Splits_Network,MATCH($H7,RIN_Asset_Cat_Network,0),MATCH($BY$4,Direct_Cost_Type,0))*Q7*HLOOKUP(CF$5,Escalators!$I$25:$U$30,6,FALSE)</f>
        <v>0</v>
      </c>
      <c r="CG7" s="129"/>
      <c r="CH7" s="763">
        <f t="shared" si="11"/>
        <v>0</v>
      </c>
      <c r="CI7" s="763">
        <f t="shared" si="12"/>
        <v>0</v>
      </c>
      <c r="CJ7" s="763">
        <f t="shared" si="12"/>
        <v>7.0906699507036262</v>
      </c>
      <c r="CK7" s="763">
        <f t="shared" si="13"/>
        <v>163.97174261002138</v>
      </c>
      <c r="CL7" s="763">
        <f t="shared" si="14"/>
        <v>331.48882019539457</v>
      </c>
      <c r="CM7" s="763">
        <f t="shared" si="15"/>
        <v>197.6524248758636</v>
      </c>
      <c r="CN7" s="763">
        <f t="shared" si="16"/>
        <v>8.8633374383795331</v>
      </c>
      <c r="CO7" s="763">
        <f t="shared" si="17"/>
        <v>0</v>
      </c>
      <c r="CP7" s="129"/>
      <c r="CQ7" s="128">
        <f t="shared" si="18"/>
        <v>0</v>
      </c>
      <c r="CR7" s="128">
        <f t="shared" ref="CR7:CR36" si="29">T7+AM7+BZ7+CI7</f>
        <v>0</v>
      </c>
      <c r="CS7" s="128">
        <f t="shared" ref="CS7:CS36" si="30">U7+AS7+CA7+CJ7</f>
        <v>77.901431484033608</v>
      </c>
      <c r="CT7" s="128">
        <f t="shared" si="19"/>
        <v>1801.9059927031296</v>
      </c>
      <c r="CU7" s="128">
        <f t="shared" si="20"/>
        <v>3641.8488034668139</v>
      </c>
      <c r="CV7" s="128">
        <f t="shared" si="21"/>
        <v>2171.3170062706122</v>
      </c>
      <c r="CW7" s="128">
        <f t="shared" si="22"/>
        <v>97.404659864951583</v>
      </c>
      <c r="CX7" s="128">
        <f t="shared" si="23"/>
        <v>0</v>
      </c>
      <c r="CY7" s="129"/>
      <c r="CZ7" s="128">
        <f t="shared" ref="CZ7:CZ10" si="31">SUM(M7:Q7)</f>
        <v>7700.2200000000012</v>
      </c>
      <c r="DA7" s="128">
        <f t="shared" ref="DA7:DA10" si="32">SUM(CT7:CX7)</f>
        <v>7712.476462305508</v>
      </c>
      <c r="DB7" s="128">
        <f>DA7*Escalators!$M$17</f>
        <v>8095.6618330614283</v>
      </c>
      <c r="DC7" s="128">
        <f>SUMPRODUCT(1+AusNet_Overheads!$K$20:$O$20,CT7:CX7)</f>
        <v>8588.3346042820976</v>
      </c>
      <c r="DD7" s="128">
        <f>DC7*Escalators!$M$17</f>
        <v>9015.035962218426</v>
      </c>
      <c r="DE7" s="157"/>
      <c r="DF7" s="157"/>
      <c r="DG7" s="201"/>
      <c r="DH7" s="262"/>
    </row>
    <row r="8" spans="2:112" x14ac:dyDescent="0.25">
      <c r="B8" s="75">
        <v>74422209</v>
      </c>
      <c r="C8" s="75" t="s">
        <v>433</v>
      </c>
      <c r="D8" s="75" t="s">
        <v>107</v>
      </c>
      <c r="E8" s="75" t="s">
        <v>44</v>
      </c>
      <c r="F8" s="75" t="s">
        <v>131</v>
      </c>
      <c r="G8" s="75" t="s">
        <v>150</v>
      </c>
      <c r="H8" s="75" t="s">
        <v>176</v>
      </c>
      <c r="I8" s="75" t="s">
        <v>250</v>
      </c>
      <c r="J8" s="128"/>
      <c r="K8" s="128">
        <v>0</v>
      </c>
      <c r="L8" s="128">
        <v>0</v>
      </c>
      <c r="M8" s="128">
        <v>128.31</v>
      </c>
      <c r="N8" s="128">
        <v>2967.1687500000003</v>
      </c>
      <c r="O8" s="128">
        <v>5998.4924999999994</v>
      </c>
      <c r="P8" s="128">
        <v>3576.6412499999997</v>
      </c>
      <c r="Q8" s="128">
        <v>160.38750000000002</v>
      </c>
      <c r="R8" s="129"/>
      <c r="S8" s="128">
        <f>INDEX(Direct_Cost_Splits_Network,MATCH($H8,RIN_Asset_Cat_Network,0),MATCH($S$4,Direct_Cost_Type,0))*J8*HLOOKUP(S$5,Escalators!$I$25:$U$30,3,FALSE)</f>
        <v>0</v>
      </c>
      <c r="T8" s="128">
        <f>INDEX(Direct_Cost_Splits_Network,MATCH($H8,RIN_Asset_Cat_Network,0),MATCH($S$4,Direct_Cost_Type,0))*K8*HLOOKUP(T$5,Escalators!$I$25:$U$30,3,FALSE)</f>
        <v>0</v>
      </c>
      <c r="U8" s="128">
        <f>INDEX(Direct_Cost_Splits_Network,MATCH($H8,RIN_Asset_Cat_Network,0),MATCH($S$4,Direct_Cost_Type,0))*L8*HLOOKUP(U$5,Escalators!$I$25:$U$30,3,FALSE)</f>
        <v>0</v>
      </c>
      <c r="V8" s="128">
        <f>INDEX(Direct_Cost_Splits_Network,MATCH($H8,RIN_Asset_Cat_Network,0),MATCH($S$4,Direct_Cost_Type,0))*M8*HLOOKUP(V$5,Escalators!$I$25:$U$30,3,FALSE)</f>
        <v>13.044054147791444</v>
      </c>
      <c r="W8" s="128">
        <f>INDEX(Direct_Cost_Splits_Network,MATCH($H8,RIN_Asset_Cat_Network,0),MATCH($S$4,Direct_Cost_Type,0))*N8*HLOOKUP(W$5,Escalators!$I$25:$U$30,3,FALSE)</f>
        <v>300.89032557899736</v>
      </c>
      <c r="X8" s="128">
        <f>INDEX(Direct_Cost_Splits_Network,MATCH($H8,RIN_Asset_Cat_Network,0),MATCH($S$4,Direct_Cost_Type,0))*O8*HLOOKUP(X$5,Escalators!$I$25:$U$30,3,FALSE)</f>
        <v>607.84458553149102</v>
      </c>
      <c r="Y8" s="128">
        <f>INDEX(Direct_Cost_Splits_Network,MATCH($H8,RIN_Asset_Cat_Network,0),MATCH($S$4,Direct_Cost_Type,0))*P8*HLOOKUP(Y$5,Escalators!$I$25:$U$30,3,FALSE)</f>
        <v>363.76251653519654</v>
      </c>
      <c r="Z8" s="128">
        <f>INDEX(Direct_Cost_Splits_Network,MATCH($H8,RIN_Asset_Cat_Network,0),MATCH($S$4,Direct_Cost_Type,0))*Q8*HLOOKUP(Z$5,Escalators!$I$25:$U$30,3,FALSE)</f>
        <v>16.474786978680264</v>
      </c>
      <c r="AA8" s="129"/>
      <c r="AB8" s="128">
        <f>INDEX(Direct_Cost_Splits_Network,MATCH($H8,RIN_Asset_Cat_Network,0),MATCH($AG$4,Direct_Cost_Type,0))*$J8*INDEX(Act_Type_Repex_Splits,MATCH($I8,Act_Type_Repex,0),MATCH(AB$4,Mat_Type,0))*INDEX(Escalators!$I$44:$U$49,MATCH(AB$4,Escalators!$C$44:$C$49,0),MATCH(AB$5,Escalators!$I$43:$U$43,0))</f>
        <v>0</v>
      </c>
      <c r="AC8" s="128">
        <f>INDEX(Direct_Cost_Splits_Network,MATCH($H8,RIN_Asset_Cat_Network,0),MATCH($AG$4,Direct_Cost_Type,0))*$J8*INDEX(Act_Type_Repex_Splits,MATCH($I8,Act_Type_Repex,0),MATCH(AC$4,Mat_Type,0))*INDEX(Escalators!$I$44:$U$49,MATCH(AC$4,Escalators!$C$44:$C$49,0),MATCH(AC$5,Escalators!$I$43:$U$43,0))</f>
        <v>0</v>
      </c>
      <c r="AD8" s="128">
        <f>INDEX(Direct_Cost_Splits_Network,MATCH($H8,RIN_Asset_Cat_Network,0),MATCH($AG$4,Direct_Cost_Type,0))*$J8*INDEX(Act_Type_Repex_Splits,MATCH($I8,Act_Type_Repex,0),MATCH(AD$4,Mat_Type,0))*INDEX(Escalators!$I$44:$U$49,MATCH(AD$4,Escalators!$C$44:$C$49,0),MATCH(AD$5,Escalators!$I$43:$U$43,0))</f>
        <v>0</v>
      </c>
      <c r="AE8" s="128">
        <f>INDEX(Direct_Cost_Splits_Network,MATCH($H8,RIN_Asset_Cat_Network,0),MATCH($AG$4,Direct_Cost_Type,0))*$J8*INDEX(Act_Type_Repex_Splits,MATCH($I8,Act_Type_Repex,0),MATCH(AE$4,Mat_Type,0))*INDEX(Escalators!$I$44:$U$49,MATCH(AE$4,Escalators!$C$44:$C$49,0),MATCH(AE$5,Escalators!$I$43:$U$43,0))</f>
        <v>0</v>
      </c>
      <c r="AF8" s="128">
        <f>INDEX(Direct_Cost_Splits_Network,MATCH($H8,RIN_Asset_Cat_Network,0),MATCH($AG$4,Direct_Cost_Type,0))*$J8*INDEX(Act_Type_Repex_Splits,MATCH($I8,Act_Type_Repex,0),MATCH(AF$4,Mat_Type,0))*INDEX(Escalators!$I$44:$U$49,MATCH(AF$4,Escalators!$C$44:$C$49,0),MATCH(AF$5,Escalators!$I$43:$U$43,0))</f>
        <v>0</v>
      </c>
      <c r="AG8" s="128">
        <f t="shared" si="24"/>
        <v>0</v>
      </c>
      <c r="AH8" s="128">
        <f>INDEX(Direct_Cost_Splits_Network,MATCH($H8,RIN_Asset_Cat_Network,0),MATCH($AY$4,Direct_Cost_Type,0))*$K8*INDEX(Act_Type_Repex_Splits,MATCH($I8,Act_Type_Repex,0),MATCH(AH$4,Mat_Type,0))*INDEX(Escalators!$I$44:$U$49,MATCH(AH$4,Escalators!$C$44:$C$49,0),MATCH(AH$5,Escalators!$I$43:$U$43,0))</f>
        <v>0</v>
      </c>
      <c r="AI8" s="128">
        <f>INDEX(Direct_Cost_Splits_Network,MATCH($H8,RIN_Asset_Cat_Network,0),MATCH($AY$4,Direct_Cost_Type,0))*$K8*INDEX(Act_Type_Repex_Splits,MATCH($I8,Act_Type_Repex,0),MATCH(AI$4,Mat_Type,0))*INDEX(Escalators!$I$44:$U$49,MATCH(AI$4,Escalators!$C$44:$C$49,0),MATCH(AI$5,Escalators!$I$43:$U$43,0))</f>
        <v>0</v>
      </c>
      <c r="AJ8" s="128">
        <f>INDEX(Direct_Cost_Splits_Network,MATCH($H8,RIN_Asset_Cat_Network,0),MATCH($AY$4,Direct_Cost_Type,0))*$K8*INDEX(Act_Type_Repex_Splits,MATCH($I8,Act_Type_Repex,0),MATCH(AJ$4,Mat_Type,0))*INDEX(Escalators!$I$44:$U$49,MATCH(AJ$4,Escalators!$C$44:$C$49,0),MATCH(AJ$5,Escalators!$I$43:$U$43,0))</f>
        <v>0</v>
      </c>
      <c r="AK8" s="128">
        <f>INDEX(Direct_Cost_Splits_Network,MATCH($H8,RIN_Asset_Cat_Network,0),MATCH($AY$4,Direct_Cost_Type,0))*$K8*INDEX(Act_Type_Repex_Splits,MATCH($I8,Act_Type_Repex,0),MATCH(AK$4,Mat_Type,0))*INDEX(Escalators!$I$44:$U$49,MATCH(AK$4,Escalators!$C$44:$C$49,0),MATCH(AK$5,Escalators!$I$43:$U$43,0))</f>
        <v>0</v>
      </c>
      <c r="AL8" s="128">
        <f>INDEX(Direct_Cost_Splits_Network,MATCH($H8,RIN_Asset_Cat_Network,0),MATCH($AY$4,Direct_Cost_Type,0))*$K8*INDEX(Act_Type_Repex_Splits,MATCH($I8,Act_Type_Repex,0),MATCH(AL$4,Mat_Type,0))*INDEX(Escalators!$I$44:$U$49,MATCH(AL$4,Escalators!$C$44:$C$49,0),MATCH(AL$5,Escalators!$I$43:$U$43,0))</f>
        <v>0</v>
      </c>
      <c r="AM8" s="128">
        <f t="shared" si="8"/>
        <v>0</v>
      </c>
      <c r="AN8" s="128">
        <f>INDEX(Direct_Cost_Splits_Network,MATCH($H8,RIN_Asset_Cat_Network,0),MATCH($AY$4,Direct_Cost_Type,0))*$L8*INDEX(Act_Type_Repex_Splits,MATCH($I8,Act_Type_Repex,0),MATCH(AN$4,Mat_Type,0))*INDEX(Escalators!$I$44:$U$49,MATCH(AN$4,Escalators!$C$44:$C$49,0),MATCH(AN$5,Escalators!$I$43:$U$43,0))</f>
        <v>0</v>
      </c>
      <c r="AO8" s="128">
        <f>INDEX(Direct_Cost_Splits_Network,MATCH($H8,RIN_Asset_Cat_Network,0),MATCH($AY$4,Direct_Cost_Type,0))*$L8*INDEX(Act_Type_Repex_Splits,MATCH($I8,Act_Type_Repex,0),MATCH(AO$4,Mat_Type,0))*INDEX(Escalators!$I$44:$U$49,MATCH(AO$4,Escalators!$C$44:$C$49,0),MATCH(AO$5,Escalators!$I$43:$U$43,0))</f>
        <v>0</v>
      </c>
      <c r="AP8" s="128">
        <f>INDEX(Direct_Cost_Splits_Network,MATCH($H8,RIN_Asset_Cat_Network,0),MATCH($AY$4,Direct_Cost_Type,0))*$L8*INDEX(Act_Type_Repex_Splits,MATCH($I8,Act_Type_Repex,0),MATCH(AP$4,Mat_Type,0))*INDEX(Escalators!$I$44:$U$49,MATCH(AP$4,Escalators!$C$44:$C$49,0),MATCH(AP$5,Escalators!$I$43:$U$43,0))</f>
        <v>0</v>
      </c>
      <c r="AQ8" s="128">
        <f>INDEX(Direct_Cost_Splits_Network,MATCH($H8,RIN_Asset_Cat_Network,0),MATCH($AY$4,Direct_Cost_Type,0))*$L8*INDEX(Act_Type_Repex_Splits,MATCH($I8,Act_Type_Repex,0),MATCH(AQ$4,Mat_Type,0))*INDEX(Escalators!$I$44:$U$49,MATCH(AQ$4,Escalators!$C$44:$C$49,0),MATCH(AQ$5,Escalators!$I$43:$U$43,0))</f>
        <v>0</v>
      </c>
      <c r="AR8" s="128">
        <f>INDEX(Direct_Cost_Splits_Network,MATCH($H8,RIN_Asset_Cat_Network,0),MATCH($AY$4,Direct_Cost_Type,0))*$L8*INDEX(Act_Type_Repex_Splits,MATCH($I8,Act_Type_Repex,0),MATCH(AR$4,Mat_Type,0))*INDEX(Escalators!$I$44:$U$49,MATCH(AR$4,Escalators!$C$44:$C$49,0),MATCH(AR$5,Escalators!$I$43:$U$43,0))</f>
        <v>0</v>
      </c>
      <c r="AS8" s="128">
        <f t="shared" si="9"/>
        <v>0</v>
      </c>
      <c r="AT8" s="128">
        <f>INDEX(Direct_Cost_Splits_Network,MATCH($H8,RIN_Asset_Cat_Network,0),MATCH($AY$4,Direct_Cost_Type,0))*$M8*INDEX(Act_Type_Repex_Splits,MATCH($I8,Act_Type_Repex,0),MATCH(AT$4,Mat_Type,0))*INDEX(Escalators!$I$44:$U$49,MATCH(AT$4,Escalators!$C$44:$C$49,0),MATCH(AT$5,Escalators!$I$43:$U$43,0))</f>
        <v>1.4107628149209301</v>
      </c>
      <c r="AU8" s="128">
        <f>INDEX(Direct_Cost_Splits_Network,MATCH($H8,RIN_Asset_Cat_Network,0),MATCH($AY$4,Direct_Cost_Type,0))*$M8*INDEX(Act_Type_Repex_Splits,MATCH($I8,Act_Type_Repex,0),MATCH(AU$4,Mat_Type,0))*INDEX(Escalators!$I$44:$U$49,MATCH(AU$4,Escalators!$C$44:$C$49,0),MATCH(AU$5,Escalators!$I$43:$U$43,0))</f>
        <v>4.2322884447627898</v>
      </c>
      <c r="AV8" s="128">
        <f>INDEX(Direct_Cost_Splits_Network,MATCH($H8,RIN_Asset_Cat_Network,0),MATCH($AY$4,Direct_Cost_Type,0))*$M8*INDEX(Act_Type_Repex_Splits,MATCH($I8,Act_Type_Repex,0),MATCH(AV$4,Mat_Type,0))*INDEX(Escalators!$I$44:$U$49,MATCH(AV$4,Escalators!$C$44:$C$49,0),MATCH(AV$5,Escalators!$I$43:$U$43,0))</f>
        <v>11.286102519367441</v>
      </c>
      <c r="AW8" s="128">
        <f>INDEX(Direct_Cost_Splits_Network,MATCH($H8,RIN_Asset_Cat_Network,0),MATCH($AY$4,Direct_Cost_Type,0))*$M8*INDEX(Act_Type_Repex_Splits,MATCH($I8,Act_Type_Repex,0),MATCH(AW$4,Mat_Type,0))*INDEX(Escalators!$I$44:$U$49,MATCH(AW$4,Escalators!$C$44:$C$49,0),MATCH(AW$5,Escalators!$I$43:$U$43,0))</f>
        <v>0</v>
      </c>
      <c r="AX8" s="128">
        <f>INDEX(Direct_Cost_Splits_Network,MATCH($H8,RIN_Asset_Cat_Network,0),MATCH($AY$4,Direct_Cost_Type,0))*$M8*INDEX(Act_Type_Repex_Splits,MATCH($I8,Act_Type_Repex,0),MATCH(AX$4,Mat_Type,0))*INDEX(Escalators!$I$44:$U$49,MATCH(AX$4,Escalators!$C$44:$C$49,0),MATCH(AX$5,Escalators!$I$43:$U$43,0))</f>
        <v>11.286102519367441</v>
      </c>
      <c r="AY8" s="128">
        <f t="shared" si="10"/>
        <v>28.215256298418602</v>
      </c>
      <c r="AZ8" s="128">
        <f>INDEX(Direct_Cost_Splits_Network,MATCH($H8,RIN_Asset_Cat_Network,0),MATCH($BE$4,Direct_Cost_Type,0))*$N8*INDEX(Act_Type_Repex_Splits,MATCH($I8,Act_Type_Repex,0),MATCH(AZ$4,Mat_Type,0))*INDEX(Escalators!$I$44:$U$49,MATCH(AZ$4,Escalators!$C$44:$C$49,0),MATCH(AZ$5,Escalators!$I$43:$U$43,0))</f>
        <v>32.623890095046512</v>
      </c>
      <c r="BA8" s="128">
        <f>INDEX(Direct_Cost_Splits_Network,MATCH($H8,RIN_Asset_Cat_Network,0),MATCH($BE$4,Direct_Cost_Type,0))*$N8*INDEX(Act_Type_Repex_Splits,MATCH($I8,Act_Type_Repex,0),MATCH(BA$4,Mat_Type,0))*INDEX(Escalators!$I$44:$U$49,MATCH(BA$4,Escalators!$C$44:$C$49,0),MATCH(BA$5,Escalators!$I$43:$U$43,0))</f>
        <v>97.87167028513953</v>
      </c>
      <c r="BB8" s="128">
        <f>INDEX(Direct_Cost_Splits_Network,MATCH($H8,RIN_Asset_Cat_Network,0),MATCH($BE$4,Direct_Cost_Type,0))*$N8*INDEX(Act_Type_Repex_Splits,MATCH($I8,Act_Type_Repex,0),MATCH(BB$4,Mat_Type,0))*INDEX(Escalators!$I$44:$U$49,MATCH(BB$4,Escalators!$C$44:$C$49,0),MATCH(BB$5,Escalators!$I$43:$U$43,0))</f>
        <v>260.9911207603721</v>
      </c>
      <c r="BC8" s="128">
        <f>INDEX(Direct_Cost_Splits_Network,MATCH($H8,RIN_Asset_Cat_Network,0),MATCH($BE$4,Direct_Cost_Type,0))*$N8*INDEX(Act_Type_Repex_Splits,MATCH($I8,Act_Type_Repex,0),MATCH(BC$4,Mat_Type,0))*INDEX(Escalators!$I$44:$U$49,MATCH(BC$4,Escalators!$C$44:$C$49,0),MATCH(BC$5,Escalators!$I$43:$U$43,0))</f>
        <v>0</v>
      </c>
      <c r="BD8" s="128">
        <f>INDEX(Direct_Cost_Splits_Network,MATCH($H8,RIN_Asset_Cat_Network,0),MATCH($BE$4,Direct_Cost_Type,0))*$N8*INDEX(Act_Type_Repex_Splits,MATCH($I8,Act_Type_Repex,0),MATCH(BD$4,Mat_Type,0))*INDEX(Escalators!$I$44:$U$49,MATCH(BD$4,Escalators!$C$44:$C$49,0),MATCH(BD$5,Escalators!$I$43:$U$43,0))</f>
        <v>260.9911207603721</v>
      </c>
      <c r="BE8" s="128">
        <f t="shared" si="25"/>
        <v>652.47780190093022</v>
      </c>
      <c r="BF8" s="128">
        <f>INDEX(Direct_Cost_Splits_Network,MATCH($H8,RIN_Asset_Cat_Network,0),MATCH($BK$4,Direct_Cost_Type,0))*$O8*INDEX(Act_Type_Repex_Splits,MATCH($I8,Act_Type_Repex,0),MATCH(BF$4,Mat_Type,0))*INDEX(Escalators!$I$44:$U$49,MATCH(BF$4,Escalators!$C$44:$C$49,0),MATCH(BF$5,Escalators!$I$43:$U$43,0))</f>
        <v>65.953161597553489</v>
      </c>
      <c r="BG8" s="128">
        <f>INDEX(Direct_Cost_Splits_Network,MATCH($H8,RIN_Asset_Cat_Network,0),MATCH($BK$4,Direct_Cost_Type,0))*$O8*INDEX(Act_Type_Repex_Splits,MATCH($I8,Act_Type_Repex,0),MATCH(BG$4,Mat_Type,0))*INDEX(Escalators!$I$44:$U$49,MATCH(BG$4,Escalators!$C$44:$C$49,0),MATCH(BG$5,Escalators!$I$43:$U$43,0))</f>
        <v>197.85948479266042</v>
      </c>
      <c r="BH8" s="128">
        <f>INDEX(Direct_Cost_Splits_Network,MATCH($H8,RIN_Asset_Cat_Network,0),MATCH($BK$4,Direct_Cost_Type,0))*$O8*INDEX(Act_Type_Repex_Splits,MATCH($I8,Act_Type_Repex,0),MATCH(BH$4,Mat_Type,0))*INDEX(Escalators!$I$44:$U$49,MATCH(BH$4,Escalators!$C$44:$C$49,0),MATCH(BH$5,Escalators!$I$43:$U$43,0))</f>
        <v>527.62529278042791</v>
      </c>
      <c r="BI8" s="128">
        <f>INDEX(Direct_Cost_Splits_Network,MATCH($H8,RIN_Asset_Cat_Network,0),MATCH($BK$4,Direct_Cost_Type,0))*$O8*INDEX(Act_Type_Repex_Splits,MATCH($I8,Act_Type_Repex,0),MATCH(BI$4,Mat_Type,0))*INDEX(Escalators!$I$44:$U$49,MATCH(BI$4,Escalators!$C$44:$C$49,0),MATCH(BI$5,Escalators!$I$43:$U$43,0))</f>
        <v>0</v>
      </c>
      <c r="BJ8" s="128">
        <f>INDEX(Direct_Cost_Splits_Network,MATCH($H8,RIN_Asset_Cat_Network,0),MATCH($BK$4,Direct_Cost_Type,0))*$O8*INDEX(Act_Type_Repex_Splits,MATCH($I8,Act_Type_Repex,0),MATCH(BJ$4,Mat_Type,0))*INDEX(Escalators!$I$44:$U$49,MATCH(BJ$4,Escalators!$C$44:$C$49,0),MATCH(BJ$5,Escalators!$I$43:$U$43,0))</f>
        <v>527.62529278042791</v>
      </c>
      <c r="BK8" s="128">
        <f t="shared" si="26"/>
        <v>1319.0632319510696</v>
      </c>
      <c r="BL8" s="128">
        <f>INDEX(Direct_Cost_Splits_Network,MATCH($H8,RIN_Asset_Cat_Network,0),MATCH($BQ$4,Direct_Cost_Type,0))*$P8*INDEX(Act_Type_Repex_Splits,MATCH($I8,Act_Type_Repex,0),MATCH(BL$4,Mat_Type,0))*INDEX(Escalators!$I$44:$U$49,MATCH(BL$4,Escalators!$C$44:$C$49,0),MATCH(BL$5,Escalators!$I$43:$U$43,0))</f>
        <v>39.325013465920932</v>
      </c>
      <c r="BM8" s="128">
        <f>INDEX(Direct_Cost_Splits_Network,MATCH($H8,RIN_Asset_Cat_Network,0),MATCH($BQ$4,Direct_Cost_Type,0))*$P8*INDEX(Act_Type_Repex_Splits,MATCH($I8,Act_Type_Repex,0),MATCH(BM$4,Mat_Type,0))*INDEX(Escalators!$I$44:$U$49,MATCH(BM$4,Escalators!$C$44:$C$49,0),MATCH(BM$5,Escalators!$I$43:$U$43,0))</f>
        <v>117.97504039776277</v>
      </c>
      <c r="BN8" s="128">
        <f>INDEX(Direct_Cost_Splits_Network,MATCH($H8,RIN_Asset_Cat_Network,0),MATCH($BQ$4,Direct_Cost_Type,0))*$P8*INDEX(Act_Type_Repex_Splits,MATCH($I8,Act_Type_Repex,0),MATCH(BN$4,Mat_Type,0))*INDEX(Escalators!$I$44:$U$49,MATCH(BN$4,Escalators!$C$44:$C$49,0),MATCH(BN$5,Escalators!$I$43:$U$43,0))</f>
        <v>314.60010772736746</v>
      </c>
      <c r="BO8" s="128">
        <f>INDEX(Direct_Cost_Splits_Network,MATCH($H8,RIN_Asset_Cat_Network,0),MATCH($BQ$4,Direct_Cost_Type,0))*$P8*INDEX(Act_Type_Repex_Splits,MATCH($I8,Act_Type_Repex,0),MATCH(BO$4,Mat_Type,0))*INDEX(Escalators!$I$44:$U$49,MATCH(BO$4,Escalators!$C$44:$C$49,0),MATCH(BO$5,Escalators!$I$43:$U$43,0))</f>
        <v>0</v>
      </c>
      <c r="BP8" s="128">
        <f>INDEX(Direct_Cost_Splits_Network,MATCH($H8,RIN_Asset_Cat_Network,0),MATCH($BQ$4,Direct_Cost_Type,0))*$P8*INDEX(Act_Type_Repex_Splits,MATCH($I8,Act_Type_Repex,0),MATCH(BP$4,Mat_Type,0))*INDEX(Escalators!$I$44:$U$49,MATCH(BP$4,Escalators!$C$44:$C$49,0),MATCH(BP$5,Escalators!$I$43:$U$43,0))</f>
        <v>314.60010772736746</v>
      </c>
      <c r="BQ8" s="128">
        <f t="shared" si="27"/>
        <v>786.50026931841865</v>
      </c>
      <c r="BR8" s="128">
        <f>INDEX(Direct_Cost_Splits_Network,MATCH($H8,RIN_Asset_Cat_Network,0),MATCH($BW$4,Direct_Cost_Type,0))*$Q8*INDEX(Act_Type_Repex_Splits,MATCH($I8,Act_Type_Repex,0),MATCH(BR$4,Mat_Type,0))*INDEX(Escalators!$I$44:$U$49,MATCH(BR$4,Escalators!$C$44:$C$49,0),MATCH(BR$5,Escalators!$I$43:$U$43,0))</f>
        <v>1.7634535186511628</v>
      </c>
      <c r="BS8" s="128">
        <f>INDEX(Direct_Cost_Splits_Network,MATCH($H8,RIN_Asset_Cat_Network,0),MATCH($BW$4,Direct_Cost_Type,0))*$Q8*INDEX(Act_Type_Repex_Splits,MATCH($I8,Act_Type_Repex,0),MATCH(BS$4,Mat_Type,0))*INDEX(Escalators!$I$44:$U$49,MATCH(BS$4,Escalators!$C$44:$C$49,0),MATCH(BS$5,Escalators!$I$43:$U$43,0))</f>
        <v>5.2903605559534883</v>
      </c>
      <c r="BT8" s="128">
        <f>INDEX(Direct_Cost_Splits_Network,MATCH($H8,RIN_Asset_Cat_Network,0),MATCH($BW$4,Direct_Cost_Type,0))*$Q8*INDEX(Act_Type_Repex_Splits,MATCH($I8,Act_Type_Repex,0),MATCH(BT$4,Mat_Type,0))*INDEX(Escalators!$I$44:$U$49,MATCH(BT$4,Escalators!$C$44:$C$49,0),MATCH(BT$5,Escalators!$I$43:$U$43,0))</f>
        <v>14.107628149209303</v>
      </c>
      <c r="BU8" s="128">
        <f>INDEX(Direct_Cost_Splits_Network,MATCH($H8,RIN_Asset_Cat_Network,0),MATCH($BW$4,Direct_Cost_Type,0))*$Q8*INDEX(Act_Type_Repex_Splits,MATCH($I8,Act_Type_Repex,0),MATCH(BU$4,Mat_Type,0))*INDEX(Escalators!$I$44:$U$49,MATCH(BU$4,Escalators!$C$44:$C$49,0),MATCH(BU$5,Escalators!$I$43:$U$43,0))</f>
        <v>0</v>
      </c>
      <c r="BV8" s="128">
        <f>INDEX(Direct_Cost_Splits_Network,MATCH($H8,RIN_Asset_Cat_Network,0),MATCH($BW$4,Direct_Cost_Type,0))*$Q8*INDEX(Act_Type_Repex_Splits,MATCH($I8,Act_Type_Repex,0),MATCH(BV$4,Mat_Type,0))*INDEX(Escalators!$I$44:$U$49,MATCH(BV$4,Escalators!$C$44:$C$49,0),MATCH(BV$5,Escalators!$I$43:$U$43,0))</f>
        <v>14.107628149209303</v>
      </c>
      <c r="BW8" s="128">
        <f t="shared" si="28"/>
        <v>35.269070373023254</v>
      </c>
      <c r="BX8" s="129"/>
      <c r="BY8" s="128">
        <f>INDEX(Direct_Cost_Splits_Network,MATCH($H8,RIN_Asset_Cat_Network,0),MATCH($BY$4,Direct_Cost_Type,0))*J8*HLOOKUP(BY$5,Escalators!$I$25:$U$30,6,FALSE)</f>
        <v>0</v>
      </c>
      <c r="BZ8" s="128">
        <f>INDEX(Direct_Cost_Splits_Network,MATCH($H8,RIN_Asset_Cat_Network,0),MATCH($BY$4,Direct_Cost_Type,0))*K8*HLOOKUP(BZ$5,Escalators!$I$25:$U$30,6,FALSE)</f>
        <v>0</v>
      </c>
      <c r="CA8" s="128">
        <f>INDEX(Direct_Cost_Splits_Network,MATCH($H8,RIN_Asset_Cat_Network,0),MATCH($BY$4,Direct_Cost_Type,0))*L8*HLOOKUP(CA$5,Escalators!$I$25:$U$30,6,FALSE)</f>
        <v>0</v>
      </c>
      <c r="CB8" s="128">
        <f>INDEX(Direct_Cost_Splits_Network,MATCH($H8,RIN_Asset_Cat_Network,0),MATCH($BY$4,Direct_Cost_Type,0))*M8*HLOOKUP(CB$5,Escalators!$I$25:$U$30,6,FALSE)</f>
        <v>75.584924439126539</v>
      </c>
      <c r="CC8" s="128">
        <f>INDEX(Direct_Cost_Splits_Network,MATCH($H8,RIN_Asset_Cat_Network,0),MATCH($BY$4,Direct_Cost_Type,0))*N8*HLOOKUP(CC$5,Escalators!$I$25:$U$30,6,FALSE)</f>
        <v>1747.9013776548013</v>
      </c>
      <c r="CD8" s="128">
        <f>INDEX(Direct_Cost_Splits_Network,MATCH($H8,RIN_Asset_Cat_Network,0),MATCH($BY$4,Direct_Cost_Type,0))*O8*HLOOKUP(CD$5,Escalators!$I$25:$U$30,6,FALSE)</f>
        <v>3533.5952175291654</v>
      </c>
      <c r="CE8" s="128">
        <f>INDEX(Direct_Cost_Splits_Network,MATCH($H8,RIN_Asset_Cat_Network,0),MATCH($BY$4,Direct_Cost_Type,0))*P8*HLOOKUP(CE$5,Escalators!$I$25:$U$30,6,FALSE)</f>
        <v>2106.929768740652</v>
      </c>
      <c r="CF8" s="128">
        <f>INDEX(Direct_Cost_Splits_Network,MATCH($H8,RIN_Asset_Cat_Network,0),MATCH($BY$4,Direct_Cost_Type,0))*Q8*HLOOKUP(CF$5,Escalators!$I$25:$U$30,6,FALSE)</f>
        <v>94.481155548908177</v>
      </c>
      <c r="CG8" s="129"/>
      <c r="CH8" s="763">
        <f t="shared" si="11"/>
        <v>0</v>
      </c>
      <c r="CI8" s="763">
        <f t="shared" si="12"/>
        <v>0</v>
      </c>
      <c r="CJ8" s="763">
        <f t="shared" si="12"/>
        <v>0</v>
      </c>
      <c r="CK8" s="763">
        <f t="shared" si="13"/>
        <v>11.697144013561099</v>
      </c>
      <c r="CL8" s="763">
        <f t="shared" si="14"/>
        <v>270.49645531360045</v>
      </c>
      <c r="CM8" s="763">
        <f t="shared" si="15"/>
        <v>546.84148263398129</v>
      </c>
      <c r="CN8" s="763">
        <f t="shared" si="16"/>
        <v>326.0578893780156</v>
      </c>
      <c r="CO8" s="763">
        <f t="shared" si="17"/>
        <v>14.621430016951376</v>
      </c>
      <c r="CP8" s="129"/>
      <c r="CQ8" s="128">
        <f t="shared" si="18"/>
        <v>0</v>
      </c>
      <c r="CR8" s="128">
        <f t="shared" si="29"/>
        <v>0</v>
      </c>
      <c r="CS8" s="128">
        <f t="shared" si="30"/>
        <v>0</v>
      </c>
      <c r="CT8" s="128">
        <f t="shared" si="19"/>
        <v>128.54137889889768</v>
      </c>
      <c r="CU8" s="128">
        <f t="shared" si="20"/>
        <v>2971.7659604483297</v>
      </c>
      <c r="CV8" s="128">
        <f t="shared" si="21"/>
        <v>6007.3445176457071</v>
      </c>
      <c r="CW8" s="128">
        <f t="shared" si="22"/>
        <v>3583.2504439722829</v>
      </c>
      <c r="CX8" s="128">
        <f t="shared" si="23"/>
        <v>160.84644291756305</v>
      </c>
      <c r="CY8" s="129"/>
      <c r="CZ8" s="128">
        <f t="shared" si="31"/>
        <v>12831</v>
      </c>
      <c r="DA8" s="128">
        <f t="shared" si="32"/>
        <v>12851.748743882781</v>
      </c>
      <c r="DB8" s="128">
        <f>DA8*Escalators!$M$17</f>
        <v>13490.272845882379</v>
      </c>
      <c r="DC8" s="128">
        <f>SUMPRODUCT(1+AusNet_Overheads!$K$20:$O$20,CT8:CX8)</f>
        <v>14329.245506370533</v>
      </c>
      <c r="DD8" s="128">
        <f>DC8*Escalators!$M$17</f>
        <v>15041.177306596712</v>
      </c>
      <c r="DE8" s="157"/>
      <c r="DF8" s="157"/>
      <c r="DG8" s="201"/>
      <c r="DH8" s="262"/>
    </row>
    <row r="9" spans="2:112" x14ac:dyDescent="0.25">
      <c r="B9" s="75">
        <v>74429461</v>
      </c>
      <c r="C9" s="75" t="s">
        <v>434</v>
      </c>
      <c r="D9" s="75" t="s">
        <v>107</v>
      </c>
      <c r="E9" s="75" t="s">
        <v>44</v>
      </c>
      <c r="F9" s="75" t="s">
        <v>131</v>
      </c>
      <c r="G9" s="75" t="s">
        <v>150</v>
      </c>
      <c r="H9" s="75" t="s">
        <v>176</v>
      </c>
      <c r="I9" s="75" t="s">
        <v>250</v>
      </c>
      <c r="J9" s="128"/>
      <c r="K9" s="128">
        <v>1070</v>
      </c>
      <c r="L9" s="128">
        <v>2260.8962500000002</v>
      </c>
      <c r="M9" s="128">
        <v>6454.7725000000009</v>
      </c>
      <c r="N9" s="128">
        <v>3848.7012499999996</v>
      </c>
      <c r="O9" s="128">
        <v>172.58750000000001</v>
      </c>
      <c r="P9" s="128">
        <v>0</v>
      </c>
      <c r="Q9" s="128">
        <v>0</v>
      </c>
      <c r="R9" s="129"/>
      <c r="S9" s="128">
        <f>INDEX(Direct_Cost_Splits_Network,MATCH($H9,RIN_Asset_Cat_Network,0),MATCH($S$4,Direct_Cost_Type,0))*J9*HLOOKUP(S$5,Escalators!$I$25:$U$30,3,FALSE)</f>
        <v>0</v>
      </c>
      <c r="T9" s="128">
        <f>INDEX(Direct_Cost_Splits_Network,MATCH($H9,RIN_Asset_Cat_Network,0),MATCH($S$4,Direct_Cost_Type,0))*K9*HLOOKUP(T$5,Escalators!$I$25:$U$30,3,FALSE)</f>
        <v>108.76504049784914</v>
      </c>
      <c r="U9" s="128">
        <f>INDEX(Direct_Cost_Splits_Network,MATCH($H9,RIN_Asset_Cat_Network,0),MATCH($S$4,Direct_Cost_Type,0))*L9*HLOOKUP(U$5,Escalators!$I$25:$U$30,3,FALSE)</f>
        <v>229.29648271988501</v>
      </c>
      <c r="V9" s="128">
        <f>INDEX(Direct_Cost_Splits_Network,MATCH($H9,RIN_Asset_Cat_Network,0),MATCH($S$4,Direct_Cost_Type,0))*M9*HLOOKUP(V$5,Escalators!$I$25:$U$30,3,FALSE)</f>
        <v>656.19516796567029</v>
      </c>
      <c r="W9" s="128">
        <f>INDEX(Direct_Cost_Splits_Network,MATCH($H9,RIN_Asset_Cat_Network,0),MATCH($S$4,Direct_Cost_Type,0))*N9*HLOOKUP(W$5,Escalators!$I$25:$U$30,3,FALSE)</f>
        <v>390.28348898888675</v>
      </c>
      <c r="X9" s="128">
        <f>INDEX(Direct_Cost_Splits_Network,MATCH($H9,RIN_Asset_Cat_Network,0),MATCH($S$4,Direct_Cost_Type,0))*O9*HLOOKUP(X$5,Escalators!$I$25:$U$30,3,FALSE)</f>
        <v>17.488790292797102</v>
      </c>
      <c r="Y9" s="128">
        <f>INDEX(Direct_Cost_Splits_Network,MATCH($H9,RIN_Asset_Cat_Network,0),MATCH($S$4,Direct_Cost_Type,0))*P9*HLOOKUP(Y$5,Escalators!$I$25:$U$30,3,FALSE)</f>
        <v>0</v>
      </c>
      <c r="Z9" s="128">
        <f>INDEX(Direct_Cost_Splits_Network,MATCH($H9,RIN_Asset_Cat_Network,0),MATCH($S$4,Direct_Cost_Type,0))*Q9*HLOOKUP(Z$5,Escalators!$I$25:$U$30,3,FALSE)</f>
        <v>0</v>
      </c>
      <c r="AA9" s="129"/>
      <c r="AB9" s="128">
        <f>INDEX(Direct_Cost_Splits_Network,MATCH($H9,RIN_Asset_Cat_Network,0),MATCH($AG$4,Direct_Cost_Type,0))*$J9*INDEX(Act_Type_Repex_Splits,MATCH($I9,Act_Type_Repex,0),MATCH(AB$4,Mat_Type,0))*INDEX(Escalators!$I$44:$U$49,MATCH(AB$4,Escalators!$C$44:$C$49,0),MATCH(AB$5,Escalators!$I$43:$U$43,0))</f>
        <v>0</v>
      </c>
      <c r="AC9" s="128">
        <f>INDEX(Direct_Cost_Splits_Network,MATCH($H9,RIN_Asset_Cat_Network,0),MATCH($AG$4,Direct_Cost_Type,0))*$J9*INDEX(Act_Type_Repex_Splits,MATCH($I9,Act_Type_Repex,0),MATCH(AC$4,Mat_Type,0))*INDEX(Escalators!$I$44:$U$49,MATCH(AC$4,Escalators!$C$44:$C$49,0),MATCH(AC$5,Escalators!$I$43:$U$43,0))</f>
        <v>0</v>
      </c>
      <c r="AD9" s="128">
        <f>INDEX(Direct_Cost_Splits_Network,MATCH($H9,RIN_Asset_Cat_Network,0),MATCH($AG$4,Direct_Cost_Type,0))*$J9*INDEX(Act_Type_Repex_Splits,MATCH($I9,Act_Type_Repex,0),MATCH(AD$4,Mat_Type,0))*INDEX(Escalators!$I$44:$U$49,MATCH(AD$4,Escalators!$C$44:$C$49,0),MATCH(AD$5,Escalators!$I$43:$U$43,0))</f>
        <v>0</v>
      </c>
      <c r="AE9" s="128">
        <f>INDEX(Direct_Cost_Splits_Network,MATCH($H9,RIN_Asset_Cat_Network,0),MATCH($AG$4,Direct_Cost_Type,0))*$J9*INDEX(Act_Type_Repex_Splits,MATCH($I9,Act_Type_Repex,0),MATCH(AE$4,Mat_Type,0))*INDEX(Escalators!$I$44:$U$49,MATCH(AE$4,Escalators!$C$44:$C$49,0),MATCH(AE$5,Escalators!$I$43:$U$43,0))</f>
        <v>0</v>
      </c>
      <c r="AF9" s="128">
        <f>INDEX(Direct_Cost_Splits_Network,MATCH($H9,RIN_Asset_Cat_Network,0),MATCH($AG$4,Direct_Cost_Type,0))*$J9*INDEX(Act_Type_Repex_Splits,MATCH($I9,Act_Type_Repex,0),MATCH(AF$4,Mat_Type,0))*INDEX(Escalators!$I$44:$U$49,MATCH(AF$4,Escalators!$C$44:$C$49,0),MATCH(AF$5,Escalators!$I$43:$U$43,0))</f>
        <v>0</v>
      </c>
      <c r="AG9" s="128">
        <f t="shared" si="24"/>
        <v>0</v>
      </c>
      <c r="AH9" s="128">
        <f>INDEX(Direct_Cost_Splits_Network,MATCH($H9,RIN_Asset_Cat_Network,0),MATCH($AY$4,Direct_Cost_Type,0))*$K9*INDEX(Act_Type_Repex_Splits,MATCH($I9,Act_Type_Repex,0),MATCH(AH$4,Mat_Type,0))*INDEX(Escalators!$I$44:$U$49,MATCH(AH$4,Escalators!$C$44:$C$49,0),MATCH(AH$5,Escalators!$I$43:$U$43,0))</f>
        <v>11.764603008069484</v>
      </c>
      <c r="AI9" s="128">
        <f>INDEX(Direct_Cost_Splits_Network,MATCH($H9,RIN_Asset_Cat_Network,0),MATCH($AY$4,Direct_Cost_Type,0))*$K9*INDEX(Act_Type_Repex_Splits,MATCH($I9,Act_Type_Repex,0),MATCH(AI$4,Mat_Type,0))*INDEX(Escalators!$I$44:$U$49,MATCH(AI$4,Escalators!$C$44:$C$49,0),MATCH(AI$5,Escalators!$I$43:$U$43,0))</f>
        <v>35.29380902420845</v>
      </c>
      <c r="AJ9" s="128">
        <f>INDEX(Direct_Cost_Splits_Network,MATCH($H9,RIN_Asset_Cat_Network,0),MATCH($AY$4,Direct_Cost_Type,0))*$K9*INDEX(Act_Type_Repex_Splits,MATCH($I9,Act_Type_Repex,0),MATCH(AJ$4,Mat_Type,0))*INDEX(Escalators!$I$44:$U$49,MATCH(AJ$4,Escalators!$C$44:$C$49,0),MATCH(AJ$5,Escalators!$I$43:$U$43,0))</f>
        <v>94.116824064555871</v>
      </c>
      <c r="AK9" s="128">
        <f>INDEX(Direct_Cost_Splits_Network,MATCH($H9,RIN_Asset_Cat_Network,0),MATCH($AY$4,Direct_Cost_Type,0))*$K9*INDEX(Act_Type_Repex_Splits,MATCH($I9,Act_Type_Repex,0),MATCH(AK$4,Mat_Type,0))*INDEX(Escalators!$I$44:$U$49,MATCH(AK$4,Escalators!$C$44:$C$49,0),MATCH(AK$5,Escalators!$I$43:$U$43,0))</f>
        <v>0</v>
      </c>
      <c r="AL9" s="128">
        <f>INDEX(Direct_Cost_Splits_Network,MATCH($H9,RIN_Asset_Cat_Network,0),MATCH($AY$4,Direct_Cost_Type,0))*$K9*INDEX(Act_Type_Repex_Splits,MATCH($I9,Act_Type_Repex,0),MATCH(AL$4,Mat_Type,0))*INDEX(Escalators!$I$44:$U$49,MATCH(AL$4,Escalators!$C$44:$C$49,0),MATCH(AL$5,Escalators!$I$43:$U$43,0))</f>
        <v>94.116824064555871</v>
      </c>
      <c r="AM9" s="128">
        <f t="shared" si="8"/>
        <v>235.29206016138966</v>
      </c>
      <c r="AN9" s="128">
        <f>INDEX(Direct_Cost_Splits_Network,MATCH($H9,RIN_Asset_Cat_Network,0),MATCH($AY$4,Direct_Cost_Type,0))*$L9*INDEX(Act_Type_Repex_Splits,MATCH($I9,Act_Type_Repex,0),MATCH(AN$4,Mat_Type,0))*INDEX(Escalators!$I$44:$U$49,MATCH(AN$4,Escalators!$C$44:$C$49,0),MATCH(AN$5,Escalators!$I$43:$U$43,0))</f>
        <v>24.858454975404687</v>
      </c>
      <c r="AO9" s="128">
        <f>INDEX(Direct_Cost_Splits_Network,MATCH($H9,RIN_Asset_Cat_Network,0),MATCH($AY$4,Direct_Cost_Type,0))*$L9*INDEX(Act_Type_Repex_Splits,MATCH($I9,Act_Type_Repex,0),MATCH(AO$4,Mat_Type,0))*INDEX(Escalators!$I$44:$U$49,MATCH(AO$4,Escalators!$C$44:$C$49,0),MATCH(AO$5,Escalators!$I$43:$U$43,0))</f>
        <v>74.57536492621405</v>
      </c>
      <c r="AP9" s="128">
        <f>INDEX(Direct_Cost_Splits_Network,MATCH($H9,RIN_Asset_Cat_Network,0),MATCH($AY$4,Direct_Cost_Type,0))*$L9*INDEX(Act_Type_Repex_Splits,MATCH($I9,Act_Type_Repex,0),MATCH(AP$4,Mat_Type,0))*INDEX(Escalators!$I$44:$U$49,MATCH(AP$4,Escalators!$C$44:$C$49,0),MATCH(AP$5,Escalators!$I$43:$U$43,0))</f>
        <v>198.86763980323749</v>
      </c>
      <c r="AQ9" s="128">
        <f>INDEX(Direct_Cost_Splits_Network,MATCH($H9,RIN_Asset_Cat_Network,0),MATCH($AY$4,Direct_Cost_Type,0))*$L9*INDEX(Act_Type_Repex_Splits,MATCH($I9,Act_Type_Repex,0),MATCH(AQ$4,Mat_Type,0))*INDEX(Escalators!$I$44:$U$49,MATCH(AQ$4,Escalators!$C$44:$C$49,0),MATCH(AQ$5,Escalators!$I$43:$U$43,0))</f>
        <v>0</v>
      </c>
      <c r="AR9" s="128">
        <f>INDEX(Direct_Cost_Splits_Network,MATCH($H9,RIN_Asset_Cat_Network,0),MATCH($AY$4,Direct_Cost_Type,0))*$L9*INDEX(Act_Type_Repex_Splits,MATCH($I9,Act_Type_Repex,0),MATCH(AR$4,Mat_Type,0))*INDEX(Escalators!$I$44:$U$49,MATCH(AR$4,Escalators!$C$44:$C$49,0),MATCH(AR$5,Escalators!$I$43:$U$43,0))</f>
        <v>198.86763980323749</v>
      </c>
      <c r="AS9" s="128">
        <f t="shared" si="9"/>
        <v>497.16909950809372</v>
      </c>
      <c r="AT9" s="128">
        <f>INDEX(Direct_Cost_Splits_Network,MATCH($H9,RIN_Asset_Cat_Network,0),MATCH($AY$4,Direct_Cost_Type,0))*$M9*INDEX(Act_Type_Repex_Splits,MATCH($I9,Act_Type_Repex,0),MATCH(AT$4,Mat_Type,0))*INDEX(Escalators!$I$44:$U$49,MATCH(AT$4,Escalators!$C$44:$C$49,0),MATCH(AT$5,Escalators!$I$43:$U$43,0))</f>
        <v>70.969940158788958</v>
      </c>
      <c r="AU9" s="128">
        <f>INDEX(Direct_Cost_Splits_Network,MATCH($H9,RIN_Asset_Cat_Network,0),MATCH($AY$4,Direct_Cost_Type,0))*$M9*INDEX(Act_Type_Repex_Splits,MATCH($I9,Act_Type_Repex,0),MATCH(AU$4,Mat_Type,0))*INDEX(Escalators!$I$44:$U$49,MATCH(AU$4,Escalators!$C$44:$C$49,0),MATCH(AU$5,Escalators!$I$43:$U$43,0))</f>
        <v>212.90982047636689</v>
      </c>
      <c r="AV9" s="128">
        <f>INDEX(Direct_Cost_Splits_Network,MATCH($H9,RIN_Asset_Cat_Network,0),MATCH($AY$4,Direct_Cost_Type,0))*$M9*INDEX(Act_Type_Repex_Splits,MATCH($I9,Act_Type_Repex,0),MATCH(AV$4,Mat_Type,0))*INDEX(Escalators!$I$44:$U$49,MATCH(AV$4,Escalators!$C$44:$C$49,0),MATCH(AV$5,Escalators!$I$43:$U$43,0))</f>
        <v>567.75952127031167</v>
      </c>
      <c r="AW9" s="128">
        <f>INDEX(Direct_Cost_Splits_Network,MATCH($H9,RIN_Asset_Cat_Network,0),MATCH($AY$4,Direct_Cost_Type,0))*$M9*INDEX(Act_Type_Repex_Splits,MATCH($I9,Act_Type_Repex,0),MATCH(AW$4,Mat_Type,0))*INDEX(Escalators!$I$44:$U$49,MATCH(AW$4,Escalators!$C$44:$C$49,0),MATCH(AW$5,Escalators!$I$43:$U$43,0))</f>
        <v>0</v>
      </c>
      <c r="AX9" s="128">
        <f>INDEX(Direct_Cost_Splits_Network,MATCH($H9,RIN_Asset_Cat_Network,0),MATCH($AY$4,Direct_Cost_Type,0))*$M9*INDEX(Act_Type_Repex_Splits,MATCH($I9,Act_Type_Repex,0),MATCH(AX$4,Mat_Type,0))*INDEX(Escalators!$I$44:$U$49,MATCH(AX$4,Escalators!$C$44:$C$49,0),MATCH(AX$5,Escalators!$I$43:$U$43,0))</f>
        <v>567.75952127031167</v>
      </c>
      <c r="AY9" s="128">
        <f t="shared" si="10"/>
        <v>1419.398803175779</v>
      </c>
      <c r="AZ9" s="128">
        <f>INDEX(Direct_Cost_Splits_Network,MATCH($H9,RIN_Asset_Cat_Network,0),MATCH($BE$4,Direct_Cost_Type,0))*$N9*INDEX(Act_Type_Repex_Splits,MATCH($I9,Act_Type_Repex,0),MATCH(AZ$4,Mat_Type,0))*INDEX(Escalators!$I$44:$U$49,MATCH(AZ$4,Escalators!$C$44:$C$49,0),MATCH(AZ$5,Escalators!$I$43:$U$43,0))</f>
        <v>42.316301217673619</v>
      </c>
      <c r="BA9" s="128">
        <f>INDEX(Direct_Cost_Splits_Network,MATCH($H9,RIN_Asset_Cat_Network,0),MATCH($BE$4,Direct_Cost_Type,0))*$N9*INDEX(Act_Type_Repex_Splits,MATCH($I9,Act_Type_Repex,0),MATCH(BA$4,Mat_Type,0))*INDEX(Escalators!$I$44:$U$49,MATCH(BA$4,Escalators!$C$44:$C$49,0),MATCH(BA$5,Escalators!$I$43:$U$43,0))</f>
        <v>126.94890365302085</v>
      </c>
      <c r="BB9" s="128">
        <f>INDEX(Direct_Cost_Splits_Network,MATCH($H9,RIN_Asset_Cat_Network,0),MATCH($BE$4,Direct_Cost_Type,0))*$N9*INDEX(Act_Type_Repex_Splits,MATCH($I9,Act_Type_Repex,0),MATCH(BB$4,Mat_Type,0))*INDEX(Escalators!$I$44:$U$49,MATCH(BB$4,Escalators!$C$44:$C$49,0),MATCH(BB$5,Escalators!$I$43:$U$43,0))</f>
        <v>338.53040974138895</v>
      </c>
      <c r="BC9" s="128">
        <f>INDEX(Direct_Cost_Splits_Network,MATCH($H9,RIN_Asset_Cat_Network,0),MATCH($BE$4,Direct_Cost_Type,0))*$N9*INDEX(Act_Type_Repex_Splits,MATCH($I9,Act_Type_Repex,0),MATCH(BC$4,Mat_Type,0))*INDEX(Escalators!$I$44:$U$49,MATCH(BC$4,Escalators!$C$44:$C$49,0),MATCH(BC$5,Escalators!$I$43:$U$43,0))</f>
        <v>0</v>
      </c>
      <c r="BD9" s="128">
        <f>INDEX(Direct_Cost_Splits_Network,MATCH($H9,RIN_Asset_Cat_Network,0),MATCH($BE$4,Direct_Cost_Type,0))*$N9*INDEX(Act_Type_Repex_Splits,MATCH($I9,Act_Type_Repex,0),MATCH(BD$4,Mat_Type,0))*INDEX(Escalators!$I$44:$U$49,MATCH(BD$4,Escalators!$C$44:$C$49,0),MATCH(BD$5,Escalators!$I$43:$U$43,0))</f>
        <v>338.53040974138895</v>
      </c>
      <c r="BE9" s="128">
        <f t="shared" si="25"/>
        <v>846.32602435347235</v>
      </c>
      <c r="BF9" s="128">
        <f>INDEX(Direct_Cost_Splits_Network,MATCH($H9,RIN_Asset_Cat_Network,0),MATCH($BK$4,Direct_Cost_Type,0))*$O9*INDEX(Act_Type_Repex_Splits,MATCH($I9,Act_Type_Repex,0),MATCH(BF$4,Mat_Type,0))*INDEX(Escalators!$I$44:$U$49,MATCH(BF$4,Escalators!$C$44:$C$49,0),MATCH(BF$5,Escalators!$I$43:$U$43,0))</f>
        <v>1.8975919828553196</v>
      </c>
      <c r="BG9" s="128">
        <f>INDEX(Direct_Cost_Splits_Network,MATCH($H9,RIN_Asset_Cat_Network,0),MATCH($BK$4,Direct_Cost_Type,0))*$O9*INDEX(Act_Type_Repex_Splits,MATCH($I9,Act_Type_Repex,0),MATCH(BG$4,Mat_Type,0))*INDEX(Escalators!$I$44:$U$49,MATCH(BG$4,Escalators!$C$44:$C$49,0),MATCH(BG$5,Escalators!$I$43:$U$43,0))</f>
        <v>5.6927759485659584</v>
      </c>
      <c r="BH9" s="128">
        <f>INDEX(Direct_Cost_Splits_Network,MATCH($H9,RIN_Asset_Cat_Network,0),MATCH($BK$4,Direct_Cost_Type,0))*$O9*INDEX(Act_Type_Repex_Splits,MATCH($I9,Act_Type_Repex,0),MATCH(BH$4,Mat_Type,0))*INDEX(Escalators!$I$44:$U$49,MATCH(BH$4,Escalators!$C$44:$C$49,0),MATCH(BH$5,Escalators!$I$43:$U$43,0))</f>
        <v>15.180735862842557</v>
      </c>
      <c r="BI9" s="128">
        <f>INDEX(Direct_Cost_Splits_Network,MATCH($H9,RIN_Asset_Cat_Network,0),MATCH($BK$4,Direct_Cost_Type,0))*$O9*INDEX(Act_Type_Repex_Splits,MATCH($I9,Act_Type_Repex,0),MATCH(BI$4,Mat_Type,0))*INDEX(Escalators!$I$44:$U$49,MATCH(BI$4,Escalators!$C$44:$C$49,0),MATCH(BI$5,Escalators!$I$43:$U$43,0))</f>
        <v>0</v>
      </c>
      <c r="BJ9" s="128">
        <f>INDEX(Direct_Cost_Splits_Network,MATCH($H9,RIN_Asset_Cat_Network,0),MATCH($BK$4,Direct_Cost_Type,0))*$O9*INDEX(Act_Type_Repex_Splits,MATCH($I9,Act_Type_Repex,0),MATCH(BJ$4,Mat_Type,0))*INDEX(Escalators!$I$44:$U$49,MATCH(BJ$4,Escalators!$C$44:$C$49,0),MATCH(BJ$5,Escalators!$I$43:$U$43,0))</f>
        <v>15.180735862842557</v>
      </c>
      <c r="BK9" s="128">
        <f t="shared" si="26"/>
        <v>37.95183965710639</v>
      </c>
      <c r="BL9" s="128">
        <f>INDEX(Direct_Cost_Splits_Network,MATCH($H9,RIN_Asset_Cat_Network,0),MATCH($BQ$4,Direct_Cost_Type,0))*$P9*INDEX(Act_Type_Repex_Splits,MATCH($I9,Act_Type_Repex,0),MATCH(BL$4,Mat_Type,0))*INDEX(Escalators!$I$44:$U$49,MATCH(BL$4,Escalators!$C$44:$C$49,0),MATCH(BL$5,Escalators!$I$43:$U$43,0))</f>
        <v>0</v>
      </c>
      <c r="BM9" s="128">
        <f>INDEX(Direct_Cost_Splits_Network,MATCH($H9,RIN_Asset_Cat_Network,0),MATCH($BQ$4,Direct_Cost_Type,0))*$P9*INDEX(Act_Type_Repex_Splits,MATCH($I9,Act_Type_Repex,0),MATCH(BM$4,Mat_Type,0))*INDEX(Escalators!$I$44:$U$49,MATCH(BM$4,Escalators!$C$44:$C$49,0),MATCH(BM$5,Escalators!$I$43:$U$43,0))</f>
        <v>0</v>
      </c>
      <c r="BN9" s="128">
        <f>INDEX(Direct_Cost_Splits_Network,MATCH($H9,RIN_Asset_Cat_Network,0),MATCH($BQ$4,Direct_Cost_Type,0))*$P9*INDEX(Act_Type_Repex_Splits,MATCH($I9,Act_Type_Repex,0),MATCH(BN$4,Mat_Type,0))*INDEX(Escalators!$I$44:$U$49,MATCH(BN$4,Escalators!$C$44:$C$49,0),MATCH(BN$5,Escalators!$I$43:$U$43,0))</f>
        <v>0</v>
      </c>
      <c r="BO9" s="128">
        <f>INDEX(Direct_Cost_Splits_Network,MATCH($H9,RIN_Asset_Cat_Network,0),MATCH($BQ$4,Direct_Cost_Type,0))*$P9*INDEX(Act_Type_Repex_Splits,MATCH($I9,Act_Type_Repex,0),MATCH(BO$4,Mat_Type,0))*INDEX(Escalators!$I$44:$U$49,MATCH(BO$4,Escalators!$C$44:$C$49,0),MATCH(BO$5,Escalators!$I$43:$U$43,0))</f>
        <v>0</v>
      </c>
      <c r="BP9" s="128">
        <f>INDEX(Direct_Cost_Splits_Network,MATCH($H9,RIN_Asset_Cat_Network,0),MATCH($BQ$4,Direct_Cost_Type,0))*$P9*INDEX(Act_Type_Repex_Splits,MATCH($I9,Act_Type_Repex,0),MATCH(BP$4,Mat_Type,0))*INDEX(Escalators!$I$44:$U$49,MATCH(BP$4,Escalators!$C$44:$C$49,0),MATCH(BP$5,Escalators!$I$43:$U$43,0))</f>
        <v>0</v>
      </c>
      <c r="BQ9" s="128">
        <f t="shared" si="27"/>
        <v>0</v>
      </c>
      <c r="BR9" s="128">
        <f>INDEX(Direct_Cost_Splits_Network,MATCH($H9,RIN_Asset_Cat_Network,0),MATCH($BW$4,Direct_Cost_Type,0))*$Q9*INDEX(Act_Type_Repex_Splits,MATCH($I9,Act_Type_Repex,0),MATCH(BR$4,Mat_Type,0))*INDEX(Escalators!$I$44:$U$49,MATCH(BR$4,Escalators!$C$44:$C$49,0),MATCH(BR$5,Escalators!$I$43:$U$43,0))</f>
        <v>0</v>
      </c>
      <c r="BS9" s="128">
        <f>INDEX(Direct_Cost_Splits_Network,MATCH($H9,RIN_Asset_Cat_Network,0),MATCH($BW$4,Direct_Cost_Type,0))*$Q9*INDEX(Act_Type_Repex_Splits,MATCH($I9,Act_Type_Repex,0),MATCH(BS$4,Mat_Type,0))*INDEX(Escalators!$I$44:$U$49,MATCH(BS$4,Escalators!$C$44:$C$49,0),MATCH(BS$5,Escalators!$I$43:$U$43,0))</f>
        <v>0</v>
      </c>
      <c r="BT9" s="128">
        <f>INDEX(Direct_Cost_Splits_Network,MATCH($H9,RIN_Asset_Cat_Network,0),MATCH($BW$4,Direct_Cost_Type,0))*$Q9*INDEX(Act_Type_Repex_Splits,MATCH($I9,Act_Type_Repex,0),MATCH(BT$4,Mat_Type,0))*INDEX(Escalators!$I$44:$U$49,MATCH(BT$4,Escalators!$C$44:$C$49,0),MATCH(BT$5,Escalators!$I$43:$U$43,0))</f>
        <v>0</v>
      </c>
      <c r="BU9" s="128">
        <f>INDEX(Direct_Cost_Splits_Network,MATCH($H9,RIN_Asset_Cat_Network,0),MATCH($BW$4,Direct_Cost_Type,0))*$Q9*INDEX(Act_Type_Repex_Splits,MATCH($I9,Act_Type_Repex,0),MATCH(BU$4,Mat_Type,0))*INDEX(Escalators!$I$44:$U$49,MATCH(BU$4,Escalators!$C$44:$C$49,0),MATCH(BU$5,Escalators!$I$43:$U$43,0))</f>
        <v>0</v>
      </c>
      <c r="BV9" s="128">
        <f>INDEX(Direct_Cost_Splits_Network,MATCH($H9,RIN_Asset_Cat_Network,0),MATCH($BW$4,Direct_Cost_Type,0))*$Q9*INDEX(Act_Type_Repex_Splits,MATCH($I9,Act_Type_Repex,0),MATCH(BV$4,Mat_Type,0))*INDEX(Escalators!$I$44:$U$49,MATCH(BV$4,Escalators!$C$44:$C$49,0),MATCH(BV$5,Escalators!$I$43:$U$43,0))</f>
        <v>0</v>
      </c>
      <c r="BW9" s="128">
        <f t="shared" si="28"/>
        <v>0</v>
      </c>
      <c r="BX9" s="129"/>
      <c r="BY9" s="128">
        <f>INDEX(Direct_Cost_Splits_Network,MATCH($H9,RIN_Asset_Cat_Network,0),MATCH($BY$4,Direct_Cost_Type,0))*J9*HLOOKUP(BY$5,Escalators!$I$25:$U$30,6,FALSE)</f>
        <v>0</v>
      </c>
      <c r="BZ9" s="128">
        <f>INDEX(Direct_Cost_Splits_Network,MATCH($H9,RIN_Asset_Cat_Network,0),MATCH($BY$4,Direct_Cost_Type,0))*K9*HLOOKUP(BZ$5,Escalators!$I$25:$U$30,6,FALSE)</f>
        <v>630.3161807331104</v>
      </c>
      <c r="CA9" s="128">
        <f>INDEX(Direct_Cost_Splits_Network,MATCH($H9,RIN_Asset_Cat_Network,0),MATCH($BY$4,Direct_Cost_Type,0))*L9*HLOOKUP(CA$5,Escalators!$I$25:$U$30,6,FALSE)</f>
        <v>1331.8499900315996</v>
      </c>
      <c r="CB9" s="128">
        <f>INDEX(Direct_Cost_Splits_Network,MATCH($H9,RIN_Asset_Cat_Network,0),MATCH($BY$4,Direct_Cost_Type,0))*M9*HLOOKUP(CB$5,Escalators!$I$25:$U$30,6,FALSE)</f>
        <v>3802.380887571132</v>
      </c>
      <c r="CC9" s="128">
        <f>INDEX(Direct_Cost_Splits_Network,MATCH($H9,RIN_Asset_Cat_Network,0),MATCH($BY$4,Direct_Cost_Type,0))*N9*HLOOKUP(CC$5,Escalators!$I$25:$U$30,6,FALSE)</f>
        <v>2267.1950211988296</v>
      </c>
      <c r="CD9" s="128">
        <f>INDEX(Direct_Cost_Splits_Network,MATCH($H9,RIN_Asset_Cat_Network,0),MATCH($BY$4,Direct_Cost_Type,0))*O9*HLOOKUP(CD$5,Escalators!$I$25:$U$30,6,FALSE)</f>
        <v>101.66793817035112</v>
      </c>
      <c r="CE9" s="128">
        <f>INDEX(Direct_Cost_Splits_Network,MATCH($H9,RIN_Asset_Cat_Network,0),MATCH($BY$4,Direct_Cost_Type,0))*P9*HLOOKUP(CE$5,Escalators!$I$25:$U$30,6,FALSE)</f>
        <v>0</v>
      </c>
      <c r="CF9" s="128">
        <f>INDEX(Direct_Cost_Splits_Network,MATCH($H9,RIN_Asset_Cat_Network,0),MATCH($BY$4,Direct_Cost_Type,0))*Q9*HLOOKUP(CF$5,Escalators!$I$25:$U$30,6,FALSE)</f>
        <v>0</v>
      </c>
      <c r="CG9" s="129"/>
      <c r="CH9" s="763">
        <f t="shared" si="11"/>
        <v>0</v>
      </c>
      <c r="CI9" s="763">
        <f t="shared" si="12"/>
        <v>97.544572476894828</v>
      </c>
      <c r="CJ9" s="763">
        <f t="shared" si="12"/>
        <v>206.11042815034091</v>
      </c>
      <c r="CK9" s="763">
        <f t="shared" si="13"/>
        <v>588.43740555898853</v>
      </c>
      <c r="CL9" s="763">
        <f t="shared" si="14"/>
        <v>350.8597364696642</v>
      </c>
      <c r="CM9" s="763">
        <f t="shared" si="15"/>
        <v>15.733620469491671</v>
      </c>
      <c r="CN9" s="763">
        <f t="shared" si="16"/>
        <v>0</v>
      </c>
      <c r="CO9" s="763">
        <f t="shared" si="17"/>
        <v>0</v>
      </c>
      <c r="CP9" s="129"/>
      <c r="CQ9" s="128">
        <f t="shared" si="18"/>
        <v>0</v>
      </c>
      <c r="CR9" s="128">
        <f t="shared" si="29"/>
        <v>1071.917853869244</v>
      </c>
      <c r="CS9" s="128">
        <f t="shared" si="30"/>
        <v>2264.4260004099192</v>
      </c>
      <c r="CT9" s="128">
        <f t="shared" si="19"/>
        <v>6466.4122642715702</v>
      </c>
      <c r="CU9" s="128">
        <f t="shared" si="20"/>
        <v>3854.6642710108531</v>
      </c>
      <c r="CV9" s="128">
        <f t="shared" si="21"/>
        <v>172.84218858974631</v>
      </c>
      <c r="CW9" s="128">
        <f t="shared" si="22"/>
        <v>0</v>
      </c>
      <c r="CX9" s="128">
        <f t="shared" si="23"/>
        <v>0</v>
      </c>
      <c r="CY9" s="129"/>
      <c r="CZ9" s="128">
        <f t="shared" si="31"/>
        <v>10476.061250000001</v>
      </c>
      <c r="DA9" s="128">
        <f t="shared" si="32"/>
        <v>10493.91872387217</v>
      </c>
      <c r="DB9" s="128">
        <f>DA9*Escalators!$M$17</f>
        <v>11015.296799583977</v>
      </c>
      <c r="DC9" s="128">
        <f>SUMPRODUCT(1+AusNet_Overheads!$K$20:$O$20,CT9:CX9)</f>
        <v>11708.75593424301</v>
      </c>
      <c r="DD9" s="128">
        <f>DC9*Escalators!$M$17</f>
        <v>12290.491775601065</v>
      </c>
      <c r="DE9" s="157"/>
      <c r="DF9" s="157"/>
      <c r="DG9" s="201"/>
      <c r="DH9" s="262"/>
    </row>
    <row r="10" spans="2:112" x14ac:dyDescent="0.25">
      <c r="B10" s="75" t="s">
        <v>435</v>
      </c>
      <c r="C10" s="75" t="s">
        <v>436</v>
      </c>
      <c r="D10" s="75" t="s">
        <v>107</v>
      </c>
      <c r="E10" s="75" t="s">
        <v>44</v>
      </c>
      <c r="F10" s="75" t="s">
        <v>131</v>
      </c>
      <c r="G10" s="75" t="s">
        <v>150</v>
      </c>
      <c r="H10" s="75" t="s">
        <v>176</v>
      </c>
      <c r="I10" s="75" t="s">
        <v>250</v>
      </c>
      <c r="J10" s="128"/>
      <c r="K10" s="128">
        <v>0</v>
      </c>
      <c r="L10" s="128">
        <v>0</v>
      </c>
      <c r="M10" s="128">
        <v>0</v>
      </c>
      <c r="N10" s="128">
        <v>0</v>
      </c>
      <c r="O10" s="128">
        <v>0</v>
      </c>
      <c r="P10" s="128">
        <v>111.5</v>
      </c>
      <c r="Q10" s="128">
        <v>2578.4375</v>
      </c>
      <c r="R10" s="129"/>
      <c r="S10" s="128">
        <f>INDEX(Direct_Cost_Splits_Network,MATCH($H10,RIN_Asset_Cat_Network,0),MATCH($S$4,Direct_Cost_Type,0))*J10*HLOOKUP(S$5,Escalators!$I$25:$U$30,3,FALSE)</f>
        <v>0</v>
      </c>
      <c r="T10" s="128">
        <f>INDEX(Direct_Cost_Splits_Network,MATCH($H10,RIN_Asset_Cat_Network,0),MATCH($S$4,Direct_Cost_Type,0))*K10*HLOOKUP(T$5,Escalators!$I$25:$U$30,3,FALSE)</f>
        <v>0</v>
      </c>
      <c r="U10" s="128">
        <f>INDEX(Direct_Cost_Splits_Network,MATCH($H10,RIN_Asset_Cat_Network,0),MATCH($S$4,Direct_Cost_Type,0))*L10*HLOOKUP(U$5,Escalators!$I$25:$U$30,3,FALSE)</f>
        <v>0</v>
      </c>
      <c r="V10" s="128">
        <f>INDEX(Direct_Cost_Splits_Network,MATCH($H10,RIN_Asset_Cat_Network,0),MATCH($S$4,Direct_Cost_Type,0))*M10*HLOOKUP(V$5,Escalators!$I$25:$U$30,3,FALSE)</f>
        <v>0</v>
      </c>
      <c r="W10" s="128">
        <f>INDEX(Direct_Cost_Splits_Network,MATCH($H10,RIN_Asset_Cat_Network,0),MATCH($S$4,Direct_Cost_Type,0))*N10*HLOOKUP(W$5,Escalators!$I$25:$U$30,3,FALSE)</f>
        <v>0</v>
      </c>
      <c r="X10" s="128">
        <f>INDEX(Direct_Cost_Splits_Network,MATCH($H10,RIN_Asset_Cat_Network,0),MATCH($S$4,Direct_Cost_Type,0))*O10*HLOOKUP(X$5,Escalators!$I$25:$U$30,3,FALSE)</f>
        <v>0</v>
      </c>
      <c r="Y10" s="128">
        <f>INDEX(Direct_Cost_Splits_Network,MATCH($H10,RIN_Asset_Cat_Network,0),MATCH($S$4,Direct_Cost_Type,0))*P10*HLOOKUP(Y$5,Escalators!$I$25:$U$30,3,FALSE)</f>
        <v>11.340114302398771</v>
      </c>
      <c r="Z10" s="128">
        <f>INDEX(Direct_Cost_Splits_Network,MATCH($H10,RIN_Asset_Cat_Network,0),MATCH($S$4,Direct_Cost_Type,0))*Q10*HLOOKUP(Z$5,Escalators!$I$25:$U$30,3,FALSE)</f>
        <v>264.85361110024712</v>
      </c>
      <c r="AA10" s="129"/>
      <c r="AB10" s="128">
        <f>INDEX(Direct_Cost_Splits_Network,MATCH($H10,RIN_Asset_Cat_Network,0),MATCH($AG$4,Direct_Cost_Type,0))*$J10*INDEX(Act_Type_Repex_Splits,MATCH($I10,Act_Type_Repex,0),MATCH(AB$4,Mat_Type,0))*INDEX(Escalators!$I$44:$U$49,MATCH(AB$4,Escalators!$C$44:$C$49,0),MATCH(AB$5,Escalators!$I$43:$U$43,0))</f>
        <v>0</v>
      </c>
      <c r="AC10" s="128">
        <f>INDEX(Direct_Cost_Splits_Network,MATCH($H10,RIN_Asset_Cat_Network,0),MATCH($AG$4,Direct_Cost_Type,0))*$J10*INDEX(Act_Type_Repex_Splits,MATCH($I10,Act_Type_Repex,0),MATCH(AC$4,Mat_Type,0))*INDEX(Escalators!$I$44:$U$49,MATCH(AC$4,Escalators!$C$44:$C$49,0),MATCH(AC$5,Escalators!$I$43:$U$43,0))</f>
        <v>0</v>
      </c>
      <c r="AD10" s="128">
        <f>INDEX(Direct_Cost_Splits_Network,MATCH($H10,RIN_Asset_Cat_Network,0),MATCH($AG$4,Direct_Cost_Type,0))*$J10*INDEX(Act_Type_Repex_Splits,MATCH($I10,Act_Type_Repex,0),MATCH(AD$4,Mat_Type,0))*INDEX(Escalators!$I$44:$U$49,MATCH(AD$4,Escalators!$C$44:$C$49,0),MATCH(AD$5,Escalators!$I$43:$U$43,0))</f>
        <v>0</v>
      </c>
      <c r="AE10" s="128">
        <f>INDEX(Direct_Cost_Splits_Network,MATCH($H10,RIN_Asset_Cat_Network,0),MATCH($AG$4,Direct_Cost_Type,0))*$J10*INDEX(Act_Type_Repex_Splits,MATCH($I10,Act_Type_Repex,0),MATCH(AE$4,Mat_Type,0))*INDEX(Escalators!$I$44:$U$49,MATCH(AE$4,Escalators!$C$44:$C$49,0),MATCH(AE$5,Escalators!$I$43:$U$43,0))</f>
        <v>0</v>
      </c>
      <c r="AF10" s="128">
        <f>INDEX(Direct_Cost_Splits_Network,MATCH($H10,RIN_Asset_Cat_Network,0),MATCH($AG$4,Direct_Cost_Type,0))*$J10*INDEX(Act_Type_Repex_Splits,MATCH($I10,Act_Type_Repex,0),MATCH(AF$4,Mat_Type,0))*INDEX(Escalators!$I$44:$U$49,MATCH(AF$4,Escalators!$C$44:$C$49,0),MATCH(AF$5,Escalators!$I$43:$U$43,0))</f>
        <v>0</v>
      </c>
      <c r="AG10" s="128">
        <f t="shared" si="24"/>
        <v>0</v>
      </c>
      <c r="AH10" s="128">
        <f>INDEX(Direct_Cost_Splits_Network,MATCH($H10,RIN_Asset_Cat_Network,0),MATCH($AY$4,Direct_Cost_Type,0))*$K10*INDEX(Act_Type_Repex_Splits,MATCH($I10,Act_Type_Repex,0),MATCH(AH$4,Mat_Type,0))*INDEX(Escalators!$I$44:$U$49,MATCH(AH$4,Escalators!$C$44:$C$49,0),MATCH(AH$5,Escalators!$I$43:$U$43,0))</f>
        <v>0</v>
      </c>
      <c r="AI10" s="128">
        <f>INDEX(Direct_Cost_Splits_Network,MATCH($H10,RIN_Asset_Cat_Network,0),MATCH($AY$4,Direct_Cost_Type,0))*$K10*INDEX(Act_Type_Repex_Splits,MATCH($I10,Act_Type_Repex,0),MATCH(AI$4,Mat_Type,0))*INDEX(Escalators!$I$44:$U$49,MATCH(AI$4,Escalators!$C$44:$C$49,0),MATCH(AI$5,Escalators!$I$43:$U$43,0))</f>
        <v>0</v>
      </c>
      <c r="AJ10" s="128">
        <f>INDEX(Direct_Cost_Splits_Network,MATCH($H10,RIN_Asset_Cat_Network,0),MATCH($AY$4,Direct_Cost_Type,0))*$K10*INDEX(Act_Type_Repex_Splits,MATCH($I10,Act_Type_Repex,0),MATCH(AJ$4,Mat_Type,0))*INDEX(Escalators!$I$44:$U$49,MATCH(AJ$4,Escalators!$C$44:$C$49,0),MATCH(AJ$5,Escalators!$I$43:$U$43,0))</f>
        <v>0</v>
      </c>
      <c r="AK10" s="128">
        <f>INDEX(Direct_Cost_Splits_Network,MATCH($H10,RIN_Asset_Cat_Network,0),MATCH($AY$4,Direct_Cost_Type,0))*$K10*INDEX(Act_Type_Repex_Splits,MATCH($I10,Act_Type_Repex,0),MATCH(AK$4,Mat_Type,0))*INDEX(Escalators!$I$44:$U$49,MATCH(AK$4,Escalators!$C$44:$C$49,0),MATCH(AK$5,Escalators!$I$43:$U$43,0))</f>
        <v>0</v>
      </c>
      <c r="AL10" s="128">
        <f>INDEX(Direct_Cost_Splits_Network,MATCH($H10,RIN_Asset_Cat_Network,0),MATCH($AY$4,Direct_Cost_Type,0))*$K10*INDEX(Act_Type_Repex_Splits,MATCH($I10,Act_Type_Repex,0),MATCH(AL$4,Mat_Type,0))*INDEX(Escalators!$I$44:$U$49,MATCH(AL$4,Escalators!$C$44:$C$49,0),MATCH(AL$5,Escalators!$I$43:$U$43,0))</f>
        <v>0</v>
      </c>
      <c r="AM10" s="128">
        <f t="shared" si="8"/>
        <v>0</v>
      </c>
      <c r="AN10" s="128">
        <f>INDEX(Direct_Cost_Splits_Network,MATCH($H10,RIN_Asset_Cat_Network,0),MATCH($AY$4,Direct_Cost_Type,0))*$L10*INDEX(Act_Type_Repex_Splits,MATCH($I10,Act_Type_Repex,0),MATCH(AN$4,Mat_Type,0))*INDEX(Escalators!$I$44:$U$49,MATCH(AN$4,Escalators!$C$44:$C$49,0),MATCH(AN$5,Escalators!$I$43:$U$43,0))</f>
        <v>0</v>
      </c>
      <c r="AO10" s="128">
        <f>INDEX(Direct_Cost_Splits_Network,MATCH($H10,RIN_Asset_Cat_Network,0),MATCH($AY$4,Direct_Cost_Type,0))*$L10*INDEX(Act_Type_Repex_Splits,MATCH($I10,Act_Type_Repex,0),MATCH(AO$4,Mat_Type,0))*INDEX(Escalators!$I$44:$U$49,MATCH(AO$4,Escalators!$C$44:$C$49,0),MATCH(AO$5,Escalators!$I$43:$U$43,0))</f>
        <v>0</v>
      </c>
      <c r="AP10" s="128">
        <f>INDEX(Direct_Cost_Splits_Network,MATCH($H10,RIN_Asset_Cat_Network,0),MATCH($AY$4,Direct_Cost_Type,0))*$L10*INDEX(Act_Type_Repex_Splits,MATCH($I10,Act_Type_Repex,0),MATCH(AP$4,Mat_Type,0))*INDEX(Escalators!$I$44:$U$49,MATCH(AP$4,Escalators!$C$44:$C$49,0),MATCH(AP$5,Escalators!$I$43:$U$43,0))</f>
        <v>0</v>
      </c>
      <c r="AQ10" s="128">
        <f>INDEX(Direct_Cost_Splits_Network,MATCH($H10,RIN_Asset_Cat_Network,0),MATCH($AY$4,Direct_Cost_Type,0))*$L10*INDEX(Act_Type_Repex_Splits,MATCH($I10,Act_Type_Repex,0),MATCH(AQ$4,Mat_Type,0))*INDEX(Escalators!$I$44:$U$49,MATCH(AQ$4,Escalators!$C$44:$C$49,0),MATCH(AQ$5,Escalators!$I$43:$U$43,0))</f>
        <v>0</v>
      </c>
      <c r="AR10" s="128">
        <f>INDEX(Direct_Cost_Splits_Network,MATCH($H10,RIN_Asset_Cat_Network,0),MATCH($AY$4,Direct_Cost_Type,0))*$L10*INDEX(Act_Type_Repex_Splits,MATCH($I10,Act_Type_Repex,0),MATCH(AR$4,Mat_Type,0))*INDEX(Escalators!$I$44:$U$49,MATCH(AR$4,Escalators!$C$44:$C$49,0),MATCH(AR$5,Escalators!$I$43:$U$43,0))</f>
        <v>0</v>
      </c>
      <c r="AS10" s="128">
        <f t="shared" si="9"/>
        <v>0</v>
      </c>
      <c r="AT10" s="128">
        <f>INDEX(Direct_Cost_Splits_Network,MATCH($H10,RIN_Asset_Cat_Network,0),MATCH($AY$4,Direct_Cost_Type,0))*$M10*INDEX(Act_Type_Repex_Splits,MATCH($I10,Act_Type_Repex,0),MATCH(AT$4,Mat_Type,0))*INDEX(Escalators!$I$44:$U$49,MATCH(AT$4,Escalators!$C$44:$C$49,0),MATCH(AT$5,Escalators!$I$43:$U$43,0))</f>
        <v>0</v>
      </c>
      <c r="AU10" s="128">
        <f>INDEX(Direct_Cost_Splits_Network,MATCH($H10,RIN_Asset_Cat_Network,0),MATCH($AY$4,Direct_Cost_Type,0))*$M10*INDEX(Act_Type_Repex_Splits,MATCH($I10,Act_Type_Repex,0),MATCH(AU$4,Mat_Type,0))*INDEX(Escalators!$I$44:$U$49,MATCH(AU$4,Escalators!$C$44:$C$49,0),MATCH(AU$5,Escalators!$I$43:$U$43,0))</f>
        <v>0</v>
      </c>
      <c r="AV10" s="128">
        <f>INDEX(Direct_Cost_Splits_Network,MATCH($H10,RIN_Asset_Cat_Network,0),MATCH($AY$4,Direct_Cost_Type,0))*$M10*INDEX(Act_Type_Repex_Splits,MATCH($I10,Act_Type_Repex,0),MATCH(AV$4,Mat_Type,0))*INDEX(Escalators!$I$44:$U$49,MATCH(AV$4,Escalators!$C$44:$C$49,0),MATCH(AV$5,Escalators!$I$43:$U$43,0))</f>
        <v>0</v>
      </c>
      <c r="AW10" s="128">
        <f>INDEX(Direct_Cost_Splits_Network,MATCH($H10,RIN_Asset_Cat_Network,0),MATCH($AY$4,Direct_Cost_Type,0))*$M10*INDEX(Act_Type_Repex_Splits,MATCH($I10,Act_Type_Repex,0),MATCH(AW$4,Mat_Type,0))*INDEX(Escalators!$I$44:$U$49,MATCH(AW$4,Escalators!$C$44:$C$49,0),MATCH(AW$5,Escalators!$I$43:$U$43,0))</f>
        <v>0</v>
      </c>
      <c r="AX10" s="128">
        <f>INDEX(Direct_Cost_Splits_Network,MATCH($H10,RIN_Asset_Cat_Network,0),MATCH($AY$4,Direct_Cost_Type,0))*$M10*INDEX(Act_Type_Repex_Splits,MATCH($I10,Act_Type_Repex,0),MATCH(AX$4,Mat_Type,0))*INDEX(Escalators!$I$44:$U$49,MATCH(AX$4,Escalators!$C$44:$C$49,0),MATCH(AX$5,Escalators!$I$43:$U$43,0))</f>
        <v>0</v>
      </c>
      <c r="AY10" s="128">
        <f t="shared" si="10"/>
        <v>0</v>
      </c>
      <c r="AZ10" s="128">
        <f>INDEX(Direct_Cost_Splits_Network,MATCH($H10,RIN_Asset_Cat_Network,0),MATCH($BE$4,Direct_Cost_Type,0))*$N10*INDEX(Act_Type_Repex_Splits,MATCH($I10,Act_Type_Repex,0),MATCH(AZ$4,Mat_Type,0))*INDEX(Escalators!$I$44:$U$49,MATCH(AZ$4,Escalators!$C$44:$C$49,0),MATCH(AZ$5,Escalators!$I$43:$U$43,0))</f>
        <v>0</v>
      </c>
      <c r="BA10" s="128">
        <f>INDEX(Direct_Cost_Splits_Network,MATCH($H10,RIN_Asset_Cat_Network,0),MATCH($BE$4,Direct_Cost_Type,0))*$N10*INDEX(Act_Type_Repex_Splits,MATCH($I10,Act_Type_Repex,0),MATCH(BA$4,Mat_Type,0))*INDEX(Escalators!$I$44:$U$49,MATCH(BA$4,Escalators!$C$44:$C$49,0),MATCH(BA$5,Escalators!$I$43:$U$43,0))</f>
        <v>0</v>
      </c>
      <c r="BB10" s="128">
        <f>INDEX(Direct_Cost_Splits_Network,MATCH($H10,RIN_Asset_Cat_Network,0),MATCH($BE$4,Direct_Cost_Type,0))*$N10*INDEX(Act_Type_Repex_Splits,MATCH($I10,Act_Type_Repex,0),MATCH(BB$4,Mat_Type,0))*INDEX(Escalators!$I$44:$U$49,MATCH(BB$4,Escalators!$C$44:$C$49,0),MATCH(BB$5,Escalators!$I$43:$U$43,0))</f>
        <v>0</v>
      </c>
      <c r="BC10" s="128">
        <f>INDEX(Direct_Cost_Splits_Network,MATCH($H10,RIN_Asset_Cat_Network,0),MATCH($BE$4,Direct_Cost_Type,0))*$N10*INDEX(Act_Type_Repex_Splits,MATCH($I10,Act_Type_Repex,0),MATCH(BC$4,Mat_Type,0))*INDEX(Escalators!$I$44:$U$49,MATCH(BC$4,Escalators!$C$44:$C$49,0),MATCH(BC$5,Escalators!$I$43:$U$43,0))</f>
        <v>0</v>
      </c>
      <c r="BD10" s="128">
        <f>INDEX(Direct_Cost_Splits_Network,MATCH($H10,RIN_Asset_Cat_Network,0),MATCH($BE$4,Direct_Cost_Type,0))*$N10*INDEX(Act_Type_Repex_Splits,MATCH($I10,Act_Type_Repex,0),MATCH(BD$4,Mat_Type,0))*INDEX(Escalators!$I$44:$U$49,MATCH(BD$4,Escalators!$C$44:$C$49,0),MATCH(BD$5,Escalators!$I$43:$U$43,0))</f>
        <v>0</v>
      </c>
      <c r="BE10" s="128">
        <f t="shared" si="25"/>
        <v>0</v>
      </c>
      <c r="BF10" s="128">
        <f>INDEX(Direct_Cost_Splits_Network,MATCH($H10,RIN_Asset_Cat_Network,0),MATCH($BK$4,Direct_Cost_Type,0))*$O10*INDEX(Act_Type_Repex_Splits,MATCH($I10,Act_Type_Repex,0),MATCH(BF$4,Mat_Type,0))*INDEX(Escalators!$I$44:$U$49,MATCH(BF$4,Escalators!$C$44:$C$49,0),MATCH(BF$5,Escalators!$I$43:$U$43,0))</f>
        <v>0</v>
      </c>
      <c r="BG10" s="128">
        <f>INDEX(Direct_Cost_Splits_Network,MATCH($H10,RIN_Asset_Cat_Network,0),MATCH($BK$4,Direct_Cost_Type,0))*$O10*INDEX(Act_Type_Repex_Splits,MATCH($I10,Act_Type_Repex,0),MATCH(BG$4,Mat_Type,0))*INDEX(Escalators!$I$44:$U$49,MATCH(BG$4,Escalators!$C$44:$C$49,0),MATCH(BG$5,Escalators!$I$43:$U$43,0))</f>
        <v>0</v>
      </c>
      <c r="BH10" s="128">
        <f>INDEX(Direct_Cost_Splits_Network,MATCH($H10,RIN_Asset_Cat_Network,0),MATCH($BK$4,Direct_Cost_Type,0))*$O10*INDEX(Act_Type_Repex_Splits,MATCH($I10,Act_Type_Repex,0),MATCH(BH$4,Mat_Type,0))*INDEX(Escalators!$I$44:$U$49,MATCH(BH$4,Escalators!$C$44:$C$49,0),MATCH(BH$5,Escalators!$I$43:$U$43,0))</f>
        <v>0</v>
      </c>
      <c r="BI10" s="128">
        <f>INDEX(Direct_Cost_Splits_Network,MATCH($H10,RIN_Asset_Cat_Network,0),MATCH($BK$4,Direct_Cost_Type,0))*$O10*INDEX(Act_Type_Repex_Splits,MATCH($I10,Act_Type_Repex,0),MATCH(BI$4,Mat_Type,0))*INDEX(Escalators!$I$44:$U$49,MATCH(BI$4,Escalators!$C$44:$C$49,0),MATCH(BI$5,Escalators!$I$43:$U$43,0))</f>
        <v>0</v>
      </c>
      <c r="BJ10" s="128">
        <f>INDEX(Direct_Cost_Splits_Network,MATCH($H10,RIN_Asset_Cat_Network,0),MATCH($BK$4,Direct_Cost_Type,0))*$O10*INDEX(Act_Type_Repex_Splits,MATCH($I10,Act_Type_Repex,0),MATCH(BJ$4,Mat_Type,0))*INDEX(Escalators!$I$44:$U$49,MATCH(BJ$4,Escalators!$C$44:$C$49,0),MATCH(BJ$5,Escalators!$I$43:$U$43,0))</f>
        <v>0</v>
      </c>
      <c r="BK10" s="128">
        <f t="shared" si="26"/>
        <v>0</v>
      </c>
      <c r="BL10" s="128">
        <f>INDEX(Direct_Cost_Splits_Network,MATCH($H10,RIN_Asset_Cat_Network,0),MATCH($BQ$4,Direct_Cost_Type,0))*$P10*INDEX(Act_Type_Repex_Splits,MATCH($I10,Act_Type_Repex,0),MATCH(BL$4,Mat_Type,0))*INDEX(Escalators!$I$44:$U$49,MATCH(BL$4,Escalators!$C$44:$C$49,0),MATCH(BL$5,Escalators!$I$43:$U$43,0))</f>
        <v>1.2259376031773339</v>
      </c>
      <c r="BM10" s="128">
        <f>INDEX(Direct_Cost_Splits_Network,MATCH($H10,RIN_Asset_Cat_Network,0),MATCH($BQ$4,Direct_Cost_Type,0))*$P10*INDEX(Act_Type_Repex_Splits,MATCH($I10,Act_Type_Repex,0),MATCH(BM$4,Mat_Type,0))*INDEX(Escalators!$I$44:$U$49,MATCH(BM$4,Escalators!$C$44:$C$49,0),MATCH(BM$5,Escalators!$I$43:$U$43,0))</f>
        <v>3.6778128095320017</v>
      </c>
      <c r="BN10" s="128">
        <f>INDEX(Direct_Cost_Splits_Network,MATCH($H10,RIN_Asset_Cat_Network,0),MATCH($BQ$4,Direct_Cost_Type,0))*$P10*INDEX(Act_Type_Repex_Splits,MATCH($I10,Act_Type_Repex,0),MATCH(BN$4,Mat_Type,0))*INDEX(Escalators!$I$44:$U$49,MATCH(BN$4,Escalators!$C$44:$C$49,0),MATCH(BN$5,Escalators!$I$43:$U$43,0))</f>
        <v>9.8075008254186713</v>
      </c>
      <c r="BO10" s="128">
        <f>INDEX(Direct_Cost_Splits_Network,MATCH($H10,RIN_Asset_Cat_Network,0),MATCH($BQ$4,Direct_Cost_Type,0))*$P10*INDEX(Act_Type_Repex_Splits,MATCH($I10,Act_Type_Repex,0),MATCH(BO$4,Mat_Type,0))*INDEX(Escalators!$I$44:$U$49,MATCH(BO$4,Escalators!$C$44:$C$49,0),MATCH(BO$5,Escalators!$I$43:$U$43,0))</f>
        <v>0</v>
      </c>
      <c r="BP10" s="128">
        <f>INDEX(Direct_Cost_Splits_Network,MATCH($H10,RIN_Asset_Cat_Network,0),MATCH($BQ$4,Direct_Cost_Type,0))*$P10*INDEX(Act_Type_Repex_Splits,MATCH($I10,Act_Type_Repex,0),MATCH(BP$4,Mat_Type,0))*INDEX(Escalators!$I$44:$U$49,MATCH(BP$4,Escalators!$C$44:$C$49,0),MATCH(BP$5,Escalators!$I$43:$U$43,0))</f>
        <v>9.8075008254186713</v>
      </c>
      <c r="BQ10" s="128">
        <f t="shared" si="27"/>
        <v>24.518752063546678</v>
      </c>
      <c r="BR10" s="128">
        <f>INDEX(Direct_Cost_Splits_Network,MATCH($H10,RIN_Asset_Cat_Network,0),MATCH($BW$4,Direct_Cost_Type,0))*$Q10*INDEX(Act_Type_Repex_Splits,MATCH($I10,Act_Type_Repex,0),MATCH(BR$4,Mat_Type,0))*INDEX(Escalators!$I$44:$U$49,MATCH(BR$4,Escalators!$C$44:$C$49,0),MATCH(BR$5,Escalators!$I$43:$U$43,0))</f>
        <v>28.349807073475848</v>
      </c>
      <c r="BS10" s="128">
        <f>INDEX(Direct_Cost_Splits_Network,MATCH($H10,RIN_Asset_Cat_Network,0),MATCH($BW$4,Direct_Cost_Type,0))*$Q10*INDEX(Act_Type_Repex_Splits,MATCH($I10,Act_Type_Repex,0),MATCH(BS$4,Mat_Type,0))*INDEX(Escalators!$I$44:$U$49,MATCH(BS$4,Escalators!$C$44:$C$49,0),MATCH(BS$5,Escalators!$I$43:$U$43,0))</f>
        <v>85.049421220427533</v>
      </c>
      <c r="BT10" s="128">
        <f>INDEX(Direct_Cost_Splits_Network,MATCH($H10,RIN_Asset_Cat_Network,0),MATCH($BW$4,Direct_Cost_Type,0))*$Q10*INDEX(Act_Type_Repex_Splits,MATCH($I10,Act_Type_Repex,0),MATCH(BT$4,Mat_Type,0))*INDEX(Escalators!$I$44:$U$49,MATCH(BT$4,Escalators!$C$44:$C$49,0),MATCH(BT$5,Escalators!$I$43:$U$43,0))</f>
        <v>226.79845658780678</v>
      </c>
      <c r="BU10" s="128">
        <f>INDEX(Direct_Cost_Splits_Network,MATCH($H10,RIN_Asset_Cat_Network,0),MATCH($BW$4,Direct_Cost_Type,0))*$Q10*INDEX(Act_Type_Repex_Splits,MATCH($I10,Act_Type_Repex,0),MATCH(BU$4,Mat_Type,0))*INDEX(Escalators!$I$44:$U$49,MATCH(BU$4,Escalators!$C$44:$C$49,0),MATCH(BU$5,Escalators!$I$43:$U$43,0))</f>
        <v>0</v>
      </c>
      <c r="BV10" s="128">
        <f>INDEX(Direct_Cost_Splits_Network,MATCH($H10,RIN_Asset_Cat_Network,0),MATCH($BW$4,Direct_Cost_Type,0))*$Q10*INDEX(Act_Type_Repex_Splits,MATCH($I10,Act_Type_Repex,0),MATCH(BV$4,Mat_Type,0))*INDEX(Escalators!$I$44:$U$49,MATCH(BV$4,Escalators!$C$44:$C$49,0),MATCH(BV$5,Escalators!$I$43:$U$43,0))</f>
        <v>226.79845658780678</v>
      </c>
      <c r="BW10" s="128">
        <f t="shared" si="28"/>
        <v>566.99614146951694</v>
      </c>
      <c r="BX10" s="129"/>
      <c r="BY10" s="128">
        <f>INDEX(Direct_Cost_Splits_Network,MATCH($H10,RIN_Asset_Cat_Network,0),MATCH($BY$4,Direct_Cost_Type,0))*J10*HLOOKUP(BY$5,Escalators!$I$25:$U$30,6,FALSE)</f>
        <v>0</v>
      </c>
      <c r="BZ10" s="128">
        <f>INDEX(Direct_Cost_Splits_Network,MATCH($H10,RIN_Asset_Cat_Network,0),MATCH($BY$4,Direct_Cost_Type,0))*K10*HLOOKUP(BZ$5,Escalators!$I$25:$U$30,6,FALSE)</f>
        <v>0</v>
      </c>
      <c r="CA10" s="128">
        <f>INDEX(Direct_Cost_Splits_Network,MATCH($H10,RIN_Asset_Cat_Network,0),MATCH($BY$4,Direct_Cost_Type,0))*L10*HLOOKUP(CA$5,Escalators!$I$25:$U$30,6,FALSE)</f>
        <v>0</v>
      </c>
      <c r="CB10" s="128">
        <f>INDEX(Direct_Cost_Splits_Network,MATCH($H10,RIN_Asset_Cat_Network,0),MATCH($BY$4,Direct_Cost_Type,0))*M10*HLOOKUP(CB$5,Escalators!$I$25:$U$30,6,FALSE)</f>
        <v>0</v>
      </c>
      <c r="CC10" s="128">
        <f>INDEX(Direct_Cost_Splits_Network,MATCH($H10,RIN_Asset_Cat_Network,0),MATCH($BY$4,Direct_Cost_Type,0))*N10*HLOOKUP(CC$5,Escalators!$I$25:$U$30,6,FALSE)</f>
        <v>0</v>
      </c>
      <c r="CD10" s="128">
        <f>INDEX(Direct_Cost_Splits_Network,MATCH($H10,RIN_Asset_Cat_Network,0),MATCH($BY$4,Direct_Cost_Type,0))*O10*HLOOKUP(CD$5,Escalators!$I$25:$U$30,6,FALSE)</f>
        <v>0</v>
      </c>
      <c r="CE10" s="128">
        <f>INDEX(Direct_Cost_Splits_Network,MATCH($H10,RIN_Asset_Cat_Network,0),MATCH($BY$4,Direct_Cost_Type,0))*P10*HLOOKUP(CE$5,Escalators!$I$25:$U$30,6,FALSE)</f>
        <v>65.682480515646546</v>
      </c>
      <c r="CF10" s="128">
        <f>INDEX(Direct_Cost_Splits_Network,MATCH($H10,RIN_Asset_Cat_Network,0),MATCH($BY$4,Direct_Cost_Type,0))*Q10*HLOOKUP(CF$5,Escalators!$I$25:$U$30,6,FALSE)</f>
        <v>1518.9073619243266</v>
      </c>
      <c r="CG10" s="129"/>
      <c r="CH10" s="763">
        <f t="shared" si="11"/>
        <v>0</v>
      </c>
      <c r="CI10" s="763">
        <f t="shared" si="12"/>
        <v>0</v>
      </c>
      <c r="CJ10" s="763">
        <f t="shared" si="12"/>
        <v>0</v>
      </c>
      <c r="CK10" s="763">
        <f t="shared" si="13"/>
        <v>0</v>
      </c>
      <c r="CL10" s="763">
        <f t="shared" si="14"/>
        <v>0</v>
      </c>
      <c r="CM10" s="763">
        <f t="shared" si="15"/>
        <v>0</v>
      </c>
      <c r="CN10" s="763">
        <f t="shared" si="16"/>
        <v>10.164691431003527</v>
      </c>
      <c r="CO10" s="763">
        <f t="shared" si="17"/>
        <v>235.05848934195657</v>
      </c>
      <c r="CP10" s="129"/>
      <c r="CQ10" s="128">
        <f t="shared" si="18"/>
        <v>0</v>
      </c>
      <c r="CR10" s="128">
        <f t="shared" si="29"/>
        <v>0</v>
      </c>
      <c r="CS10" s="128">
        <f t="shared" si="30"/>
        <v>0</v>
      </c>
      <c r="CT10" s="128">
        <f t="shared" si="19"/>
        <v>0</v>
      </c>
      <c r="CU10" s="128">
        <f t="shared" si="20"/>
        <v>0</v>
      </c>
      <c r="CV10" s="128">
        <f t="shared" si="21"/>
        <v>0</v>
      </c>
      <c r="CW10" s="128">
        <f t="shared" si="22"/>
        <v>111.70603831259552</v>
      </c>
      <c r="CX10" s="128">
        <f t="shared" si="23"/>
        <v>2585.8156038360471</v>
      </c>
      <c r="CY10" s="129"/>
      <c r="CZ10" s="128">
        <f t="shared" si="31"/>
        <v>2689.9375</v>
      </c>
      <c r="DA10" s="128">
        <f t="shared" si="32"/>
        <v>2697.5216421486425</v>
      </c>
      <c r="DB10" s="128">
        <f>DA10*Escalators!$M$17</f>
        <v>2831.544849301466</v>
      </c>
      <c r="DC10" s="128">
        <f>SUMPRODUCT(1+AusNet_Overheads!$K$20:$O$20,CT10:CX10)</f>
        <v>3029.668556896966</v>
      </c>
      <c r="DD10" s="128">
        <f>DC10*Escalators!$M$17</f>
        <v>3180.1940949541777</v>
      </c>
      <c r="DE10" s="157"/>
      <c r="DF10" s="157"/>
      <c r="DG10" s="201"/>
      <c r="DH10" s="262"/>
    </row>
    <row r="11" spans="2:112" x14ac:dyDescent="0.25">
      <c r="B11" s="75" t="s">
        <v>435</v>
      </c>
      <c r="C11" s="75" t="s">
        <v>437</v>
      </c>
      <c r="D11" s="75" t="s">
        <v>107</v>
      </c>
      <c r="E11" s="75" t="s">
        <v>44</v>
      </c>
      <c r="F11" s="75" t="s">
        <v>131</v>
      </c>
      <c r="G11" s="75" t="s">
        <v>150</v>
      </c>
      <c r="H11" s="75" t="s">
        <v>176</v>
      </c>
      <c r="I11" s="75" t="s">
        <v>250</v>
      </c>
      <c r="J11" s="128"/>
      <c r="K11" s="128">
        <v>0</v>
      </c>
      <c r="L11" s="128">
        <v>0</v>
      </c>
      <c r="M11" s="128">
        <v>82.06</v>
      </c>
      <c r="N11" s="128">
        <v>1897.6375</v>
      </c>
      <c r="O11" s="128">
        <v>3836.3050000000003</v>
      </c>
      <c r="P11" s="128">
        <v>2287.4225000000001</v>
      </c>
      <c r="Q11" s="128">
        <v>102.575</v>
      </c>
      <c r="R11" s="129"/>
      <c r="S11" s="128">
        <f>INDEX(Direct_Cost_Splits_Network,MATCH($H11,RIN_Asset_Cat_Network,0),MATCH($S$4,Direct_Cost_Type,0))*J11*HLOOKUP(S$5,Escalators!$I$25:$U$30,3,FALSE)</f>
        <v>0</v>
      </c>
      <c r="T11" s="128">
        <f>INDEX(Direct_Cost_Splits_Network,MATCH($H11,RIN_Asset_Cat_Network,0),MATCH($S$4,Direct_Cost_Type,0))*K11*HLOOKUP(T$5,Escalators!$I$25:$U$30,3,FALSE)</f>
        <v>0</v>
      </c>
      <c r="U11" s="128">
        <f>INDEX(Direct_Cost_Splits_Network,MATCH($H11,RIN_Asset_Cat_Network,0),MATCH($S$4,Direct_Cost_Type,0))*L11*HLOOKUP(U$5,Escalators!$I$25:$U$30,3,FALSE)</f>
        <v>0</v>
      </c>
      <c r="V11" s="128">
        <f>INDEX(Direct_Cost_Splits_Network,MATCH($H11,RIN_Asset_Cat_Network,0),MATCH($S$4,Direct_Cost_Type,0))*M11*HLOOKUP(V$5,Escalators!$I$25:$U$30,3,FALSE)</f>
        <v>8.3422576834834832</v>
      </c>
      <c r="W11" s="128">
        <f>INDEX(Direct_Cost_Splits_Network,MATCH($H11,RIN_Asset_Cat_Network,0),MATCH($S$4,Direct_Cost_Type,0))*N11*HLOOKUP(W$5,Escalators!$I$25:$U$30,3,FALSE)</f>
        <v>192.43285883417133</v>
      </c>
      <c r="X11" s="128">
        <f>INDEX(Direct_Cost_Splits_Network,MATCH($H11,RIN_Asset_Cat_Network,0),MATCH($S$4,Direct_Cost_Type,0))*O11*HLOOKUP(X$5,Escalators!$I$25:$U$30,3,FALSE)</f>
        <v>388.74387568166281</v>
      </c>
      <c r="Y11" s="128">
        <f>INDEX(Direct_Cost_Splits_Network,MATCH($H11,RIN_Asset_Cat_Network,0),MATCH($S$4,Direct_Cost_Type,0))*P11*HLOOKUP(Y$5,Escalators!$I$25:$U$30,3,FALSE)</f>
        <v>232.64244491371079</v>
      </c>
      <c r="Z11" s="128">
        <f>INDEX(Direct_Cost_Splits_Network,MATCH($H11,RIN_Asset_Cat_Network,0),MATCH($S$4,Direct_Cost_Type,0))*Q11*HLOOKUP(Z$5,Escalators!$I$25:$U$30,3,FALSE)</f>
        <v>10.536365205132119</v>
      </c>
      <c r="AA11" s="129"/>
      <c r="AB11" s="128">
        <f>INDEX(Direct_Cost_Splits_Network,MATCH($H11,RIN_Asset_Cat_Network,0),MATCH($AG$4,Direct_Cost_Type,0))*$J11*INDEX(Act_Type_Repex_Splits,MATCH($I11,Act_Type_Repex,0),MATCH(AB$4,Mat_Type,0))*INDEX(Escalators!$I$44:$U$49,MATCH(AB$4,Escalators!$C$44:$C$49,0),MATCH(AB$5,Escalators!$I$43:$U$43,0))</f>
        <v>0</v>
      </c>
      <c r="AC11" s="128">
        <f>INDEX(Direct_Cost_Splits_Network,MATCH($H11,RIN_Asset_Cat_Network,0),MATCH($AG$4,Direct_Cost_Type,0))*$J11*INDEX(Act_Type_Repex_Splits,MATCH($I11,Act_Type_Repex,0),MATCH(AC$4,Mat_Type,0))*INDEX(Escalators!$I$44:$U$49,MATCH(AC$4,Escalators!$C$44:$C$49,0),MATCH(AC$5,Escalators!$I$43:$U$43,0))</f>
        <v>0</v>
      </c>
      <c r="AD11" s="128">
        <f>INDEX(Direct_Cost_Splits_Network,MATCH($H11,RIN_Asset_Cat_Network,0),MATCH($AG$4,Direct_Cost_Type,0))*$J11*INDEX(Act_Type_Repex_Splits,MATCH($I11,Act_Type_Repex,0),MATCH(AD$4,Mat_Type,0))*INDEX(Escalators!$I$44:$U$49,MATCH(AD$4,Escalators!$C$44:$C$49,0),MATCH(AD$5,Escalators!$I$43:$U$43,0))</f>
        <v>0</v>
      </c>
      <c r="AE11" s="128">
        <f>INDEX(Direct_Cost_Splits_Network,MATCH($H11,RIN_Asset_Cat_Network,0),MATCH($AG$4,Direct_Cost_Type,0))*$J11*INDEX(Act_Type_Repex_Splits,MATCH($I11,Act_Type_Repex,0),MATCH(AE$4,Mat_Type,0))*INDEX(Escalators!$I$44:$U$49,MATCH(AE$4,Escalators!$C$44:$C$49,0),MATCH(AE$5,Escalators!$I$43:$U$43,0))</f>
        <v>0</v>
      </c>
      <c r="AF11" s="128">
        <f>INDEX(Direct_Cost_Splits_Network,MATCH($H11,RIN_Asset_Cat_Network,0),MATCH($AG$4,Direct_Cost_Type,0))*$J11*INDEX(Act_Type_Repex_Splits,MATCH($I11,Act_Type_Repex,0),MATCH(AF$4,Mat_Type,0))*INDEX(Escalators!$I$44:$U$49,MATCH(AF$4,Escalators!$C$44:$C$49,0),MATCH(AF$5,Escalators!$I$43:$U$43,0))</f>
        <v>0</v>
      </c>
      <c r="AG11" s="128">
        <f t="shared" si="24"/>
        <v>0</v>
      </c>
      <c r="AH11" s="128">
        <f>INDEX(Direct_Cost_Splits_Network,MATCH($H11,RIN_Asset_Cat_Network,0),MATCH($AY$4,Direct_Cost_Type,0))*$K11*INDEX(Act_Type_Repex_Splits,MATCH($I11,Act_Type_Repex,0),MATCH(AH$4,Mat_Type,0))*INDEX(Escalators!$I$44:$U$49,MATCH(AH$4,Escalators!$C$44:$C$49,0),MATCH(AH$5,Escalators!$I$43:$U$43,0))</f>
        <v>0</v>
      </c>
      <c r="AI11" s="128">
        <f>INDEX(Direct_Cost_Splits_Network,MATCH($H11,RIN_Asset_Cat_Network,0),MATCH($AY$4,Direct_Cost_Type,0))*$K11*INDEX(Act_Type_Repex_Splits,MATCH($I11,Act_Type_Repex,0),MATCH(AI$4,Mat_Type,0))*INDEX(Escalators!$I$44:$U$49,MATCH(AI$4,Escalators!$C$44:$C$49,0),MATCH(AI$5,Escalators!$I$43:$U$43,0))</f>
        <v>0</v>
      </c>
      <c r="AJ11" s="128">
        <f>INDEX(Direct_Cost_Splits_Network,MATCH($H11,RIN_Asset_Cat_Network,0),MATCH($AY$4,Direct_Cost_Type,0))*$K11*INDEX(Act_Type_Repex_Splits,MATCH($I11,Act_Type_Repex,0),MATCH(AJ$4,Mat_Type,0))*INDEX(Escalators!$I$44:$U$49,MATCH(AJ$4,Escalators!$C$44:$C$49,0),MATCH(AJ$5,Escalators!$I$43:$U$43,0))</f>
        <v>0</v>
      </c>
      <c r="AK11" s="128">
        <f>INDEX(Direct_Cost_Splits_Network,MATCH($H11,RIN_Asset_Cat_Network,0),MATCH($AY$4,Direct_Cost_Type,0))*$K11*INDEX(Act_Type_Repex_Splits,MATCH($I11,Act_Type_Repex,0),MATCH(AK$4,Mat_Type,0))*INDEX(Escalators!$I$44:$U$49,MATCH(AK$4,Escalators!$C$44:$C$49,0),MATCH(AK$5,Escalators!$I$43:$U$43,0))</f>
        <v>0</v>
      </c>
      <c r="AL11" s="128">
        <f>INDEX(Direct_Cost_Splits_Network,MATCH($H11,RIN_Asset_Cat_Network,0),MATCH($AY$4,Direct_Cost_Type,0))*$K11*INDEX(Act_Type_Repex_Splits,MATCH($I11,Act_Type_Repex,0),MATCH(AL$4,Mat_Type,0))*INDEX(Escalators!$I$44:$U$49,MATCH(AL$4,Escalators!$C$44:$C$49,0),MATCH(AL$5,Escalators!$I$43:$U$43,0))</f>
        <v>0</v>
      </c>
      <c r="AM11" s="128">
        <f t="shared" si="8"/>
        <v>0</v>
      </c>
      <c r="AN11" s="128">
        <f>INDEX(Direct_Cost_Splits_Network,MATCH($H11,RIN_Asset_Cat_Network,0),MATCH($AY$4,Direct_Cost_Type,0))*$L11*INDEX(Act_Type_Repex_Splits,MATCH($I11,Act_Type_Repex,0),MATCH(AN$4,Mat_Type,0))*INDEX(Escalators!$I$44:$U$49,MATCH(AN$4,Escalators!$C$44:$C$49,0),MATCH(AN$5,Escalators!$I$43:$U$43,0))</f>
        <v>0</v>
      </c>
      <c r="AO11" s="128">
        <f>INDEX(Direct_Cost_Splits_Network,MATCH($H11,RIN_Asset_Cat_Network,0),MATCH($AY$4,Direct_Cost_Type,0))*$L11*INDEX(Act_Type_Repex_Splits,MATCH($I11,Act_Type_Repex,0),MATCH(AO$4,Mat_Type,0))*INDEX(Escalators!$I$44:$U$49,MATCH(AO$4,Escalators!$C$44:$C$49,0),MATCH(AO$5,Escalators!$I$43:$U$43,0))</f>
        <v>0</v>
      </c>
      <c r="AP11" s="128">
        <f>INDEX(Direct_Cost_Splits_Network,MATCH($H11,RIN_Asset_Cat_Network,0),MATCH($AY$4,Direct_Cost_Type,0))*$L11*INDEX(Act_Type_Repex_Splits,MATCH($I11,Act_Type_Repex,0),MATCH(AP$4,Mat_Type,0))*INDEX(Escalators!$I$44:$U$49,MATCH(AP$4,Escalators!$C$44:$C$49,0),MATCH(AP$5,Escalators!$I$43:$U$43,0))</f>
        <v>0</v>
      </c>
      <c r="AQ11" s="128">
        <f>INDEX(Direct_Cost_Splits_Network,MATCH($H11,RIN_Asset_Cat_Network,0),MATCH($AY$4,Direct_Cost_Type,0))*$L11*INDEX(Act_Type_Repex_Splits,MATCH($I11,Act_Type_Repex,0),MATCH(AQ$4,Mat_Type,0))*INDEX(Escalators!$I$44:$U$49,MATCH(AQ$4,Escalators!$C$44:$C$49,0),MATCH(AQ$5,Escalators!$I$43:$U$43,0))</f>
        <v>0</v>
      </c>
      <c r="AR11" s="128">
        <f>INDEX(Direct_Cost_Splits_Network,MATCH($H11,RIN_Asset_Cat_Network,0),MATCH($AY$4,Direct_Cost_Type,0))*$L11*INDEX(Act_Type_Repex_Splits,MATCH($I11,Act_Type_Repex,0),MATCH(AR$4,Mat_Type,0))*INDEX(Escalators!$I$44:$U$49,MATCH(AR$4,Escalators!$C$44:$C$49,0),MATCH(AR$5,Escalators!$I$43:$U$43,0))</f>
        <v>0</v>
      </c>
      <c r="AS11" s="128">
        <f t="shared" si="9"/>
        <v>0</v>
      </c>
      <c r="AT11" s="128">
        <f>INDEX(Direct_Cost_Splits_Network,MATCH($H11,RIN_Asset_Cat_Network,0),MATCH($AY$4,Direct_Cost_Type,0))*$M11*INDEX(Act_Type_Repex_Splits,MATCH($I11,Act_Type_Repex,0),MATCH(AT$4,Mat_Type,0))*INDEX(Escalators!$I$44:$U$49,MATCH(AT$4,Escalators!$C$44:$C$49,0),MATCH(AT$5,Escalators!$I$43:$U$43,0))</f>
        <v>0.90224609611418849</v>
      </c>
      <c r="AU11" s="128">
        <f>INDEX(Direct_Cost_Splits_Network,MATCH($H11,RIN_Asset_Cat_Network,0),MATCH($AY$4,Direct_Cost_Type,0))*$M11*INDEX(Act_Type_Repex_Splits,MATCH($I11,Act_Type_Repex,0),MATCH(AU$4,Mat_Type,0))*INDEX(Escalators!$I$44:$U$49,MATCH(AU$4,Escalators!$C$44:$C$49,0),MATCH(AU$5,Escalators!$I$43:$U$43,0))</f>
        <v>2.7067382883425655</v>
      </c>
      <c r="AV11" s="128">
        <f>INDEX(Direct_Cost_Splits_Network,MATCH($H11,RIN_Asset_Cat_Network,0),MATCH($AY$4,Direct_Cost_Type,0))*$M11*INDEX(Act_Type_Repex_Splits,MATCH($I11,Act_Type_Repex,0),MATCH(AV$4,Mat_Type,0))*INDEX(Escalators!$I$44:$U$49,MATCH(AV$4,Escalators!$C$44:$C$49,0),MATCH(AV$5,Escalators!$I$43:$U$43,0))</f>
        <v>7.2179687689135079</v>
      </c>
      <c r="AW11" s="128">
        <f>INDEX(Direct_Cost_Splits_Network,MATCH($H11,RIN_Asset_Cat_Network,0),MATCH($AY$4,Direct_Cost_Type,0))*$M11*INDEX(Act_Type_Repex_Splits,MATCH($I11,Act_Type_Repex,0),MATCH(AW$4,Mat_Type,0))*INDEX(Escalators!$I$44:$U$49,MATCH(AW$4,Escalators!$C$44:$C$49,0),MATCH(AW$5,Escalators!$I$43:$U$43,0))</f>
        <v>0</v>
      </c>
      <c r="AX11" s="128">
        <f>INDEX(Direct_Cost_Splits_Network,MATCH($H11,RIN_Asset_Cat_Network,0),MATCH($AY$4,Direct_Cost_Type,0))*$M11*INDEX(Act_Type_Repex_Splits,MATCH($I11,Act_Type_Repex,0),MATCH(AX$4,Mat_Type,0))*INDEX(Escalators!$I$44:$U$49,MATCH(AX$4,Escalators!$C$44:$C$49,0),MATCH(AX$5,Escalators!$I$43:$U$43,0))</f>
        <v>7.2179687689135079</v>
      </c>
      <c r="AY11" s="128">
        <f t="shared" si="10"/>
        <v>18.04492192228377</v>
      </c>
      <c r="AZ11" s="128">
        <f>INDEX(Direct_Cost_Splits_Network,MATCH($H11,RIN_Asset_Cat_Network,0),MATCH($BE$4,Direct_Cost_Type,0))*$N11*INDEX(Act_Type_Repex_Splits,MATCH($I11,Act_Type_Repex,0),MATCH(AZ$4,Mat_Type,0))*INDEX(Escalators!$I$44:$U$49,MATCH(AZ$4,Escalators!$C$44:$C$49,0),MATCH(AZ$5,Escalators!$I$43:$U$43,0))</f>
        <v>20.864440972640612</v>
      </c>
      <c r="BA11" s="128">
        <f>INDEX(Direct_Cost_Splits_Network,MATCH($H11,RIN_Asset_Cat_Network,0),MATCH($BE$4,Direct_Cost_Type,0))*$N11*INDEX(Act_Type_Repex_Splits,MATCH($I11,Act_Type_Repex,0),MATCH(BA$4,Mat_Type,0))*INDEX(Escalators!$I$44:$U$49,MATCH(BA$4,Escalators!$C$44:$C$49,0),MATCH(BA$5,Escalators!$I$43:$U$43,0))</f>
        <v>62.593322917921832</v>
      </c>
      <c r="BB11" s="128">
        <f>INDEX(Direct_Cost_Splits_Network,MATCH($H11,RIN_Asset_Cat_Network,0),MATCH($BE$4,Direct_Cost_Type,0))*$N11*INDEX(Act_Type_Repex_Splits,MATCH($I11,Act_Type_Repex,0),MATCH(BB$4,Mat_Type,0))*INDEX(Escalators!$I$44:$U$49,MATCH(BB$4,Escalators!$C$44:$C$49,0),MATCH(BB$5,Escalators!$I$43:$U$43,0))</f>
        <v>166.91552778112489</v>
      </c>
      <c r="BC11" s="128">
        <f>INDEX(Direct_Cost_Splits_Network,MATCH($H11,RIN_Asset_Cat_Network,0),MATCH($BE$4,Direct_Cost_Type,0))*$N11*INDEX(Act_Type_Repex_Splits,MATCH($I11,Act_Type_Repex,0),MATCH(BC$4,Mat_Type,0))*INDEX(Escalators!$I$44:$U$49,MATCH(BC$4,Escalators!$C$44:$C$49,0),MATCH(BC$5,Escalators!$I$43:$U$43,0))</f>
        <v>0</v>
      </c>
      <c r="BD11" s="128">
        <f>INDEX(Direct_Cost_Splits_Network,MATCH($H11,RIN_Asset_Cat_Network,0),MATCH($BE$4,Direct_Cost_Type,0))*$N11*INDEX(Act_Type_Repex_Splits,MATCH($I11,Act_Type_Repex,0),MATCH(BD$4,Mat_Type,0))*INDEX(Escalators!$I$44:$U$49,MATCH(BD$4,Escalators!$C$44:$C$49,0),MATCH(BD$5,Escalators!$I$43:$U$43,0))</f>
        <v>166.91552778112489</v>
      </c>
      <c r="BE11" s="128">
        <f t="shared" si="25"/>
        <v>417.28881945281228</v>
      </c>
      <c r="BF11" s="128">
        <f>INDEX(Direct_Cost_Splits_Network,MATCH($H11,RIN_Asset_Cat_Network,0),MATCH($BK$4,Direct_Cost_Type,0))*$O11*INDEX(Act_Type_Repex_Splits,MATCH($I11,Act_Type_Repex,0),MATCH(BF$4,Mat_Type,0))*INDEX(Escalators!$I$44:$U$49,MATCH(BF$4,Escalators!$C$44:$C$49,0),MATCH(BF$5,Escalators!$I$43:$U$43,0))</f>
        <v>42.180004993338315</v>
      </c>
      <c r="BG11" s="128">
        <f>INDEX(Direct_Cost_Splits_Network,MATCH($H11,RIN_Asset_Cat_Network,0),MATCH($BK$4,Direct_Cost_Type,0))*$O11*INDEX(Act_Type_Repex_Splits,MATCH($I11,Act_Type_Repex,0),MATCH(BG$4,Mat_Type,0))*INDEX(Escalators!$I$44:$U$49,MATCH(BG$4,Escalators!$C$44:$C$49,0),MATCH(BG$5,Escalators!$I$43:$U$43,0))</f>
        <v>126.54001498001494</v>
      </c>
      <c r="BH11" s="128">
        <f>INDEX(Direct_Cost_Splits_Network,MATCH($H11,RIN_Asset_Cat_Network,0),MATCH($BK$4,Direct_Cost_Type,0))*$O11*INDEX(Act_Type_Repex_Splits,MATCH($I11,Act_Type_Repex,0),MATCH(BH$4,Mat_Type,0))*INDEX(Escalators!$I$44:$U$49,MATCH(BH$4,Escalators!$C$44:$C$49,0),MATCH(BH$5,Escalators!$I$43:$U$43,0))</f>
        <v>337.44003994670652</v>
      </c>
      <c r="BI11" s="128">
        <f>INDEX(Direct_Cost_Splits_Network,MATCH($H11,RIN_Asset_Cat_Network,0),MATCH($BK$4,Direct_Cost_Type,0))*$O11*INDEX(Act_Type_Repex_Splits,MATCH($I11,Act_Type_Repex,0),MATCH(BI$4,Mat_Type,0))*INDEX(Escalators!$I$44:$U$49,MATCH(BI$4,Escalators!$C$44:$C$49,0),MATCH(BI$5,Escalators!$I$43:$U$43,0))</f>
        <v>0</v>
      </c>
      <c r="BJ11" s="128">
        <f>INDEX(Direct_Cost_Splits_Network,MATCH($H11,RIN_Asset_Cat_Network,0),MATCH($BK$4,Direct_Cost_Type,0))*$O11*INDEX(Act_Type_Repex_Splits,MATCH($I11,Act_Type_Repex,0),MATCH(BJ$4,Mat_Type,0))*INDEX(Escalators!$I$44:$U$49,MATCH(BJ$4,Escalators!$C$44:$C$49,0),MATCH(BJ$5,Escalators!$I$43:$U$43,0))</f>
        <v>337.44003994670652</v>
      </c>
      <c r="BK11" s="128">
        <f t="shared" si="26"/>
        <v>843.6000998667663</v>
      </c>
      <c r="BL11" s="128">
        <f>INDEX(Direct_Cost_Splits_Network,MATCH($H11,RIN_Asset_Cat_Network,0),MATCH($BQ$4,Direct_Cost_Type,0))*$P11*INDEX(Act_Type_Repex_Splits,MATCH($I11,Act_Type_Repex,0),MATCH(BL$4,Mat_Type,0))*INDEX(Escalators!$I$44:$U$49,MATCH(BL$4,Escalators!$C$44:$C$49,0),MATCH(BL$5,Escalators!$I$43:$U$43,0))</f>
        <v>25.150109929183007</v>
      </c>
      <c r="BM11" s="128">
        <f>INDEX(Direct_Cost_Splits_Network,MATCH($H11,RIN_Asset_Cat_Network,0),MATCH($BQ$4,Direct_Cost_Type,0))*$P11*INDEX(Act_Type_Repex_Splits,MATCH($I11,Act_Type_Repex,0),MATCH(BM$4,Mat_Type,0))*INDEX(Escalators!$I$44:$U$49,MATCH(BM$4,Escalators!$C$44:$C$49,0),MATCH(BM$5,Escalators!$I$43:$U$43,0))</f>
        <v>75.450329787549009</v>
      </c>
      <c r="BN11" s="128">
        <f>INDEX(Direct_Cost_Splits_Network,MATCH($H11,RIN_Asset_Cat_Network,0),MATCH($BQ$4,Direct_Cost_Type,0))*$P11*INDEX(Act_Type_Repex_Splits,MATCH($I11,Act_Type_Repex,0),MATCH(BN$4,Mat_Type,0))*INDEX(Escalators!$I$44:$U$49,MATCH(BN$4,Escalators!$C$44:$C$49,0),MATCH(BN$5,Escalators!$I$43:$U$43,0))</f>
        <v>201.20087943346405</v>
      </c>
      <c r="BO11" s="128">
        <f>INDEX(Direct_Cost_Splits_Network,MATCH($H11,RIN_Asset_Cat_Network,0),MATCH($BQ$4,Direct_Cost_Type,0))*$P11*INDEX(Act_Type_Repex_Splits,MATCH($I11,Act_Type_Repex,0),MATCH(BO$4,Mat_Type,0))*INDEX(Escalators!$I$44:$U$49,MATCH(BO$4,Escalators!$C$44:$C$49,0),MATCH(BO$5,Escalators!$I$43:$U$43,0))</f>
        <v>0</v>
      </c>
      <c r="BP11" s="128">
        <f>INDEX(Direct_Cost_Splits_Network,MATCH($H11,RIN_Asset_Cat_Network,0),MATCH($BQ$4,Direct_Cost_Type,0))*$P11*INDEX(Act_Type_Repex_Splits,MATCH($I11,Act_Type_Repex,0),MATCH(BP$4,Mat_Type,0))*INDEX(Escalators!$I$44:$U$49,MATCH(BP$4,Escalators!$C$44:$C$49,0),MATCH(BP$5,Escalators!$I$43:$U$43,0))</f>
        <v>201.20087943346405</v>
      </c>
      <c r="BQ11" s="128">
        <f t="shared" si="27"/>
        <v>503.00219858366006</v>
      </c>
      <c r="BR11" s="128">
        <f>INDEX(Direct_Cost_Splits_Network,MATCH($H11,RIN_Asset_Cat_Network,0),MATCH($BW$4,Direct_Cost_Type,0))*$Q11*INDEX(Act_Type_Repex_Splits,MATCH($I11,Act_Type_Repex,0),MATCH(BR$4,Mat_Type,0))*INDEX(Escalators!$I$44:$U$49,MATCH(BR$4,Escalators!$C$44:$C$49,0),MATCH(BR$5,Escalators!$I$43:$U$43,0))</f>
        <v>1.1278076201427358</v>
      </c>
      <c r="BS11" s="128">
        <f>INDEX(Direct_Cost_Splits_Network,MATCH($H11,RIN_Asset_Cat_Network,0),MATCH($BW$4,Direct_Cost_Type,0))*$Q11*INDEX(Act_Type_Repex_Splits,MATCH($I11,Act_Type_Repex,0),MATCH(BS$4,Mat_Type,0))*INDEX(Escalators!$I$44:$U$49,MATCH(BS$4,Escalators!$C$44:$C$49,0),MATCH(BS$5,Escalators!$I$43:$U$43,0))</f>
        <v>3.3834228604282068</v>
      </c>
      <c r="BT11" s="128">
        <f>INDEX(Direct_Cost_Splits_Network,MATCH($H11,RIN_Asset_Cat_Network,0),MATCH($BW$4,Direct_Cost_Type,0))*$Q11*INDEX(Act_Type_Repex_Splits,MATCH($I11,Act_Type_Repex,0),MATCH(BT$4,Mat_Type,0))*INDEX(Escalators!$I$44:$U$49,MATCH(BT$4,Escalators!$C$44:$C$49,0),MATCH(BT$5,Escalators!$I$43:$U$43,0))</f>
        <v>9.0224609611418867</v>
      </c>
      <c r="BU11" s="128">
        <f>INDEX(Direct_Cost_Splits_Network,MATCH($H11,RIN_Asset_Cat_Network,0),MATCH($BW$4,Direct_Cost_Type,0))*$Q11*INDEX(Act_Type_Repex_Splits,MATCH($I11,Act_Type_Repex,0),MATCH(BU$4,Mat_Type,0))*INDEX(Escalators!$I$44:$U$49,MATCH(BU$4,Escalators!$C$44:$C$49,0),MATCH(BU$5,Escalators!$I$43:$U$43,0))</f>
        <v>0</v>
      </c>
      <c r="BV11" s="128">
        <f>INDEX(Direct_Cost_Splits_Network,MATCH($H11,RIN_Asset_Cat_Network,0),MATCH($BW$4,Direct_Cost_Type,0))*$Q11*INDEX(Act_Type_Repex_Splits,MATCH($I11,Act_Type_Repex,0),MATCH(BV$4,Mat_Type,0))*INDEX(Escalators!$I$44:$U$49,MATCH(BV$4,Escalators!$C$44:$C$49,0),MATCH(BV$5,Escalators!$I$43:$U$43,0))</f>
        <v>9.0224609611418867</v>
      </c>
      <c r="BW11" s="128">
        <f t="shared" si="28"/>
        <v>22.556152402854714</v>
      </c>
      <c r="BX11" s="129"/>
      <c r="BY11" s="128">
        <f>INDEX(Direct_Cost_Splits_Network,MATCH($H11,RIN_Asset_Cat_Network,0),MATCH($BY$4,Direct_Cost_Type,0))*J11*HLOOKUP(BY$5,Escalators!$I$25:$U$30,6,FALSE)</f>
        <v>0</v>
      </c>
      <c r="BZ11" s="128">
        <f>INDEX(Direct_Cost_Splits_Network,MATCH($H11,RIN_Asset_Cat_Network,0),MATCH($BY$4,Direct_Cost_Type,0))*K11*HLOOKUP(BZ$5,Escalators!$I$25:$U$30,6,FALSE)</f>
        <v>0</v>
      </c>
      <c r="CA11" s="128">
        <f>INDEX(Direct_Cost_Splits_Network,MATCH($H11,RIN_Asset_Cat_Network,0),MATCH($BY$4,Direct_Cost_Type,0))*L11*HLOOKUP(CA$5,Escalators!$I$25:$U$30,6,FALSE)</f>
        <v>0</v>
      </c>
      <c r="CB11" s="128">
        <f>INDEX(Direct_Cost_Splits_Network,MATCH($H11,RIN_Asset_Cat_Network,0),MATCH($BY$4,Direct_Cost_Type,0))*M11*HLOOKUP(CB$5,Escalators!$I$25:$U$30,6,FALSE)</f>
        <v>48.339949337344898</v>
      </c>
      <c r="CC11" s="128">
        <f>INDEX(Direct_Cost_Splits_Network,MATCH($H11,RIN_Asset_Cat_Network,0),MATCH($BY$4,Direct_Cost_Type,0))*N11*HLOOKUP(CC$5,Escalators!$I$25:$U$30,6,FALSE)</f>
        <v>1117.8613284261007</v>
      </c>
      <c r="CD11" s="128">
        <f>INDEX(Direct_Cost_Splits_Network,MATCH($H11,RIN_Asset_Cat_Network,0),MATCH($BY$4,Direct_Cost_Type,0))*O11*HLOOKUP(CD$5,Escalators!$I$25:$U$30,6,FALSE)</f>
        <v>2259.8926315208741</v>
      </c>
      <c r="CE11" s="128">
        <f>INDEX(Direct_Cost_Splits_Network,MATCH($H11,RIN_Asset_Cat_Network,0),MATCH($BY$4,Direct_Cost_Type,0))*P11*HLOOKUP(CE$5,Escalators!$I$25:$U$30,6,FALSE)</f>
        <v>1347.476087778489</v>
      </c>
      <c r="CF11" s="128">
        <f>INDEX(Direct_Cost_Splits_Network,MATCH($H11,RIN_Asset_Cat_Network,0),MATCH($BY$4,Direct_Cost_Type,0))*Q11*HLOOKUP(CF$5,Escalators!$I$25:$U$30,6,FALSE)</f>
        <v>60.424936671681124</v>
      </c>
      <c r="CG11" s="129"/>
      <c r="CH11" s="763">
        <f t="shared" si="11"/>
        <v>0</v>
      </c>
      <c r="CI11" s="763">
        <f t="shared" si="12"/>
        <v>0</v>
      </c>
      <c r="CJ11" s="763">
        <f t="shared" si="12"/>
        <v>0</v>
      </c>
      <c r="CK11" s="763">
        <f t="shared" si="13"/>
        <v>7.4808482406112056</v>
      </c>
      <c r="CL11" s="763">
        <f t="shared" si="14"/>
        <v>172.99461556413414</v>
      </c>
      <c r="CM11" s="763">
        <f t="shared" si="15"/>
        <v>349.72965524857392</v>
      </c>
      <c r="CN11" s="763">
        <f t="shared" si="16"/>
        <v>208.52864470703736</v>
      </c>
      <c r="CO11" s="763">
        <f t="shared" si="17"/>
        <v>9.3510603007640078</v>
      </c>
      <c r="CP11" s="129"/>
      <c r="CQ11" s="128">
        <f t="shared" si="18"/>
        <v>0</v>
      </c>
      <c r="CR11" s="128">
        <f t="shared" si="29"/>
        <v>0</v>
      </c>
      <c r="CS11" s="128">
        <f t="shared" si="30"/>
        <v>0</v>
      </c>
      <c r="CT11" s="128">
        <f t="shared" si="19"/>
        <v>82.207977183723358</v>
      </c>
      <c r="CU11" s="128">
        <f t="shared" si="20"/>
        <v>1900.5776222772186</v>
      </c>
      <c r="CV11" s="128">
        <f t="shared" si="21"/>
        <v>3841.9662623178774</v>
      </c>
      <c r="CW11" s="128">
        <f t="shared" si="22"/>
        <v>2291.6493759828973</v>
      </c>
      <c r="CX11" s="128">
        <f t="shared" si="23"/>
        <v>102.86851458043196</v>
      </c>
      <c r="CY11" s="129"/>
      <c r="CZ11" s="128">
        <f t="shared" ref="CZ11:CZ21" si="33">SUM(M11:Q11)</f>
        <v>8206.0000000000018</v>
      </c>
      <c r="DA11" s="128">
        <f t="shared" ref="DA11:DA21" si="34">SUM(CT11:CX11)</f>
        <v>8219.2697523421484</v>
      </c>
      <c r="DB11" s="128">
        <f>DA11*Escalators!$M$17</f>
        <v>8627.6345548523732</v>
      </c>
      <c r="DC11" s="128">
        <f>SUMPRODUCT(1+AusNet_Overheads!$K$20:$O$20,CT11:CX11)</f>
        <v>9164.1952010970781</v>
      </c>
      <c r="DD11" s="128">
        <f>DC11*Escalators!$M$17</f>
        <v>9619.5075191280994</v>
      </c>
      <c r="DE11" s="157"/>
      <c r="DF11" s="157"/>
      <c r="DG11" s="201"/>
      <c r="DH11" s="262"/>
    </row>
    <row r="12" spans="2:112" x14ac:dyDescent="0.25">
      <c r="B12" s="75" t="s">
        <v>435</v>
      </c>
      <c r="C12" s="75" t="s">
        <v>438</v>
      </c>
      <c r="D12" s="75" t="s">
        <v>107</v>
      </c>
      <c r="E12" s="75" t="s">
        <v>44</v>
      </c>
      <c r="F12" s="75" t="s">
        <v>131</v>
      </c>
      <c r="G12" s="75" t="s">
        <v>150</v>
      </c>
      <c r="H12" s="75" t="s">
        <v>176</v>
      </c>
      <c r="I12" s="75" t="s">
        <v>250</v>
      </c>
      <c r="J12" s="128"/>
      <c r="K12" s="128">
        <v>0</v>
      </c>
      <c r="L12" s="128">
        <v>104.7</v>
      </c>
      <c r="M12" s="128">
        <v>2421.1875000000005</v>
      </c>
      <c r="N12" s="128">
        <v>4894.7249999999995</v>
      </c>
      <c r="O12" s="128">
        <v>2918.5124999999998</v>
      </c>
      <c r="P12" s="128">
        <v>130.875</v>
      </c>
      <c r="Q12" s="128">
        <v>0</v>
      </c>
      <c r="R12" s="129"/>
      <c r="S12" s="128">
        <f>INDEX(Direct_Cost_Splits_Network,MATCH($H12,RIN_Asset_Cat_Network,0),MATCH($S$4,Direct_Cost_Type,0))*J12*HLOOKUP(S$5,Escalators!$I$25:$U$30,3,FALSE)</f>
        <v>0</v>
      </c>
      <c r="T12" s="128">
        <f>INDEX(Direct_Cost_Splits_Network,MATCH($H12,RIN_Asset_Cat_Network,0),MATCH($S$4,Direct_Cost_Type,0))*K12*HLOOKUP(T$5,Escalators!$I$25:$U$30,3,FALSE)</f>
        <v>0</v>
      </c>
      <c r="U12" s="128">
        <f>INDEX(Direct_Cost_Splits_Network,MATCH($H12,RIN_Asset_Cat_Network,0),MATCH($S$4,Direct_Cost_Type,0))*L12*HLOOKUP(U$5,Escalators!$I$25:$U$30,3,FALSE)</f>
        <v>10.618506594794853</v>
      </c>
      <c r="V12" s="128">
        <f>INDEX(Direct_Cost_Splits_Network,MATCH($H12,RIN_Asset_Cat_Network,0),MATCH($S$4,Direct_Cost_Type,0))*M12*HLOOKUP(V$5,Escalators!$I$25:$U$30,3,FALSE)</f>
        <v>246.13904490652172</v>
      </c>
      <c r="W12" s="128">
        <f>INDEX(Direct_Cost_Splits_Network,MATCH($H12,RIN_Asset_Cat_Network,0),MATCH($S$4,Direct_Cost_Type,0))*N12*HLOOKUP(W$5,Escalators!$I$25:$U$30,3,FALSE)</f>
        <v>496.35714142300054</v>
      </c>
      <c r="X12" s="128">
        <f>INDEX(Direct_Cost_Splits_Network,MATCH($H12,RIN_Asset_Cat_Network,0),MATCH($S$4,Direct_Cost_Type,0))*O12*HLOOKUP(X$5,Escalators!$I$25:$U$30,3,FALSE)</f>
        <v>295.74130849225463</v>
      </c>
      <c r="Y12" s="128">
        <f>INDEX(Direct_Cost_Splits_Network,MATCH($H12,RIN_Asset_Cat_Network,0),MATCH($S$4,Direct_Cost_Type,0))*P12*HLOOKUP(Y$5,Escalators!$I$25:$U$30,3,FALSE)</f>
        <v>13.310649859429947</v>
      </c>
      <c r="Z12" s="128">
        <f>INDEX(Direct_Cost_Splits_Network,MATCH($H12,RIN_Asset_Cat_Network,0),MATCH($S$4,Direct_Cost_Type,0))*Q12*HLOOKUP(Z$5,Escalators!$I$25:$U$30,3,FALSE)</f>
        <v>0</v>
      </c>
      <c r="AA12" s="129"/>
      <c r="AB12" s="128">
        <f>INDEX(Direct_Cost_Splits_Network,MATCH($H12,RIN_Asset_Cat_Network,0),MATCH($AG$4,Direct_Cost_Type,0))*$J12*INDEX(Act_Type_Repex_Splits,MATCH($I12,Act_Type_Repex,0),MATCH(AB$4,Mat_Type,0))*INDEX(Escalators!$I$44:$U$49,MATCH(AB$4,Escalators!$C$44:$C$49,0),MATCH(AB$5,Escalators!$I$43:$U$43,0))</f>
        <v>0</v>
      </c>
      <c r="AC12" s="128">
        <f>INDEX(Direct_Cost_Splits_Network,MATCH($H12,RIN_Asset_Cat_Network,0),MATCH($AG$4,Direct_Cost_Type,0))*$J12*INDEX(Act_Type_Repex_Splits,MATCH($I12,Act_Type_Repex,0),MATCH(AC$4,Mat_Type,0))*INDEX(Escalators!$I$44:$U$49,MATCH(AC$4,Escalators!$C$44:$C$49,0),MATCH(AC$5,Escalators!$I$43:$U$43,0))</f>
        <v>0</v>
      </c>
      <c r="AD12" s="128">
        <f>INDEX(Direct_Cost_Splits_Network,MATCH($H12,RIN_Asset_Cat_Network,0),MATCH($AG$4,Direct_Cost_Type,0))*$J12*INDEX(Act_Type_Repex_Splits,MATCH($I12,Act_Type_Repex,0),MATCH(AD$4,Mat_Type,0))*INDEX(Escalators!$I$44:$U$49,MATCH(AD$4,Escalators!$C$44:$C$49,0),MATCH(AD$5,Escalators!$I$43:$U$43,0))</f>
        <v>0</v>
      </c>
      <c r="AE12" s="128">
        <f>INDEX(Direct_Cost_Splits_Network,MATCH($H12,RIN_Asset_Cat_Network,0),MATCH($AG$4,Direct_Cost_Type,0))*$J12*INDEX(Act_Type_Repex_Splits,MATCH($I12,Act_Type_Repex,0),MATCH(AE$4,Mat_Type,0))*INDEX(Escalators!$I$44:$U$49,MATCH(AE$4,Escalators!$C$44:$C$49,0),MATCH(AE$5,Escalators!$I$43:$U$43,0))</f>
        <v>0</v>
      </c>
      <c r="AF12" s="128">
        <f>INDEX(Direct_Cost_Splits_Network,MATCH($H12,RIN_Asset_Cat_Network,0),MATCH($AG$4,Direct_Cost_Type,0))*$J12*INDEX(Act_Type_Repex_Splits,MATCH($I12,Act_Type_Repex,0),MATCH(AF$4,Mat_Type,0))*INDEX(Escalators!$I$44:$U$49,MATCH(AF$4,Escalators!$C$44:$C$49,0),MATCH(AF$5,Escalators!$I$43:$U$43,0))</f>
        <v>0</v>
      </c>
      <c r="AG12" s="128">
        <f t="shared" si="24"/>
        <v>0</v>
      </c>
      <c r="AH12" s="128">
        <f>INDEX(Direct_Cost_Splits_Network,MATCH($H12,RIN_Asset_Cat_Network,0),MATCH($AY$4,Direct_Cost_Type,0))*$K12*INDEX(Act_Type_Repex_Splits,MATCH($I12,Act_Type_Repex,0),MATCH(AH$4,Mat_Type,0))*INDEX(Escalators!$I$44:$U$49,MATCH(AH$4,Escalators!$C$44:$C$49,0),MATCH(AH$5,Escalators!$I$43:$U$43,0))</f>
        <v>0</v>
      </c>
      <c r="AI12" s="128">
        <f>INDEX(Direct_Cost_Splits_Network,MATCH($H12,RIN_Asset_Cat_Network,0),MATCH($AY$4,Direct_Cost_Type,0))*$K12*INDEX(Act_Type_Repex_Splits,MATCH($I12,Act_Type_Repex,0),MATCH(AI$4,Mat_Type,0))*INDEX(Escalators!$I$44:$U$49,MATCH(AI$4,Escalators!$C$44:$C$49,0),MATCH(AI$5,Escalators!$I$43:$U$43,0))</f>
        <v>0</v>
      </c>
      <c r="AJ12" s="128">
        <f>INDEX(Direct_Cost_Splits_Network,MATCH($H12,RIN_Asset_Cat_Network,0),MATCH($AY$4,Direct_Cost_Type,0))*$K12*INDEX(Act_Type_Repex_Splits,MATCH($I12,Act_Type_Repex,0),MATCH(AJ$4,Mat_Type,0))*INDEX(Escalators!$I$44:$U$49,MATCH(AJ$4,Escalators!$C$44:$C$49,0),MATCH(AJ$5,Escalators!$I$43:$U$43,0))</f>
        <v>0</v>
      </c>
      <c r="AK12" s="128">
        <f>INDEX(Direct_Cost_Splits_Network,MATCH($H12,RIN_Asset_Cat_Network,0),MATCH($AY$4,Direct_Cost_Type,0))*$K12*INDEX(Act_Type_Repex_Splits,MATCH($I12,Act_Type_Repex,0),MATCH(AK$4,Mat_Type,0))*INDEX(Escalators!$I$44:$U$49,MATCH(AK$4,Escalators!$C$44:$C$49,0),MATCH(AK$5,Escalators!$I$43:$U$43,0))</f>
        <v>0</v>
      </c>
      <c r="AL12" s="128">
        <f>INDEX(Direct_Cost_Splits_Network,MATCH($H12,RIN_Asset_Cat_Network,0),MATCH($AY$4,Direct_Cost_Type,0))*$K12*INDEX(Act_Type_Repex_Splits,MATCH($I12,Act_Type_Repex,0),MATCH(AL$4,Mat_Type,0))*INDEX(Escalators!$I$44:$U$49,MATCH(AL$4,Escalators!$C$44:$C$49,0),MATCH(AL$5,Escalators!$I$43:$U$43,0))</f>
        <v>0</v>
      </c>
      <c r="AM12" s="128">
        <f t="shared" si="8"/>
        <v>0</v>
      </c>
      <c r="AN12" s="128">
        <f>INDEX(Direct_Cost_Splits_Network,MATCH($H12,RIN_Asset_Cat_Network,0),MATCH($AY$4,Direct_Cost_Type,0))*$L12*INDEX(Act_Type_Repex_Splits,MATCH($I12,Act_Type_Repex,0),MATCH(AN$4,Mat_Type,0))*INDEX(Escalators!$I$44:$U$49,MATCH(AN$4,Escalators!$C$44:$C$49,0),MATCH(AN$5,Escalators!$I$43:$U$43,0))</f>
        <v>1.1511719018176401</v>
      </c>
      <c r="AO12" s="128">
        <f>INDEX(Direct_Cost_Splits_Network,MATCH($H12,RIN_Asset_Cat_Network,0),MATCH($AY$4,Direct_Cost_Type,0))*$L12*INDEX(Act_Type_Repex_Splits,MATCH($I12,Act_Type_Repex,0),MATCH(AO$4,Mat_Type,0))*INDEX(Escalators!$I$44:$U$49,MATCH(AO$4,Escalators!$C$44:$C$49,0),MATCH(AO$5,Escalators!$I$43:$U$43,0))</f>
        <v>3.45351570545292</v>
      </c>
      <c r="AP12" s="128">
        <f>INDEX(Direct_Cost_Splits_Network,MATCH($H12,RIN_Asset_Cat_Network,0),MATCH($AY$4,Direct_Cost_Type,0))*$L12*INDEX(Act_Type_Repex_Splits,MATCH($I12,Act_Type_Repex,0),MATCH(AP$4,Mat_Type,0))*INDEX(Escalators!$I$44:$U$49,MATCH(AP$4,Escalators!$C$44:$C$49,0),MATCH(AP$5,Escalators!$I$43:$U$43,0))</f>
        <v>9.2093752145411205</v>
      </c>
      <c r="AQ12" s="128">
        <f>INDEX(Direct_Cost_Splits_Network,MATCH($H12,RIN_Asset_Cat_Network,0),MATCH($AY$4,Direct_Cost_Type,0))*$L12*INDEX(Act_Type_Repex_Splits,MATCH($I12,Act_Type_Repex,0),MATCH(AQ$4,Mat_Type,0))*INDEX(Escalators!$I$44:$U$49,MATCH(AQ$4,Escalators!$C$44:$C$49,0),MATCH(AQ$5,Escalators!$I$43:$U$43,0))</f>
        <v>0</v>
      </c>
      <c r="AR12" s="128">
        <f>INDEX(Direct_Cost_Splits_Network,MATCH($H12,RIN_Asset_Cat_Network,0),MATCH($AY$4,Direct_Cost_Type,0))*$L12*INDEX(Act_Type_Repex_Splits,MATCH($I12,Act_Type_Repex,0),MATCH(AR$4,Mat_Type,0))*INDEX(Escalators!$I$44:$U$49,MATCH(AR$4,Escalators!$C$44:$C$49,0),MATCH(AR$5,Escalators!$I$43:$U$43,0))</f>
        <v>9.2093752145411205</v>
      </c>
      <c r="AS12" s="128">
        <f t="shared" si="9"/>
        <v>23.0234380363528</v>
      </c>
      <c r="AT12" s="128">
        <f>INDEX(Direct_Cost_Splits_Network,MATCH($H12,RIN_Asset_Cat_Network,0),MATCH($AY$4,Direct_Cost_Type,0))*$M12*INDEX(Act_Type_Repex_Splits,MATCH($I12,Act_Type_Repex,0),MATCH(AT$4,Mat_Type,0))*INDEX(Escalators!$I$44:$U$49,MATCH(AT$4,Escalators!$C$44:$C$49,0),MATCH(AT$5,Escalators!$I$43:$U$43,0))</f>
        <v>26.620850229532934</v>
      </c>
      <c r="AU12" s="128">
        <f>INDEX(Direct_Cost_Splits_Network,MATCH($H12,RIN_Asset_Cat_Network,0),MATCH($AY$4,Direct_Cost_Type,0))*$M12*INDEX(Act_Type_Repex_Splits,MATCH($I12,Act_Type_Repex,0),MATCH(AU$4,Mat_Type,0))*INDEX(Escalators!$I$44:$U$49,MATCH(AU$4,Escalators!$C$44:$C$49,0),MATCH(AU$5,Escalators!$I$43:$U$43,0))</f>
        <v>79.862550688598787</v>
      </c>
      <c r="AV12" s="128">
        <f>INDEX(Direct_Cost_Splits_Network,MATCH($H12,RIN_Asset_Cat_Network,0),MATCH($AY$4,Direct_Cost_Type,0))*$M12*INDEX(Act_Type_Repex_Splits,MATCH($I12,Act_Type_Repex,0),MATCH(AV$4,Mat_Type,0))*INDEX(Escalators!$I$44:$U$49,MATCH(AV$4,Escalators!$C$44:$C$49,0),MATCH(AV$5,Escalators!$I$43:$U$43,0))</f>
        <v>212.96680183626347</v>
      </c>
      <c r="AW12" s="128">
        <f>INDEX(Direct_Cost_Splits_Network,MATCH($H12,RIN_Asset_Cat_Network,0),MATCH($AY$4,Direct_Cost_Type,0))*$M12*INDEX(Act_Type_Repex_Splits,MATCH($I12,Act_Type_Repex,0),MATCH(AW$4,Mat_Type,0))*INDEX(Escalators!$I$44:$U$49,MATCH(AW$4,Escalators!$C$44:$C$49,0),MATCH(AW$5,Escalators!$I$43:$U$43,0))</f>
        <v>0</v>
      </c>
      <c r="AX12" s="128">
        <f>INDEX(Direct_Cost_Splits_Network,MATCH($H12,RIN_Asset_Cat_Network,0),MATCH($AY$4,Direct_Cost_Type,0))*$M12*INDEX(Act_Type_Repex_Splits,MATCH($I12,Act_Type_Repex,0),MATCH(AX$4,Mat_Type,0))*INDEX(Escalators!$I$44:$U$49,MATCH(AX$4,Escalators!$C$44:$C$49,0),MATCH(AX$5,Escalators!$I$43:$U$43,0))</f>
        <v>212.96680183626347</v>
      </c>
      <c r="AY12" s="128">
        <f t="shared" si="10"/>
        <v>532.41700459065873</v>
      </c>
      <c r="AZ12" s="128">
        <f>INDEX(Direct_Cost_Splits_Network,MATCH($H12,RIN_Asset_Cat_Network,0),MATCH($BE$4,Direct_Cost_Type,0))*$N12*INDEX(Act_Type_Repex_Splits,MATCH($I12,Act_Type_Repex,0),MATCH(AZ$4,Mat_Type,0))*INDEX(Escalators!$I$44:$U$49,MATCH(AZ$4,Escalators!$C$44:$C$49,0),MATCH(AZ$5,Escalators!$I$43:$U$43,0))</f>
        <v>53.81728640997467</v>
      </c>
      <c r="BA12" s="128">
        <f>INDEX(Direct_Cost_Splits_Network,MATCH($H12,RIN_Asset_Cat_Network,0),MATCH($BE$4,Direct_Cost_Type,0))*$N12*INDEX(Act_Type_Repex_Splits,MATCH($I12,Act_Type_Repex,0),MATCH(BA$4,Mat_Type,0))*INDEX(Escalators!$I$44:$U$49,MATCH(BA$4,Escalators!$C$44:$C$49,0),MATCH(BA$5,Escalators!$I$43:$U$43,0))</f>
        <v>161.451859229924</v>
      </c>
      <c r="BB12" s="128">
        <f>INDEX(Direct_Cost_Splits_Network,MATCH($H12,RIN_Asset_Cat_Network,0),MATCH($BE$4,Direct_Cost_Type,0))*$N12*INDEX(Act_Type_Repex_Splits,MATCH($I12,Act_Type_Repex,0),MATCH(BB$4,Mat_Type,0))*INDEX(Escalators!$I$44:$U$49,MATCH(BB$4,Escalators!$C$44:$C$49,0),MATCH(BB$5,Escalators!$I$43:$U$43,0))</f>
        <v>430.53829127979736</v>
      </c>
      <c r="BC12" s="128">
        <f>INDEX(Direct_Cost_Splits_Network,MATCH($H12,RIN_Asset_Cat_Network,0),MATCH($BE$4,Direct_Cost_Type,0))*$N12*INDEX(Act_Type_Repex_Splits,MATCH($I12,Act_Type_Repex,0),MATCH(BC$4,Mat_Type,0))*INDEX(Escalators!$I$44:$U$49,MATCH(BC$4,Escalators!$C$44:$C$49,0),MATCH(BC$5,Escalators!$I$43:$U$43,0))</f>
        <v>0</v>
      </c>
      <c r="BD12" s="128">
        <f>INDEX(Direct_Cost_Splits_Network,MATCH($H12,RIN_Asset_Cat_Network,0),MATCH($BE$4,Direct_Cost_Type,0))*$N12*INDEX(Act_Type_Repex_Splits,MATCH($I12,Act_Type_Repex,0),MATCH(BD$4,Mat_Type,0))*INDEX(Escalators!$I$44:$U$49,MATCH(BD$4,Escalators!$C$44:$C$49,0),MATCH(BD$5,Escalators!$I$43:$U$43,0))</f>
        <v>430.53829127979736</v>
      </c>
      <c r="BE12" s="128">
        <f t="shared" si="25"/>
        <v>1076.3457281994934</v>
      </c>
      <c r="BF12" s="128">
        <f>INDEX(Direct_Cost_Splits_Network,MATCH($H12,RIN_Asset_Cat_Network,0),MATCH($BK$4,Direct_Cost_Type,0))*$O12*INDEX(Act_Type_Repex_Splits,MATCH($I12,Act_Type_Repex,0),MATCH(BF$4,Mat_Type,0))*INDEX(Escalators!$I$44:$U$49,MATCH(BF$4,Escalators!$C$44:$C$49,0),MATCH(BF$5,Escalators!$I$43:$U$43,0))</f>
        <v>32.088916763166715</v>
      </c>
      <c r="BG12" s="128">
        <f>INDEX(Direct_Cost_Splits_Network,MATCH($H12,RIN_Asset_Cat_Network,0),MATCH($BK$4,Direct_Cost_Type,0))*$O12*INDEX(Act_Type_Repex_Splits,MATCH($I12,Act_Type_Repex,0),MATCH(BG$4,Mat_Type,0))*INDEX(Escalators!$I$44:$U$49,MATCH(BG$4,Escalators!$C$44:$C$49,0),MATCH(BG$5,Escalators!$I$43:$U$43,0))</f>
        <v>96.266750289500138</v>
      </c>
      <c r="BH12" s="128">
        <f>INDEX(Direct_Cost_Splits_Network,MATCH($H12,RIN_Asset_Cat_Network,0),MATCH($BK$4,Direct_Cost_Type,0))*$O12*INDEX(Act_Type_Repex_Splits,MATCH($I12,Act_Type_Repex,0),MATCH(BH$4,Mat_Type,0))*INDEX(Escalators!$I$44:$U$49,MATCH(BH$4,Escalators!$C$44:$C$49,0),MATCH(BH$5,Escalators!$I$43:$U$43,0))</f>
        <v>256.71133410533372</v>
      </c>
      <c r="BI12" s="128">
        <f>INDEX(Direct_Cost_Splits_Network,MATCH($H12,RIN_Asset_Cat_Network,0),MATCH($BK$4,Direct_Cost_Type,0))*$O12*INDEX(Act_Type_Repex_Splits,MATCH($I12,Act_Type_Repex,0),MATCH(BI$4,Mat_Type,0))*INDEX(Escalators!$I$44:$U$49,MATCH(BI$4,Escalators!$C$44:$C$49,0),MATCH(BI$5,Escalators!$I$43:$U$43,0))</f>
        <v>0</v>
      </c>
      <c r="BJ12" s="128">
        <f>INDEX(Direct_Cost_Splits_Network,MATCH($H12,RIN_Asset_Cat_Network,0),MATCH($BK$4,Direct_Cost_Type,0))*$O12*INDEX(Act_Type_Repex_Splits,MATCH($I12,Act_Type_Repex,0),MATCH(BJ$4,Mat_Type,0))*INDEX(Escalators!$I$44:$U$49,MATCH(BJ$4,Escalators!$C$44:$C$49,0),MATCH(BJ$5,Escalators!$I$43:$U$43,0))</f>
        <v>256.71133410533372</v>
      </c>
      <c r="BK12" s="128">
        <f t="shared" si="26"/>
        <v>641.77833526333438</v>
      </c>
      <c r="BL12" s="128">
        <f>INDEX(Direct_Cost_Splits_Network,MATCH($H12,RIN_Asset_Cat_Network,0),MATCH($BQ$4,Direct_Cost_Type,0))*$P12*INDEX(Act_Type_Repex_Splits,MATCH($I12,Act_Type_Repex,0),MATCH(BL$4,Mat_Type,0))*INDEX(Escalators!$I$44:$U$49,MATCH(BL$4,Escalators!$C$44:$C$49,0),MATCH(BL$5,Escalators!$I$43:$U$43,0))</f>
        <v>1.43896487727205</v>
      </c>
      <c r="BM12" s="128">
        <f>INDEX(Direct_Cost_Splits_Network,MATCH($H12,RIN_Asset_Cat_Network,0),MATCH($BQ$4,Direct_Cost_Type,0))*$P12*INDEX(Act_Type_Repex_Splits,MATCH($I12,Act_Type_Repex,0),MATCH(BM$4,Mat_Type,0))*INDEX(Escalators!$I$44:$U$49,MATCH(BM$4,Escalators!$C$44:$C$49,0),MATCH(BM$5,Escalators!$I$43:$U$43,0))</f>
        <v>4.3168946318161501</v>
      </c>
      <c r="BN12" s="128">
        <f>INDEX(Direct_Cost_Splits_Network,MATCH($H12,RIN_Asset_Cat_Network,0),MATCH($BQ$4,Direct_Cost_Type,0))*$P12*INDEX(Act_Type_Repex_Splits,MATCH($I12,Act_Type_Repex,0),MATCH(BN$4,Mat_Type,0))*INDEX(Escalators!$I$44:$U$49,MATCH(BN$4,Escalators!$C$44:$C$49,0),MATCH(BN$5,Escalators!$I$43:$U$43,0))</f>
        <v>11.5117190181764</v>
      </c>
      <c r="BO12" s="128">
        <f>INDEX(Direct_Cost_Splits_Network,MATCH($H12,RIN_Asset_Cat_Network,0),MATCH($BQ$4,Direct_Cost_Type,0))*$P12*INDEX(Act_Type_Repex_Splits,MATCH($I12,Act_Type_Repex,0),MATCH(BO$4,Mat_Type,0))*INDEX(Escalators!$I$44:$U$49,MATCH(BO$4,Escalators!$C$44:$C$49,0),MATCH(BO$5,Escalators!$I$43:$U$43,0))</f>
        <v>0</v>
      </c>
      <c r="BP12" s="128">
        <f>INDEX(Direct_Cost_Splits_Network,MATCH($H12,RIN_Asset_Cat_Network,0),MATCH($BQ$4,Direct_Cost_Type,0))*$P12*INDEX(Act_Type_Repex_Splits,MATCH($I12,Act_Type_Repex,0),MATCH(BP$4,Mat_Type,0))*INDEX(Escalators!$I$44:$U$49,MATCH(BP$4,Escalators!$C$44:$C$49,0),MATCH(BP$5,Escalators!$I$43:$U$43,0))</f>
        <v>11.5117190181764</v>
      </c>
      <c r="BQ12" s="128">
        <f t="shared" si="27"/>
        <v>28.779297545441</v>
      </c>
      <c r="BR12" s="128">
        <f>INDEX(Direct_Cost_Splits_Network,MATCH($H12,RIN_Asset_Cat_Network,0),MATCH($BW$4,Direct_Cost_Type,0))*$Q12*INDEX(Act_Type_Repex_Splits,MATCH($I12,Act_Type_Repex,0),MATCH(BR$4,Mat_Type,0))*INDEX(Escalators!$I$44:$U$49,MATCH(BR$4,Escalators!$C$44:$C$49,0),MATCH(BR$5,Escalators!$I$43:$U$43,0))</f>
        <v>0</v>
      </c>
      <c r="BS12" s="128">
        <f>INDEX(Direct_Cost_Splits_Network,MATCH($H12,RIN_Asset_Cat_Network,0),MATCH($BW$4,Direct_Cost_Type,0))*$Q12*INDEX(Act_Type_Repex_Splits,MATCH($I12,Act_Type_Repex,0),MATCH(BS$4,Mat_Type,0))*INDEX(Escalators!$I$44:$U$49,MATCH(BS$4,Escalators!$C$44:$C$49,0),MATCH(BS$5,Escalators!$I$43:$U$43,0))</f>
        <v>0</v>
      </c>
      <c r="BT12" s="128">
        <f>INDEX(Direct_Cost_Splits_Network,MATCH($H12,RIN_Asset_Cat_Network,0),MATCH($BW$4,Direct_Cost_Type,0))*$Q12*INDEX(Act_Type_Repex_Splits,MATCH($I12,Act_Type_Repex,0),MATCH(BT$4,Mat_Type,0))*INDEX(Escalators!$I$44:$U$49,MATCH(BT$4,Escalators!$C$44:$C$49,0),MATCH(BT$5,Escalators!$I$43:$U$43,0))</f>
        <v>0</v>
      </c>
      <c r="BU12" s="128">
        <f>INDEX(Direct_Cost_Splits_Network,MATCH($H12,RIN_Asset_Cat_Network,0),MATCH($BW$4,Direct_Cost_Type,0))*$Q12*INDEX(Act_Type_Repex_Splits,MATCH($I12,Act_Type_Repex,0),MATCH(BU$4,Mat_Type,0))*INDEX(Escalators!$I$44:$U$49,MATCH(BU$4,Escalators!$C$44:$C$49,0),MATCH(BU$5,Escalators!$I$43:$U$43,0))</f>
        <v>0</v>
      </c>
      <c r="BV12" s="128">
        <f>INDEX(Direct_Cost_Splits_Network,MATCH($H12,RIN_Asset_Cat_Network,0),MATCH($BW$4,Direct_Cost_Type,0))*$Q12*INDEX(Act_Type_Repex_Splits,MATCH($I12,Act_Type_Repex,0),MATCH(BV$4,Mat_Type,0))*INDEX(Escalators!$I$44:$U$49,MATCH(BV$4,Escalators!$C$44:$C$49,0),MATCH(BV$5,Escalators!$I$43:$U$43,0))</f>
        <v>0</v>
      </c>
      <c r="BW12" s="128">
        <f t="shared" si="28"/>
        <v>0</v>
      </c>
      <c r="BX12" s="129"/>
      <c r="BY12" s="128">
        <f>INDEX(Direct_Cost_Splits_Network,MATCH($H12,RIN_Asset_Cat_Network,0),MATCH($BY$4,Direct_Cost_Type,0))*J12*HLOOKUP(BY$5,Escalators!$I$25:$U$30,6,FALSE)</f>
        <v>0</v>
      </c>
      <c r="BZ12" s="128">
        <f>INDEX(Direct_Cost_Splits_Network,MATCH($H12,RIN_Asset_Cat_Network,0),MATCH($BY$4,Direct_Cost_Type,0))*K12*HLOOKUP(BZ$5,Escalators!$I$25:$U$30,6,FALSE)</f>
        <v>0</v>
      </c>
      <c r="CA12" s="128">
        <f>INDEX(Direct_Cost_Splits_Network,MATCH($H12,RIN_Asset_Cat_Network,0),MATCH($BY$4,Direct_Cost_Type,0))*L12*HLOOKUP(CA$5,Escalators!$I$25:$U$30,6,FALSE)</f>
        <v>61.676732825006226</v>
      </c>
      <c r="CB12" s="128">
        <f>INDEX(Direct_Cost_Splits_Network,MATCH($H12,RIN_Asset_Cat_Network,0),MATCH($BY$4,Direct_Cost_Type,0))*M12*HLOOKUP(CB$5,Escalators!$I$25:$U$30,6,FALSE)</f>
        <v>1426.2744465782691</v>
      </c>
      <c r="CC12" s="128">
        <f>INDEX(Direct_Cost_Splits_Network,MATCH($H12,RIN_Asset_Cat_Network,0),MATCH($BY$4,Direct_Cost_Type,0))*N12*HLOOKUP(CC$5,Escalators!$I$25:$U$30,6,FALSE)</f>
        <v>2883.3872595690405</v>
      </c>
      <c r="CD12" s="128">
        <f>INDEX(Direct_Cost_Splits_Network,MATCH($H12,RIN_Asset_Cat_Network,0),MATCH($BY$4,Direct_Cost_Type,0))*O12*HLOOKUP(CD$5,Escalators!$I$25:$U$30,6,FALSE)</f>
        <v>1719.2389274970483</v>
      </c>
      <c r="CE12" s="128">
        <f>INDEX(Direct_Cost_Splits_Network,MATCH($H12,RIN_Asset_Cat_Network,0),MATCH($BY$4,Direct_Cost_Type,0))*P12*HLOOKUP(CE$5,Escalators!$I$25:$U$30,6,FALSE)</f>
        <v>77.095916031257786</v>
      </c>
      <c r="CF12" s="128">
        <f>INDEX(Direct_Cost_Splits_Network,MATCH($H12,RIN_Asset_Cat_Network,0),MATCH($BY$4,Direct_Cost_Type,0))*Q12*HLOOKUP(CF$5,Escalators!$I$25:$U$30,6,FALSE)</f>
        <v>0</v>
      </c>
      <c r="CG12" s="129"/>
      <c r="CH12" s="763">
        <f t="shared" si="11"/>
        <v>0</v>
      </c>
      <c r="CI12" s="763">
        <f t="shared" si="12"/>
        <v>0</v>
      </c>
      <c r="CJ12" s="763">
        <f t="shared" si="12"/>
        <v>9.544781998440083</v>
      </c>
      <c r="CK12" s="763">
        <f t="shared" si="13"/>
        <v>220.72308371392697</v>
      </c>
      <c r="CL12" s="763">
        <f t="shared" si="14"/>
        <v>446.21855842707384</v>
      </c>
      <c r="CM12" s="763">
        <f t="shared" si="15"/>
        <v>266.06079820651729</v>
      </c>
      <c r="CN12" s="763">
        <f t="shared" si="16"/>
        <v>11.930977498050105</v>
      </c>
      <c r="CO12" s="763">
        <f t="shared" si="17"/>
        <v>0</v>
      </c>
      <c r="CP12" s="129"/>
      <c r="CQ12" s="128">
        <f t="shared" si="18"/>
        <v>0</v>
      </c>
      <c r="CR12" s="128">
        <f t="shared" si="29"/>
        <v>0</v>
      </c>
      <c r="CS12" s="128">
        <f t="shared" si="30"/>
        <v>104.86345945459396</v>
      </c>
      <c r="CT12" s="128">
        <f t="shared" si="19"/>
        <v>2425.5535797893763</v>
      </c>
      <c r="CU12" s="128">
        <f t="shared" si="20"/>
        <v>4902.308687618608</v>
      </c>
      <c r="CV12" s="128">
        <f t="shared" si="21"/>
        <v>2922.8193694591541</v>
      </c>
      <c r="CW12" s="128">
        <f t="shared" si="22"/>
        <v>131.11684093417884</v>
      </c>
      <c r="CX12" s="128">
        <f t="shared" si="23"/>
        <v>0</v>
      </c>
      <c r="CY12" s="129"/>
      <c r="CZ12" s="128">
        <f t="shared" si="33"/>
        <v>10365.299999999999</v>
      </c>
      <c r="DA12" s="128">
        <f t="shared" si="34"/>
        <v>10381.798477801318</v>
      </c>
      <c r="DB12" s="128">
        <f>DA12*Escalators!$M$17</f>
        <v>10897.605990248539</v>
      </c>
      <c r="DC12" s="128">
        <f>SUMPRODUCT(1+AusNet_Overheads!$K$20:$O$20,CT12:CX12)</f>
        <v>11560.794973879345</v>
      </c>
      <c r="DD12" s="128">
        <f>DC12*Escalators!$M$17</f>
        <v>12135.179548010659</v>
      </c>
      <c r="DE12" s="157"/>
      <c r="DF12" s="157"/>
      <c r="DG12" s="201"/>
      <c r="DH12" s="262"/>
    </row>
    <row r="13" spans="2:112" x14ac:dyDescent="0.25">
      <c r="B13" s="75" t="s">
        <v>435</v>
      </c>
      <c r="C13" s="75" t="s">
        <v>439</v>
      </c>
      <c r="D13" s="75" t="s">
        <v>107</v>
      </c>
      <c r="E13" s="75" t="s">
        <v>44</v>
      </c>
      <c r="F13" s="75" t="s">
        <v>131</v>
      </c>
      <c r="G13" s="75" t="s">
        <v>150</v>
      </c>
      <c r="H13" s="75" t="s">
        <v>176</v>
      </c>
      <c r="I13" s="75" t="s">
        <v>250</v>
      </c>
      <c r="J13" s="128"/>
      <c r="K13" s="128">
        <v>0</v>
      </c>
      <c r="L13" s="128">
        <v>0</v>
      </c>
      <c r="M13" s="128">
        <v>115.97</v>
      </c>
      <c r="N13" s="128">
        <v>2681.8062500000001</v>
      </c>
      <c r="O13" s="128">
        <v>5421.5975000000008</v>
      </c>
      <c r="P13" s="128">
        <v>3232.6637500000002</v>
      </c>
      <c r="Q13" s="128">
        <v>144.96250000000001</v>
      </c>
      <c r="R13" s="129"/>
      <c r="S13" s="128">
        <f>INDEX(Direct_Cost_Splits_Network,MATCH($H13,RIN_Asset_Cat_Network,0),MATCH($S$4,Direct_Cost_Type,0))*J13*HLOOKUP(S$5,Escalators!$I$25:$U$30,3,FALSE)</f>
        <v>0</v>
      </c>
      <c r="T13" s="128">
        <f>INDEX(Direct_Cost_Splits_Network,MATCH($H13,RIN_Asset_Cat_Network,0),MATCH($S$4,Direct_Cost_Type,0))*K13*HLOOKUP(T$5,Escalators!$I$25:$U$30,3,FALSE)</f>
        <v>0</v>
      </c>
      <c r="U13" s="128">
        <f>INDEX(Direct_Cost_Splits_Network,MATCH($H13,RIN_Asset_Cat_Network,0),MATCH($S$4,Direct_Cost_Type,0))*L13*HLOOKUP(U$5,Escalators!$I$25:$U$30,3,FALSE)</f>
        <v>0</v>
      </c>
      <c r="V13" s="128">
        <f>INDEX(Direct_Cost_Splits_Network,MATCH($H13,RIN_Asset_Cat_Network,0),MATCH($S$4,Direct_Cost_Type,0))*M13*HLOOKUP(V$5,Escalators!$I$25:$U$30,3,FALSE)</f>
        <v>11.789564020882032</v>
      </c>
      <c r="W13" s="128">
        <f>INDEX(Direct_Cost_Splits_Network,MATCH($H13,RIN_Asset_Cat_Network,0),MATCH($S$4,Direct_Cost_Type,0))*N13*HLOOKUP(W$5,Escalators!$I$25:$U$30,3,FALSE)</f>
        <v>271.9527009383238</v>
      </c>
      <c r="X13" s="128">
        <f>INDEX(Direct_Cost_Splits_Network,MATCH($H13,RIN_Asset_Cat_Network,0),MATCH($S$4,Direct_Cost_Type,0))*O13*HLOOKUP(X$5,Escalators!$I$25:$U$30,3,FALSE)</f>
        <v>549.38614748723433</v>
      </c>
      <c r="Y13" s="128">
        <f>INDEX(Direct_Cost_Splits_Network,MATCH($H13,RIN_Asset_Cat_Network,0),MATCH($S$4,Direct_Cost_Type,0))*P13*HLOOKUP(Y$5,Escalators!$I$25:$U$30,3,FALSE)</f>
        <v>328.77826391229632</v>
      </c>
      <c r="Z13" s="128">
        <f>INDEX(Direct_Cost_Splits_Network,MATCH($H13,RIN_Asset_Cat_Network,0),MATCH($S$4,Direct_Cost_Type,0))*Q13*HLOOKUP(Z$5,Escalators!$I$25:$U$30,3,FALSE)</f>
        <v>14.890351850343309</v>
      </c>
      <c r="AA13" s="129"/>
      <c r="AB13" s="128">
        <f>INDEX(Direct_Cost_Splits_Network,MATCH($H13,RIN_Asset_Cat_Network,0),MATCH($AG$4,Direct_Cost_Type,0))*$J13*INDEX(Act_Type_Repex_Splits,MATCH($I13,Act_Type_Repex,0),MATCH(AB$4,Mat_Type,0))*INDEX(Escalators!$I$44:$U$49,MATCH(AB$4,Escalators!$C$44:$C$49,0),MATCH(AB$5,Escalators!$I$43:$U$43,0))</f>
        <v>0</v>
      </c>
      <c r="AC13" s="128">
        <f>INDEX(Direct_Cost_Splits_Network,MATCH($H13,RIN_Asset_Cat_Network,0),MATCH($AG$4,Direct_Cost_Type,0))*$J13*INDEX(Act_Type_Repex_Splits,MATCH($I13,Act_Type_Repex,0),MATCH(AC$4,Mat_Type,0))*INDEX(Escalators!$I$44:$U$49,MATCH(AC$4,Escalators!$C$44:$C$49,0),MATCH(AC$5,Escalators!$I$43:$U$43,0))</f>
        <v>0</v>
      </c>
      <c r="AD13" s="128">
        <f>INDEX(Direct_Cost_Splits_Network,MATCH($H13,RIN_Asset_Cat_Network,0),MATCH($AG$4,Direct_Cost_Type,0))*$J13*INDEX(Act_Type_Repex_Splits,MATCH($I13,Act_Type_Repex,0),MATCH(AD$4,Mat_Type,0))*INDEX(Escalators!$I$44:$U$49,MATCH(AD$4,Escalators!$C$44:$C$49,0),MATCH(AD$5,Escalators!$I$43:$U$43,0))</f>
        <v>0</v>
      </c>
      <c r="AE13" s="128">
        <f>INDEX(Direct_Cost_Splits_Network,MATCH($H13,RIN_Asset_Cat_Network,0),MATCH($AG$4,Direct_Cost_Type,0))*$J13*INDEX(Act_Type_Repex_Splits,MATCH($I13,Act_Type_Repex,0),MATCH(AE$4,Mat_Type,0))*INDEX(Escalators!$I$44:$U$49,MATCH(AE$4,Escalators!$C$44:$C$49,0),MATCH(AE$5,Escalators!$I$43:$U$43,0))</f>
        <v>0</v>
      </c>
      <c r="AF13" s="128">
        <f>INDEX(Direct_Cost_Splits_Network,MATCH($H13,RIN_Asset_Cat_Network,0),MATCH($AG$4,Direct_Cost_Type,0))*$J13*INDEX(Act_Type_Repex_Splits,MATCH($I13,Act_Type_Repex,0),MATCH(AF$4,Mat_Type,0))*INDEX(Escalators!$I$44:$U$49,MATCH(AF$4,Escalators!$C$44:$C$49,0),MATCH(AF$5,Escalators!$I$43:$U$43,0))</f>
        <v>0</v>
      </c>
      <c r="AG13" s="128">
        <f t="shared" si="24"/>
        <v>0</v>
      </c>
      <c r="AH13" s="128">
        <f>INDEX(Direct_Cost_Splits_Network,MATCH($H13,RIN_Asset_Cat_Network,0),MATCH($AY$4,Direct_Cost_Type,0))*$K13*INDEX(Act_Type_Repex_Splits,MATCH($I13,Act_Type_Repex,0),MATCH(AH$4,Mat_Type,0))*INDEX(Escalators!$I$44:$U$49,MATCH(AH$4,Escalators!$C$44:$C$49,0),MATCH(AH$5,Escalators!$I$43:$U$43,0))</f>
        <v>0</v>
      </c>
      <c r="AI13" s="128">
        <f>INDEX(Direct_Cost_Splits_Network,MATCH($H13,RIN_Asset_Cat_Network,0),MATCH($AY$4,Direct_Cost_Type,0))*$K13*INDEX(Act_Type_Repex_Splits,MATCH($I13,Act_Type_Repex,0),MATCH(AI$4,Mat_Type,0))*INDEX(Escalators!$I$44:$U$49,MATCH(AI$4,Escalators!$C$44:$C$49,0),MATCH(AI$5,Escalators!$I$43:$U$43,0))</f>
        <v>0</v>
      </c>
      <c r="AJ13" s="128">
        <f>INDEX(Direct_Cost_Splits_Network,MATCH($H13,RIN_Asset_Cat_Network,0),MATCH($AY$4,Direct_Cost_Type,0))*$K13*INDEX(Act_Type_Repex_Splits,MATCH($I13,Act_Type_Repex,0),MATCH(AJ$4,Mat_Type,0))*INDEX(Escalators!$I$44:$U$49,MATCH(AJ$4,Escalators!$C$44:$C$49,0),MATCH(AJ$5,Escalators!$I$43:$U$43,0))</f>
        <v>0</v>
      </c>
      <c r="AK13" s="128">
        <f>INDEX(Direct_Cost_Splits_Network,MATCH($H13,RIN_Asset_Cat_Network,0),MATCH($AY$4,Direct_Cost_Type,0))*$K13*INDEX(Act_Type_Repex_Splits,MATCH($I13,Act_Type_Repex,0),MATCH(AK$4,Mat_Type,0))*INDEX(Escalators!$I$44:$U$49,MATCH(AK$4,Escalators!$C$44:$C$49,0),MATCH(AK$5,Escalators!$I$43:$U$43,0))</f>
        <v>0</v>
      </c>
      <c r="AL13" s="128">
        <f>INDEX(Direct_Cost_Splits_Network,MATCH($H13,RIN_Asset_Cat_Network,0),MATCH($AY$4,Direct_Cost_Type,0))*$K13*INDEX(Act_Type_Repex_Splits,MATCH($I13,Act_Type_Repex,0),MATCH(AL$4,Mat_Type,0))*INDEX(Escalators!$I$44:$U$49,MATCH(AL$4,Escalators!$C$44:$C$49,0),MATCH(AL$5,Escalators!$I$43:$U$43,0))</f>
        <v>0</v>
      </c>
      <c r="AM13" s="128">
        <f t="shared" si="8"/>
        <v>0</v>
      </c>
      <c r="AN13" s="128">
        <f>INDEX(Direct_Cost_Splits_Network,MATCH($H13,RIN_Asset_Cat_Network,0),MATCH($AY$4,Direct_Cost_Type,0))*$L13*INDEX(Act_Type_Repex_Splits,MATCH($I13,Act_Type_Repex,0),MATCH(AN$4,Mat_Type,0))*INDEX(Escalators!$I$44:$U$49,MATCH(AN$4,Escalators!$C$44:$C$49,0),MATCH(AN$5,Escalators!$I$43:$U$43,0))</f>
        <v>0</v>
      </c>
      <c r="AO13" s="128">
        <f>INDEX(Direct_Cost_Splits_Network,MATCH($H13,RIN_Asset_Cat_Network,0),MATCH($AY$4,Direct_Cost_Type,0))*$L13*INDEX(Act_Type_Repex_Splits,MATCH($I13,Act_Type_Repex,0),MATCH(AO$4,Mat_Type,0))*INDEX(Escalators!$I$44:$U$49,MATCH(AO$4,Escalators!$C$44:$C$49,0),MATCH(AO$5,Escalators!$I$43:$U$43,0))</f>
        <v>0</v>
      </c>
      <c r="AP13" s="128">
        <f>INDEX(Direct_Cost_Splits_Network,MATCH($H13,RIN_Asset_Cat_Network,0),MATCH($AY$4,Direct_Cost_Type,0))*$L13*INDEX(Act_Type_Repex_Splits,MATCH($I13,Act_Type_Repex,0),MATCH(AP$4,Mat_Type,0))*INDEX(Escalators!$I$44:$U$49,MATCH(AP$4,Escalators!$C$44:$C$49,0),MATCH(AP$5,Escalators!$I$43:$U$43,0))</f>
        <v>0</v>
      </c>
      <c r="AQ13" s="128">
        <f>INDEX(Direct_Cost_Splits_Network,MATCH($H13,RIN_Asset_Cat_Network,0),MATCH($AY$4,Direct_Cost_Type,0))*$L13*INDEX(Act_Type_Repex_Splits,MATCH($I13,Act_Type_Repex,0),MATCH(AQ$4,Mat_Type,0))*INDEX(Escalators!$I$44:$U$49,MATCH(AQ$4,Escalators!$C$44:$C$49,0),MATCH(AQ$5,Escalators!$I$43:$U$43,0))</f>
        <v>0</v>
      </c>
      <c r="AR13" s="128">
        <f>INDEX(Direct_Cost_Splits_Network,MATCH($H13,RIN_Asset_Cat_Network,0),MATCH($AY$4,Direct_Cost_Type,0))*$L13*INDEX(Act_Type_Repex_Splits,MATCH($I13,Act_Type_Repex,0),MATCH(AR$4,Mat_Type,0))*INDEX(Escalators!$I$44:$U$49,MATCH(AR$4,Escalators!$C$44:$C$49,0),MATCH(AR$5,Escalators!$I$43:$U$43,0))</f>
        <v>0</v>
      </c>
      <c r="AS13" s="128">
        <f t="shared" si="9"/>
        <v>0</v>
      </c>
      <c r="AT13" s="128">
        <f>INDEX(Direct_Cost_Splits_Network,MATCH($H13,RIN_Asset_Cat_Network,0),MATCH($AY$4,Direct_Cost_Type,0))*$M13*INDEX(Act_Type_Repex_Splits,MATCH($I13,Act_Type_Repex,0),MATCH(AT$4,Mat_Type,0))*INDEX(Escalators!$I$44:$U$49,MATCH(AT$4,Escalators!$C$44:$C$49,0),MATCH(AT$5,Escalators!$I$43:$U$43,0))</f>
        <v>1.2750850568652503</v>
      </c>
      <c r="AU13" s="128">
        <f>INDEX(Direct_Cost_Splits_Network,MATCH($H13,RIN_Asset_Cat_Network,0),MATCH($AY$4,Direct_Cost_Type,0))*$M13*INDEX(Act_Type_Repex_Splits,MATCH($I13,Act_Type_Repex,0),MATCH(AU$4,Mat_Type,0))*INDEX(Escalators!$I$44:$U$49,MATCH(AU$4,Escalators!$C$44:$C$49,0),MATCH(AU$5,Escalators!$I$43:$U$43,0))</f>
        <v>3.8252551705957507</v>
      </c>
      <c r="AV13" s="128">
        <f>INDEX(Direct_Cost_Splits_Network,MATCH($H13,RIN_Asset_Cat_Network,0),MATCH($AY$4,Direct_Cost_Type,0))*$M13*INDEX(Act_Type_Repex_Splits,MATCH($I13,Act_Type_Repex,0),MATCH(AV$4,Mat_Type,0))*INDEX(Escalators!$I$44:$U$49,MATCH(AV$4,Escalators!$C$44:$C$49,0),MATCH(AV$5,Escalators!$I$43:$U$43,0))</f>
        <v>10.200680454922002</v>
      </c>
      <c r="AW13" s="128">
        <f>INDEX(Direct_Cost_Splits_Network,MATCH($H13,RIN_Asset_Cat_Network,0),MATCH($AY$4,Direct_Cost_Type,0))*$M13*INDEX(Act_Type_Repex_Splits,MATCH($I13,Act_Type_Repex,0),MATCH(AW$4,Mat_Type,0))*INDEX(Escalators!$I$44:$U$49,MATCH(AW$4,Escalators!$C$44:$C$49,0),MATCH(AW$5,Escalators!$I$43:$U$43,0))</f>
        <v>0</v>
      </c>
      <c r="AX13" s="128">
        <f>INDEX(Direct_Cost_Splits_Network,MATCH($H13,RIN_Asset_Cat_Network,0),MATCH($AY$4,Direct_Cost_Type,0))*$M13*INDEX(Act_Type_Repex_Splits,MATCH($I13,Act_Type_Repex,0),MATCH(AX$4,Mat_Type,0))*INDEX(Escalators!$I$44:$U$49,MATCH(AX$4,Escalators!$C$44:$C$49,0),MATCH(AX$5,Escalators!$I$43:$U$43,0))</f>
        <v>10.200680454922002</v>
      </c>
      <c r="AY13" s="128">
        <f t="shared" si="10"/>
        <v>25.501701137305005</v>
      </c>
      <c r="AZ13" s="128">
        <f>INDEX(Direct_Cost_Splits_Network,MATCH($H13,RIN_Asset_Cat_Network,0),MATCH($BE$4,Direct_Cost_Type,0))*$N13*INDEX(Act_Type_Repex_Splits,MATCH($I13,Act_Type_Repex,0),MATCH(AZ$4,Mat_Type,0))*INDEX(Escalators!$I$44:$U$49,MATCH(AZ$4,Escalators!$C$44:$C$49,0),MATCH(AZ$5,Escalators!$I$43:$U$43,0))</f>
        <v>29.486341940008913</v>
      </c>
      <c r="BA13" s="128">
        <f>INDEX(Direct_Cost_Splits_Network,MATCH($H13,RIN_Asset_Cat_Network,0),MATCH($BE$4,Direct_Cost_Type,0))*$N13*INDEX(Act_Type_Repex_Splits,MATCH($I13,Act_Type_Repex,0),MATCH(BA$4,Mat_Type,0))*INDEX(Escalators!$I$44:$U$49,MATCH(BA$4,Escalators!$C$44:$C$49,0),MATCH(BA$5,Escalators!$I$43:$U$43,0))</f>
        <v>88.459025820026739</v>
      </c>
      <c r="BB13" s="128">
        <f>INDEX(Direct_Cost_Splits_Network,MATCH($H13,RIN_Asset_Cat_Network,0),MATCH($BE$4,Direct_Cost_Type,0))*$N13*INDEX(Act_Type_Repex_Splits,MATCH($I13,Act_Type_Repex,0),MATCH(BB$4,Mat_Type,0))*INDEX(Escalators!$I$44:$U$49,MATCH(BB$4,Escalators!$C$44:$C$49,0),MATCH(BB$5,Escalators!$I$43:$U$43,0))</f>
        <v>235.8907355200713</v>
      </c>
      <c r="BC13" s="128">
        <f>INDEX(Direct_Cost_Splits_Network,MATCH($H13,RIN_Asset_Cat_Network,0),MATCH($BE$4,Direct_Cost_Type,0))*$N13*INDEX(Act_Type_Repex_Splits,MATCH($I13,Act_Type_Repex,0),MATCH(BC$4,Mat_Type,0))*INDEX(Escalators!$I$44:$U$49,MATCH(BC$4,Escalators!$C$44:$C$49,0),MATCH(BC$5,Escalators!$I$43:$U$43,0))</f>
        <v>0</v>
      </c>
      <c r="BD13" s="128">
        <f>INDEX(Direct_Cost_Splits_Network,MATCH($H13,RIN_Asset_Cat_Network,0),MATCH($BE$4,Direct_Cost_Type,0))*$N13*INDEX(Act_Type_Repex_Splits,MATCH($I13,Act_Type_Repex,0),MATCH(BD$4,Mat_Type,0))*INDEX(Escalators!$I$44:$U$49,MATCH(BD$4,Escalators!$C$44:$C$49,0),MATCH(BD$5,Escalators!$I$43:$U$43,0))</f>
        <v>235.8907355200713</v>
      </c>
      <c r="BE13" s="128">
        <f t="shared" si="25"/>
        <v>589.72683880017826</v>
      </c>
      <c r="BF13" s="128">
        <f>INDEX(Direct_Cost_Splits_Network,MATCH($H13,RIN_Asset_Cat_Network,0),MATCH($BK$4,Direct_Cost_Type,0))*$O13*INDEX(Act_Type_Repex_Splits,MATCH($I13,Act_Type_Repex,0),MATCH(BF$4,Mat_Type,0))*INDEX(Escalators!$I$44:$U$49,MATCH(BF$4,Escalators!$C$44:$C$49,0),MATCH(BF$5,Escalators!$I$43:$U$43,0))</f>
        <v>59.610226408450472</v>
      </c>
      <c r="BG13" s="128">
        <f>INDEX(Direct_Cost_Splits_Network,MATCH($H13,RIN_Asset_Cat_Network,0),MATCH($BK$4,Direct_Cost_Type,0))*$O13*INDEX(Act_Type_Repex_Splits,MATCH($I13,Act_Type_Repex,0),MATCH(BG$4,Mat_Type,0))*INDEX(Escalators!$I$44:$U$49,MATCH(BG$4,Escalators!$C$44:$C$49,0),MATCH(BG$5,Escalators!$I$43:$U$43,0))</f>
        <v>178.83067922535139</v>
      </c>
      <c r="BH13" s="128">
        <f>INDEX(Direct_Cost_Splits_Network,MATCH($H13,RIN_Asset_Cat_Network,0),MATCH($BK$4,Direct_Cost_Type,0))*$O13*INDEX(Act_Type_Repex_Splits,MATCH($I13,Act_Type_Repex,0),MATCH(BH$4,Mat_Type,0))*INDEX(Escalators!$I$44:$U$49,MATCH(BH$4,Escalators!$C$44:$C$49,0),MATCH(BH$5,Escalators!$I$43:$U$43,0))</f>
        <v>476.88181126760378</v>
      </c>
      <c r="BI13" s="128">
        <f>INDEX(Direct_Cost_Splits_Network,MATCH($H13,RIN_Asset_Cat_Network,0),MATCH($BK$4,Direct_Cost_Type,0))*$O13*INDEX(Act_Type_Repex_Splits,MATCH($I13,Act_Type_Repex,0),MATCH(BI$4,Mat_Type,0))*INDEX(Escalators!$I$44:$U$49,MATCH(BI$4,Escalators!$C$44:$C$49,0),MATCH(BI$5,Escalators!$I$43:$U$43,0))</f>
        <v>0</v>
      </c>
      <c r="BJ13" s="128">
        <f>INDEX(Direct_Cost_Splits_Network,MATCH($H13,RIN_Asset_Cat_Network,0),MATCH($BK$4,Direct_Cost_Type,0))*$O13*INDEX(Act_Type_Repex_Splits,MATCH($I13,Act_Type_Repex,0),MATCH(BJ$4,Mat_Type,0))*INDEX(Escalators!$I$44:$U$49,MATCH(BJ$4,Escalators!$C$44:$C$49,0),MATCH(BJ$5,Escalators!$I$43:$U$43,0))</f>
        <v>476.88181126760378</v>
      </c>
      <c r="BK13" s="128">
        <f t="shared" si="26"/>
        <v>1192.2045281690093</v>
      </c>
      <c r="BL13" s="128">
        <f>INDEX(Direct_Cost_Splits_Network,MATCH($H13,RIN_Asset_Cat_Network,0),MATCH($BQ$4,Direct_Cost_Type,0))*$P13*INDEX(Act_Type_Repex_Splits,MATCH($I13,Act_Type_Repex,0),MATCH(BL$4,Mat_Type,0))*INDEX(Escalators!$I$44:$U$49,MATCH(BL$4,Escalators!$C$44:$C$49,0),MATCH(BL$5,Escalators!$I$43:$U$43,0))</f>
        <v>35.542995960118859</v>
      </c>
      <c r="BM13" s="128">
        <f>INDEX(Direct_Cost_Splits_Network,MATCH($H13,RIN_Asset_Cat_Network,0),MATCH($BQ$4,Direct_Cost_Type,0))*$P13*INDEX(Act_Type_Repex_Splits,MATCH($I13,Act_Type_Repex,0),MATCH(BM$4,Mat_Type,0))*INDEX(Escalators!$I$44:$U$49,MATCH(BM$4,Escalators!$C$44:$C$49,0),MATCH(BM$5,Escalators!$I$43:$U$43,0))</f>
        <v>106.62898788035656</v>
      </c>
      <c r="BN13" s="128">
        <f>INDEX(Direct_Cost_Splits_Network,MATCH($H13,RIN_Asset_Cat_Network,0),MATCH($BQ$4,Direct_Cost_Type,0))*$P13*INDEX(Act_Type_Repex_Splits,MATCH($I13,Act_Type_Repex,0),MATCH(BN$4,Mat_Type,0))*INDEX(Escalators!$I$44:$U$49,MATCH(BN$4,Escalators!$C$44:$C$49,0),MATCH(BN$5,Escalators!$I$43:$U$43,0))</f>
        <v>284.34396768095087</v>
      </c>
      <c r="BO13" s="128">
        <f>INDEX(Direct_Cost_Splits_Network,MATCH($H13,RIN_Asset_Cat_Network,0),MATCH($BQ$4,Direct_Cost_Type,0))*$P13*INDEX(Act_Type_Repex_Splits,MATCH($I13,Act_Type_Repex,0),MATCH(BO$4,Mat_Type,0))*INDEX(Escalators!$I$44:$U$49,MATCH(BO$4,Escalators!$C$44:$C$49,0),MATCH(BO$5,Escalators!$I$43:$U$43,0))</f>
        <v>0</v>
      </c>
      <c r="BP13" s="128">
        <f>INDEX(Direct_Cost_Splits_Network,MATCH($H13,RIN_Asset_Cat_Network,0),MATCH($BQ$4,Direct_Cost_Type,0))*$P13*INDEX(Act_Type_Repex_Splits,MATCH($I13,Act_Type_Repex,0),MATCH(BP$4,Mat_Type,0))*INDEX(Escalators!$I$44:$U$49,MATCH(BP$4,Escalators!$C$44:$C$49,0),MATCH(BP$5,Escalators!$I$43:$U$43,0))</f>
        <v>284.34396768095087</v>
      </c>
      <c r="BQ13" s="128">
        <f t="shared" si="27"/>
        <v>710.85991920237711</v>
      </c>
      <c r="BR13" s="128">
        <f>INDEX(Direct_Cost_Splits_Network,MATCH($H13,RIN_Asset_Cat_Network,0),MATCH($BW$4,Direct_Cost_Type,0))*$Q13*INDEX(Act_Type_Repex_Splits,MATCH($I13,Act_Type_Repex,0),MATCH(BR$4,Mat_Type,0))*INDEX(Escalators!$I$44:$U$49,MATCH(BR$4,Escalators!$C$44:$C$49,0),MATCH(BR$5,Escalators!$I$43:$U$43,0))</f>
        <v>1.5938563210815631</v>
      </c>
      <c r="BS13" s="128">
        <f>INDEX(Direct_Cost_Splits_Network,MATCH($H13,RIN_Asset_Cat_Network,0),MATCH($BW$4,Direct_Cost_Type,0))*$Q13*INDEX(Act_Type_Repex_Splits,MATCH($I13,Act_Type_Repex,0),MATCH(BS$4,Mat_Type,0))*INDEX(Escalators!$I$44:$U$49,MATCH(BS$4,Escalators!$C$44:$C$49,0),MATCH(BS$5,Escalators!$I$43:$U$43,0))</f>
        <v>4.7815689632446885</v>
      </c>
      <c r="BT13" s="128">
        <f>INDEX(Direct_Cost_Splits_Network,MATCH($H13,RIN_Asset_Cat_Network,0),MATCH($BW$4,Direct_Cost_Type,0))*$Q13*INDEX(Act_Type_Repex_Splits,MATCH($I13,Act_Type_Repex,0),MATCH(BT$4,Mat_Type,0))*INDEX(Escalators!$I$44:$U$49,MATCH(BT$4,Escalators!$C$44:$C$49,0),MATCH(BT$5,Escalators!$I$43:$U$43,0))</f>
        <v>12.750850568652504</v>
      </c>
      <c r="BU13" s="128">
        <f>INDEX(Direct_Cost_Splits_Network,MATCH($H13,RIN_Asset_Cat_Network,0),MATCH($BW$4,Direct_Cost_Type,0))*$Q13*INDEX(Act_Type_Repex_Splits,MATCH($I13,Act_Type_Repex,0),MATCH(BU$4,Mat_Type,0))*INDEX(Escalators!$I$44:$U$49,MATCH(BU$4,Escalators!$C$44:$C$49,0),MATCH(BU$5,Escalators!$I$43:$U$43,0))</f>
        <v>0</v>
      </c>
      <c r="BV13" s="128">
        <f>INDEX(Direct_Cost_Splits_Network,MATCH($H13,RIN_Asset_Cat_Network,0),MATCH($BW$4,Direct_Cost_Type,0))*$Q13*INDEX(Act_Type_Repex_Splits,MATCH($I13,Act_Type_Repex,0),MATCH(BV$4,Mat_Type,0))*INDEX(Escalators!$I$44:$U$49,MATCH(BV$4,Escalators!$C$44:$C$49,0),MATCH(BV$5,Escalators!$I$43:$U$43,0))</f>
        <v>12.750850568652504</v>
      </c>
      <c r="BW13" s="128">
        <f t="shared" si="28"/>
        <v>31.87712642163126</v>
      </c>
      <c r="BX13" s="129"/>
      <c r="BY13" s="128">
        <f>INDEX(Direct_Cost_Splits_Network,MATCH($H13,RIN_Asset_Cat_Network,0),MATCH($BY$4,Direct_Cost_Type,0))*J13*HLOOKUP(BY$5,Escalators!$I$25:$U$30,6,FALSE)</f>
        <v>0</v>
      </c>
      <c r="BZ13" s="128">
        <f>INDEX(Direct_Cost_Splits_Network,MATCH($H13,RIN_Asset_Cat_Network,0),MATCH($BY$4,Direct_Cost_Type,0))*K13*HLOOKUP(BZ$5,Escalators!$I$25:$U$30,6,FALSE)</f>
        <v>0</v>
      </c>
      <c r="CA13" s="128">
        <f>INDEX(Direct_Cost_Splits_Network,MATCH($H13,RIN_Asset_Cat_Network,0),MATCH($BY$4,Direct_Cost_Type,0))*L13*HLOOKUP(CA$5,Escalators!$I$25:$U$30,6,FALSE)</f>
        <v>0</v>
      </c>
      <c r="CB13" s="128">
        <f>INDEX(Direct_Cost_Splits_Network,MATCH($H13,RIN_Asset_Cat_Network,0),MATCH($BY$4,Direct_Cost_Type,0))*M13*HLOOKUP(CB$5,Escalators!$I$25:$U$30,6,FALSE)</f>
        <v>68.315670541699831</v>
      </c>
      <c r="CC13" s="128">
        <f>INDEX(Direct_Cost_Splits_Network,MATCH($H13,RIN_Asset_Cat_Network,0),MATCH($BY$4,Direct_Cost_Type,0))*N13*HLOOKUP(CC$5,Escalators!$I$25:$U$30,6,FALSE)</f>
        <v>1579.7998812768085</v>
      </c>
      <c r="CD13" s="128">
        <f>INDEX(Direct_Cost_Splits_Network,MATCH($H13,RIN_Asset_Cat_Network,0),MATCH($BY$4,Direct_Cost_Type,0))*O13*HLOOKUP(CD$5,Escalators!$I$25:$U$30,6,FALSE)</f>
        <v>3193.7575978244672</v>
      </c>
      <c r="CE13" s="128">
        <f>INDEX(Direct_Cost_Splits_Network,MATCH($H13,RIN_Asset_Cat_Network,0),MATCH($BY$4,Direct_Cost_Type,0))*P13*HLOOKUP(CE$5,Escalators!$I$25:$U$30,6,FALSE)</f>
        <v>1904.2993163498827</v>
      </c>
      <c r="CF13" s="128">
        <f>INDEX(Direct_Cost_Splits_Network,MATCH($H13,RIN_Asset_Cat_Network,0),MATCH($BY$4,Direct_Cost_Type,0))*Q13*HLOOKUP(CF$5,Escalators!$I$25:$U$30,6,FALSE)</f>
        <v>85.394588177124788</v>
      </c>
      <c r="CG13" s="129"/>
      <c r="CH13" s="763">
        <f t="shared" si="11"/>
        <v>0</v>
      </c>
      <c r="CI13" s="763">
        <f t="shared" si="12"/>
        <v>0</v>
      </c>
      <c r="CJ13" s="763">
        <f t="shared" si="12"/>
        <v>0</v>
      </c>
      <c r="CK13" s="763">
        <f t="shared" si="13"/>
        <v>10.572190719762144</v>
      </c>
      <c r="CL13" s="763">
        <f t="shared" si="14"/>
        <v>244.48191039449958</v>
      </c>
      <c r="CM13" s="763">
        <f t="shared" si="15"/>
        <v>494.24991614888029</v>
      </c>
      <c r="CN13" s="763">
        <f t="shared" si="16"/>
        <v>294.69981631336975</v>
      </c>
      <c r="CO13" s="763">
        <f t="shared" si="17"/>
        <v>13.215238399702681</v>
      </c>
      <c r="CP13" s="129"/>
      <c r="CQ13" s="128">
        <f t="shared" si="18"/>
        <v>0</v>
      </c>
      <c r="CR13" s="128">
        <f t="shared" si="29"/>
        <v>0</v>
      </c>
      <c r="CS13" s="128">
        <f t="shared" si="30"/>
        <v>0</v>
      </c>
      <c r="CT13" s="128">
        <f t="shared" si="19"/>
        <v>116.17912641964901</v>
      </c>
      <c r="CU13" s="128">
        <f t="shared" si="20"/>
        <v>2685.9613314098101</v>
      </c>
      <c r="CV13" s="128">
        <f t="shared" si="21"/>
        <v>5429.5981896295916</v>
      </c>
      <c r="CW13" s="128">
        <f t="shared" si="22"/>
        <v>3238.6373157779258</v>
      </c>
      <c r="CX13" s="128">
        <f t="shared" si="23"/>
        <v>145.37730484880205</v>
      </c>
      <c r="CY13" s="129"/>
      <c r="CZ13" s="128">
        <f t="shared" si="33"/>
        <v>11597</v>
      </c>
      <c r="DA13" s="128">
        <f t="shared" si="34"/>
        <v>11615.753268085778</v>
      </c>
      <c r="DB13" s="128">
        <f>DA13*Escalators!$M$17</f>
        <v>12192.868380772969</v>
      </c>
      <c r="DC13" s="128">
        <f>SUMPRODUCT(1+AusNet_Overheads!$K$20:$O$20,CT13:CX13)</f>
        <v>12951.154246541897</v>
      </c>
      <c r="DD13" s="128">
        <f>DC13*Escalators!$M$17</f>
        <v>13594.617194653736</v>
      </c>
      <c r="DE13" s="157"/>
      <c r="DF13" s="157"/>
      <c r="DG13" s="201"/>
      <c r="DH13" s="262"/>
    </row>
    <row r="14" spans="2:112" x14ac:dyDescent="0.25">
      <c r="B14" s="75"/>
      <c r="C14" s="75"/>
      <c r="D14" s="75"/>
      <c r="E14" s="75" t="s">
        <v>44</v>
      </c>
      <c r="F14" s="75" t="s">
        <v>131</v>
      </c>
      <c r="G14" s="75" t="s">
        <v>150</v>
      </c>
      <c r="H14" s="75" t="s">
        <v>176</v>
      </c>
      <c r="I14" s="75" t="s">
        <v>250</v>
      </c>
      <c r="J14" s="128"/>
      <c r="K14" s="128"/>
      <c r="L14" s="128"/>
      <c r="M14" s="128"/>
      <c r="N14" s="128"/>
      <c r="O14" s="128"/>
      <c r="P14" s="128"/>
      <c r="Q14" s="128"/>
      <c r="R14" s="129"/>
      <c r="S14" s="128">
        <f>INDEX(Direct_Cost_Splits_Network,MATCH($H14,RIN_Asset_Cat_Network,0),MATCH($S$4,Direct_Cost_Type,0))*J14*HLOOKUP(S$5,Escalators!$I$25:$U$30,3,FALSE)</f>
        <v>0</v>
      </c>
      <c r="T14" s="128">
        <f>INDEX(Direct_Cost_Splits_Network,MATCH($H14,RIN_Asset_Cat_Network,0),MATCH($S$4,Direct_Cost_Type,0))*K14*HLOOKUP(T$5,Escalators!$I$25:$U$30,3,FALSE)</f>
        <v>0</v>
      </c>
      <c r="U14" s="128">
        <f>INDEX(Direct_Cost_Splits_Network,MATCH($H14,RIN_Asset_Cat_Network,0),MATCH($S$4,Direct_Cost_Type,0))*L14*HLOOKUP(U$5,Escalators!$I$25:$U$30,3,FALSE)</f>
        <v>0</v>
      </c>
      <c r="V14" s="128">
        <f>INDEX(Direct_Cost_Splits_Network,MATCH($H14,RIN_Asset_Cat_Network,0),MATCH($S$4,Direct_Cost_Type,0))*M14*HLOOKUP(V$5,Escalators!$I$25:$U$30,3,FALSE)</f>
        <v>0</v>
      </c>
      <c r="W14" s="128">
        <f>INDEX(Direct_Cost_Splits_Network,MATCH($H14,RIN_Asset_Cat_Network,0),MATCH($S$4,Direct_Cost_Type,0))*N14*HLOOKUP(W$5,Escalators!$I$25:$U$30,3,FALSE)</f>
        <v>0</v>
      </c>
      <c r="X14" s="128">
        <f>INDEX(Direct_Cost_Splits_Network,MATCH($H14,RIN_Asset_Cat_Network,0),MATCH($S$4,Direct_Cost_Type,0))*O14*HLOOKUP(X$5,Escalators!$I$25:$U$30,3,FALSE)</f>
        <v>0</v>
      </c>
      <c r="Y14" s="128">
        <f>INDEX(Direct_Cost_Splits_Network,MATCH($H14,RIN_Asset_Cat_Network,0),MATCH($S$4,Direct_Cost_Type,0))*P14*HLOOKUP(Y$5,Escalators!$I$25:$U$30,3,FALSE)</f>
        <v>0</v>
      </c>
      <c r="Z14" s="128">
        <f>INDEX(Direct_Cost_Splits_Network,MATCH($H14,RIN_Asset_Cat_Network,0),MATCH($S$4,Direct_Cost_Type,0))*Q14*HLOOKUP(Z$5,Escalators!$I$25:$U$30,3,FALSE)</f>
        <v>0</v>
      </c>
      <c r="AA14" s="129"/>
      <c r="AB14" s="75">
        <f>INDEX(Direct_Cost_Splits_Network,MATCH($H14,RIN_Asset_Cat_Network,0),MATCH($AG$4,Direct_Cost_Type,0))*$J14*INDEX(Act_Type_Repex_Splits,MATCH($I14,Act_Type_Repex,0),MATCH(AB$4,Mat_Type,0))*INDEX(Escalators!$I$44:$U$49,MATCH(AB$4,Escalators!$C$44:$C$49,0),MATCH(AB$5,Escalators!$I$43:$U$43,0))</f>
        <v>0</v>
      </c>
      <c r="AC14" s="75">
        <f>INDEX(Direct_Cost_Splits_Network,MATCH($H14,RIN_Asset_Cat_Network,0),MATCH($AG$4,Direct_Cost_Type,0))*$J14*INDEX(Act_Type_Repex_Splits,MATCH($I14,Act_Type_Repex,0),MATCH(AC$4,Mat_Type,0))*INDEX(Escalators!$I$44:$U$49,MATCH(AC$4,Escalators!$C$44:$C$49,0),MATCH(AC$5,Escalators!$I$43:$U$43,0))</f>
        <v>0</v>
      </c>
      <c r="AD14" s="75">
        <f>INDEX(Direct_Cost_Splits_Network,MATCH($H14,RIN_Asset_Cat_Network,0),MATCH($AG$4,Direct_Cost_Type,0))*$J14*INDEX(Act_Type_Repex_Splits,MATCH($I14,Act_Type_Repex,0),MATCH(AD$4,Mat_Type,0))*INDEX(Escalators!$I$44:$U$49,MATCH(AD$4,Escalators!$C$44:$C$49,0),MATCH(AD$5,Escalators!$I$43:$U$43,0))</f>
        <v>0</v>
      </c>
      <c r="AE14" s="75">
        <f>INDEX(Direct_Cost_Splits_Network,MATCH($H14,RIN_Asset_Cat_Network,0),MATCH($AG$4,Direct_Cost_Type,0))*$J14*INDEX(Act_Type_Repex_Splits,MATCH($I14,Act_Type_Repex,0),MATCH(AE$4,Mat_Type,0))*INDEX(Escalators!$I$44:$U$49,MATCH(AE$4,Escalators!$C$44:$C$49,0),MATCH(AE$5,Escalators!$I$43:$U$43,0))</f>
        <v>0</v>
      </c>
      <c r="AF14" s="75">
        <f>INDEX(Direct_Cost_Splits_Network,MATCH($H14,RIN_Asset_Cat_Network,0),MATCH($AG$4,Direct_Cost_Type,0))*$J14*INDEX(Act_Type_Repex_Splits,MATCH($I14,Act_Type_Repex,0),MATCH(AF$4,Mat_Type,0))*INDEX(Escalators!$I$44:$U$49,MATCH(AF$4,Escalators!$C$44:$C$49,0),MATCH(AF$5,Escalators!$I$43:$U$43,0))</f>
        <v>0</v>
      </c>
      <c r="AG14" s="128">
        <f t="shared" si="24"/>
        <v>0</v>
      </c>
      <c r="AH14" s="128">
        <f>INDEX(Direct_Cost_Splits_Network,MATCH($H14,RIN_Asset_Cat_Network,0),MATCH($AY$4,Direct_Cost_Type,0))*$K14*INDEX(Act_Type_Repex_Splits,MATCH($I14,Act_Type_Repex,0),MATCH(AH$4,Mat_Type,0))*INDEX(Escalators!$I$44:$U$49,MATCH(AH$4,Escalators!$C$44:$C$49,0),MATCH(AH$5,Escalators!$I$43:$U$43,0))</f>
        <v>0</v>
      </c>
      <c r="AI14" s="128">
        <f>INDEX(Direct_Cost_Splits_Network,MATCH($H14,RIN_Asset_Cat_Network,0),MATCH($AY$4,Direct_Cost_Type,0))*$K14*INDEX(Act_Type_Repex_Splits,MATCH($I14,Act_Type_Repex,0),MATCH(AI$4,Mat_Type,0))*INDEX(Escalators!$I$44:$U$49,MATCH(AI$4,Escalators!$C$44:$C$49,0),MATCH(AI$5,Escalators!$I$43:$U$43,0))</f>
        <v>0</v>
      </c>
      <c r="AJ14" s="128">
        <f>INDEX(Direct_Cost_Splits_Network,MATCH($H14,RIN_Asset_Cat_Network,0),MATCH($AY$4,Direct_Cost_Type,0))*$K14*INDEX(Act_Type_Repex_Splits,MATCH($I14,Act_Type_Repex,0),MATCH(AJ$4,Mat_Type,0))*INDEX(Escalators!$I$44:$U$49,MATCH(AJ$4,Escalators!$C$44:$C$49,0),MATCH(AJ$5,Escalators!$I$43:$U$43,0))</f>
        <v>0</v>
      </c>
      <c r="AK14" s="128">
        <f>INDEX(Direct_Cost_Splits_Network,MATCH($H14,RIN_Asset_Cat_Network,0),MATCH($AY$4,Direct_Cost_Type,0))*$K14*INDEX(Act_Type_Repex_Splits,MATCH($I14,Act_Type_Repex,0),MATCH(AK$4,Mat_Type,0))*INDEX(Escalators!$I$44:$U$49,MATCH(AK$4,Escalators!$C$44:$C$49,0),MATCH(AK$5,Escalators!$I$43:$U$43,0))</f>
        <v>0</v>
      </c>
      <c r="AL14" s="128">
        <f>INDEX(Direct_Cost_Splits_Network,MATCH($H14,RIN_Asset_Cat_Network,0),MATCH($AY$4,Direct_Cost_Type,0))*$K14*INDEX(Act_Type_Repex_Splits,MATCH($I14,Act_Type_Repex,0),MATCH(AL$4,Mat_Type,0))*INDEX(Escalators!$I$44:$U$49,MATCH(AL$4,Escalators!$C$44:$C$49,0),MATCH(AL$5,Escalators!$I$43:$U$43,0))</f>
        <v>0</v>
      </c>
      <c r="AM14" s="128">
        <f t="shared" si="8"/>
        <v>0</v>
      </c>
      <c r="AN14" s="128">
        <f>INDEX(Direct_Cost_Splits_Network,MATCH($H14,RIN_Asset_Cat_Network,0),MATCH($AY$4,Direct_Cost_Type,0))*$L14*INDEX(Act_Type_Repex_Splits,MATCH($I14,Act_Type_Repex,0),MATCH(AN$4,Mat_Type,0))*INDEX(Escalators!$I$44:$U$49,MATCH(AN$4,Escalators!$C$44:$C$49,0),MATCH(AN$5,Escalators!$I$43:$U$43,0))</f>
        <v>0</v>
      </c>
      <c r="AO14" s="128">
        <f>INDEX(Direct_Cost_Splits_Network,MATCH($H14,RIN_Asset_Cat_Network,0),MATCH($AY$4,Direct_Cost_Type,0))*$L14*INDEX(Act_Type_Repex_Splits,MATCH($I14,Act_Type_Repex,0),MATCH(AO$4,Mat_Type,0))*INDEX(Escalators!$I$44:$U$49,MATCH(AO$4,Escalators!$C$44:$C$49,0),MATCH(AO$5,Escalators!$I$43:$U$43,0))</f>
        <v>0</v>
      </c>
      <c r="AP14" s="128">
        <f>INDEX(Direct_Cost_Splits_Network,MATCH($H14,RIN_Asset_Cat_Network,0),MATCH($AY$4,Direct_Cost_Type,0))*$L14*INDEX(Act_Type_Repex_Splits,MATCH($I14,Act_Type_Repex,0),MATCH(AP$4,Mat_Type,0))*INDEX(Escalators!$I$44:$U$49,MATCH(AP$4,Escalators!$C$44:$C$49,0),MATCH(AP$5,Escalators!$I$43:$U$43,0))</f>
        <v>0</v>
      </c>
      <c r="AQ14" s="128">
        <f>INDEX(Direct_Cost_Splits_Network,MATCH($H14,RIN_Asset_Cat_Network,0),MATCH($AY$4,Direct_Cost_Type,0))*$L14*INDEX(Act_Type_Repex_Splits,MATCH($I14,Act_Type_Repex,0),MATCH(AQ$4,Mat_Type,0))*INDEX(Escalators!$I$44:$U$49,MATCH(AQ$4,Escalators!$C$44:$C$49,0),MATCH(AQ$5,Escalators!$I$43:$U$43,0))</f>
        <v>0</v>
      </c>
      <c r="AR14" s="128">
        <f>INDEX(Direct_Cost_Splits_Network,MATCH($H14,RIN_Asset_Cat_Network,0),MATCH($AY$4,Direct_Cost_Type,0))*$L14*INDEX(Act_Type_Repex_Splits,MATCH($I14,Act_Type_Repex,0),MATCH(AR$4,Mat_Type,0))*INDEX(Escalators!$I$44:$U$49,MATCH(AR$4,Escalators!$C$44:$C$49,0),MATCH(AR$5,Escalators!$I$43:$U$43,0))</f>
        <v>0</v>
      </c>
      <c r="AS14" s="128">
        <f t="shared" si="9"/>
        <v>0</v>
      </c>
      <c r="AT14" s="128">
        <f>INDEX(Direct_Cost_Splits_Network,MATCH($H14,RIN_Asset_Cat_Network,0),MATCH($AY$4,Direct_Cost_Type,0))*$M14*INDEX(Act_Type_Repex_Splits,MATCH($I14,Act_Type_Repex,0),MATCH(AT$4,Mat_Type,0))*INDEX(Escalators!$I$44:$U$49,MATCH(AT$4,Escalators!$C$44:$C$49,0),MATCH(AT$5,Escalators!$I$43:$U$43,0))</f>
        <v>0</v>
      </c>
      <c r="AU14" s="128">
        <f>INDEX(Direct_Cost_Splits_Network,MATCH($H14,RIN_Asset_Cat_Network,0),MATCH($AY$4,Direct_Cost_Type,0))*$M14*INDEX(Act_Type_Repex_Splits,MATCH($I14,Act_Type_Repex,0),MATCH(AU$4,Mat_Type,0))*INDEX(Escalators!$I$44:$U$49,MATCH(AU$4,Escalators!$C$44:$C$49,0),MATCH(AU$5,Escalators!$I$43:$U$43,0))</f>
        <v>0</v>
      </c>
      <c r="AV14" s="128">
        <f>INDEX(Direct_Cost_Splits_Network,MATCH($H14,RIN_Asset_Cat_Network,0),MATCH($AY$4,Direct_Cost_Type,0))*$M14*INDEX(Act_Type_Repex_Splits,MATCH($I14,Act_Type_Repex,0),MATCH(AV$4,Mat_Type,0))*INDEX(Escalators!$I$44:$U$49,MATCH(AV$4,Escalators!$C$44:$C$49,0),MATCH(AV$5,Escalators!$I$43:$U$43,0))</f>
        <v>0</v>
      </c>
      <c r="AW14" s="128">
        <f>INDEX(Direct_Cost_Splits_Network,MATCH($H14,RIN_Asset_Cat_Network,0),MATCH($AY$4,Direct_Cost_Type,0))*$M14*INDEX(Act_Type_Repex_Splits,MATCH($I14,Act_Type_Repex,0),MATCH(AW$4,Mat_Type,0))*INDEX(Escalators!$I$44:$U$49,MATCH(AW$4,Escalators!$C$44:$C$49,0),MATCH(AW$5,Escalators!$I$43:$U$43,0))</f>
        <v>0</v>
      </c>
      <c r="AX14" s="128">
        <f>INDEX(Direct_Cost_Splits_Network,MATCH($H14,RIN_Asset_Cat_Network,0),MATCH($AY$4,Direct_Cost_Type,0))*$M14*INDEX(Act_Type_Repex_Splits,MATCH($I14,Act_Type_Repex,0),MATCH(AX$4,Mat_Type,0))*INDEX(Escalators!$I$44:$U$49,MATCH(AX$4,Escalators!$C$44:$C$49,0),MATCH(AX$5,Escalators!$I$43:$U$43,0))</f>
        <v>0</v>
      </c>
      <c r="AY14" s="128">
        <f t="shared" si="10"/>
        <v>0</v>
      </c>
      <c r="AZ14" s="128">
        <f>INDEX(Direct_Cost_Splits_Network,MATCH($H14,RIN_Asset_Cat_Network,0),MATCH($BE$4,Direct_Cost_Type,0))*$N14*INDEX(Act_Type_Repex_Splits,MATCH($I14,Act_Type_Repex,0),MATCH(AZ$4,Mat_Type,0))*INDEX(Escalators!$I$44:$U$49,MATCH(AZ$4,Escalators!$C$44:$C$49,0),MATCH(AZ$5,Escalators!$I$43:$U$43,0))</f>
        <v>0</v>
      </c>
      <c r="BA14" s="128">
        <f>INDEX(Direct_Cost_Splits_Network,MATCH($H14,RIN_Asset_Cat_Network,0),MATCH($BE$4,Direct_Cost_Type,0))*$N14*INDEX(Act_Type_Repex_Splits,MATCH($I14,Act_Type_Repex,0),MATCH(BA$4,Mat_Type,0))*INDEX(Escalators!$I$44:$U$49,MATCH(BA$4,Escalators!$C$44:$C$49,0),MATCH(BA$5,Escalators!$I$43:$U$43,0))</f>
        <v>0</v>
      </c>
      <c r="BB14" s="128">
        <f>INDEX(Direct_Cost_Splits_Network,MATCH($H14,RIN_Asset_Cat_Network,0),MATCH($BE$4,Direct_Cost_Type,0))*$N14*INDEX(Act_Type_Repex_Splits,MATCH($I14,Act_Type_Repex,0),MATCH(BB$4,Mat_Type,0))*INDEX(Escalators!$I$44:$U$49,MATCH(BB$4,Escalators!$C$44:$C$49,0),MATCH(BB$5,Escalators!$I$43:$U$43,0))</f>
        <v>0</v>
      </c>
      <c r="BC14" s="128">
        <f>INDEX(Direct_Cost_Splits_Network,MATCH($H14,RIN_Asset_Cat_Network,0),MATCH($BE$4,Direct_Cost_Type,0))*$N14*INDEX(Act_Type_Repex_Splits,MATCH($I14,Act_Type_Repex,0),MATCH(BC$4,Mat_Type,0))*INDEX(Escalators!$I$44:$U$49,MATCH(BC$4,Escalators!$C$44:$C$49,0),MATCH(BC$5,Escalators!$I$43:$U$43,0))</f>
        <v>0</v>
      </c>
      <c r="BD14" s="128">
        <f>INDEX(Direct_Cost_Splits_Network,MATCH($H14,RIN_Asset_Cat_Network,0),MATCH($BE$4,Direct_Cost_Type,0))*$N14*INDEX(Act_Type_Repex_Splits,MATCH($I14,Act_Type_Repex,0),MATCH(BD$4,Mat_Type,0))*INDEX(Escalators!$I$44:$U$49,MATCH(BD$4,Escalators!$C$44:$C$49,0),MATCH(BD$5,Escalators!$I$43:$U$43,0))</f>
        <v>0</v>
      </c>
      <c r="BE14" s="128">
        <f t="shared" si="25"/>
        <v>0</v>
      </c>
      <c r="BF14" s="128">
        <f>INDEX(Direct_Cost_Splits_Network,MATCH($H14,RIN_Asset_Cat_Network,0),MATCH($BK$4,Direct_Cost_Type,0))*$O14*INDEX(Act_Type_Repex_Splits,MATCH($I14,Act_Type_Repex,0),MATCH(BF$4,Mat_Type,0))*INDEX(Escalators!$I$44:$U$49,MATCH(BF$4,Escalators!$C$44:$C$49,0),MATCH(BF$5,Escalators!$I$43:$U$43,0))</f>
        <v>0</v>
      </c>
      <c r="BG14" s="128">
        <f>INDEX(Direct_Cost_Splits_Network,MATCH($H14,RIN_Asset_Cat_Network,0),MATCH($BK$4,Direct_Cost_Type,0))*$O14*INDEX(Act_Type_Repex_Splits,MATCH($I14,Act_Type_Repex,0),MATCH(BG$4,Mat_Type,0))*INDEX(Escalators!$I$44:$U$49,MATCH(BG$4,Escalators!$C$44:$C$49,0),MATCH(BG$5,Escalators!$I$43:$U$43,0))</f>
        <v>0</v>
      </c>
      <c r="BH14" s="128">
        <f>INDEX(Direct_Cost_Splits_Network,MATCH($H14,RIN_Asset_Cat_Network,0),MATCH($BK$4,Direct_Cost_Type,0))*$O14*INDEX(Act_Type_Repex_Splits,MATCH($I14,Act_Type_Repex,0),MATCH(BH$4,Mat_Type,0))*INDEX(Escalators!$I$44:$U$49,MATCH(BH$4,Escalators!$C$44:$C$49,0),MATCH(BH$5,Escalators!$I$43:$U$43,0))</f>
        <v>0</v>
      </c>
      <c r="BI14" s="128">
        <f>INDEX(Direct_Cost_Splits_Network,MATCH($H14,RIN_Asset_Cat_Network,0),MATCH($BK$4,Direct_Cost_Type,0))*$O14*INDEX(Act_Type_Repex_Splits,MATCH($I14,Act_Type_Repex,0),MATCH(BI$4,Mat_Type,0))*INDEX(Escalators!$I$44:$U$49,MATCH(BI$4,Escalators!$C$44:$C$49,0),MATCH(BI$5,Escalators!$I$43:$U$43,0))</f>
        <v>0</v>
      </c>
      <c r="BJ14" s="128">
        <f>INDEX(Direct_Cost_Splits_Network,MATCH($H14,RIN_Asset_Cat_Network,0),MATCH($BK$4,Direct_Cost_Type,0))*$O14*INDEX(Act_Type_Repex_Splits,MATCH($I14,Act_Type_Repex,0),MATCH(BJ$4,Mat_Type,0))*INDEX(Escalators!$I$44:$U$49,MATCH(BJ$4,Escalators!$C$44:$C$49,0),MATCH(BJ$5,Escalators!$I$43:$U$43,0))</f>
        <v>0</v>
      </c>
      <c r="BK14" s="128">
        <f t="shared" si="26"/>
        <v>0</v>
      </c>
      <c r="BL14" s="128">
        <f>INDEX(Direct_Cost_Splits_Network,MATCH($H14,RIN_Asset_Cat_Network,0),MATCH($BQ$4,Direct_Cost_Type,0))*$P14*INDEX(Act_Type_Repex_Splits,MATCH($I14,Act_Type_Repex,0),MATCH(BL$4,Mat_Type,0))*INDEX(Escalators!$I$44:$U$49,MATCH(BL$4,Escalators!$C$44:$C$49,0),MATCH(BL$5,Escalators!$I$43:$U$43,0))</f>
        <v>0</v>
      </c>
      <c r="BM14" s="128">
        <f>INDEX(Direct_Cost_Splits_Network,MATCH($H14,RIN_Asset_Cat_Network,0),MATCH($BQ$4,Direct_Cost_Type,0))*$P14*INDEX(Act_Type_Repex_Splits,MATCH($I14,Act_Type_Repex,0),MATCH(BM$4,Mat_Type,0))*INDEX(Escalators!$I$44:$U$49,MATCH(BM$4,Escalators!$C$44:$C$49,0),MATCH(BM$5,Escalators!$I$43:$U$43,0))</f>
        <v>0</v>
      </c>
      <c r="BN14" s="128">
        <f>INDEX(Direct_Cost_Splits_Network,MATCH($H14,RIN_Asset_Cat_Network,0),MATCH($BQ$4,Direct_Cost_Type,0))*$P14*INDEX(Act_Type_Repex_Splits,MATCH($I14,Act_Type_Repex,0),MATCH(BN$4,Mat_Type,0))*INDEX(Escalators!$I$44:$U$49,MATCH(BN$4,Escalators!$C$44:$C$49,0),MATCH(BN$5,Escalators!$I$43:$U$43,0))</f>
        <v>0</v>
      </c>
      <c r="BO14" s="128">
        <f>INDEX(Direct_Cost_Splits_Network,MATCH($H14,RIN_Asset_Cat_Network,0),MATCH($BQ$4,Direct_Cost_Type,0))*$P14*INDEX(Act_Type_Repex_Splits,MATCH($I14,Act_Type_Repex,0),MATCH(BO$4,Mat_Type,0))*INDEX(Escalators!$I$44:$U$49,MATCH(BO$4,Escalators!$C$44:$C$49,0),MATCH(BO$5,Escalators!$I$43:$U$43,0))</f>
        <v>0</v>
      </c>
      <c r="BP14" s="128">
        <f>INDEX(Direct_Cost_Splits_Network,MATCH($H14,RIN_Asset_Cat_Network,0),MATCH($BQ$4,Direct_Cost_Type,0))*$P14*INDEX(Act_Type_Repex_Splits,MATCH($I14,Act_Type_Repex,0),MATCH(BP$4,Mat_Type,0))*INDEX(Escalators!$I$44:$U$49,MATCH(BP$4,Escalators!$C$44:$C$49,0),MATCH(BP$5,Escalators!$I$43:$U$43,0))</f>
        <v>0</v>
      </c>
      <c r="BQ14" s="128">
        <f t="shared" si="27"/>
        <v>0</v>
      </c>
      <c r="BR14" s="128">
        <f>INDEX(Direct_Cost_Splits_Network,MATCH($H14,RIN_Asset_Cat_Network,0),MATCH($BW$4,Direct_Cost_Type,0))*$Q14*INDEX(Act_Type_Repex_Splits,MATCH($I14,Act_Type_Repex,0),MATCH(BR$4,Mat_Type,0))*INDEX(Escalators!$I$44:$U$49,MATCH(BR$4,Escalators!$C$44:$C$49,0),MATCH(BR$5,Escalators!$I$43:$U$43,0))</f>
        <v>0</v>
      </c>
      <c r="BS14" s="128">
        <f>INDEX(Direct_Cost_Splits_Network,MATCH($H14,RIN_Asset_Cat_Network,0),MATCH($BW$4,Direct_Cost_Type,0))*$Q14*INDEX(Act_Type_Repex_Splits,MATCH($I14,Act_Type_Repex,0),MATCH(BS$4,Mat_Type,0))*INDEX(Escalators!$I$44:$U$49,MATCH(BS$4,Escalators!$C$44:$C$49,0),MATCH(BS$5,Escalators!$I$43:$U$43,0))</f>
        <v>0</v>
      </c>
      <c r="BT14" s="128">
        <f>INDEX(Direct_Cost_Splits_Network,MATCH($H14,RIN_Asset_Cat_Network,0),MATCH($BW$4,Direct_Cost_Type,0))*$Q14*INDEX(Act_Type_Repex_Splits,MATCH($I14,Act_Type_Repex,0),MATCH(BT$4,Mat_Type,0))*INDEX(Escalators!$I$44:$U$49,MATCH(BT$4,Escalators!$C$44:$C$49,0),MATCH(BT$5,Escalators!$I$43:$U$43,0))</f>
        <v>0</v>
      </c>
      <c r="BU14" s="128">
        <f>INDEX(Direct_Cost_Splits_Network,MATCH($H14,RIN_Asset_Cat_Network,0),MATCH($BW$4,Direct_Cost_Type,0))*$Q14*INDEX(Act_Type_Repex_Splits,MATCH($I14,Act_Type_Repex,0),MATCH(BU$4,Mat_Type,0))*INDEX(Escalators!$I$44:$U$49,MATCH(BU$4,Escalators!$C$44:$C$49,0),MATCH(BU$5,Escalators!$I$43:$U$43,0))</f>
        <v>0</v>
      </c>
      <c r="BV14" s="128">
        <f>INDEX(Direct_Cost_Splits_Network,MATCH($H14,RIN_Asset_Cat_Network,0),MATCH($BW$4,Direct_Cost_Type,0))*$Q14*INDEX(Act_Type_Repex_Splits,MATCH($I14,Act_Type_Repex,0),MATCH(BV$4,Mat_Type,0))*INDEX(Escalators!$I$44:$U$49,MATCH(BV$4,Escalators!$C$44:$C$49,0),MATCH(BV$5,Escalators!$I$43:$U$43,0))</f>
        <v>0</v>
      </c>
      <c r="BW14" s="128">
        <f t="shared" si="28"/>
        <v>0</v>
      </c>
      <c r="BX14" s="129"/>
      <c r="BY14" s="128">
        <f>INDEX(Direct_Cost_Splits_Network,MATCH($H14,RIN_Asset_Cat_Network,0),MATCH($BY$4,Direct_Cost_Type,0))*J14*HLOOKUP(BY$5,Escalators!$I$25:$U$30,6,FALSE)</f>
        <v>0</v>
      </c>
      <c r="BZ14" s="128">
        <f>INDEX(Direct_Cost_Splits_Network,MATCH($H14,RIN_Asset_Cat_Network,0),MATCH($BY$4,Direct_Cost_Type,0))*K14*HLOOKUP(BZ$5,Escalators!$I$25:$U$30,6,FALSE)</f>
        <v>0</v>
      </c>
      <c r="CA14" s="128">
        <f>INDEX(Direct_Cost_Splits_Network,MATCH($H14,RIN_Asset_Cat_Network,0),MATCH($BY$4,Direct_Cost_Type,0))*L14*HLOOKUP(CA$5,Escalators!$I$25:$U$30,6,FALSE)</f>
        <v>0</v>
      </c>
      <c r="CB14" s="128">
        <f>INDEX(Direct_Cost_Splits_Network,MATCH($H14,RIN_Asset_Cat_Network,0),MATCH($BY$4,Direct_Cost_Type,0))*M14*HLOOKUP(CB$5,Escalators!$I$25:$U$30,6,FALSE)</f>
        <v>0</v>
      </c>
      <c r="CC14" s="128">
        <f>INDEX(Direct_Cost_Splits_Network,MATCH($H14,RIN_Asset_Cat_Network,0),MATCH($BY$4,Direct_Cost_Type,0))*N14*HLOOKUP(CC$5,Escalators!$I$25:$U$30,6,FALSE)</f>
        <v>0</v>
      </c>
      <c r="CD14" s="128">
        <f>INDEX(Direct_Cost_Splits_Network,MATCH($H14,RIN_Asset_Cat_Network,0),MATCH($BY$4,Direct_Cost_Type,0))*O14*HLOOKUP(CD$5,Escalators!$I$25:$U$30,6,FALSE)</f>
        <v>0</v>
      </c>
      <c r="CE14" s="128">
        <f>INDEX(Direct_Cost_Splits_Network,MATCH($H14,RIN_Asset_Cat_Network,0),MATCH($BY$4,Direct_Cost_Type,0))*P14*HLOOKUP(CE$5,Escalators!$I$25:$U$30,6,FALSE)</f>
        <v>0</v>
      </c>
      <c r="CF14" s="128">
        <f>INDEX(Direct_Cost_Splits_Network,MATCH($H14,RIN_Asset_Cat_Network,0),MATCH($BY$4,Direct_Cost_Type,0))*Q14*HLOOKUP(CF$5,Escalators!$I$25:$U$30,6,FALSE)</f>
        <v>0</v>
      </c>
      <c r="CG14" s="129"/>
      <c r="CH14" s="763">
        <f t="shared" si="11"/>
        <v>0</v>
      </c>
      <c r="CI14" s="763">
        <f t="shared" si="12"/>
        <v>0</v>
      </c>
      <c r="CJ14" s="763">
        <f t="shared" si="12"/>
        <v>0</v>
      </c>
      <c r="CK14" s="763">
        <f t="shared" si="13"/>
        <v>0</v>
      </c>
      <c r="CL14" s="763">
        <f t="shared" si="14"/>
        <v>0</v>
      </c>
      <c r="CM14" s="763">
        <f t="shared" si="15"/>
        <v>0</v>
      </c>
      <c r="CN14" s="763">
        <f t="shared" si="16"/>
        <v>0</v>
      </c>
      <c r="CO14" s="763">
        <f t="shared" si="17"/>
        <v>0</v>
      </c>
      <c r="CP14" s="129"/>
      <c r="CQ14" s="128">
        <f t="shared" si="18"/>
        <v>0</v>
      </c>
      <c r="CR14" s="128">
        <f t="shared" si="29"/>
        <v>0</v>
      </c>
      <c r="CS14" s="128">
        <f t="shared" si="30"/>
        <v>0</v>
      </c>
      <c r="CT14" s="128">
        <f t="shared" si="19"/>
        <v>0</v>
      </c>
      <c r="CU14" s="128">
        <f t="shared" si="20"/>
        <v>0</v>
      </c>
      <c r="CV14" s="128">
        <f t="shared" si="21"/>
        <v>0</v>
      </c>
      <c r="CW14" s="128">
        <f t="shared" si="22"/>
        <v>0</v>
      </c>
      <c r="CX14" s="128">
        <f t="shared" si="23"/>
        <v>0</v>
      </c>
      <c r="CY14" s="129"/>
      <c r="CZ14" s="128">
        <f t="shared" si="33"/>
        <v>0</v>
      </c>
      <c r="DA14" s="128">
        <f t="shared" si="34"/>
        <v>0</v>
      </c>
      <c r="DB14" s="128">
        <f>DA14*Escalators!$M$17</f>
        <v>0</v>
      </c>
      <c r="DC14" s="128">
        <f>SUMPRODUCT(1+AusNet_Overheads!$K$20:$O$20,CT14:CX14)</f>
        <v>0</v>
      </c>
      <c r="DD14" s="128">
        <f>DC14*Escalators!$M$17</f>
        <v>0</v>
      </c>
      <c r="DE14" s="157"/>
      <c r="DF14" s="157"/>
      <c r="DG14" s="201"/>
      <c r="DH14" s="262"/>
    </row>
    <row r="15" spans="2:112" x14ac:dyDescent="0.25">
      <c r="B15" s="75"/>
      <c r="C15" s="332" t="s">
        <v>580</v>
      </c>
      <c r="D15" s="75"/>
      <c r="E15" s="75" t="s">
        <v>44</v>
      </c>
      <c r="F15" s="75" t="s">
        <v>131</v>
      </c>
      <c r="G15" s="75" t="s">
        <v>150</v>
      </c>
      <c r="H15" s="75" t="s">
        <v>176</v>
      </c>
      <c r="I15" s="75" t="s">
        <v>250</v>
      </c>
      <c r="J15" s="128"/>
      <c r="K15" s="128"/>
      <c r="L15" s="128"/>
      <c r="M15" s="128">
        <f>-8210/2/5</f>
        <v>-821</v>
      </c>
      <c r="N15" s="128">
        <f>-8210/2/5</f>
        <v>-821</v>
      </c>
      <c r="O15" s="128">
        <f>-8210/2/5</f>
        <v>-821</v>
      </c>
      <c r="P15" s="128">
        <f>-8210/2/5</f>
        <v>-821</v>
      </c>
      <c r="Q15" s="128">
        <f>-8210/2/5</f>
        <v>-821</v>
      </c>
      <c r="R15" s="129"/>
      <c r="S15" s="128">
        <f>INDEX(Direct_Cost_Splits_Network,MATCH($H15,RIN_Asset_Cat_Network,0),MATCH($S$4,Direct_Cost_Type,0))*J15*HLOOKUP(S$5,Escalators!$I$25:$U$30,3,FALSE)</f>
        <v>0</v>
      </c>
      <c r="T15" s="128">
        <f>INDEX(Direct_Cost_Splits_Network,MATCH($H15,RIN_Asset_Cat_Network,0),MATCH($S$4,Direct_Cost_Type,0))*K15*HLOOKUP(T$5,Escalators!$I$25:$U$30,3,FALSE)</f>
        <v>0</v>
      </c>
      <c r="U15" s="128">
        <f>INDEX(Direct_Cost_Splits_Network,MATCH($H15,RIN_Asset_Cat_Network,0),MATCH($S$4,Direct_Cost_Type,0))*L15*HLOOKUP(U$5,Escalators!$I$25:$U$30,3,FALSE)</f>
        <v>0</v>
      </c>
      <c r="V15" s="128">
        <f>INDEX(Direct_Cost_Splits_Network,MATCH($H15,RIN_Asset_Cat_Network,0),MATCH($S$4,Direct_Cost_Type,0))*M15*HLOOKUP(V$5,Escalators!$I$25:$U$30,3,FALSE)</f>
        <v>-83.463241020472097</v>
      </c>
      <c r="W15" s="128">
        <f>INDEX(Direct_Cost_Splits_Network,MATCH($H15,RIN_Asset_Cat_Network,0),MATCH($S$4,Direct_Cost_Type,0))*N15*HLOOKUP(W$5,Escalators!$I$25:$U$30,3,FALSE)</f>
        <v>-83.254771842806989</v>
      </c>
      <c r="X15" s="128">
        <f>INDEX(Direct_Cost_Splits_Network,MATCH($H15,RIN_Asset_Cat_Network,0),MATCH($S$4,Direct_Cost_Type,0))*O15*HLOOKUP(X$5,Escalators!$I$25:$U$30,3,FALSE)</f>
        <v>-83.194303355610458</v>
      </c>
      <c r="Y15" s="128">
        <f>INDEX(Direct_Cost_Splits_Network,MATCH($H15,RIN_Asset_Cat_Network,0),MATCH($S$4,Direct_Cost_Type,0))*P15*HLOOKUP(Y$5,Escalators!$I$25:$U$30,3,FALSE)</f>
        <v>-83.499855087617846</v>
      </c>
      <c r="Z15" s="128">
        <f>INDEX(Direct_Cost_Splits_Network,MATCH($H15,RIN_Asset_Cat_Network,0),MATCH($S$4,Direct_Cost_Type,0))*Q15*HLOOKUP(Z$5,Escalators!$I$25:$U$30,3,FALSE)</f>
        <v>-84.332009099814485</v>
      </c>
      <c r="AA15" s="129"/>
      <c r="AB15" s="75">
        <f>INDEX(Direct_Cost_Splits_Network,MATCH($H15,RIN_Asset_Cat_Network,0),MATCH($AG$4,Direct_Cost_Type,0))*$J15*INDEX(Act_Type_Repex_Splits,MATCH($I15,Act_Type_Repex,0),MATCH(AB$4,Mat_Type,0))*INDEX(Escalators!$I$44:$U$49,MATCH(AB$4,Escalators!$C$44:$C$49,0),MATCH(AB$5,Escalators!$I$43:$U$43,0))</f>
        <v>0</v>
      </c>
      <c r="AC15" s="75">
        <f>INDEX(Direct_Cost_Splits_Network,MATCH($H15,RIN_Asset_Cat_Network,0),MATCH($AG$4,Direct_Cost_Type,0))*$J15*INDEX(Act_Type_Repex_Splits,MATCH($I15,Act_Type_Repex,0),MATCH(AC$4,Mat_Type,0))*INDEX(Escalators!$I$44:$U$49,MATCH(AC$4,Escalators!$C$44:$C$49,0),MATCH(AC$5,Escalators!$I$43:$U$43,0))</f>
        <v>0</v>
      </c>
      <c r="AD15" s="75">
        <f>INDEX(Direct_Cost_Splits_Network,MATCH($H15,RIN_Asset_Cat_Network,0),MATCH($AG$4,Direct_Cost_Type,0))*$J15*INDEX(Act_Type_Repex_Splits,MATCH($I15,Act_Type_Repex,0),MATCH(AD$4,Mat_Type,0))*INDEX(Escalators!$I$44:$U$49,MATCH(AD$4,Escalators!$C$44:$C$49,0),MATCH(AD$5,Escalators!$I$43:$U$43,0))</f>
        <v>0</v>
      </c>
      <c r="AE15" s="75">
        <f>INDEX(Direct_Cost_Splits_Network,MATCH($H15,RIN_Asset_Cat_Network,0),MATCH($AG$4,Direct_Cost_Type,0))*$J15*INDEX(Act_Type_Repex_Splits,MATCH($I15,Act_Type_Repex,0),MATCH(AE$4,Mat_Type,0))*INDEX(Escalators!$I$44:$U$49,MATCH(AE$4,Escalators!$C$44:$C$49,0),MATCH(AE$5,Escalators!$I$43:$U$43,0))</f>
        <v>0</v>
      </c>
      <c r="AF15" s="75">
        <f>INDEX(Direct_Cost_Splits_Network,MATCH($H15,RIN_Asset_Cat_Network,0),MATCH($AG$4,Direct_Cost_Type,0))*$J15*INDEX(Act_Type_Repex_Splits,MATCH($I15,Act_Type_Repex,0),MATCH(AF$4,Mat_Type,0))*INDEX(Escalators!$I$44:$U$49,MATCH(AF$4,Escalators!$C$44:$C$49,0),MATCH(AF$5,Escalators!$I$43:$U$43,0))</f>
        <v>0</v>
      </c>
      <c r="AG15" s="128">
        <f t="shared" si="24"/>
        <v>0</v>
      </c>
      <c r="AH15" s="128">
        <f>INDEX(Direct_Cost_Splits_Network,MATCH($H15,RIN_Asset_Cat_Network,0),MATCH($AY$4,Direct_Cost_Type,0))*$K15*INDEX(Act_Type_Repex_Splits,MATCH($I15,Act_Type_Repex,0),MATCH(AH$4,Mat_Type,0))*INDEX(Escalators!$I$44:$U$49,MATCH(AH$4,Escalators!$C$44:$C$49,0),MATCH(AH$5,Escalators!$I$43:$U$43,0))</f>
        <v>0</v>
      </c>
      <c r="AI15" s="128">
        <f>INDEX(Direct_Cost_Splits_Network,MATCH($H15,RIN_Asset_Cat_Network,0),MATCH($AY$4,Direct_Cost_Type,0))*$K15*INDEX(Act_Type_Repex_Splits,MATCH($I15,Act_Type_Repex,0),MATCH(AI$4,Mat_Type,0))*INDEX(Escalators!$I$44:$U$49,MATCH(AI$4,Escalators!$C$44:$C$49,0),MATCH(AI$5,Escalators!$I$43:$U$43,0))</f>
        <v>0</v>
      </c>
      <c r="AJ15" s="128">
        <f>INDEX(Direct_Cost_Splits_Network,MATCH($H15,RIN_Asset_Cat_Network,0),MATCH($AY$4,Direct_Cost_Type,0))*$K15*INDEX(Act_Type_Repex_Splits,MATCH($I15,Act_Type_Repex,0),MATCH(AJ$4,Mat_Type,0))*INDEX(Escalators!$I$44:$U$49,MATCH(AJ$4,Escalators!$C$44:$C$49,0),MATCH(AJ$5,Escalators!$I$43:$U$43,0))</f>
        <v>0</v>
      </c>
      <c r="AK15" s="128">
        <f>INDEX(Direct_Cost_Splits_Network,MATCH($H15,RIN_Asset_Cat_Network,0),MATCH($AY$4,Direct_Cost_Type,0))*$K15*INDEX(Act_Type_Repex_Splits,MATCH($I15,Act_Type_Repex,0),MATCH(AK$4,Mat_Type,0))*INDEX(Escalators!$I$44:$U$49,MATCH(AK$4,Escalators!$C$44:$C$49,0),MATCH(AK$5,Escalators!$I$43:$U$43,0))</f>
        <v>0</v>
      </c>
      <c r="AL15" s="128">
        <f>INDEX(Direct_Cost_Splits_Network,MATCH($H15,RIN_Asset_Cat_Network,0),MATCH($AY$4,Direct_Cost_Type,0))*$K15*INDEX(Act_Type_Repex_Splits,MATCH($I15,Act_Type_Repex,0),MATCH(AL$4,Mat_Type,0))*INDEX(Escalators!$I$44:$U$49,MATCH(AL$4,Escalators!$C$44:$C$49,0),MATCH(AL$5,Escalators!$I$43:$U$43,0))</f>
        <v>0</v>
      </c>
      <c r="AM15" s="128">
        <f t="shared" si="8"/>
        <v>0</v>
      </c>
      <c r="AN15" s="128">
        <f>INDEX(Direct_Cost_Splits_Network,MATCH($H15,RIN_Asset_Cat_Network,0),MATCH($AY$4,Direct_Cost_Type,0))*$L15*INDEX(Act_Type_Repex_Splits,MATCH($I15,Act_Type_Repex,0),MATCH(AN$4,Mat_Type,0))*INDEX(Escalators!$I$44:$U$49,MATCH(AN$4,Escalators!$C$44:$C$49,0),MATCH(AN$5,Escalators!$I$43:$U$43,0))</f>
        <v>0</v>
      </c>
      <c r="AO15" s="128">
        <f>INDEX(Direct_Cost_Splits_Network,MATCH($H15,RIN_Asset_Cat_Network,0),MATCH($AY$4,Direct_Cost_Type,0))*$L15*INDEX(Act_Type_Repex_Splits,MATCH($I15,Act_Type_Repex,0),MATCH(AO$4,Mat_Type,0))*INDEX(Escalators!$I$44:$U$49,MATCH(AO$4,Escalators!$C$44:$C$49,0),MATCH(AO$5,Escalators!$I$43:$U$43,0))</f>
        <v>0</v>
      </c>
      <c r="AP15" s="128">
        <f>INDEX(Direct_Cost_Splits_Network,MATCH($H15,RIN_Asset_Cat_Network,0),MATCH($AY$4,Direct_Cost_Type,0))*$L15*INDEX(Act_Type_Repex_Splits,MATCH($I15,Act_Type_Repex,0),MATCH(AP$4,Mat_Type,0))*INDEX(Escalators!$I$44:$U$49,MATCH(AP$4,Escalators!$C$44:$C$49,0),MATCH(AP$5,Escalators!$I$43:$U$43,0))</f>
        <v>0</v>
      </c>
      <c r="AQ15" s="128">
        <f>INDEX(Direct_Cost_Splits_Network,MATCH($H15,RIN_Asset_Cat_Network,0),MATCH($AY$4,Direct_Cost_Type,0))*$L15*INDEX(Act_Type_Repex_Splits,MATCH($I15,Act_Type_Repex,0),MATCH(AQ$4,Mat_Type,0))*INDEX(Escalators!$I$44:$U$49,MATCH(AQ$4,Escalators!$C$44:$C$49,0),MATCH(AQ$5,Escalators!$I$43:$U$43,0))</f>
        <v>0</v>
      </c>
      <c r="AR15" s="128">
        <f>INDEX(Direct_Cost_Splits_Network,MATCH($H15,RIN_Asset_Cat_Network,0),MATCH($AY$4,Direct_Cost_Type,0))*$L15*INDEX(Act_Type_Repex_Splits,MATCH($I15,Act_Type_Repex,0),MATCH(AR$4,Mat_Type,0))*INDEX(Escalators!$I$44:$U$49,MATCH(AR$4,Escalators!$C$44:$C$49,0),MATCH(AR$5,Escalators!$I$43:$U$43,0))</f>
        <v>0</v>
      </c>
      <c r="AS15" s="128">
        <f t="shared" si="9"/>
        <v>0</v>
      </c>
      <c r="AT15" s="128">
        <f>INDEX(Direct_Cost_Splits_Network,MATCH($H15,RIN_Asset_Cat_Network,0),MATCH($AY$4,Direct_Cost_Type,0))*$M15*INDEX(Act_Type_Repex_Splits,MATCH($I15,Act_Type_Repex,0),MATCH(AT$4,Mat_Type,0))*INDEX(Escalators!$I$44:$U$49,MATCH(AT$4,Escalators!$C$44:$C$49,0),MATCH(AT$5,Escalators!$I$43:$U$43,0))</f>
        <v>-9.0268589435748083</v>
      </c>
      <c r="AU15" s="128">
        <f>INDEX(Direct_Cost_Splits_Network,MATCH($H15,RIN_Asset_Cat_Network,0),MATCH($AY$4,Direct_Cost_Type,0))*$M15*INDEX(Act_Type_Repex_Splits,MATCH($I15,Act_Type_Repex,0),MATCH(AU$4,Mat_Type,0))*INDEX(Escalators!$I$44:$U$49,MATCH(AU$4,Escalators!$C$44:$C$49,0),MATCH(AU$5,Escalators!$I$43:$U$43,0))</f>
        <v>-27.080576830724425</v>
      </c>
      <c r="AV15" s="128">
        <f>INDEX(Direct_Cost_Splits_Network,MATCH($H15,RIN_Asset_Cat_Network,0),MATCH($AY$4,Direct_Cost_Type,0))*$M15*INDEX(Act_Type_Repex_Splits,MATCH($I15,Act_Type_Repex,0),MATCH(AV$4,Mat_Type,0))*INDEX(Escalators!$I$44:$U$49,MATCH(AV$4,Escalators!$C$44:$C$49,0),MATCH(AV$5,Escalators!$I$43:$U$43,0))</f>
        <v>-72.214871548598467</v>
      </c>
      <c r="AW15" s="128">
        <f>INDEX(Direct_Cost_Splits_Network,MATCH($H15,RIN_Asset_Cat_Network,0),MATCH($AY$4,Direct_Cost_Type,0))*$M15*INDEX(Act_Type_Repex_Splits,MATCH($I15,Act_Type_Repex,0),MATCH(AW$4,Mat_Type,0))*INDEX(Escalators!$I$44:$U$49,MATCH(AW$4,Escalators!$C$44:$C$49,0),MATCH(AW$5,Escalators!$I$43:$U$43,0))</f>
        <v>0</v>
      </c>
      <c r="AX15" s="128">
        <f>INDEX(Direct_Cost_Splits_Network,MATCH($H15,RIN_Asset_Cat_Network,0),MATCH($AY$4,Direct_Cost_Type,0))*$M15*INDEX(Act_Type_Repex_Splits,MATCH($I15,Act_Type_Repex,0),MATCH(AX$4,Mat_Type,0))*INDEX(Escalators!$I$44:$U$49,MATCH(AX$4,Escalators!$C$44:$C$49,0),MATCH(AX$5,Escalators!$I$43:$U$43,0))</f>
        <v>-72.214871548598467</v>
      </c>
      <c r="AY15" s="128">
        <f t="shared" si="10"/>
        <v>-180.53717887149617</v>
      </c>
      <c r="AZ15" s="128">
        <f>INDEX(Direct_Cost_Splits_Network,MATCH($H15,RIN_Asset_Cat_Network,0),MATCH($BE$4,Direct_Cost_Type,0))*$N15*INDEX(Act_Type_Repex_Splits,MATCH($I15,Act_Type_Repex,0),MATCH(AZ$4,Mat_Type,0))*INDEX(Escalators!$I$44:$U$49,MATCH(AZ$4,Escalators!$C$44:$C$49,0),MATCH(AZ$5,Escalators!$I$43:$U$43,0))</f>
        <v>-9.0268589435748083</v>
      </c>
      <c r="BA15" s="128">
        <f>INDEX(Direct_Cost_Splits_Network,MATCH($H15,RIN_Asset_Cat_Network,0),MATCH($BE$4,Direct_Cost_Type,0))*$N15*INDEX(Act_Type_Repex_Splits,MATCH($I15,Act_Type_Repex,0),MATCH(BA$4,Mat_Type,0))*INDEX(Escalators!$I$44:$U$49,MATCH(BA$4,Escalators!$C$44:$C$49,0),MATCH(BA$5,Escalators!$I$43:$U$43,0))</f>
        <v>-27.080576830724425</v>
      </c>
      <c r="BB15" s="128">
        <f>INDEX(Direct_Cost_Splits_Network,MATCH($H15,RIN_Asset_Cat_Network,0),MATCH($BE$4,Direct_Cost_Type,0))*$N15*INDEX(Act_Type_Repex_Splits,MATCH($I15,Act_Type_Repex,0),MATCH(BB$4,Mat_Type,0))*INDEX(Escalators!$I$44:$U$49,MATCH(BB$4,Escalators!$C$44:$C$49,0),MATCH(BB$5,Escalators!$I$43:$U$43,0))</f>
        <v>-72.214871548598467</v>
      </c>
      <c r="BC15" s="128">
        <f>INDEX(Direct_Cost_Splits_Network,MATCH($H15,RIN_Asset_Cat_Network,0),MATCH($BE$4,Direct_Cost_Type,0))*$N15*INDEX(Act_Type_Repex_Splits,MATCH($I15,Act_Type_Repex,0),MATCH(BC$4,Mat_Type,0))*INDEX(Escalators!$I$44:$U$49,MATCH(BC$4,Escalators!$C$44:$C$49,0),MATCH(BC$5,Escalators!$I$43:$U$43,0))</f>
        <v>0</v>
      </c>
      <c r="BD15" s="128">
        <f>INDEX(Direct_Cost_Splits_Network,MATCH($H15,RIN_Asset_Cat_Network,0),MATCH($BE$4,Direct_Cost_Type,0))*$N15*INDEX(Act_Type_Repex_Splits,MATCH($I15,Act_Type_Repex,0),MATCH(BD$4,Mat_Type,0))*INDEX(Escalators!$I$44:$U$49,MATCH(BD$4,Escalators!$C$44:$C$49,0),MATCH(BD$5,Escalators!$I$43:$U$43,0))</f>
        <v>-72.214871548598467</v>
      </c>
      <c r="BE15" s="128">
        <f t="shared" si="25"/>
        <v>-180.53717887149617</v>
      </c>
      <c r="BF15" s="128">
        <f>INDEX(Direct_Cost_Splits_Network,MATCH($H15,RIN_Asset_Cat_Network,0),MATCH($BK$4,Direct_Cost_Type,0))*$O15*INDEX(Act_Type_Repex_Splits,MATCH($I15,Act_Type_Repex,0),MATCH(BF$4,Mat_Type,0))*INDEX(Escalators!$I$44:$U$49,MATCH(BF$4,Escalators!$C$44:$C$49,0),MATCH(BF$5,Escalators!$I$43:$U$43,0))</f>
        <v>-9.0268589435748083</v>
      </c>
      <c r="BG15" s="128">
        <f>INDEX(Direct_Cost_Splits_Network,MATCH($H15,RIN_Asset_Cat_Network,0),MATCH($BK$4,Direct_Cost_Type,0))*$O15*INDEX(Act_Type_Repex_Splits,MATCH($I15,Act_Type_Repex,0),MATCH(BG$4,Mat_Type,0))*INDEX(Escalators!$I$44:$U$49,MATCH(BG$4,Escalators!$C$44:$C$49,0),MATCH(BG$5,Escalators!$I$43:$U$43,0))</f>
        <v>-27.080576830724425</v>
      </c>
      <c r="BH15" s="128">
        <f>INDEX(Direct_Cost_Splits_Network,MATCH($H15,RIN_Asset_Cat_Network,0),MATCH($BK$4,Direct_Cost_Type,0))*$O15*INDEX(Act_Type_Repex_Splits,MATCH($I15,Act_Type_Repex,0),MATCH(BH$4,Mat_Type,0))*INDEX(Escalators!$I$44:$U$49,MATCH(BH$4,Escalators!$C$44:$C$49,0),MATCH(BH$5,Escalators!$I$43:$U$43,0))</f>
        <v>-72.214871548598467</v>
      </c>
      <c r="BI15" s="128">
        <f>INDEX(Direct_Cost_Splits_Network,MATCH($H15,RIN_Asset_Cat_Network,0),MATCH($BK$4,Direct_Cost_Type,0))*$O15*INDEX(Act_Type_Repex_Splits,MATCH($I15,Act_Type_Repex,0),MATCH(BI$4,Mat_Type,0))*INDEX(Escalators!$I$44:$U$49,MATCH(BI$4,Escalators!$C$44:$C$49,0),MATCH(BI$5,Escalators!$I$43:$U$43,0))</f>
        <v>0</v>
      </c>
      <c r="BJ15" s="128">
        <f>INDEX(Direct_Cost_Splits_Network,MATCH($H15,RIN_Asset_Cat_Network,0),MATCH($BK$4,Direct_Cost_Type,0))*$O15*INDEX(Act_Type_Repex_Splits,MATCH($I15,Act_Type_Repex,0),MATCH(BJ$4,Mat_Type,0))*INDEX(Escalators!$I$44:$U$49,MATCH(BJ$4,Escalators!$C$44:$C$49,0),MATCH(BJ$5,Escalators!$I$43:$U$43,0))</f>
        <v>-72.214871548598467</v>
      </c>
      <c r="BK15" s="128">
        <f t="shared" si="26"/>
        <v>-180.53717887149617</v>
      </c>
      <c r="BL15" s="128">
        <f>INDEX(Direct_Cost_Splits_Network,MATCH($H15,RIN_Asset_Cat_Network,0),MATCH($BQ$4,Direct_Cost_Type,0))*$P15*INDEX(Act_Type_Repex_Splits,MATCH($I15,Act_Type_Repex,0),MATCH(BL$4,Mat_Type,0))*INDEX(Escalators!$I$44:$U$49,MATCH(BL$4,Escalators!$C$44:$C$49,0),MATCH(BL$5,Escalators!$I$43:$U$43,0))</f>
        <v>-9.0268589435748083</v>
      </c>
      <c r="BM15" s="128">
        <f>INDEX(Direct_Cost_Splits_Network,MATCH($H15,RIN_Asset_Cat_Network,0),MATCH($BQ$4,Direct_Cost_Type,0))*$P15*INDEX(Act_Type_Repex_Splits,MATCH($I15,Act_Type_Repex,0),MATCH(BM$4,Mat_Type,0))*INDEX(Escalators!$I$44:$U$49,MATCH(BM$4,Escalators!$C$44:$C$49,0),MATCH(BM$5,Escalators!$I$43:$U$43,0))</f>
        <v>-27.080576830724425</v>
      </c>
      <c r="BN15" s="128">
        <f>INDEX(Direct_Cost_Splits_Network,MATCH($H15,RIN_Asset_Cat_Network,0),MATCH($BQ$4,Direct_Cost_Type,0))*$P15*INDEX(Act_Type_Repex_Splits,MATCH($I15,Act_Type_Repex,0),MATCH(BN$4,Mat_Type,0))*INDEX(Escalators!$I$44:$U$49,MATCH(BN$4,Escalators!$C$44:$C$49,0),MATCH(BN$5,Escalators!$I$43:$U$43,0))</f>
        <v>-72.214871548598467</v>
      </c>
      <c r="BO15" s="128">
        <f>INDEX(Direct_Cost_Splits_Network,MATCH($H15,RIN_Asset_Cat_Network,0),MATCH($BQ$4,Direct_Cost_Type,0))*$P15*INDEX(Act_Type_Repex_Splits,MATCH($I15,Act_Type_Repex,0),MATCH(BO$4,Mat_Type,0))*INDEX(Escalators!$I$44:$U$49,MATCH(BO$4,Escalators!$C$44:$C$49,0),MATCH(BO$5,Escalators!$I$43:$U$43,0))</f>
        <v>0</v>
      </c>
      <c r="BP15" s="128">
        <f>INDEX(Direct_Cost_Splits_Network,MATCH($H15,RIN_Asset_Cat_Network,0),MATCH($BQ$4,Direct_Cost_Type,0))*$P15*INDEX(Act_Type_Repex_Splits,MATCH($I15,Act_Type_Repex,0),MATCH(BP$4,Mat_Type,0))*INDEX(Escalators!$I$44:$U$49,MATCH(BP$4,Escalators!$C$44:$C$49,0),MATCH(BP$5,Escalators!$I$43:$U$43,0))</f>
        <v>-72.214871548598467</v>
      </c>
      <c r="BQ15" s="128">
        <f t="shared" si="27"/>
        <v>-180.53717887149617</v>
      </c>
      <c r="BR15" s="128">
        <f>INDEX(Direct_Cost_Splits_Network,MATCH($H15,RIN_Asset_Cat_Network,0),MATCH($BW$4,Direct_Cost_Type,0))*$Q15*INDEX(Act_Type_Repex_Splits,MATCH($I15,Act_Type_Repex,0),MATCH(BR$4,Mat_Type,0))*INDEX(Escalators!$I$44:$U$49,MATCH(BR$4,Escalators!$C$44:$C$49,0),MATCH(BR$5,Escalators!$I$43:$U$43,0))</f>
        <v>-9.0268589435748083</v>
      </c>
      <c r="BS15" s="128">
        <f>INDEX(Direct_Cost_Splits_Network,MATCH($H15,RIN_Asset_Cat_Network,0),MATCH($BW$4,Direct_Cost_Type,0))*$Q15*INDEX(Act_Type_Repex_Splits,MATCH($I15,Act_Type_Repex,0),MATCH(BS$4,Mat_Type,0))*INDEX(Escalators!$I$44:$U$49,MATCH(BS$4,Escalators!$C$44:$C$49,0),MATCH(BS$5,Escalators!$I$43:$U$43,0))</f>
        <v>-27.080576830724425</v>
      </c>
      <c r="BT15" s="128">
        <f>INDEX(Direct_Cost_Splits_Network,MATCH($H15,RIN_Asset_Cat_Network,0),MATCH($BW$4,Direct_Cost_Type,0))*$Q15*INDEX(Act_Type_Repex_Splits,MATCH($I15,Act_Type_Repex,0),MATCH(BT$4,Mat_Type,0))*INDEX(Escalators!$I$44:$U$49,MATCH(BT$4,Escalators!$C$44:$C$49,0),MATCH(BT$5,Escalators!$I$43:$U$43,0))</f>
        <v>-72.214871548598467</v>
      </c>
      <c r="BU15" s="128">
        <f>INDEX(Direct_Cost_Splits_Network,MATCH($H15,RIN_Asset_Cat_Network,0),MATCH($BW$4,Direct_Cost_Type,0))*$Q15*INDEX(Act_Type_Repex_Splits,MATCH($I15,Act_Type_Repex,0),MATCH(BU$4,Mat_Type,0))*INDEX(Escalators!$I$44:$U$49,MATCH(BU$4,Escalators!$C$44:$C$49,0),MATCH(BU$5,Escalators!$I$43:$U$43,0))</f>
        <v>0</v>
      </c>
      <c r="BV15" s="128">
        <f>INDEX(Direct_Cost_Splits_Network,MATCH($H15,RIN_Asset_Cat_Network,0),MATCH($BW$4,Direct_Cost_Type,0))*$Q15*INDEX(Act_Type_Repex_Splits,MATCH($I15,Act_Type_Repex,0),MATCH(BV$4,Mat_Type,0))*INDEX(Escalators!$I$44:$U$49,MATCH(BV$4,Escalators!$C$44:$C$49,0),MATCH(BV$5,Escalators!$I$43:$U$43,0))</f>
        <v>-72.214871548598467</v>
      </c>
      <c r="BW15" s="128">
        <f t="shared" si="28"/>
        <v>-180.53717887149617</v>
      </c>
      <c r="BX15" s="129"/>
      <c r="BY15" s="128">
        <f>INDEX(Direct_Cost_Splits_Network,MATCH($H15,RIN_Asset_Cat_Network,0),MATCH($BY$4,Direct_Cost_Type,0))*J15*HLOOKUP(BY$5,Escalators!$I$25:$U$30,6,FALSE)</f>
        <v>0</v>
      </c>
      <c r="BZ15" s="128">
        <f>INDEX(Direct_Cost_Splits_Network,MATCH($H15,RIN_Asset_Cat_Network,0),MATCH($BY$4,Direct_Cost_Type,0))*K15*HLOOKUP(BZ$5,Escalators!$I$25:$U$30,6,FALSE)</f>
        <v>0</v>
      </c>
      <c r="CA15" s="128">
        <f>INDEX(Direct_Cost_Splits_Network,MATCH($H15,RIN_Asset_Cat_Network,0),MATCH($BY$4,Direct_Cost_Type,0))*L15*HLOOKUP(CA$5,Escalators!$I$25:$U$30,6,FALSE)</f>
        <v>0</v>
      </c>
      <c r="CB15" s="128">
        <f>INDEX(Direct_Cost_Splits_Network,MATCH($H15,RIN_Asset_Cat_Network,0),MATCH($BY$4,Direct_Cost_Type,0))*M15*HLOOKUP(CB$5,Escalators!$I$25:$U$30,6,FALSE)</f>
        <v>-483.63512559054544</v>
      </c>
      <c r="CC15" s="128">
        <f>INDEX(Direct_Cost_Splits_Network,MATCH($H15,RIN_Asset_Cat_Network,0),MATCH($BY$4,Direct_Cost_Type,0))*N15*HLOOKUP(CC$5,Escalators!$I$25:$U$30,6,FALSE)</f>
        <v>-483.63512559054544</v>
      </c>
      <c r="CD15" s="128">
        <f>INDEX(Direct_Cost_Splits_Network,MATCH($H15,RIN_Asset_Cat_Network,0),MATCH($BY$4,Direct_Cost_Type,0))*O15*HLOOKUP(CD$5,Escalators!$I$25:$U$30,6,FALSE)</f>
        <v>-483.63512559054544</v>
      </c>
      <c r="CE15" s="128">
        <f>INDEX(Direct_Cost_Splits_Network,MATCH($H15,RIN_Asset_Cat_Network,0),MATCH($BY$4,Direct_Cost_Type,0))*P15*HLOOKUP(CE$5,Escalators!$I$25:$U$30,6,FALSE)</f>
        <v>-483.63512559054544</v>
      </c>
      <c r="CF15" s="128">
        <f>INDEX(Direct_Cost_Splits_Network,MATCH($H15,RIN_Asset_Cat_Network,0),MATCH($BY$4,Direct_Cost_Type,0))*Q15*HLOOKUP(CF$5,Escalators!$I$25:$U$30,6,FALSE)</f>
        <v>-483.63512559054544</v>
      </c>
      <c r="CG15" s="129"/>
      <c r="CH15" s="763">
        <f t="shared" si="11"/>
        <v>0</v>
      </c>
      <c r="CI15" s="763">
        <f t="shared" si="12"/>
        <v>0</v>
      </c>
      <c r="CJ15" s="763">
        <f t="shared" si="12"/>
        <v>0</v>
      </c>
      <c r="CK15" s="763">
        <f t="shared" si="13"/>
        <v>-74.844947666851084</v>
      </c>
      <c r="CL15" s="763">
        <f t="shared" si="14"/>
        <v>-74.844947666851084</v>
      </c>
      <c r="CM15" s="763">
        <f t="shared" si="15"/>
        <v>-74.844947666851084</v>
      </c>
      <c r="CN15" s="763">
        <f t="shared" si="16"/>
        <v>-74.844947666851084</v>
      </c>
      <c r="CO15" s="763">
        <f t="shared" si="17"/>
        <v>-74.844947666851084</v>
      </c>
      <c r="CP15" s="129"/>
      <c r="CQ15" s="128">
        <f t="shared" si="18"/>
        <v>0</v>
      </c>
      <c r="CR15" s="128">
        <f t="shared" si="29"/>
        <v>0</v>
      </c>
      <c r="CS15" s="128">
        <f t="shared" si="30"/>
        <v>0</v>
      </c>
      <c r="CT15" s="128">
        <f t="shared" si="19"/>
        <v>-822.48049314936475</v>
      </c>
      <c r="CU15" s="128">
        <f t="shared" si="20"/>
        <v>-822.2720239716997</v>
      </c>
      <c r="CV15" s="128">
        <f t="shared" si="21"/>
        <v>-822.21155548450315</v>
      </c>
      <c r="CW15" s="128">
        <f t="shared" si="22"/>
        <v>-822.51710721651057</v>
      </c>
      <c r="CX15" s="128">
        <f t="shared" si="23"/>
        <v>-823.34926122870729</v>
      </c>
      <c r="CY15" s="129"/>
      <c r="CZ15" s="128">
        <f t="shared" si="33"/>
        <v>-4105</v>
      </c>
      <c r="DA15" s="128">
        <f t="shared" si="34"/>
        <v>-4112.8304410507853</v>
      </c>
      <c r="DB15" s="128">
        <f>DA15*Escalators!$M$17</f>
        <v>-4317.1716102086839</v>
      </c>
      <c r="DC15" s="128">
        <f>SUMPRODUCT(1+AusNet_Overheads!$K$20:$O$20,CT15:CX15)</f>
        <v>-4595.2597335529636</v>
      </c>
      <c r="DD15" s="128">
        <f>DC15*Escalators!$M$17</f>
        <v>-4823.5698377493627</v>
      </c>
      <c r="DE15" s="157"/>
      <c r="DF15" s="157"/>
      <c r="DG15" s="201"/>
      <c r="DH15" s="262"/>
    </row>
    <row r="16" spans="2:112" x14ac:dyDescent="0.25">
      <c r="B16" s="75"/>
      <c r="C16" s="75"/>
      <c r="D16" s="75"/>
      <c r="E16" s="75" t="s">
        <v>44</v>
      </c>
      <c r="F16" s="75" t="s">
        <v>131</v>
      </c>
      <c r="G16" s="75" t="s">
        <v>150</v>
      </c>
      <c r="H16" s="75" t="s">
        <v>176</v>
      </c>
      <c r="I16" s="75" t="s">
        <v>250</v>
      </c>
      <c r="J16" s="128"/>
      <c r="K16" s="128"/>
      <c r="L16" s="128"/>
      <c r="M16" s="128"/>
      <c r="N16" s="128"/>
      <c r="O16" s="128"/>
      <c r="P16" s="128"/>
      <c r="Q16" s="128"/>
      <c r="R16" s="129"/>
      <c r="S16" s="128">
        <f>INDEX(Direct_Cost_Splits_Network,MATCH($H16,RIN_Asset_Cat_Network,0),MATCH($S$4,Direct_Cost_Type,0))*J16*HLOOKUP(S$5,Escalators!$I$25:$U$30,3,FALSE)</f>
        <v>0</v>
      </c>
      <c r="T16" s="128">
        <f>INDEX(Direct_Cost_Splits_Network,MATCH($H16,RIN_Asset_Cat_Network,0),MATCH($S$4,Direct_Cost_Type,0))*K16*HLOOKUP(T$5,Escalators!$I$25:$U$30,3,FALSE)</f>
        <v>0</v>
      </c>
      <c r="U16" s="128">
        <f>INDEX(Direct_Cost_Splits_Network,MATCH($H16,RIN_Asset_Cat_Network,0),MATCH($S$4,Direct_Cost_Type,0))*L16*HLOOKUP(U$5,Escalators!$I$25:$U$30,3,FALSE)</f>
        <v>0</v>
      </c>
      <c r="V16" s="128">
        <f>INDEX(Direct_Cost_Splits_Network,MATCH($H16,RIN_Asset_Cat_Network,0),MATCH($S$4,Direct_Cost_Type,0))*M16*HLOOKUP(V$5,Escalators!$I$25:$U$30,3,FALSE)</f>
        <v>0</v>
      </c>
      <c r="W16" s="128">
        <f>INDEX(Direct_Cost_Splits_Network,MATCH($H16,RIN_Asset_Cat_Network,0),MATCH($S$4,Direct_Cost_Type,0))*N16*HLOOKUP(W$5,Escalators!$I$25:$U$30,3,FALSE)</f>
        <v>0</v>
      </c>
      <c r="X16" s="128">
        <f>INDEX(Direct_Cost_Splits_Network,MATCH($H16,RIN_Asset_Cat_Network,0),MATCH($S$4,Direct_Cost_Type,0))*O16*HLOOKUP(X$5,Escalators!$I$25:$U$30,3,FALSE)</f>
        <v>0</v>
      </c>
      <c r="Y16" s="128">
        <f>INDEX(Direct_Cost_Splits_Network,MATCH($H16,RIN_Asset_Cat_Network,0),MATCH($S$4,Direct_Cost_Type,0))*P16*HLOOKUP(Y$5,Escalators!$I$25:$U$30,3,FALSE)</f>
        <v>0</v>
      </c>
      <c r="Z16" s="128">
        <f>INDEX(Direct_Cost_Splits_Network,MATCH($H16,RIN_Asset_Cat_Network,0),MATCH($S$4,Direct_Cost_Type,0))*Q16*HLOOKUP(Z$5,Escalators!$I$25:$U$30,3,FALSE)</f>
        <v>0</v>
      </c>
      <c r="AA16" s="129"/>
      <c r="AB16" s="75">
        <f>INDEX(Direct_Cost_Splits_Network,MATCH($H16,RIN_Asset_Cat_Network,0),MATCH($AG$4,Direct_Cost_Type,0))*$J16*INDEX(Act_Type_Repex_Splits,MATCH($I16,Act_Type_Repex,0),MATCH(AB$4,Mat_Type,0))*INDEX(Escalators!$I$44:$U$49,MATCH(AB$4,Escalators!$C$44:$C$49,0),MATCH(AB$5,Escalators!$I$43:$U$43,0))</f>
        <v>0</v>
      </c>
      <c r="AC16" s="75">
        <f>INDEX(Direct_Cost_Splits_Network,MATCH($H16,RIN_Asset_Cat_Network,0),MATCH($AG$4,Direct_Cost_Type,0))*$J16*INDEX(Act_Type_Repex_Splits,MATCH($I16,Act_Type_Repex,0),MATCH(AC$4,Mat_Type,0))*INDEX(Escalators!$I$44:$U$49,MATCH(AC$4,Escalators!$C$44:$C$49,0),MATCH(AC$5,Escalators!$I$43:$U$43,0))</f>
        <v>0</v>
      </c>
      <c r="AD16" s="75">
        <f>INDEX(Direct_Cost_Splits_Network,MATCH($H16,RIN_Asset_Cat_Network,0),MATCH($AG$4,Direct_Cost_Type,0))*$J16*INDEX(Act_Type_Repex_Splits,MATCH($I16,Act_Type_Repex,0),MATCH(AD$4,Mat_Type,0))*INDEX(Escalators!$I$44:$U$49,MATCH(AD$4,Escalators!$C$44:$C$49,0),MATCH(AD$5,Escalators!$I$43:$U$43,0))</f>
        <v>0</v>
      </c>
      <c r="AE16" s="75">
        <f>INDEX(Direct_Cost_Splits_Network,MATCH($H16,RIN_Asset_Cat_Network,0),MATCH($AG$4,Direct_Cost_Type,0))*$J16*INDEX(Act_Type_Repex_Splits,MATCH($I16,Act_Type_Repex,0),MATCH(AE$4,Mat_Type,0))*INDEX(Escalators!$I$44:$U$49,MATCH(AE$4,Escalators!$C$44:$C$49,0),MATCH(AE$5,Escalators!$I$43:$U$43,0))</f>
        <v>0</v>
      </c>
      <c r="AF16" s="75">
        <f>INDEX(Direct_Cost_Splits_Network,MATCH($H16,RIN_Asset_Cat_Network,0),MATCH($AG$4,Direct_Cost_Type,0))*$J16*INDEX(Act_Type_Repex_Splits,MATCH($I16,Act_Type_Repex,0),MATCH(AF$4,Mat_Type,0))*INDEX(Escalators!$I$44:$U$49,MATCH(AF$4,Escalators!$C$44:$C$49,0),MATCH(AF$5,Escalators!$I$43:$U$43,0))</f>
        <v>0</v>
      </c>
      <c r="AG16" s="128">
        <f t="shared" si="24"/>
        <v>0</v>
      </c>
      <c r="AH16" s="128">
        <f>INDEX(Direct_Cost_Splits_Network,MATCH($H16,RIN_Asset_Cat_Network,0),MATCH($AY$4,Direct_Cost_Type,0))*$K16*INDEX(Act_Type_Repex_Splits,MATCH($I16,Act_Type_Repex,0),MATCH(AH$4,Mat_Type,0))*INDEX(Escalators!$I$44:$U$49,MATCH(AH$4,Escalators!$C$44:$C$49,0),MATCH(AH$5,Escalators!$I$43:$U$43,0))</f>
        <v>0</v>
      </c>
      <c r="AI16" s="128">
        <f>INDEX(Direct_Cost_Splits_Network,MATCH($H16,RIN_Asset_Cat_Network,0),MATCH($AY$4,Direct_Cost_Type,0))*$K16*INDEX(Act_Type_Repex_Splits,MATCH($I16,Act_Type_Repex,0),MATCH(AI$4,Mat_Type,0))*INDEX(Escalators!$I$44:$U$49,MATCH(AI$4,Escalators!$C$44:$C$49,0),MATCH(AI$5,Escalators!$I$43:$U$43,0))</f>
        <v>0</v>
      </c>
      <c r="AJ16" s="128">
        <f>INDEX(Direct_Cost_Splits_Network,MATCH($H16,RIN_Asset_Cat_Network,0),MATCH($AY$4,Direct_Cost_Type,0))*$K16*INDEX(Act_Type_Repex_Splits,MATCH($I16,Act_Type_Repex,0),MATCH(AJ$4,Mat_Type,0))*INDEX(Escalators!$I$44:$U$49,MATCH(AJ$4,Escalators!$C$44:$C$49,0),MATCH(AJ$5,Escalators!$I$43:$U$43,0))</f>
        <v>0</v>
      </c>
      <c r="AK16" s="128">
        <f>INDEX(Direct_Cost_Splits_Network,MATCH($H16,RIN_Asset_Cat_Network,0),MATCH($AY$4,Direct_Cost_Type,0))*$K16*INDEX(Act_Type_Repex_Splits,MATCH($I16,Act_Type_Repex,0),MATCH(AK$4,Mat_Type,0))*INDEX(Escalators!$I$44:$U$49,MATCH(AK$4,Escalators!$C$44:$C$49,0),MATCH(AK$5,Escalators!$I$43:$U$43,0))</f>
        <v>0</v>
      </c>
      <c r="AL16" s="128">
        <f>INDEX(Direct_Cost_Splits_Network,MATCH($H16,RIN_Asset_Cat_Network,0),MATCH($AY$4,Direct_Cost_Type,0))*$K16*INDEX(Act_Type_Repex_Splits,MATCH($I16,Act_Type_Repex,0),MATCH(AL$4,Mat_Type,0))*INDEX(Escalators!$I$44:$U$49,MATCH(AL$4,Escalators!$C$44:$C$49,0),MATCH(AL$5,Escalators!$I$43:$U$43,0))</f>
        <v>0</v>
      </c>
      <c r="AM16" s="128">
        <f t="shared" si="8"/>
        <v>0</v>
      </c>
      <c r="AN16" s="128">
        <f>INDEX(Direct_Cost_Splits_Network,MATCH($H16,RIN_Asset_Cat_Network,0),MATCH($AY$4,Direct_Cost_Type,0))*$L16*INDEX(Act_Type_Repex_Splits,MATCH($I16,Act_Type_Repex,0),MATCH(AN$4,Mat_Type,0))*INDEX(Escalators!$I$44:$U$49,MATCH(AN$4,Escalators!$C$44:$C$49,0),MATCH(AN$5,Escalators!$I$43:$U$43,0))</f>
        <v>0</v>
      </c>
      <c r="AO16" s="128">
        <f>INDEX(Direct_Cost_Splits_Network,MATCH($H16,RIN_Asset_Cat_Network,0),MATCH($AY$4,Direct_Cost_Type,0))*$L16*INDEX(Act_Type_Repex_Splits,MATCH($I16,Act_Type_Repex,0),MATCH(AO$4,Mat_Type,0))*INDEX(Escalators!$I$44:$U$49,MATCH(AO$4,Escalators!$C$44:$C$49,0),MATCH(AO$5,Escalators!$I$43:$U$43,0))</f>
        <v>0</v>
      </c>
      <c r="AP16" s="128">
        <f>INDEX(Direct_Cost_Splits_Network,MATCH($H16,RIN_Asset_Cat_Network,0),MATCH($AY$4,Direct_Cost_Type,0))*$L16*INDEX(Act_Type_Repex_Splits,MATCH($I16,Act_Type_Repex,0),MATCH(AP$4,Mat_Type,0))*INDEX(Escalators!$I$44:$U$49,MATCH(AP$4,Escalators!$C$44:$C$49,0),MATCH(AP$5,Escalators!$I$43:$U$43,0))</f>
        <v>0</v>
      </c>
      <c r="AQ16" s="128">
        <f>INDEX(Direct_Cost_Splits_Network,MATCH($H16,RIN_Asset_Cat_Network,0),MATCH($AY$4,Direct_Cost_Type,0))*$L16*INDEX(Act_Type_Repex_Splits,MATCH($I16,Act_Type_Repex,0),MATCH(AQ$4,Mat_Type,0))*INDEX(Escalators!$I$44:$U$49,MATCH(AQ$4,Escalators!$C$44:$C$49,0),MATCH(AQ$5,Escalators!$I$43:$U$43,0))</f>
        <v>0</v>
      </c>
      <c r="AR16" s="128">
        <f>INDEX(Direct_Cost_Splits_Network,MATCH($H16,RIN_Asset_Cat_Network,0),MATCH($AY$4,Direct_Cost_Type,0))*$L16*INDEX(Act_Type_Repex_Splits,MATCH($I16,Act_Type_Repex,0),MATCH(AR$4,Mat_Type,0))*INDEX(Escalators!$I$44:$U$49,MATCH(AR$4,Escalators!$C$44:$C$49,0),MATCH(AR$5,Escalators!$I$43:$U$43,0))</f>
        <v>0</v>
      </c>
      <c r="AS16" s="128">
        <f t="shared" si="9"/>
        <v>0</v>
      </c>
      <c r="AT16" s="128">
        <f>INDEX(Direct_Cost_Splits_Network,MATCH($H16,RIN_Asset_Cat_Network,0),MATCH($AY$4,Direct_Cost_Type,0))*$M16*INDEX(Act_Type_Repex_Splits,MATCH($I16,Act_Type_Repex,0),MATCH(AT$4,Mat_Type,0))*INDEX(Escalators!$I$44:$U$49,MATCH(AT$4,Escalators!$C$44:$C$49,0),MATCH(AT$5,Escalators!$I$43:$U$43,0))</f>
        <v>0</v>
      </c>
      <c r="AU16" s="128">
        <f>INDEX(Direct_Cost_Splits_Network,MATCH($H16,RIN_Asset_Cat_Network,0),MATCH($AY$4,Direct_Cost_Type,0))*$M16*INDEX(Act_Type_Repex_Splits,MATCH($I16,Act_Type_Repex,0),MATCH(AU$4,Mat_Type,0))*INDEX(Escalators!$I$44:$U$49,MATCH(AU$4,Escalators!$C$44:$C$49,0),MATCH(AU$5,Escalators!$I$43:$U$43,0))</f>
        <v>0</v>
      </c>
      <c r="AV16" s="128">
        <f>INDEX(Direct_Cost_Splits_Network,MATCH($H16,RIN_Asset_Cat_Network,0),MATCH($AY$4,Direct_Cost_Type,0))*$M16*INDEX(Act_Type_Repex_Splits,MATCH($I16,Act_Type_Repex,0),MATCH(AV$4,Mat_Type,0))*INDEX(Escalators!$I$44:$U$49,MATCH(AV$4,Escalators!$C$44:$C$49,0),MATCH(AV$5,Escalators!$I$43:$U$43,0))</f>
        <v>0</v>
      </c>
      <c r="AW16" s="128">
        <f>INDEX(Direct_Cost_Splits_Network,MATCH($H16,RIN_Asset_Cat_Network,0),MATCH($AY$4,Direct_Cost_Type,0))*$M16*INDEX(Act_Type_Repex_Splits,MATCH($I16,Act_Type_Repex,0),MATCH(AW$4,Mat_Type,0))*INDEX(Escalators!$I$44:$U$49,MATCH(AW$4,Escalators!$C$44:$C$49,0),MATCH(AW$5,Escalators!$I$43:$U$43,0))</f>
        <v>0</v>
      </c>
      <c r="AX16" s="128">
        <f>INDEX(Direct_Cost_Splits_Network,MATCH($H16,RIN_Asset_Cat_Network,0),MATCH($AY$4,Direct_Cost_Type,0))*$M16*INDEX(Act_Type_Repex_Splits,MATCH($I16,Act_Type_Repex,0),MATCH(AX$4,Mat_Type,0))*INDEX(Escalators!$I$44:$U$49,MATCH(AX$4,Escalators!$C$44:$C$49,0),MATCH(AX$5,Escalators!$I$43:$U$43,0))</f>
        <v>0</v>
      </c>
      <c r="AY16" s="128">
        <f t="shared" si="10"/>
        <v>0</v>
      </c>
      <c r="AZ16" s="128">
        <f>INDEX(Direct_Cost_Splits_Network,MATCH($H16,RIN_Asset_Cat_Network,0),MATCH($BE$4,Direct_Cost_Type,0))*$N16*INDEX(Act_Type_Repex_Splits,MATCH($I16,Act_Type_Repex,0),MATCH(AZ$4,Mat_Type,0))*INDEX(Escalators!$I$44:$U$49,MATCH(AZ$4,Escalators!$C$44:$C$49,0),MATCH(AZ$5,Escalators!$I$43:$U$43,0))</f>
        <v>0</v>
      </c>
      <c r="BA16" s="128">
        <f>INDEX(Direct_Cost_Splits_Network,MATCH($H16,RIN_Asset_Cat_Network,0),MATCH($BE$4,Direct_Cost_Type,0))*$N16*INDEX(Act_Type_Repex_Splits,MATCH($I16,Act_Type_Repex,0),MATCH(BA$4,Mat_Type,0))*INDEX(Escalators!$I$44:$U$49,MATCH(BA$4,Escalators!$C$44:$C$49,0),MATCH(BA$5,Escalators!$I$43:$U$43,0))</f>
        <v>0</v>
      </c>
      <c r="BB16" s="128">
        <f>INDEX(Direct_Cost_Splits_Network,MATCH($H16,RIN_Asset_Cat_Network,0),MATCH($BE$4,Direct_Cost_Type,0))*$N16*INDEX(Act_Type_Repex_Splits,MATCH($I16,Act_Type_Repex,0),MATCH(BB$4,Mat_Type,0))*INDEX(Escalators!$I$44:$U$49,MATCH(BB$4,Escalators!$C$44:$C$49,0),MATCH(BB$5,Escalators!$I$43:$U$43,0))</f>
        <v>0</v>
      </c>
      <c r="BC16" s="128">
        <f>INDEX(Direct_Cost_Splits_Network,MATCH($H16,RIN_Asset_Cat_Network,0),MATCH($BE$4,Direct_Cost_Type,0))*$N16*INDEX(Act_Type_Repex_Splits,MATCH($I16,Act_Type_Repex,0),MATCH(BC$4,Mat_Type,0))*INDEX(Escalators!$I$44:$U$49,MATCH(BC$4,Escalators!$C$44:$C$49,0),MATCH(BC$5,Escalators!$I$43:$U$43,0))</f>
        <v>0</v>
      </c>
      <c r="BD16" s="128">
        <f>INDEX(Direct_Cost_Splits_Network,MATCH($H16,RIN_Asset_Cat_Network,0),MATCH($BE$4,Direct_Cost_Type,0))*$N16*INDEX(Act_Type_Repex_Splits,MATCH($I16,Act_Type_Repex,0),MATCH(BD$4,Mat_Type,0))*INDEX(Escalators!$I$44:$U$49,MATCH(BD$4,Escalators!$C$44:$C$49,0),MATCH(BD$5,Escalators!$I$43:$U$43,0))</f>
        <v>0</v>
      </c>
      <c r="BE16" s="128">
        <f t="shared" si="25"/>
        <v>0</v>
      </c>
      <c r="BF16" s="128">
        <f>INDEX(Direct_Cost_Splits_Network,MATCH($H16,RIN_Asset_Cat_Network,0),MATCH($BK$4,Direct_Cost_Type,0))*$O16*INDEX(Act_Type_Repex_Splits,MATCH($I16,Act_Type_Repex,0),MATCH(BF$4,Mat_Type,0))*INDEX(Escalators!$I$44:$U$49,MATCH(BF$4,Escalators!$C$44:$C$49,0),MATCH(BF$5,Escalators!$I$43:$U$43,0))</f>
        <v>0</v>
      </c>
      <c r="BG16" s="128">
        <f>INDEX(Direct_Cost_Splits_Network,MATCH($H16,RIN_Asset_Cat_Network,0),MATCH($BK$4,Direct_Cost_Type,0))*$O16*INDEX(Act_Type_Repex_Splits,MATCH($I16,Act_Type_Repex,0),MATCH(BG$4,Mat_Type,0))*INDEX(Escalators!$I$44:$U$49,MATCH(BG$4,Escalators!$C$44:$C$49,0),MATCH(BG$5,Escalators!$I$43:$U$43,0))</f>
        <v>0</v>
      </c>
      <c r="BH16" s="128">
        <f>INDEX(Direct_Cost_Splits_Network,MATCH($H16,RIN_Asset_Cat_Network,0),MATCH($BK$4,Direct_Cost_Type,0))*$O16*INDEX(Act_Type_Repex_Splits,MATCH($I16,Act_Type_Repex,0),MATCH(BH$4,Mat_Type,0))*INDEX(Escalators!$I$44:$U$49,MATCH(BH$4,Escalators!$C$44:$C$49,0),MATCH(BH$5,Escalators!$I$43:$U$43,0))</f>
        <v>0</v>
      </c>
      <c r="BI16" s="128">
        <f>INDEX(Direct_Cost_Splits_Network,MATCH($H16,RIN_Asset_Cat_Network,0),MATCH($BK$4,Direct_Cost_Type,0))*$O16*INDEX(Act_Type_Repex_Splits,MATCH($I16,Act_Type_Repex,0),MATCH(BI$4,Mat_Type,0))*INDEX(Escalators!$I$44:$U$49,MATCH(BI$4,Escalators!$C$44:$C$49,0),MATCH(BI$5,Escalators!$I$43:$U$43,0))</f>
        <v>0</v>
      </c>
      <c r="BJ16" s="128">
        <f>INDEX(Direct_Cost_Splits_Network,MATCH($H16,RIN_Asset_Cat_Network,0),MATCH($BK$4,Direct_Cost_Type,0))*$O16*INDEX(Act_Type_Repex_Splits,MATCH($I16,Act_Type_Repex,0),MATCH(BJ$4,Mat_Type,0))*INDEX(Escalators!$I$44:$U$49,MATCH(BJ$4,Escalators!$C$44:$C$49,0),MATCH(BJ$5,Escalators!$I$43:$U$43,0))</f>
        <v>0</v>
      </c>
      <c r="BK16" s="128">
        <f t="shared" si="26"/>
        <v>0</v>
      </c>
      <c r="BL16" s="128">
        <f>INDEX(Direct_Cost_Splits_Network,MATCH($H16,RIN_Asset_Cat_Network,0),MATCH($BQ$4,Direct_Cost_Type,0))*$P16*INDEX(Act_Type_Repex_Splits,MATCH($I16,Act_Type_Repex,0),MATCH(BL$4,Mat_Type,0))*INDEX(Escalators!$I$44:$U$49,MATCH(BL$4,Escalators!$C$44:$C$49,0),MATCH(BL$5,Escalators!$I$43:$U$43,0))</f>
        <v>0</v>
      </c>
      <c r="BM16" s="128">
        <f>INDEX(Direct_Cost_Splits_Network,MATCH($H16,RIN_Asset_Cat_Network,0),MATCH($BQ$4,Direct_Cost_Type,0))*$P16*INDEX(Act_Type_Repex_Splits,MATCH($I16,Act_Type_Repex,0),MATCH(BM$4,Mat_Type,0))*INDEX(Escalators!$I$44:$U$49,MATCH(BM$4,Escalators!$C$44:$C$49,0),MATCH(BM$5,Escalators!$I$43:$U$43,0))</f>
        <v>0</v>
      </c>
      <c r="BN16" s="128">
        <f>INDEX(Direct_Cost_Splits_Network,MATCH($H16,RIN_Asset_Cat_Network,0),MATCH($BQ$4,Direct_Cost_Type,0))*$P16*INDEX(Act_Type_Repex_Splits,MATCH($I16,Act_Type_Repex,0),MATCH(BN$4,Mat_Type,0))*INDEX(Escalators!$I$44:$U$49,MATCH(BN$4,Escalators!$C$44:$C$49,0),MATCH(BN$5,Escalators!$I$43:$U$43,0))</f>
        <v>0</v>
      </c>
      <c r="BO16" s="128">
        <f>INDEX(Direct_Cost_Splits_Network,MATCH($H16,RIN_Asset_Cat_Network,0),MATCH($BQ$4,Direct_Cost_Type,0))*$P16*INDEX(Act_Type_Repex_Splits,MATCH($I16,Act_Type_Repex,0),MATCH(BO$4,Mat_Type,0))*INDEX(Escalators!$I$44:$U$49,MATCH(BO$4,Escalators!$C$44:$C$49,0),MATCH(BO$5,Escalators!$I$43:$U$43,0))</f>
        <v>0</v>
      </c>
      <c r="BP16" s="128">
        <f>INDEX(Direct_Cost_Splits_Network,MATCH($H16,RIN_Asset_Cat_Network,0),MATCH($BQ$4,Direct_Cost_Type,0))*$P16*INDEX(Act_Type_Repex_Splits,MATCH($I16,Act_Type_Repex,0),MATCH(BP$4,Mat_Type,0))*INDEX(Escalators!$I$44:$U$49,MATCH(BP$4,Escalators!$C$44:$C$49,0),MATCH(BP$5,Escalators!$I$43:$U$43,0))</f>
        <v>0</v>
      </c>
      <c r="BQ16" s="128">
        <f t="shared" si="27"/>
        <v>0</v>
      </c>
      <c r="BR16" s="128">
        <f>INDEX(Direct_Cost_Splits_Network,MATCH($H16,RIN_Asset_Cat_Network,0),MATCH($BW$4,Direct_Cost_Type,0))*$Q16*INDEX(Act_Type_Repex_Splits,MATCH($I16,Act_Type_Repex,0),MATCH(BR$4,Mat_Type,0))*INDEX(Escalators!$I$44:$U$49,MATCH(BR$4,Escalators!$C$44:$C$49,0),MATCH(BR$5,Escalators!$I$43:$U$43,0))</f>
        <v>0</v>
      </c>
      <c r="BS16" s="128">
        <f>INDEX(Direct_Cost_Splits_Network,MATCH($H16,RIN_Asset_Cat_Network,0),MATCH($BW$4,Direct_Cost_Type,0))*$Q16*INDEX(Act_Type_Repex_Splits,MATCH($I16,Act_Type_Repex,0),MATCH(BS$4,Mat_Type,0))*INDEX(Escalators!$I$44:$U$49,MATCH(BS$4,Escalators!$C$44:$C$49,0),MATCH(BS$5,Escalators!$I$43:$U$43,0))</f>
        <v>0</v>
      </c>
      <c r="BT16" s="128">
        <f>INDEX(Direct_Cost_Splits_Network,MATCH($H16,RIN_Asset_Cat_Network,0),MATCH($BW$4,Direct_Cost_Type,0))*$Q16*INDEX(Act_Type_Repex_Splits,MATCH($I16,Act_Type_Repex,0),MATCH(BT$4,Mat_Type,0))*INDEX(Escalators!$I$44:$U$49,MATCH(BT$4,Escalators!$C$44:$C$49,0),MATCH(BT$5,Escalators!$I$43:$U$43,0))</f>
        <v>0</v>
      </c>
      <c r="BU16" s="128">
        <f>INDEX(Direct_Cost_Splits_Network,MATCH($H16,RIN_Asset_Cat_Network,0),MATCH($BW$4,Direct_Cost_Type,0))*$Q16*INDEX(Act_Type_Repex_Splits,MATCH($I16,Act_Type_Repex,0),MATCH(BU$4,Mat_Type,0))*INDEX(Escalators!$I$44:$U$49,MATCH(BU$4,Escalators!$C$44:$C$49,0),MATCH(BU$5,Escalators!$I$43:$U$43,0))</f>
        <v>0</v>
      </c>
      <c r="BV16" s="128">
        <f>INDEX(Direct_Cost_Splits_Network,MATCH($H16,RIN_Asset_Cat_Network,0),MATCH($BW$4,Direct_Cost_Type,0))*$Q16*INDEX(Act_Type_Repex_Splits,MATCH($I16,Act_Type_Repex,0),MATCH(BV$4,Mat_Type,0))*INDEX(Escalators!$I$44:$U$49,MATCH(BV$4,Escalators!$C$44:$C$49,0),MATCH(BV$5,Escalators!$I$43:$U$43,0))</f>
        <v>0</v>
      </c>
      <c r="BW16" s="128">
        <f t="shared" si="28"/>
        <v>0</v>
      </c>
      <c r="BX16" s="129"/>
      <c r="BY16" s="128">
        <f>INDEX(Direct_Cost_Splits_Network,MATCH($H16,RIN_Asset_Cat_Network,0),MATCH($BY$4,Direct_Cost_Type,0))*J16*HLOOKUP(BY$5,Escalators!$I$25:$U$30,6,FALSE)</f>
        <v>0</v>
      </c>
      <c r="BZ16" s="128">
        <f>INDEX(Direct_Cost_Splits_Network,MATCH($H16,RIN_Asset_Cat_Network,0),MATCH($BY$4,Direct_Cost_Type,0))*K16*HLOOKUP(BZ$5,Escalators!$I$25:$U$30,6,FALSE)</f>
        <v>0</v>
      </c>
      <c r="CA16" s="128">
        <f>INDEX(Direct_Cost_Splits_Network,MATCH($H16,RIN_Asset_Cat_Network,0),MATCH($BY$4,Direct_Cost_Type,0))*L16*HLOOKUP(CA$5,Escalators!$I$25:$U$30,6,FALSE)</f>
        <v>0</v>
      </c>
      <c r="CB16" s="128">
        <f>INDEX(Direct_Cost_Splits_Network,MATCH($H16,RIN_Asset_Cat_Network,0),MATCH($BY$4,Direct_Cost_Type,0))*M16*HLOOKUP(CB$5,Escalators!$I$25:$U$30,6,FALSE)</f>
        <v>0</v>
      </c>
      <c r="CC16" s="128">
        <f>INDEX(Direct_Cost_Splits_Network,MATCH($H16,RIN_Asset_Cat_Network,0),MATCH($BY$4,Direct_Cost_Type,0))*N16*HLOOKUP(CC$5,Escalators!$I$25:$U$30,6,FALSE)</f>
        <v>0</v>
      </c>
      <c r="CD16" s="128">
        <f>INDEX(Direct_Cost_Splits_Network,MATCH($H16,RIN_Asset_Cat_Network,0),MATCH($BY$4,Direct_Cost_Type,0))*O16*HLOOKUP(CD$5,Escalators!$I$25:$U$30,6,FALSE)</f>
        <v>0</v>
      </c>
      <c r="CE16" s="128">
        <f>INDEX(Direct_Cost_Splits_Network,MATCH($H16,RIN_Asset_Cat_Network,0),MATCH($BY$4,Direct_Cost_Type,0))*P16*HLOOKUP(CE$5,Escalators!$I$25:$U$30,6,FALSE)</f>
        <v>0</v>
      </c>
      <c r="CF16" s="128">
        <f>INDEX(Direct_Cost_Splits_Network,MATCH($H16,RIN_Asset_Cat_Network,0),MATCH($BY$4,Direct_Cost_Type,0))*Q16*HLOOKUP(CF$5,Escalators!$I$25:$U$30,6,FALSE)</f>
        <v>0</v>
      </c>
      <c r="CG16" s="129"/>
      <c r="CH16" s="763">
        <f t="shared" si="11"/>
        <v>0</v>
      </c>
      <c r="CI16" s="763">
        <f t="shared" si="12"/>
        <v>0</v>
      </c>
      <c r="CJ16" s="763">
        <f t="shared" si="12"/>
        <v>0</v>
      </c>
      <c r="CK16" s="82">
        <f t="shared" si="13"/>
        <v>0</v>
      </c>
      <c r="CL16" s="82">
        <f t="shared" si="14"/>
        <v>0</v>
      </c>
      <c r="CM16" s="82">
        <f t="shared" si="15"/>
        <v>0</v>
      </c>
      <c r="CN16" s="82">
        <f t="shared" si="16"/>
        <v>0</v>
      </c>
      <c r="CO16" s="82">
        <f t="shared" si="17"/>
        <v>0</v>
      </c>
      <c r="CQ16" s="47">
        <f t="shared" si="18"/>
        <v>0</v>
      </c>
      <c r="CR16" s="47">
        <f t="shared" si="29"/>
        <v>0</v>
      </c>
      <c r="CS16" s="47">
        <f t="shared" si="30"/>
        <v>0</v>
      </c>
      <c r="CT16" s="47">
        <f t="shared" si="19"/>
        <v>0</v>
      </c>
      <c r="CU16" s="47">
        <f t="shared" si="20"/>
        <v>0</v>
      </c>
      <c r="CV16" s="47">
        <f t="shared" si="21"/>
        <v>0</v>
      </c>
      <c r="CW16" s="47">
        <f t="shared" si="22"/>
        <v>0</v>
      </c>
      <c r="CX16" s="47">
        <f t="shared" si="23"/>
        <v>0</v>
      </c>
      <c r="CZ16" s="47">
        <f t="shared" si="33"/>
        <v>0</v>
      </c>
      <c r="DA16" s="47">
        <f t="shared" si="34"/>
        <v>0</v>
      </c>
      <c r="DB16" s="47">
        <f>DA16*Escalators!$M$17</f>
        <v>0</v>
      </c>
      <c r="DC16" s="47">
        <f>SUMPRODUCT(1+AusNet_Overheads!$K$20:$O$20,CT16:CX16)</f>
        <v>0</v>
      </c>
      <c r="DD16" s="374">
        <f>DC16*Escalators!$M$17</f>
        <v>0</v>
      </c>
      <c r="DE16" s="157"/>
      <c r="DF16" s="157"/>
      <c r="DG16" s="201"/>
      <c r="DH16" s="262"/>
    </row>
    <row r="17" spans="2:112" x14ac:dyDescent="0.25">
      <c r="B17" s="75"/>
      <c r="C17" s="75"/>
      <c r="D17" s="75"/>
      <c r="E17" s="75" t="s">
        <v>44</v>
      </c>
      <c r="F17" s="75" t="s">
        <v>131</v>
      </c>
      <c r="G17" s="75" t="s">
        <v>150</v>
      </c>
      <c r="H17" s="75" t="s">
        <v>176</v>
      </c>
      <c r="I17" s="75" t="s">
        <v>250</v>
      </c>
      <c r="J17" s="128"/>
      <c r="K17" s="128"/>
      <c r="L17" s="128"/>
      <c r="M17" s="128"/>
      <c r="N17" s="128"/>
      <c r="O17" s="128"/>
      <c r="P17" s="128"/>
      <c r="Q17" s="128"/>
      <c r="R17" s="129"/>
      <c r="S17" s="128">
        <f>INDEX(Direct_Cost_Splits_Network,MATCH($H17,RIN_Asset_Cat_Network,0),MATCH($S$4,Direct_Cost_Type,0))*J17*HLOOKUP(S$5,Escalators!$I$25:$U$30,3,FALSE)</f>
        <v>0</v>
      </c>
      <c r="T17" s="128">
        <f>INDEX(Direct_Cost_Splits_Network,MATCH($H17,RIN_Asset_Cat_Network,0),MATCH($S$4,Direct_Cost_Type,0))*K17*HLOOKUP(T$5,Escalators!$I$25:$U$30,3,FALSE)</f>
        <v>0</v>
      </c>
      <c r="U17" s="128">
        <f>INDEX(Direct_Cost_Splits_Network,MATCH($H17,RIN_Asset_Cat_Network,0),MATCH($S$4,Direct_Cost_Type,0))*L17*HLOOKUP(U$5,Escalators!$I$25:$U$30,3,FALSE)</f>
        <v>0</v>
      </c>
      <c r="V17" s="128">
        <f>INDEX(Direct_Cost_Splits_Network,MATCH($H17,RIN_Asset_Cat_Network,0),MATCH($S$4,Direct_Cost_Type,0))*M17*HLOOKUP(V$5,Escalators!$I$25:$U$30,3,FALSE)</f>
        <v>0</v>
      </c>
      <c r="W17" s="128">
        <f>INDEX(Direct_Cost_Splits_Network,MATCH($H17,RIN_Asset_Cat_Network,0),MATCH($S$4,Direct_Cost_Type,0))*N17*HLOOKUP(W$5,Escalators!$I$25:$U$30,3,FALSE)</f>
        <v>0</v>
      </c>
      <c r="X17" s="128">
        <f>INDEX(Direct_Cost_Splits_Network,MATCH($H17,RIN_Asset_Cat_Network,0),MATCH($S$4,Direct_Cost_Type,0))*O17*HLOOKUP(X$5,Escalators!$I$25:$U$30,3,FALSE)</f>
        <v>0</v>
      </c>
      <c r="Y17" s="128">
        <f>INDEX(Direct_Cost_Splits_Network,MATCH($H17,RIN_Asset_Cat_Network,0),MATCH($S$4,Direct_Cost_Type,0))*P17*HLOOKUP(Y$5,Escalators!$I$25:$U$30,3,FALSE)</f>
        <v>0</v>
      </c>
      <c r="Z17" s="128">
        <f>INDEX(Direct_Cost_Splits_Network,MATCH($H17,RIN_Asset_Cat_Network,0),MATCH($S$4,Direct_Cost_Type,0))*Q17*HLOOKUP(Z$5,Escalators!$I$25:$U$30,3,FALSE)</f>
        <v>0</v>
      </c>
      <c r="AA17" s="129"/>
      <c r="AB17" s="75">
        <f>INDEX(Direct_Cost_Splits_Network,MATCH($H17,RIN_Asset_Cat_Network,0),MATCH($AG$4,Direct_Cost_Type,0))*$J17*INDEX(Act_Type_Repex_Splits,MATCH($I17,Act_Type_Repex,0),MATCH(AB$4,Mat_Type,0))*INDEX(Escalators!$I$44:$U$49,MATCH(AB$4,Escalators!$C$44:$C$49,0),MATCH(AB$5,Escalators!$I$43:$U$43,0))</f>
        <v>0</v>
      </c>
      <c r="AC17" s="75">
        <f>INDEX(Direct_Cost_Splits_Network,MATCH($H17,RIN_Asset_Cat_Network,0),MATCH($AG$4,Direct_Cost_Type,0))*$J17*INDEX(Act_Type_Repex_Splits,MATCH($I17,Act_Type_Repex,0),MATCH(AC$4,Mat_Type,0))*INDEX(Escalators!$I$44:$U$49,MATCH(AC$4,Escalators!$C$44:$C$49,0),MATCH(AC$5,Escalators!$I$43:$U$43,0))</f>
        <v>0</v>
      </c>
      <c r="AD17" s="75">
        <f>INDEX(Direct_Cost_Splits_Network,MATCH($H17,RIN_Asset_Cat_Network,0),MATCH($AG$4,Direct_Cost_Type,0))*$J17*INDEX(Act_Type_Repex_Splits,MATCH($I17,Act_Type_Repex,0),MATCH(AD$4,Mat_Type,0))*INDEX(Escalators!$I$44:$U$49,MATCH(AD$4,Escalators!$C$44:$C$49,0),MATCH(AD$5,Escalators!$I$43:$U$43,0))</f>
        <v>0</v>
      </c>
      <c r="AE17" s="75">
        <f>INDEX(Direct_Cost_Splits_Network,MATCH($H17,RIN_Asset_Cat_Network,0),MATCH($AG$4,Direct_Cost_Type,0))*$J17*INDEX(Act_Type_Repex_Splits,MATCH($I17,Act_Type_Repex,0),MATCH(AE$4,Mat_Type,0))*INDEX(Escalators!$I$44:$U$49,MATCH(AE$4,Escalators!$C$44:$C$49,0),MATCH(AE$5,Escalators!$I$43:$U$43,0))</f>
        <v>0</v>
      </c>
      <c r="AF17" s="75">
        <f>INDEX(Direct_Cost_Splits_Network,MATCH($H17,RIN_Asset_Cat_Network,0),MATCH($AG$4,Direct_Cost_Type,0))*$J17*INDEX(Act_Type_Repex_Splits,MATCH($I17,Act_Type_Repex,0),MATCH(AF$4,Mat_Type,0))*INDEX(Escalators!$I$44:$U$49,MATCH(AF$4,Escalators!$C$44:$C$49,0),MATCH(AF$5,Escalators!$I$43:$U$43,0))</f>
        <v>0</v>
      </c>
      <c r="AG17" s="128">
        <f t="shared" si="24"/>
        <v>0</v>
      </c>
      <c r="AH17" s="128">
        <f>INDEX(Direct_Cost_Splits_Network,MATCH($H17,RIN_Asset_Cat_Network,0),MATCH($AY$4,Direct_Cost_Type,0))*$K17*INDEX(Act_Type_Repex_Splits,MATCH($I17,Act_Type_Repex,0),MATCH(AH$4,Mat_Type,0))*INDEX(Escalators!$I$44:$U$49,MATCH(AH$4,Escalators!$C$44:$C$49,0),MATCH(AH$5,Escalators!$I$43:$U$43,0))</f>
        <v>0</v>
      </c>
      <c r="AI17" s="128">
        <f>INDEX(Direct_Cost_Splits_Network,MATCH($H17,RIN_Asset_Cat_Network,0),MATCH($AY$4,Direct_Cost_Type,0))*$K17*INDEX(Act_Type_Repex_Splits,MATCH($I17,Act_Type_Repex,0),MATCH(AI$4,Mat_Type,0))*INDEX(Escalators!$I$44:$U$49,MATCH(AI$4,Escalators!$C$44:$C$49,0),MATCH(AI$5,Escalators!$I$43:$U$43,0))</f>
        <v>0</v>
      </c>
      <c r="AJ17" s="128">
        <f>INDEX(Direct_Cost_Splits_Network,MATCH($H17,RIN_Asset_Cat_Network,0),MATCH($AY$4,Direct_Cost_Type,0))*$K17*INDEX(Act_Type_Repex_Splits,MATCH($I17,Act_Type_Repex,0),MATCH(AJ$4,Mat_Type,0))*INDEX(Escalators!$I$44:$U$49,MATCH(AJ$4,Escalators!$C$44:$C$49,0),MATCH(AJ$5,Escalators!$I$43:$U$43,0))</f>
        <v>0</v>
      </c>
      <c r="AK17" s="128">
        <f>INDEX(Direct_Cost_Splits_Network,MATCH($H17,RIN_Asset_Cat_Network,0),MATCH($AY$4,Direct_Cost_Type,0))*$K17*INDEX(Act_Type_Repex_Splits,MATCH($I17,Act_Type_Repex,0),MATCH(AK$4,Mat_Type,0))*INDEX(Escalators!$I$44:$U$49,MATCH(AK$4,Escalators!$C$44:$C$49,0),MATCH(AK$5,Escalators!$I$43:$U$43,0))</f>
        <v>0</v>
      </c>
      <c r="AL17" s="128">
        <f>INDEX(Direct_Cost_Splits_Network,MATCH($H17,RIN_Asset_Cat_Network,0),MATCH($AY$4,Direct_Cost_Type,0))*$K17*INDEX(Act_Type_Repex_Splits,MATCH($I17,Act_Type_Repex,0),MATCH(AL$4,Mat_Type,0))*INDEX(Escalators!$I$44:$U$49,MATCH(AL$4,Escalators!$C$44:$C$49,0),MATCH(AL$5,Escalators!$I$43:$U$43,0))</f>
        <v>0</v>
      </c>
      <c r="AM17" s="128">
        <f t="shared" si="8"/>
        <v>0</v>
      </c>
      <c r="AN17" s="128">
        <f>INDEX(Direct_Cost_Splits_Network,MATCH($H17,RIN_Asset_Cat_Network,0),MATCH($AY$4,Direct_Cost_Type,0))*$L17*INDEX(Act_Type_Repex_Splits,MATCH($I17,Act_Type_Repex,0),MATCH(AN$4,Mat_Type,0))*INDEX(Escalators!$I$44:$U$49,MATCH(AN$4,Escalators!$C$44:$C$49,0),MATCH(AN$5,Escalators!$I$43:$U$43,0))</f>
        <v>0</v>
      </c>
      <c r="AO17" s="128">
        <f>INDEX(Direct_Cost_Splits_Network,MATCH($H17,RIN_Asset_Cat_Network,0),MATCH($AY$4,Direct_Cost_Type,0))*$L17*INDEX(Act_Type_Repex_Splits,MATCH($I17,Act_Type_Repex,0),MATCH(AO$4,Mat_Type,0))*INDEX(Escalators!$I$44:$U$49,MATCH(AO$4,Escalators!$C$44:$C$49,0),MATCH(AO$5,Escalators!$I$43:$U$43,0))</f>
        <v>0</v>
      </c>
      <c r="AP17" s="128">
        <f>INDEX(Direct_Cost_Splits_Network,MATCH($H17,RIN_Asset_Cat_Network,0),MATCH($AY$4,Direct_Cost_Type,0))*$L17*INDEX(Act_Type_Repex_Splits,MATCH($I17,Act_Type_Repex,0),MATCH(AP$4,Mat_Type,0))*INDEX(Escalators!$I$44:$U$49,MATCH(AP$4,Escalators!$C$44:$C$49,0),MATCH(AP$5,Escalators!$I$43:$U$43,0))</f>
        <v>0</v>
      </c>
      <c r="AQ17" s="128">
        <f>INDEX(Direct_Cost_Splits_Network,MATCH($H17,RIN_Asset_Cat_Network,0),MATCH($AY$4,Direct_Cost_Type,0))*$L17*INDEX(Act_Type_Repex_Splits,MATCH($I17,Act_Type_Repex,0),MATCH(AQ$4,Mat_Type,0))*INDEX(Escalators!$I$44:$U$49,MATCH(AQ$4,Escalators!$C$44:$C$49,0),MATCH(AQ$5,Escalators!$I$43:$U$43,0))</f>
        <v>0</v>
      </c>
      <c r="AR17" s="128">
        <f>INDEX(Direct_Cost_Splits_Network,MATCH($H17,RIN_Asset_Cat_Network,0),MATCH($AY$4,Direct_Cost_Type,0))*$L17*INDEX(Act_Type_Repex_Splits,MATCH($I17,Act_Type_Repex,0),MATCH(AR$4,Mat_Type,0))*INDEX(Escalators!$I$44:$U$49,MATCH(AR$4,Escalators!$C$44:$C$49,0),MATCH(AR$5,Escalators!$I$43:$U$43,0))</f>
        <v>0</v>
      </c>
      <c r="AS17" s="128">
        <f t="shared" si="9"/>
        <v>0</v>
      </c>
      <c r="AT17" s="128">
        <f>INDEX(Direct_Cost_Splits_Network,MATCH($H17,RIN_Asset_Cat_Network,0),MATCH($AY$4,Direct_Cost_Type,0))*$M17*INDEX(Act_Type_Repex_Splits,MATCH($I17,Act_Type_Repex,0),MATCH(AT$4,Mat_Type,0))*INDEX(Escalators!$I$44:$U$49,MATCH(AT$4,Escalators!$C$44:$C$49,0),MATCH(AT$5,Escalators!$I$43:$U$43,0))</f>
        <v>0</v>
      </c>
      <c r="AU17" s="128">
        <f>INDEX(Direct_Cost_Splits_Network,MATCH($H17,RIN_Asset_Cat_Network,0),MATCH($AY$4,Direct_Cost_Type,0))*$M17*INDEX(Act_Type_Repex_Splits,MATCH($I17,Act_Type_Repex,0),MATCH(AU$4,Mat_Type,0))*INDEX(Escalators!$I$44:$U$49,MATCH(AU$4,Escalators!$C$44:$C$49,0),MATCH(AU$5,Escalators!$I$43:$U$43,0))</f>
        <v>0</v>
      </c>
      <c r="AV17" s="128">
        <f>INDEX(Direct_Cost_Splits_Network,MATCH($H17,RIN_Asset_Cat_Network,0),MATCH($AY$4,Direct_Cost_Type,0))*$M17*INDEX(Act_Type_Repex_Splits,MATCH($I17,Act_Type_Repex,0),MATCH(AV$4,Mat_Type,0))*INDEX(Escalators!$I$44:$U$49,MATCH(AV$4,Escalators!$C$44:$C$49,0),MATCH(AV$5,Escalators!$I$43:$U$43,0))</f>
        <v>0</v>
      </c>
      <c r="AW17" s="128">
        <f>INDEX(Direct_Cost_Splits_Network,MATCH($H17,RIN_Asset_Cat_Network,0),MATCH($AY$4,Direct_Cost_Type,0))*$M17*INDEX(Act_Type_Repex_Splits,MATCH($I17,Act_Type_Repex,0),MATCH(AW$4,Mat_Type,0))*INDEX(Escalators!$I$44:$U$49,MATCH(AW$4,Escalators!$C$44:$C$49,0),MATCH(AW$5,Escalators!$I$43:$U$43,0))</f>
        <v>0</v>
      </c>
      <c r="AX17" s="128">
        <f>INDEX(Direct_Cost_Splits_Network,MATCH($H17,RIN_Asset_Cat_Network,0),MATCH($AY$4,Direct_Cost_Type,0))*$M17*INDEX(Act_Type_Repex_Splits,MATCH($I17,Act_Type_Repex,0),MATCH(AX$4,Mat_Type,0))*INDEX(Escalators!$I$44:$U$49,MATCH(AX$4,Escalators!$C$44:$C$49,0),MATCH(AX$5,Escalators!$I$43:$U$43,0))</f>
        <v>0</v>
      </c>
      <c r="AY17" s="128">
        <f t="shared" si="10"/>
        <v>0</v>
      </c>
      <c r="AZ17" s="128">
        <f>INDEX(Direct_Cost_Splits_Network,MATCH($H17,RIN_Asset_Cat_Network,0),MATCH($BE$4,Direct_Cost_Type,0))*$N17*INDEX(Act_Type_Repex_Splits,MATCH($I17,Act_Type_Repex,0),MATCH(AZ$4,Mat_Type,0))*INDEX(Escalators!$I$44:$U$49,MATCH(AZ$4,Escalators!$C$44:$C$49,0),MATCH(AZ$5,Escalators!$I$43:$U$43,0))</f>
        <v>0</v>
      </c>
      <c r="BA17" s="128">
        <f>INDEX(Direct_Cost_Splits_Network,MATCH($H17,RIN_Asset_Cat_Network,0),MATCH($BE$4,Direct_Cost_Type,0))*$N17*INDEX(Act_Type_Repex_Splits,MATCH($I17,Act_Type_Repex,0),MATCH(BA$4,Mat_Type,0))*INDEX(Escalators!$I$44:$U$49,MATCH(BA$4,Escalators!$C$44:$C$49,0),MATCH(BA$5,Escalators!$I$43:$U$43,0))</f>
        <v>0</v>
      </c>
      <c r="BB17" s="128">
        <f>INDEX(Direct_Cost_Splits_Network,MATCH($H17,RIN_Asset_Cat_Network,0),MATCH($BE$4,Direct_Cost_Type,0))*$N17*INDEX(Act_Type_Repex_Splits,MATCH($I17,Act_Type_Repex,0),MATCH(BB$4,Mat_Type,0))*INDEX(Escalators!$I$44:$U$49,MATCH(BB$4,Escalators!$C$44:$C$49,0),MATCH(BB$5,Escalators!$I$43:$U$43,0))</f>
        <v>0</v>
      </c>
      <c r="BC17" s="128">
        <f>INDEX(Direct_Cost_Splits_Network,MATCH($H17,RIN_Asset_Cat_Network,0),MATCH($BE$4,Direct_Cost_Type,0))*$N17*INDEX(Act_Type_Repex_Splits,MATCH($I17,Act_Type_Repex,0),MATCH(BC$4,Mat_Type,0))*INDEX(Escalators!$I$44:$U$49,MATCH(BC$4,Escalators!$C$44:$C$49,0),MATCH(BC$5,Escalators!$I$43:$U$43,0))</f>
        <v>0</v>
      </c>
      <c r="BD17" s="128">
        <f>INDEX(Direct_Cost_Splits_Network,MATCH($H17,RIN_Asset_Cat_Network,0),MATCH($BE$4,Direct_Cost_Type,0))*$N17*INDEX(Act_Type_Repex_Splits,MATCH($I17,Act_Type_Repex,0),MATCH(BD$4,Mat_Type,0))*INDEX(Escalators!$I$44:$U$49,MATCH(BD$4,Escalators!$C$44:$C$49,0),MATCH(BD$5,Escalators!$I$43:$U$43,0))</f>
        <v>0</v>
      </c>
      <c r="BE17" s="128">
        <f t="shared" si="25"/>
        <v>0</v>
      </c>
      <c r="BF17" s="128">
        <f>INDEX(Direct_Cost_Splits_Network,MATCH($H17,RIN_Asset_Cat_Network,0),MATCH($BK$4,Direct_Cost_Type,0))*$O17*INDEX(Act_Type_Repex_Splits,MATCH($I17,Act_Type_Repex,0),MATCH(BF$4,Mat_Type,0))*INDEX(Escalators!$I$44:$U$49,MATCH(BF$4,Escalators!$C$44:$C$49,0),MATCH(BF$5,Escalators!$I$43:$U$43,0))</f>
        <v>0</v>
      </c>
      <c r="BG17" s="128">
        <f>INDEX(Direct_Cost_Splits_Network,MATCH($H17,RIN_Asset_Cat_Network,0),MATCH($BK$4,Direct_Cost_Type,0))*$O17*INDEX(Act_Type_Repex_Splits,MATCH($I17,Act_Type_Repex,0),MATCH(BG$4,Mat_Type,0))*INDEX(Escalators!$I$44:$U$49,MATCH(BG$4,Escalators!$C$44:$C$49,0),MATCH(BG$5,Escalators!$I$43:$U$43,0))</f>
        <v>0</v>
      </c>
      <c r="BH17" s="128">
        <f>INDEX(Direct_Cost_Splits_Network,MATCH($H17,RIN_Asset_Cat_Network,0),MATCH($BK$4,Direct_Cost_Type,0))*$O17*INDEX(Act_Type_Repex_Splits,MATCH($I17,Act_Type_Repex,0),MATCH(BH$4,Mat_Type,0))*INDEX(Escalators!$I$44:$U$49,MATCH(BH$4,Escalators!$C$44:$C$49,0),MATCH(BH$5,Escalators!$I$43:$U$43,0))</f>
        <v>0</v>
      </c>
      <c r="BI17" s="128">
        <f>INDEX(Direct_Cost_Splits_Network,MATCH($H17,RIN_Asset_Cat_Network,0),MATCH($BK$4,Direct_Cost_Type,0))*$O17*INDEX(Act_Type_Repex_Splits,MATCH($I17,Act_Type_Repex,0),MATCH(BI$4,Mat_Type,0))*INDEX(Escalators!$I$44:$U$49,MATCH(BI$4,Escalators!$C$44:$C$49,0),MATCH(BI$5,Escalators!$I$43:$U$43,0))</f>
        <v>0</v>
      </c>
      <c r="BJ17" s="128">
        <f>INDEX(Direct_Cost_Splits_Network,MATCH($H17,RIN_Asset_Cat_Network,0),MATCH($BK$4,Direct_Cost_Type,0))*$O17*INDEX(Act_Type_Repex_Splits,MATCH($I17,Act_Type_Repex,0),MATCH(BJ$4,Mat_Type,0))*INDEX(Escalators!$I$44:$U$49,MATCH(BJ$4,Escalators!$C$44:$C$49,0),MATCH(BJ$5,Escalators!$I$43:$U$43,0))</f>
        <v>0</v>
      </c>
      <c r="BK17" s="128">
        <f t="shared" si="26"/>
        <v>0</v>
      </c>
      <c r="BL17" s="128">
        <f>INDEX(Direct_Cost_Splits_Network,MATCH($H17,RIN_Asset_Cat_Network,0),MATCH($BQ$4,Direct_Cost_Type,0))*$P17*INDEX(Act_Type_Repex_Splits,MATCH($I17,Act_Type_Repex,0),MATCH(BL$4,Mat_Type,0))*INDEX(Escalators!$I$44:$U$49,MATCH(BL$4,Escalators!$C$44:$C$49,0),MATCH(BL$5,Escalators!$I$43:$U$43,0))</f>
        <v>0</v>
      </c>
      <c r="BM17" s="128">
        <f>INDEX(Direct_Cost_Splits_Network,MATCH($H17,RIN_Asset_Cat_Network,0),MATCH($BQ$4,Direct_Cost_Type,0))*$P17*INDEX(Act_Type_Repex_Splits,MATCH($I17,Act_Type_Repex,0),MATCH(BM$4,Mat_Type,0))*INDEX(Escalators!$I$44:$U$49,MATCH(BM$4,Escalators!$C$44:$C$49,0),MATCH(BM$5,Escalators!$I$43:$U$43,0))</f>
        <v>0</v>
      </c>
      <c r="BN17" s="128">
        <f>INDEX(Direct_Cost_Splits_Network,MATCH($H17,RIN_Asset_Cat_Network,0),MATCH($BQ$4,Direct_Cost_Type,0))*$P17*INDEX(Act_Type_Repex_Splits,MATCH($I17,Act_Type_Repex,0),MATCH(BN$4,Mat_Type,0))*INDEX(Escalators!$I$44:$U$49,MATCH(BN$4,Escalators!$C$44:$C$49,0),MATCH(BN$5,Escalators!$I$43:$U$43,0))</f>
        <v>0</v>
      </c>
      <c r="BO17" s="128">
        <f>INDEX(Direct_Cost_Splits_Network,MATCH($H17,RIN_Asset_Cat_Network,0),MATCH($BQ$4,Direct_Cost_Type,0))*$P17*INDEX(Act_Type_Repex_Splits,MATCH($I17,Act_Type_Repex,0),MATCH(BO$4,Mat_Type,0))*INDEX(Escalators!$I$44:$U$49,MATCH(BO$4,Escalators!$C$44:$C$49,0),MATCH(BO$5,Escalators!$I$43:$U$43,0))</f>
        <v>0</v>
      </c>
      <c r="BP17" s="128">
        <f>INDEX(Direct_Cost_Splits_Network,MATCH($H17,RIN_Asset_Cat_Network,0),MATCH($BQ$4,Direct_Cost_Type,0))*$P17*INDEX(Act_Type_Repex_Splits,MATCH($I17,Act_Type_Repex,0),MATCH(BP$4,Mat_Type,0))*INDEX(Escalators!$I$44:$U$49,MATCH(BP$4,Escalators!$C$44:$C$49,0),MATCH(BP$5,Escalators!$I$43:$U$43,0))</f>
        <v>0</v>
      </c>
      <c r="BQ17" s="128">
        <f t="shared" si="27"/>
        <v>0</v>
      </c>
      <c r="BR17" s="128">
        <f>INDEX(Direct_Cost_Splits_Network,MATCH($H17,RIN_Asset_Cat_Network,0),MATCH($BW$4,Direct_Cost_Type,0))*$Q17*INDEX(Act_Type_Repex_Splits,MATCH($I17,Act_Type_Repex,0),MATCH(BR$4,Mat_Type,0))*INDEX(Escalators!$I$44:$U$49,MATCH(BR$4,Escalators!$C$44:$C$49,0),MATCH(BR$5,Escalators!$I$43:$U$43,0))</f>
        <v>0</v>
      </c>
      <c r="BS17" s="128">
        <f>INDEX(Direct_Cost_Splits_Network,MATCH($H17,RIN_Asset_Cat_Network,0),MATCH($BW$4,Direct_Cost_Type,0))*$Q17*INDEX(Act_Type_Repex_Splits,MATCH($I17,Act_Type_Repex,0),MATCH(BS$4,Mat_Type,0))*INDEX(Escalators!$I$44:$U$49,MATCH(BS$4,Escalators!$C$44:$C$49,0),MATCH(BS$5,Escalators!$I$43:$U$43,0))</f>
        <v>0</v>
      </c>
      <c r="BT17" s="128">
        <f>INDEX(Direct_Cost_Splits_Network,MATCH($H17,RIN_Asset_Cat_Network,0),MATCH($BW$4,Direct_Cost_Type,0))*$Q17*INDEX(Act_Type_Repex_Splits,MATCH($I17,Act_Type_Repex,0),MATCH(BT$4,Mat_Type,0))*INDEX(Escalators!$I$44:$U$49,MATCH(BT$4,Escalators!$C$44:$C$49,0),MATCH(BT$5,Escalators!$I$43:$U$43,0))</f>
        <v>0</v>
      </c>
      <c r="BU17" s="128">
        <f>INDEX(Direct_Cost_Splits_Network,MATCH($H17,RIN_Asset_Cat_Network,0),MATCH($BW$4,Direct_Cost_Type,0))*$Q17*INDEX(Act_Type_Repex_Splits,MATCH($I17,Act_Type_Repex,0),MATCH(BU$4,Mat_Type,0))*INDEX(Escalators!$I$44:$U$49,MATCH(BU$4,Escalators!$C$44:$C$49,0),MATCH(BU$5,Escalators!$I$43:$U$43,0))</f>
        <v>0</v>
      </c>
      <c r="BV17" s="128">
        <f>INDEX(Direct_Cost_Splits_Network,MATCH($H17,RIN_Asset_Cat_Network,0),MATCH($BW$4,Direct_Cost_Type,0))*$Q17*INDEX(Act_Type_Repex_Splits,MATCH($I17,Act_Type_Repex,0),MATCH(BV$4,Mat_Type,0))*INDEX(Escalators!$I$44:$U$49,MATCH(BV$4,Escalators!$C$44:$C$49,0),MATCH(BV$5,Escalators!$I$43:$U$43,0))</f>
        <v>0</v>
      </c>
      <c r="BW17" s="128">
        <f t="shared" si="28"/>
        <v>0</v>
      </c>
      <c r="BX17" s="129"/>
      <c r="BY17" s="128">
        <f>INDEX(Direct_Cost_Splits_Network,MATCH($H17,RIN_Asset_Cat_Network,0),MATCH($BY$4,Direct_Cost_Type,0))*J17*HLOOKUP(BY$5,Escalators!$I$25:$U$30,6,FALSE)</f>
        <v>0</v>
      </c>
      <c r="BZ17" s="128">
        <f>INDEX(Direct_Cost_Splits_Network,MATCH($H17,RIN_Asset_Cat_Network,0),MATCH($BY$4,Direct_Cost_Type,0))*K17*HLOOKUP(BZ$5,Escalators!$I$25:$U$30,6,FALSE)</f>
        <v>0</v>
      </c>
      <c r="CA17" s="128">
        <f>INDEX(Direct_Cost_Splits_Network,MATCH($H17,RIN_Asset_Cat_Network,0),MATCH($BY$4,Direct_Cost_Type,0))*L17*HLOOKUP(CA$5,Escalators!$I$25:$U$30,6,FALSE)</f>
        <v>0</v>
      </c>
      <c r="CB17" s="128">
        <f>INDEX(Direct_Cost_Splits_Network,MATCH($H17,RIN_Asset_Cat_Network,0),MATCH($BY$4,Direct_Cost_Type,0))*M17*HLOOKUP(CB$5,Escalators!$I$25:$U$30,6,FALSE)</f>
        <v>0</v>
      </c>
      <c r="CC17" s="128">
        <f>INDEX(Direct_Cost_Splits_Network,MATCH($H17,RIN_Asset_Cat_Network,0),MATCH($BY$4,Direct_Cost_Type,0))*N17*HLOOKUP(CC$5,Escalators!$I$25:$U$30,6,FALSE)</f>
        <v>0</v>
      </c>
      <c r="CD17" s="128">
        <f>INDEX(Direct_Cost_Splits_Network,MATCH($H17,RIN_Asset_Cat_Network,0),MATCH($BY$4,Direct_Cost_Type,0))*O17*HLOOKUP(CD$5,Escalators!$I$25:$U$30,6,FALSE)</f>
        <v>0</v>
      </c>
      <c r="CE17" s="128">
        <f>INDEX(Direct_Cost_Splits_Network,MATCH($H17,RIN_Asset_Cat_Network,0),MATCH($BY$4,Direct_Cost_Type,0))*P17*HLOOKUP(CE$5,Escalators!$I$25:$U$30,6,FALSE)</f>
        <v>0</v>
      </c>
      <c r="CF17" s="128">
        <f>INDEX(Direct_Cost_Splits_Network,MATCH($H17,RIN_Asset_Cat_Network,0),MATCH($BY$4,Direct_Cost_Type,0))*Q17*HLOOKUP(CF$5,Escalators!$I$25:$U$30,6,FALSE)</f>
        <v>0</v>
      </c>
      <c r="CG17" s="129"/>
      <c r="CH17" s="763">
        <f t="shared" si="11"/>
        <v>0</v>
      </c>
      <c r="CI17" s="763">
        <f t="shared" si="12"/>
        <v>0</v>
      </c>
      <c r="CJ17" s="763">
        <f t="shared" si="12"/>
        <v>0</v>
      </c>
      <c r="CK17" s="82">
        <f t="shared" si="13"/>
        <v>0</v>
      </c>
      <c r="CL17" s="82">
        <f t="shared" si="14"/>
        <v>0</v>
      </c>
      <c r="CM17" s="82">
        <f t="shared" si="15"/>
        <v>0</v>
      </c>
      <c r="CN17" s="82">
        <f t="shared" si="16"/>
        <v>0</v>
      </c>
      <c r="CO17" s="82">
        <f t="shared" si="17"/>
        <v>0</v>
      </c>
      <c r="CQ17" s="47">
        <f t="shared" si="18"/>
        <v>0</v>
      </c>
      <c r="CR17" s="47">
        <f t="shared" si="29"/>
        <v>0</v>
      </c>
      <c r="CS17" s="47">
        <f t="shared" si="30"/>
        <v>0</v>
      </c>
      <c r="CT17" s="47">
        <f t="shared" si="19"/>
        <v>0</v>
      </c>
      <c r="CU17" s="47">
        <f t="shared" si="20"/>
        <v>0</v>
      </c>
      <c r="CV17" s="47">
        <f t="shared" si="21"/>
        <v>0</v>
      </c>
      <c r="CW17" s="47">
        <f t="shared" si="22"/>
        <v>0</v>
      </c>
      <c r="CX17" s="47">
        <f t="shared" si="23"/>
        <v>0</v>
      </c>
      <c r="CZ17" s="47">
        <f t="shared" si="33"/>
        <v>0</v>
      </c>
      <c r="DA17" s="47">
        <f t="shared" si="34"/>
        <v>0</v>
      </c>
      <c r="DB17" s="47">
        <f>DA17*Escalators!$M$17</f>
        <v>0</v>
      </c>
      <c r="DC17" s="47">
        <f>SUMPRODUCT(1+AusNet_Overheads!$K$20:$O$20,CT17:CX17)</f>
        <v>0</v>
      </c>
      <c r="DD17" s="374">
        <f>DC17*Escalators!$M$17</f>
        <v>0</v>
      </c>
      <c r="DE17" s="157"/>
      <c r="DF17" s="157"/>
      <c r="DG17" s="201"/>
      <c r="DH17" s="262"/>
    </row>
    <row r="18" spans="2:112" x14ac:dyDescent="0.25">
      <c r="B18" s="75"/>
      <c r="C18" s="75"/>
      <c r="D18" s="75"/>
      <c r="E18" s="75" t="s">
        <v>44</v>
      </c>
      <c r="F18" s="75" t="s">
        <v>131</v>
      </c>
      <c r="G18" s="75" t="s">
        <v>150</v>
      </c>
      <c r="H18" s="75" t="s">
        <v>176</v>
      </c>
      <c r="I18" s="75" t="s">
        <v>250</v>
      </c>
      <c r="J18" s="128"/>
      <c r="K18" s="128"/>
      <c r="L18" s="128"/>
      <c r="M18" s="128"/>
      <c r="N18" s="128"/>
      <c r="O18" s="128"/>
      <c r="P18" s="128"/>
      <c r="Q18" s="128"/>
      <c r="R18" s="129"/>
      <c r="S18" s="128"/>
      <c r="T18" s="128"/>
      <c r="U18" s="128"/>
      <c r="V18" s="128"/>
      <c r="W18" s="128"/>
      <c r="X18" s="128"/>
      <c r="Y18" s="128"/>
      <c r="Z18" s="128"/>
      <c r="AA18" s="129"/>
      <c r="AB18" s="75"/>
      <c r="AC18" s="75"/>
      <c r="AD18" s="75"/>
      <c r="AE18" s="75"/>
      <c r="AF18" s="75"/>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9"/>
      <c r="BY18" s="128"/>
      <c r="BZ18" s="128"/>
      <c r="CA18" s="128"/>
      <c r="CB18" s="128"/>
      <c r="CC18" s="128"/>
      <c r="CD18" s="128"/>
      <c r="CE18" s="128"/>
      <c r="CF18" s="128"/>
      <c r="CG18" s="129"/>
      <c r="CH18" s="763"/>
      <c r="CI18" s="763"/>
      <c r="CJ18" s="763"/>
      <c r="CK18" s="82"/>
      <c r="CL18" s="82"/>
      <c r="CM18" s="82"/>
      <c r="CN18" s="82"/>
      <c r="CO18" s="82"/>
      <c r="CQ18" s="47">
        <f t="shared" si="18"/>
        <v>0</v>
      </c>
      <c r="CR18" s="47">
        <f t="shared" si="29"/>
        <v>0</v>
      </c>
      <c r="CS18" s="47">
        <f t="shared" si="30"/>
        <v>0</v>
      </c>
      <c r="CT18" s="47">
        <f t="shared" si="19"/>
        <v>0</v>
      </c>
      <c r="CU18" s="47">
        <f t="shared" si="20"/>
        <v>0</v>
      </c>
      <c r="CV18" s="47">
        <f t="shared" si="21"/>
        <v>0</v>
      </c>
      <c r="CW18" s="47">
        <f t="shared" si="22"/>
        <v>0</v>
      </c>
      <c r="CX18" s="47">
        <f t="shared" si="23"/>
        <v>0</v>
      </c>
      <c r="CZ18" s="47">
        <f t="shared" si="33"/>
        <v>0</v>
      </c>
      <c r="DA18" s="47">
        <f t="shared" si="34"/>
        <v>0</v>
      </c>
      <c r="DB18" s="47">
        <f>DA18*Escalators!$M$17</f>
        <v>0</v>
      </c>
      <c r="DC18" s="47">
        <f>SUMPRODUCT(1+AusNet_Overheads!$K$20:$O$20,CT18:CX18)</f>
        <v>0</v>
      </c>
      <c r="DD18" s="374">
        <f>DC18*Escalators!$M$17</f>
        <v>0</v>
      </c>
    </row>
    <row r="19" spans="2:112" x14ac:dyDescent="0.25">
      <c r="B19" s="75"/>
      <c r="C19" s="75"/>
      <c r="D19" s="75"/>
      <c r="E19" s="75" t="s">
        <v>44</v>
      </c>
      <c r="F19" s="75" t="s">
        <v>131</v>
      </c>
      <c r="G19" s="75" t="s">
        <v>150</v>
      </c>
      <c r="H19" s="75" t="s">
        <v>176</v>
      </c>
      <c r="I19" s="75" t="s">
        <v>250</v>
      </c>
      <c r="J19" s="128"/>
      <c r="K19" s="128"/>
      <c r="L19" s="128"/>
      <c r="M19" s="128"/>
      <c r="N19" s="128"/>
      <c r="O19" s="128"/>
      <c r="P19" s="128"/>
      <c r="Q19" s="128"/>
      <c r="R19" s="129"/>
      <c r="S19" s="128"/>
      <c r="T19" s="128"/>
      <c r="U19" s="128"/>
      <c r="V19" s="128"/>
      <c r="W19" s="128"/>
      <c r="X19" s="128"/>
      <c r="Y19" s="128"/>
      <c r="Z19" s="128"/>
      <c r="AA19" s="129"/>
      <c r="AB19" s="75">
        <f>INDEX(Direct_Cost_Splits_Network,MATCH($H19,RIN_Asset_Cat_Network,0),MATCH($AG$4,Direct_Cost_Type,0))*$J19*INDEX(Act_Type_Repex_Splits,MATCH($I19,Act_Type_Repex,0),MATCH(AB$4,Mat_Type,0))*INDEX(Escalators!$I$44:$U$49,MATCH(AB$4,Escalators!$C$44:$C$49,0),MATCH(AB$5,Escalators!$I$43:$U$43,0))</f>
        <v>0</v>
      </c>
      <c r="AC19" s="75">
        <f>INDEX(Direct_Cost_Splits_Network,MATCH($H19,RIN_Asset_Cat_Network,0),MATCH($AG$4,Direct_Cost_Type,0))*$J19*INDEX(Act_Type_Repex_Splits,MATCH($I19,Act_Type_Repex,0),MATCH(AC$4,Mat_Type,0))*INDEX(Escalators!$I$44:$U$49,MATCH(AC$4,Escalators!$C$44:$C$49,0),MATCH(AC$5,Escalators!$I$43:$U$43,0))</f>
        <v>0</v>
      </c>
      <c r="AD19" s="75">
        <f>INDEX(Direct_Cost_Splits_Network,MATCH($H19,RIN_Asset_Cat_Network,0),MATCH($AG$4,Direct_Cost_Type,0))*$J19*INDEX(Act_Type_Repex_Splits,MATCH($I19,Act_Type_Repex,0),MATCH(AD$4,Mat_Type,0))*INDEX(Escalators!$I$44:$U$49,MATCH(AD$4,Escalators!$C$44:$C$49,0),MATCH(AD$5,Escalators!$I$43:$U$43,0))</f>
        <v>0</v>
      </c>
      <c r="AE19" s="75">
        <f>INDEX(Direct_Cost_Splits_Network,MATCH($H19,RIN_Asset_Cat_Network,0),MATCH($AG$4,Direct_Cost_Type,0))*$J19*INDEX(Act_Type_Repex_Splits,MATCH($I19,Act_Type_Repex,0),MATCH(AE$4,Mat_Type,0))*INDEX(Escalators!$I$44:$U$49,MATCH(AE$4,Escalators!$C$44:$C$49,0),MATCH(AE$5,Escalators!$I$43:$U$43,0))</f>
        <v>0</v>
      </c>
      <c r="AF19" s="75">
        <f>INDEX(Direct_Cost_Splits_Network,MATCH($H19,RIN_Asset_Cat_Network,0),MATCH($AG$4,Direct_Cost_Type,0))*$J19*INDEX(Act_Type_Repex_Splits,MATCH($I19,Act_Type_Repex,0),MATCH(AF$4,Mat_Type,0))*INDEX(Escalators!$I$44:$U$49,MATCH(AF$4,Escalators!$C$44:$C$49,0),MATCH(AF$5,Escalators!$I$43:$U$43,0))</f>
        <v>0</v>
      </c>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9"/>
      <c r="BY19" s="128"/>
      <c r="BZ19" s="128"/>
      <c r="CA19" s="128"/>
      <c r="CB19" s="128"/>
      <c r="CC19" s="128"/>
      <c r="CD19" s="128"/>
      <c r="CE19" s="128"/>
      <c r="CF19" s="128"/>
      <c r="CG19" s="129"/>
      <c r="CH19" s="763"/>
      <c r="CI19" s="763"/>
      <c r="CJ19" s="763"/>
      <c r="CK19" s="82"/>
      <c r="CL19" s="82"/>
      <c r="CM19" s="82"/>
      <c r="CN19" s="82"/>
      <c r="CO19" s="82"/>
      <c r="CQ19" s="47">
        <f t="shared" si="18"/>
        <v>0</v>
      </c>
      <c r="CR19" s="47">
        <f t="shared" si="29"/>
        <v>0</v>
      </c>
      <c r="CS19" s="47">
        <f t="shared" si="30"/>
        <v>0</v>
      </c>
      <c r="CT19" s="47">
        <f t="shared" si="19"/>
        <v>0</v>
      </c>
      <c r="CU19" s="47">
        <f t="shared" si="20"/>
        <v>0</v>
      </c>
      <c r="CV19" s="47">
        <f t="shared" si="21"/>
        <v>0</v>
      </c>
      <c r="CW19" s="47">
        <f t="shared" si="22"/>
        <v>0</v>
      </c>
      <c r="CX19" s="47">
        <f t="shared" si="23"/>
        <v>0</v>
      </c>
      <c r="CZ19" s="47">
        <f t="shared" si="33"/>
        <v>0</v>
      </c>
      <c r="DA19" s="47">
        <f t="shared" si="34"/>
        <v>0</v>
      </c>
      <c r="DB19" s="47">
        <f>DA19*Escalators!$M$17</f>
        <v>0</v>
      </c>
      <c r="DC19" s="47">
        <f>SUMPRODUCT(1+AusNet_Overheads!$K$20:$O$20,CT19:CX19)</f>
        <v>0</v>
      </c>
      <c r="DD19" s="374">
        <f>DC19*Escalators!$M$17</f>
        <v>0</v>
      </c>
    </row>
    <row r="20" spans="2:112" x14ac:dyDescent="0.25">
      <c r="B20" s="75"/>
      <c r="C20" s="75"/>
      <c r="D20" s="75"/>
      <c r="E20" s="75" t="s">
        <v>44</v>
      </c>
      <c r="F20" s="75" t="s">
        <v>131</v>
      </c>
      <c r="G20" s="75" t="s">
        <v>150</v>
      </c>
      <c r="H20" s="75" t="s">
        <v>176</v>
      </c>
      <c r="I20" s="75" t="s">
        <v>250</v>
      </c>
      <c r="J20" s="128"/>
      <c r="K20" s="128"/>
      <c r="L20" s="128"/>
      <c r="M20" s="128"/>
      <c r="N20" s="128"/>
      <c r="O20" s="128"/>
      <c r="P20" s="128"/>
      <c r="Q20" s="128"/>
      <c r="R20" s="129"/>
      <c r="S20" s="128"/>
      <c r="T20" s="128"/>
      <c r="U20" s="128"/>
      <c r="V20" s="128"/>
      <c r="W20" s="128"/>
      <c r="X20" s="128"/>
      <c r="Y20" s="128"/>
      <c r="Z20" s="128"/>
      <c r="AA20" s="129"/>
      <c r="AB20" s="75">
        <f>INDEX(Direct_Cost_Splits_Network,MATCH($H20,RIN_Asset_Cat_Network,0),MATCH($AG$4,Direct_Cost_Type,0))*$J20*INDEX(Act_Type_Repex_Splits,MATCH($I20,Act_Type_Repex,0),MATCH(AB$4,Mat_Type,0))*INDEX(Escalators!$I$44:$U$49,MATCH(AB$4,Escalators!$C$44:$C$49,0),MATCH(AB$5,Escalators!$I$43:$U$43,0))</f>
        <v>0</v>
      </c>
      <c r="AC20" s="75">
        <f>INDEX(Direct_Cost_Splits_Network,MATCH($H20,RIN_Asset_Cat_Network,0),MATCH($AG$4,Direct_Cost_Type,0))*$J20*INDEX(Act_Type_Repex_Splits,MATCH($I20,Act_Type_Repex,0),MATCH(AC$4,Mat_Type,0))*INDEX(Escalators!$I$44:$U$49,MATCH(AC$4,Escalators!$C$44:$C$49,0),MATCH(AC$5,Escalators!$I$43:$U$43,0))</f>
        <v>0</v>
      </c>
      <c r="AD20" s="75">
        <f>INDEX(Direct_Cost_Splits_Network,MATCH($H20,RIN_Asset_Cat_Network,0),MATCH($AG$4,Direct_Cost_Type,0))*$J20*INDEX(Act_Type_Repex_Splits,MATCH($I20,Act_Type_Repex,0),MATCH(AD$4,Mat_Type,0))*INDEX(Escalators!$I$44:$U$49,MATCH(AD$4,Escalators!$C$44:$C$49,0),MATCH(AD$5,Escalators!$I$43:$U$43,0))</f>
        <v>0</v>
      </c>
      <c r="AE20" s="75">
        <f>INDEX(Direct_Cost_Splits_Network,MATCH($H20,RIN_Asset_Cat_Network,0),MATCH($AG$4,Direct_Cost_Type,0))*$J20*INDEX(Act_Type_Repex_Splits,MATCH($I20,Act_Type_Repex,0),MATCH(AE$4,Mat_Type,0))*INDEX(Escalators!$I$44:$U$49,MATCH(AE$4,Escalators!$C$44:$C$49,0),MATCH(AE$5,Escalators!$I$43:$U$43,0))</f>
        <v>0</v>
      </c>
      <c r="AF20" s="75">
        <f>INDEX(Direct_Cost_Splits_Network,MATCH($H20,RIN_Asset_Cat_Network,0),MATCH($AG$4,Direct_Cost_Type,0))*$J20*INDEX(Act_Type_Repex_Splits,MATCH($I20,Act_Type_Repex,0),MATCH(AF$4,Mat_Type,0))*INDEX(Escalators!$I$44:$U$49,MATCH(AF$4,Escalators!$C$44:$C$49,0),MATCH(AF$5,Escalators!$I$43:$U$43,0))</f>
        <v>0</v>
      </c>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9"/>
      <c r="BY20" s="128"/>
      <c r="BZ20" s="128"/>
      <c r="CA20" s="128"/>
      <c r="CB20" s="128"/>
      <c r="CC20" s="128"/>
      <c r="CD20" s="128"/>
      <c r="CE20" s="128"/>
      <c r="CF20" s="128"/>
      <c r="CG20" s="129"/>
      <c r="CH20" s="763"/>
      <c r="CI20" s="763"/>
      <c r="CJ20" s="763"/>
      <c r="CK20" s="82"/>
      <c r="CL20" s="82"/>
      <c r="CM20" s="82"/>
      <c r="CN20" s="82"/>
      <c r="CO20" s="82"/>
      <c r="CQ20" s="47">
        <f t="shared" si="18"/>
        <v>0</v>
      </c>
      <c r="CR20" s="47">
        <f t="shared" si="29"/>
        <v>0</v>
      </c>
      <c r="CS20" s="47">
        <f t="shared" si="30"/>
        <v>0</v>
      </c>
      <c r="CT20" s="47">
        <f t="shared" si="19"/>
        <v>0</v>
      </c>
      <c r="CU20" s="47">
        <f t="shared" si="20"/>
        <v>0</v>
      </c>
      <c r="CV20" s="47">
        <f t="shared" si="21"/>
        <v>0</v>
      </c>
      <c r="CW20" s="47">
        <f t="shared" si="22"/>
        <v>0</v>
      </c>
      <c r="CX20" s="47">
        <f t="shared" si="23"/>
        <v>0</v>
      </c>
      <c r="CZ20" s="47">
        <f t="shared" si="33"/>
        <v>0</v>
      </c>
      <c r="DA20" s="47">
        <f t="shared" si="34"/>
        <v>0</v>
      </c>
      <c r="DB20" s="47">
        <f>DA20*Escalators!$M$17</f>
        <v>0</v>
      </c>
      <c r="DC20" s="47">
        <f>SUMPRODUCT(1+AusNet_Overheads!$K$20:$O$20,CT20:CX20)</f>
        <v>0</v>
      </c>
      <c r="DD20" s="374">
        <f>DC20*Escalators!$M$17</f>
        <v>0</v>
      </c>
    </row>
    <row r="21" spans="2:112" x14ac:dyDescent="0.25">
      <c r="B21" s="75"/>
      <c r="C21" s="75"/>
      <c r="D21" s="75"/>
      <c r="E21" s="75" t="s">
        <v>44</v>
      </c>
      <c r="F21" s="75" t="s">
        <v>131</v>
      </c>
      <c r="G21" s="75" t="s">
        <v>150</v>
      </c>
      <c r="H21" s="75" t="s">
        <v>176</v>
      </c>
      <c r="I21" s="75" t="s">
        <v>250</v>
      </c>
      <c r="J21" s="128"/>
      <c r="K21" s="128"/>
      <c r="L21" s="128"/>
      <c r="M21" s="128"/>
      <c r="N21" s="128"/>
      <c r="O21" s="128"/>
      <c r="P21" s="128"/>
      <c r="Q21" s="128"/>
      <c r="R21" s="129"/>
      <c r="S21" s="128"/>
      <c r="T21" s="128"/>
      <c r="U21" s="128"/>
      <c r="V21" s="128"/>
      <c r="W21" s="128"/>
      <c r="X21" s="128"/>
      <c r="Y21" s="128"/>
      <c r="Z21" s="128"/>
      <c r="AA21" s="129"/>
      <c r="AB21" s="75">
        <f>INDEX(Direct_Cost_Splits_Network,MATCH($H21,RIN_Asset_Cat_Network,0),MATCH($AG$4,Direct_Cost_Type,0))*$J21*INDEX(Act_Type_Repex_Splits,MATCH($I21,Act_Type_Repex,0),MATCH(AB$4,Mat_Type,0))*INDEX(Escalators!$I$44:$U$49,MATCH(AB$4,Escalators!$C$44:$C$49,0),MATCH(AB$5,Escalators!$I$43:$U$43,0))</f>
        <v>0</v>
      </c>
      <c r="AC21" s="75">
        <f>INDEX(Direct_Cost_Splits_Network,MATCH($H21,RIN_Asset_Cat_Network,0),MATCH($AG$4,Direct_Cost_Type,0))*$J21*INDEX(Act_Type_Repex_Splits,MATCH($I21,Act_Type_Repex,0),MATCH(AC$4,Mat_Type,0))*INDEX(Escalators!$I$44:$U$49,MATCH(AC$4,Escalators!$C$44:$C$49,0),MATCH(AC$5,Escalators!$I$43:$U$43,0))</f>
        <v>0</v>
      </c>
      <c r="AD21" s="75">
        <f>INDEX(Direct_Cost_Splits_Network,MATCH($H21,RIN_Asset_Cat_Network,0),MATCH($AG$4,Direct_Cost_Type,0))*$J21*INDEX(Act_Type_Repex_Splits,MATCH($I21,Act_Type_Repex,0),MATCH(AD$4,Mat_Type,0))*INDEX(Escalators!$I$44:$U$49,MATCH(AD$4,Escalators!$C$44:$C$49,0),MATCH(AD$5,Escalators!$I$43:$U$43,0))</f>
        <v>0</v>
      </c>
      <c r="AE21" s="75">
        <f>INDEX(Direct_Cost_Splits_Network,MATCH($H21,RIN_Asset_Cat_Network,0),MATCH($AG$4,Direct_Cost_Type,0))*$J21*INDEX(Act_Type_Repex_Splits,MATCH($I21,Act_Type_Repex,0),MATCH(AE$4,Mat_Type,0))*INDEX(Escalators!$I$44:$U$49,MATCH(AE$4,Escalators!$C$44:$C$49,0),MATCH(AE$5,Escalators!$I$43:$U$43,0))</f>
        <v>0</v>
      </c>
      <c r="AF21" s="75">
        <f>INDEX(Direct_Cost_Splits_Network,MATCH($H21,RIN_Asset_Cat_Network,0),MATCH($AG$4,Direct_Cost_Type,0))*$J21*INDEX(Act_Type_Repex_Splits,MATCH($I21,Act_Type_Repex,0),MATCH(AF$4,Mat_Type,0))*INDEX(Escalators!$I$44:$U$49,MATCH(AF$4,Escalators!$C$44:$C$49,0),MATCH(AF$5,Escalators!$I$43:$U$43,0))</f>
        <v>0</v>
      </c>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9"/>
      <c r="BY21" s="128"/>
      <c r="BZ21" s="128"/>
      <c r="CA21" s="128"/>
      <c r="CB21" s="128"/>
      <c r="CC21" s="128"/>
      <c r="CD21" s="128"/>
      <c r="CE21" s="128"/>
      <c r="CF21" s="128"/>
      <c r="CG21" s="129"/>
      <c r="CH21" s="763"/>
      <c r="CI21" s="763"/>
      <c r="CJ21" s="763"/>
      <c r="CK21" s="82"/>
      <c r="CL21" s="82"/>
      <c r="CM21" s="82"/>
      <c r="CN21" s="82"/>
      <c r="CO21" s="82"/>
      <c r="CQ21" s="47">
        <f t="shared" si="18"/>
        <v>0</v>
      </c>
      <c r="CR21" s="47">
        <f t="shared" si="29"/>
        <v>0</v>
      </c>
      <c r="CS21" s="47">
        <f t="shared" si="30"/>
        <v>0</v>
      </c>
      <c r="CT21" s="47">
        <f t="shared" si="19"/>
        <v>0</v>
      </c>
      <c r="CU21" s="47">
        <f t="shared" si="20"/>
        <v>0</v>
      </c>
      <c r="CV21" s="47">
        <f t="shared" si="21"/>
        <v>0</v>
      </c>
      <c r="CW21" s="47">
        <f t="shared" si="22"/>
        <v>0</v>
      </c>
      <c r="CX21" s="47">
        <f t="shared" si="23"/>
        <v>0</v>
      </c>
      <c r="CZ21" s="47">
        <f t="shared" si="33"/>
        <v>0</v>
      </c>
      <c r="DA21" s="47">
        <f t="shared" si="34"/>
        <v>0</v>
      </c>
      <c r="DB21" s="47">
        <f>DA21*Escalators!$M$17</f>
        <v>0</v>
      </c>
      <c r="DC21" s="47">
        <f>SUMPRODUCT(1+AusNet_Overheads!$K$20:$O$20,CT21:CX21)</f>
        <v>0</v>
      </c>
      <c r="DD21" s="374">
        <f>DC21*Escalators!$M$17</f>
        <v>0</v>
      </c>
    </row>
    <row r="22" spans="2:112" x14ac:dyDescent="0.25">
      <c r="B22" s="75"/>
      <c r="C22" s="75"/>
      <c r="D22" s="75"/>
      <c r="E22" s="75"/>
      <c r="F22" s="75"/>
      <c r="G22" s="75"/>
      <c r="H22" s="75"/>
      <c r="I22" s="75"/>
      <c r="J22" s="128"/>
      <c r="K22" s="128"/>
      <c r="L22" s="128"/>
      <c r="M22" s="128"/>
      <c r="N22" s="128"/>
      <c r="O22" s="128"/>
      <c r="P22" s="128"/>
      <c r="Q22" s="128"/>
      <c r="R22" s="129"/>
      <c r="S22" s="128"/>
      <c r="T22" s="128"/>
      <c r="U22" s="128"/>
      <c r="V22" s="128"/>
      <c r="W22" s="128"/>
      <c r="X22" s="128"/>
      <c r="Y22" s="128"/>
      <c r="Z22" s="128"/>
      <c r="AA22" s="129"/>
      <c r="AB22" s="75"/>
      <c r="AC22" s="75"/>
      <c r="AD22" s="75"/>
      <c r="AE22" s="75"/>
      <c r="AF22" s="75"/>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9"/>
      <c r="BY22" s="128"/>
      <c r="BZ22" s="128"/>
      <c r="CA22" s="128"/>
      <c r="CB22" s="128"/>
      <c r="CC22" s="128"/>
      <c r="CD22" s="128"/>
      <c r="CE22" s="128"/>
      <c r="CF22" s="128"/>
      <c r="CG22" s="129"/>
      <c r="CH22" s="128"/>
      <c r="CI22" s="128"/>
      <c r="CJ22" s="128"/>
      <c r="CK22" s="47"/>
      <c r="CL22" s="47"/>
      <c r="CM22" s="47"/>
      <c r="CN22" s="47"/>
      <c r="CO22" s="47"/>
      <c r="CQ22" s="47">
        <f t="shared" si="18"/>
        <v>0</v>
      </c>
      <c r="CR22" s="47">
        <f t="shared" si="29"/>
        <v>0</v>
      </c>
      <c r="CS22" s="47">
        <f t="shared" si="30"/>
        <v>0</v>
      </c>
      <c r="CT22" s="47">
        <f t="shared" si="19"/>
        <v>0</v>
      </c>
      <c r="CU22" s="47">
        <f t="shared" si="20"/>
        <v>0</v>
      </c>
      <c r="CV22" s="47">
        <f t="shared" si="21"/>
        <v>0</v>
      </c>
      <c r="CW22" s="47">
        <f t="shared" si="22"/>
        <v>0</v>
      </c>
      <c r="CX22" s="47">
        <f t="shared" si="23"/>
        <v>0</v>
      </c>
      <c r="CZ22" s="6"/>
      <c r="DA22" s="6"/>
      <c r="DB22" s="6"/>
      <c r="DC22" s="6"/>
      <c r="DD22" s="6"/>
    </row>
    <row r="23" spans="2:112" x14ac:dyDescent="0.25">
      <c r="B23" s="75"/>
      <c r="C23" s="75"/>
      <c r="D23" s="75"/>
      <c r="E23" s="75"/>
      <c r="F23" s="75"/>
      <c r="G23" s="75"/>
      <c r="H23" s="75"/>
      <c r="I23" s="75"/>
      <c r="J23" s="128"/>
      <c r="K23" s="128"/>
      <c r="L23" s="128"/>
      <c r="M23" s="128"/>
      <c r="N23" s="128"/>
      <c r="O23" s="128"/>
      <c r="P23" s="128"/>
      <c r="Q23" s="128"/>
      <c r="R23" s="129"/>
      <c r="S23" s="128"/>
      <c r="T23" s="128"/>
      <c r="U23" s="128"/>
      <c r="V23" s="128"/>
      <c r="W23" s="128"/>
      <c r="X23" s="128"/>
      <c r="Y23" s="128"/>
      <c r="Z23" s="128"/>
      <c r="AA23" s="129"/>
      <c r="AB23" s="75"/>
      <c r="AC23" s="75"/>
      <c r="AD23" s="75"/>
      <c r="AE23" s="75"/>
      <c r="AF23" s="75"/>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9"/>
      <c r="BY23" s="128"/>
      <c r="BZ23" s="128"/>
      <c r="CA23" s="128"/>
      <c r="CB23" s="128"/>
      <c r="CC23" s="128"/>
      <c r="CD23" s="128"/>
      <c r="CE23" s="128"/>
      <c r="CF23" s="128"/>
      <c r="CG23" s="129"/>
      <c r="CH23" s="128"/>
      <c r="CI23" s="128"/>
      <c r="CJ23" s="128"/>
      <c r="CK23" s="47"/>
      <c r="CL23" s="47"/>
      <c r="CM23" s="47"/>
      <c r="CN23" s="47"/>
      <c r="CO23" s="47"/>
      <c r="CQ23" s="47">
        <f t="shared" si="18"/>
        <v>0</v>
      </c>
      <c r="CR23" s="47">
        <f t="shared" si="29"/>
        <v>0</v>
      </c>
      <c r="CS23" s="47">
        <f t="shared" si="30"/>
        <v>0</v>
      </c>
      <c r="CT23" s="47">
        <f t="shared" si="19"/>
        <v>0</v>
      </c>
      <c r="CU23" s="47">
        <f t="shared" si="20"/>
        <v>0</v>
      </c>
      <c r="CV23" s="47">
        <f t="shared" si="21"/>
        <v>0</v>
      </c>
      <c r="CW23" s="47">
        <f t="shared" si="22"/>
        <v>0</v>
      </c>
      <c r="CX23" s="47">
        <f t="shared" si="23"/>
        <v>0</v>
      </c>
      <c r="CZ23" s="6"/>
      <c r="DA23" s="6"/>
      <c r="DB23" s="6"/>
      <c r="DC23" s="6"/>
      <c r="DD23" s="6"/>
    </row>
    <row r="24" spans="2:112" x14ac:dyDescent="0.25">
      <c r="B24" s="75"/>
      <c r="C24" s="75"/>
      <c r="D24" s="75"/>
      <c r="E24" s="75"/>
      <c r="F24" s="75"/>
      <c r="G24" s="75"/>
      <c r="H24" s="75"/>
      <c r="I24" s="75"/>
      <c r="J24" s="128"/>
      <c r="K24" s="128"/>
      <c r="L24" s="128"/>
      <c r="M24" s="128"/>
      <c r="N24" s="128"/>
      <c r="O24" s="128"/>
      <c r="P24" s="128"/>
      <c r="Q24" s="128"/>
      <c r="R24" s="129"/>
      <c r="S24" s="128"/>
      <c r="T24" s="128"/>
      <c r="U24" s="128"/>
      <c r="V24" s="128"/>
      <c r="W24" s="128"/>
      <c r="X24" s="128"/>
      <c r="Y24" s="128"/>
      <c r="Z24" s="128"/>
      <c r="AA24" s="129"/>
      <c r="AB24" s="75"/>
      <c r="AC24" s="75"/>
      <c r="AD24" s="75"/>
      <c r="AE24" s="75"/>
      <c r="AF24" s="75"/>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9"/>
      <c r="BY24" s="128"/>
      <c r="BZ24" s="128"/>
      <c r="CA24" s="128"/>
      <c r="CB24" s="128"/>
      <c r="CC24" s="128"/>
      <c r="CD24" s="128"/>
      <c r="CE24" s="128"/>
      <c r="CF24" s="128"/>
      <c r="CG24" s="129"/>
      <c r="CH24" s="128"/>
      <c r="CI24" s="128"/>
      <c r="CJ24" s="128"/>
      <c r="CK24" s="47"/>
      <c r="CL24" s="47"/>
      <c r="CM24" s="47"/>
      <c r="CN24" s="47"/>
      <c r="CO24" s="47"/>
      <c r="CQ24" s="47">
        <f t="shared" si="18"/>
        <v>0</v>
      </c>
      <c r="CR24" s="47">
        <f t="shared" si="29"/>
        <v>0</v>
      </c>
      <c r="CS24" s="47">
        <f t="shared" si="30"/>
        <v>0</v>
      </c>
      <c r="CT24" s="47">
        <f t="shared" si="19"/>
        <v>0</v>
      </c>
      <c r="CU24" s="47">
        <f t="shared" si="20"/>
        <v>0</v>
      </c>
      <c r="CV24" s="47">
        <f t="shared" si="21"/>
        <v>0</v>
      </c>
      <c r="CW24" s="47">
        <f t="shared" si="22"/>
        <v>0</v>
      </c>
      <c r="CX24" s="47">
        <f t="shared" si="23"/>
        <v>0</v>
      </c>
      <c r="CZ24" s="6"/>
      <c r="DA24" s="6"/>
      <c r="DB24" s="6"/>
      <c r="DC24" s="6"/>
      <c r="DD24" s="6"/>
    </row>
    <row r="25" spans="2:112" x14ac:dyDescent="0.25">
      <c r="B25" s="75"/>
      <c r="C25" s="75"/>
      <c r="D25" s="75"/>
      <c r="E25" s="75"/>
      <c r="F25" s="75"/>
      <c r="G25" s="75"/>
      <c r="H25" s="75"/>
      <c r="I25" s="75"/>
      <c r="J25" s="128"/>
      <c r="K25" s="128"/>
      <c r="L25" s="128"/>
      <c r="M25" s="128"/>
      <c r="N25" s="128"/>
      <c r="O25" s="128"/>
      <c r="P25" s="128"/>
      <c r="Q25" s="128"/>
      <c r="R25" s="129"/>
      <c r="S25" s="128"/>
      <c r="T25" s="128"/>
      <c r="U25" s="128"/>
      <c r="V25" s="128"/>
      <c r="W25" s="128"/>
      <c r="X25" s="128"/>
      <c r="Y25" s="128"/>
      <c r="Z25" s="128"/>
      <c r="AA25" s="129"/>
      <c r="AB25" s="75"/>
      <c r="AC25" s="75"/>
      <c r="AD25" s="75"/>
      <c r="AE25" s="75"/>
      <c r="AF25" s="75"/>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9"/>
      <c r="BY25" s="128"/>
      <c r="BZ25" s="128"/>
      <c r="CA25" s="128"/>
      <c r="CB25" s="128"/>
      <c r="CC25" s="128"/>
      <c r="CD25" s="128"/>
      <c r="CE25" s="128"/>
      <c r="CF25" s="128"/>
      <c r="CG25" s="129"/>
      <c r="CH25" s="128"/>
      <c r="CI25" s="128"/>
      <c r="CJ25" s="128"/>
      <c r="CK25" s="47"/>
      <c r="CL25" s="47"/>
      <c r="CM25" s="47"/>
      <c r="CN25" s="47"/>
      <c r="CO25" s="47"/>
      <c r="CQ25" s="47">
        <f t="shared" si="18"/>
        <v>0</v>
      </c>
      <c r="CR25" s="47">
        <f t="shared" si="29"/>
        <v>0</v>
      </c>
      <c r="CS25" s="47">
        <f t="shared" si="30"/>
        <v>0</v>
      </c>
      <c r="CT25" s="47">
        <f t="shared" si="19"/>
        <v>0</v>
      </c>
      <c r="CU25" s="47">
        <f t="shared" si="20"/>
        <v>0</v>
      </c>
      <c r="CV25" s="47">
        <f t="shared" si="21"/>
        <v>0</v>
      </c>
      <c r="CW25" s="47">
        <f t="shared" si="22"/>
        <v>0</v>
      </c>
      <c r="CX25" s="47">
        <f t="shared" si="23"/>
        <v>0</v>
      </c>
      <c r="CZ25" s="6"/>
      <c r="DA25" s="6"/>
      <c r="DB25" s="6"/>
      <c r="DC25" s="6"/>
      <c r="DD25" s="6"/>
    </row>
    <row r="26" spans="2:112" x14ac:dyDescent="0.25">
      <c r="B26" s="75"/>
      <c r="C26" s="75"/>
      <c r="D26" s="75"/>
      <c r="E26" s="75"/>
      <c r="F26" s="75"/>
      <c r="G26" s="75"/>
      <c r="H26" s="75"/>
      <c r="I26" s="75"/>
      <c r="J26" s="128"/>
      <c r="K26" s="128"/>
      <c r="L26" s="128"/>
      <c r="M26" s="128"/>
      <c r="N26" s="128"/>
      <c r="O26" s="128"/>
      <c r="P26" s="128"/>
      <c r="Q26" s="128"/>
      <c r="R26" s="129"/>
      <c r="S26" s="128"/>
      <c r="T26" s="128"/>
      <c r="U26" s="128"/>
      <c r="V26" s="128"/>
      <c r="W26" s="128"/>
      <c r="X26" s="128"/>
      <c r="Y26" s="128"/>
      <c r="Z26" s="128"/>
      <c r="AA26" s="129"/>
      <c r="AB26" s="75"/>
      <c r="AC26" s="75"/>
      <c r="AD26" s="75"/>
      <c r="AE26" s="75"/>
      <c r="AF26" s="75"/>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9"/>
      <c r="BY26" s="128"/>
      <c r="BZ26" s="128"/>
      <c r="CA26" s="128"/>
      <c r="CB26" s="128"/>
      <c r="CC26" s="128"/>
      <c r="CD26" s="128"/>
      <c r="CE26" s="128"/>
      <c r="CF26" s="128"/>
      <c r="CG26" s="129"/>
      <c r="CH26" s="128"/>
      <c r="CI26" s="128"/>
      <c r="CJ26" s="128"/>
      <c r="CK26" s="47"/>
      <c r="CL26" s="47"/>
      <c r="CM26" s="47"/>
      <c r="CN26" s="47"/>
      <c r="CO26" s="47"/>
      <c r="CQ26" s="47">
        <f t="shared" si="18"/>
        <v>0</v>
      </c>
      <c r="CR26" s="47">
        <f t="shared" si="29"/>
        <v>0</v>
      </c>
      <c r="CS26" s="47">
        <f t="shared" si="30"/>
        <v>0</v>
      </c>
      <c r="CT26" s="47">
        <f t="shared" si="19"/>
        <v>0</v>
      </c>
      <c r="CU26" s="47">
        <f t="shared" si="20"/>
        <v>0</v>
      </c>
      <c r="CV26" s="47">
        <f t="shared" si="21"/>
        <v>0</v>
      </c>
      <c r="CW26" s="47">
        <f t="shared" si="22"/>
        <v>0</v>
      </c>
      <c r="CX26" s="47">
        <f t="shared" si="23"/>
        <v>0</v>
      </c>
      <c r="CZ26" s="6"/>
      <c r="DA26" s="6"/>
      <c r="DB26" s="6"/>
      <c r="DC26" s="6"/>
      <c r="DD26" s="6"/>
    </row>
    <row r="27" spans="2:112" x14ac:dyDescent="0.25">
      <c r="B27" s="75"/>
      <c r="C27" s="75"/>
      <c r="D27" s="75"/>
      <c r="E27" s="75"/>
      <c r="F27" s="75"/>
      <c r="G27" s="75"/>
      <c r="H27" s="75"/>
      <c r="I27" s="75"/>
      <c r="J27" s="128"/>
      <c r="K27" s="128"/>
      <c r="L27" s="128"/>
      <c r="M27" s="128"/>
      <c r="N27" s="128"/>
      <c r="O27" s="128"/>
      <c r="P27" s="128"/>
      <c r="Q27" s="128"/>
      <c r="R27" s="129"/>
      <c r="S27" s="128"/>
      <c r="T27" s="128"/>
      <c r="U27" s="128"/>
      <c r="V27" s="128"/>
      <c r="W27" s="128"/>
      <c r="X27" s="128"/>
      <c r="Y27" s="128"/>
      <c r="Z27" s="128"/>
      <c r="AA27" s="129"/>
      <c r="AB27" s="75"/>
      <c r="AC27" s="75"/>
      <c r="AD27" s="75"/>
      <c r="AE27" s="75"/>
      <c r="AF27" s="75"/>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9"/>
      <c r="BY27" s="128"/>
      <c r="BZ27" s="128"/>
      <c r="CA27" s="128"/>
      <c r="CB27" s="128"/>
      <c r="CC27" s="128"/>
      <c r="CD27" s="128"/>
      <c r="CE27" s="128"/>
      <c r="CF27" s="128"/>
      <c r="CG27" s="129"/>
      <c r="CH27" s="128"/>
      <c r="CI27" s="128"/>
      <c r="CJ27" s="128"/>
      <c r="CK27" s="47"/>
      <c r="CL27" s="47"/>
      <c r="CM27" s="47"/>
      <c r="CN27" s="47"/>
      <c r="CO27" s="47"/>
      <c r="CQ27" s="47">
        <f t="shared" si="18"/>
        <v>0</v>
      </c>
      <c r="CR27" s="47">
        <f t="shared" si="29"/>
        <v>0</v>
      </c>
      <c r="CS27" s="47">
        <f t="shared" si="30"/>
        <v>0</v>
      </c>
      <c r="CT27" s="47">
        <f t="shared" si="19"/>
        <v>0</v>
      </c>
      <c r="CU27" s="47">
        <f t="shared" si="20"/>
        <v>0</v>
      </c>
      <c r="CV27" s="47">
        <f t="shared" si="21"/>
        <v>0</v>
      </c>
      <c r="CW27" s="47">
        <f t="shared" si="22"/>
        <v>0</v>
      </c>
      <c r="CX27" s="47">
        <f t="shared" si="23"/>
        <v>0</v>
      </c>
      <c r="CZ27" s="6"/>
      <c r="DA27" s="6"/>
      <c r="DB27" s="6"/>
      <c r="DC27" s="6"/>
      <c r="DD27" s="6"/>
    </row>
    <row r="28" spans="2:112" x14ac:dyDescent="0.25">
      <c r="B28" s="75"/>
      <c r="C28" s="75"/>
      <c r="D28" s="75"/>
      <c r="E28" s="75"/>
      <c r="F28" s="75"/>
      <c r="G28" s="75"/>
      <c r="H28" s="75"/>
      <c r="I28" s="75"/>
      <c r="J28" s="128"/>
      <c r="K28" s="128"/>
      <c r="L28" s="128"/>
      <c r="M28" s="128"/>
      <c r="N28" s="128"/>
      <c r="O28" s="128"/>
      <c r="P28" s="128"/>
      <c r="Q28" s="128"/>
      <c r="R28" s="129"/>
      <c r="S28" s="128"/>
      <c r="T28" s="128"/>
      <c r="U28" s="128"/>
      <c r="V28" s="128"/>
      <c r="W28" s="128"/>
      <c r="X28" s="128"/>
      <c r="Y28" s="128"/>
      <c r="Z28" s="128"/>
      <c r="AA28" s="129"/>
      <c r="AB28" s="75"/>
      <c r="AC28" s="75"/>
      <c r="AD28" s="75"/>
      <c r="AE28" s="75"/>
      <c r="AF28" s="75"/>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9"/>
      <c r="BY28" s="128"/>
      <c r="BZ28" s="128"/>
      <c r="CA28" s="128"/>
      <c r="CB28" s="128"/>
      <c r="CC28" s="128"/>
      <c r="CD28" s="128"/>
      <c r="CE28" s="128"/>
      <c r="CF28" s="128"/>
      <c r="CG28" s="129"/>
      <c r="CH28" s="128"/>
      <c r="CI28" s="128"/>
      <c r="CJ28" s="128"/>
      <c r="CK28" s="47"/>
      <c r="CL28" s="47"/>
      <c r="CM28" s="47"/>
      <c r="CN28" s="47"/>
      <c r="CO28" s="47"/>
      <c r="CQ28" s="47">
        <f t="shared" si="18"/>
        <v>0</v>
      </c>
      <c r="CR28" s="47">
        <f t="shared" si="29"/>
        <v>0</v>
      </c>
      <c r="CS28" s="47">
        <f t="shared" si="30"/>
        <v>0</v>
      </c>
      <c r="CT28" s="47">
        <f t="shared" si="19"/>
        <v>0</v>
      </c>
      <c r="CU28" s="47">
        <f t="shared" si="20"/>
        <v>0</v>
      </c>
      <c r="CV28" s="47">
        <f t="shared" si="21"/>
        <v>0</v>
      </c>
      <c r="CW28" s="47">
        <f t="shared" si="22"/>
        <v>0</v>
      </c>
      <c r="CX28" s="47">
        <f t="shared" si="23"/>
        <v>0</v>
      </c>
      <c r="CZ28" s="6"/>
      <c r="DA28" s="6"/>
      <c r="DB28" s="6"/>
      <c r="DC28" s="6"/>
      <c r="DD28" s="6"/>
    </row>
    <row r="29" spans="2:112" x14ac:dyDescent="0.25">
      <c r="B29" s="75"/>
      <c r="C29" s="75"/>
      <c r="D29" s="75"/>
      <c r="E29" s="75"/>
      <c r="F29" s="75"/>
      <c r="G29" s="75"/>
      <c r="H29" s="75"/>
      <c r="I29" s="75"/>
      <c r="J29" s="128"/>
      <c r="K29" s="128"/>
      <c r="L29" s="128"/>
      <c r="M29" s="128"/>
      <c r="N29" s="128"/>
      <c r="O29" s="128"/>
      <c r="P29" s="128"/>
      <c r="Q29" s="128"/>
      <c r="R29" s="129"/>
      <c r="S29" s="128"/>
      <c r="T29" s="128"/>
      <c r="U29" s="128"/>
      <c r="V29" s="128"/>
      <c r="W29" s="128"/>
      <c r="X29" s="128"/>
      <c r="Y29" s="128"/>
      <c r="Z29" s="128"/>
      <c r="AA29" s="129"/>
      <c r="AB29" s="75"/>
      <c r="AC29" s="75"/>
      <c r="AD29" s="75"/>
      <c r="AE29" s="75"/>
      <c r="AF29" s="75"/>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9"/>
      <c r="BY29" s="128"/>
      <c r="BZ29" s="128"/>
      <c r="CA29" s="128"/>
      <c r="CB29" s="128"/>
      <c r="CC29" s="128"/>
      <c r="CD29" s="128"/>
      <c r="CE29" s="128"/>
      <c r="CF29" s="128"/>
      <c r="CG29" s="129"/>
      <c r="CH29" s="128"/>
      <c r="CI29" s="128"/>
      <c r="CJ29" s="128"/>
      <c r="CK29" s="47"/>
      <c r="CL29" s="47"/>
      <c r="CM29" s="47"/>
      <c r="CN29" s="47"/>
      <c r="CO29" s="47"/>
      <c r="CQ29" s="47">
        <f t="shared" si="18"/>
        <v>0</v>
      </c>
      <c r="CR29" s="47">
        <f t="shared" si="29"/>
        <v>0</v>
      </c>
      <c r="CS29" s="47">
        <f t="shared" si="30"/>
        <v>0</v>
      </c>
      <c r="CT29" s="47">
        <f t="shared" si="19"/>
        <v>0</v>
      </c>
      <c r="CU29" s="47">
        <f t="shared" si="20"/>
        <v>0</v>
      </c>
      <c r="CV29" s="47">
        <f t="shared" si="21"/>
        <v>0</v>
      </c>
      <c r="CW29" s="47">
        <f t="shared" si="22"/>
        <v>0</v>
      </c>
      <c r="CX29" s="47">
        <f t="shared" si="23"/>
        <v>0</v>
      </c>
      <c r="CZ29" s="6"/>
      <c r="DA29" s="6"/>
      <c r="DB29" s="6"/>
      <c r="DC29" s="6"/>
      <c r="DD29" s="6"/>
    </row>
    <row r="30" spans="2:112" x14ac:dyDescent="0.25">
      <c r="B30" s="75"/>
      <c r="C30" s="75"/>
      <c r="D30" s="75"/>
      <c r="E30" s="75"/>
      <c r="F30" s="75"/>
      <c r="G30" s="75"/>
      <c r="H30" s="75"/>
      <c r="I30" s="75"/>
      <c r="J30" s="128"/>
      <c r="K30" s="128"/>
      <c r="L30" s="128"/>
      <c r="M30" s="128"/>
      <c r="N30" s="128"/>
      <c r="O30" s="128"/>
      <c r="P30" s="128"/>
      <c r="Q30" s="128"/>
      <c r="R30" s="129"/>
      <c r="S30" s="128"/>
      <c r="T30" s="128"/>
      <c r="U30" s="128"/>
      <c r="V30" s="128"/>
      <c r="W30" s="128"/>
      <c r="X30" s="128"/>
      <c r="Y30" s="128"/>
      <c r="Z30" s="128"/>
      <c r="AA30" s="129"/>
      <c r="AB30" s="75"/>
      <c r="AC30" s="75"/>
      <c r="AD30" s="75"/>
      <c r="AE30" s="75"/>
      <c r="AF30" s="75"/>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9"/>
      <c r="BY30" s="128"/>
      <c r="BZ30" s="128"/>
      <c r="CA30" s="128"/>
      <c r="CB30" s="128"/>
      <c r="CC30" s="128"/>
      <c r="CD30" s="128"/>
      <c r="CE30" s="128"/>
      <c r="CF30" s="128"/>
      <c r="CG30" s="129"/>
      <c r="CH30" s="128"/>
      <c r="CI30" s="128"/>
      <c r="CJ30" s="128"/>
      <c r="CK30" s="47"/>
      <c r="CL30" s="47"/>
      <c r="CM30" s="47"/>
      <c r="CN30" s="47"/>
      <c r="CO30" s="47"/>
      <c r="CQ30" s="47">
        <f t="shared" si="18"/>
        <v>0</v>
      </c>
      <c r="CR30" s="47">
        <f t="shared" si="29"/>
        <v>0</v>
      </c>
      <c r="CS30" s="47">
        <f t="shared" si="30"/>
        <v>0</v>
      </c>
      <c r="CT30" s="47">
        <f t="shared" si="19"/>
        <v>0</v>
      </c>
      <c r="CU30" s="47">
        <f t="shared" si="20"/>
        <v>0</v>
      </c>
      <c r="CV30" s="47">
        <f t="shared" si="21"/>
        <v>0</v>
      </c>
      <c r="CW30" s="47">
        <f t="shared" si="22"/>
        <v>0</v>
      </c>
      <c r="CX30" s="47">
        <f t="shared" si="23"/>
        <v>0</v>
      </c>
      <c r="CZ30" s="6"/>
      <c r="DA30" s="6"/>
      <c r="DB30" s="6"/>
      <c r="DC30" s="6"/>
      <c r="DD30" s="6"/>
    </row>
    <row r="31" spans="2:112" x14ac:dyDescent="0.25">
      <c r="B31" s="75"/>
      <c r="C31" s="75"/>
      <c r="D31" s="75"/>
      <c r="E31" s="75"/>
      <c r="F31" s="75"/>
      <c r="G31" s="75"/>
      <c r="H31" s="75"/>
      <c r="I31" s="75"/>
      <c r="J31" s="128"/>
      <c r="K31" s="128"/>
      <c r="L31" s="128"/>
      <c r="M31" s="128"/>
      <c r="N31" s="128"/>
      <c r="O31" s="128"/>
      <c r="P31" s="128"/>
      <c r="Q31" s="128"/>
      <c r="R31" s="129"/>
      <c r="S31" s="128"/>
      <c r="T31" s="128"/>
      <c r="U31" s="128"/>
      <c r="V31" s="128"/>
      <c r="W31" s="128"/>
      <c r="X31" s="128"/>
      <c r="Y31" s="128"/>
      <c r="Z31" s="128"/>
      <c r="AA31" s="129"/>
      <c r="AB31" s="75"/>
      <c r="AC31" s="75"/>
      <c r="AD31" s="75"/>
      <c r="AE31" s="75"/>
      <c r="AF31" s="75"/>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9"/>
      <c r="BY31" s="128"/>
      <c r="BZ31" s="128"/>
      <c r="CA31" s="128"/>
      <c r="CB31" s="128"/>
      <c r="CC31" s="128"/>
      <c r="CD31" s="128"/>
      <c r="CE31" s="128"/>
      <c r="CF31" s="128"/>
      <c r="CG31" s="129"/>
      <c r="CH31" s="128"/>
      <c r="CI31" s="128"/>
      <c r="CJ31" s="128"/>
      <c r="CK31" s="47"/>
      <c r="CL31" s="47"/>
      <c r="CM31" s="47"/>
      <c r="CN31" s="47"/>
      <c r="CO31" s="47"/>
      <c r="CQ31" s="47">
        <f t="shared" si="18"/>
        <v>0</v>
      </c>
      <c r="CR31" s="47">
        <f t="shared" si="29"/>
        <v>0</v>
      </c>
      <c r="CS31" s="47">
        <f t="shared" si="30"/>
        <v>0</v>
      </c>
      <c r="CT31" s="47">
        <f t="shared" si="19"/>
        <v>0</v>
      </c>
      <c r="CU31" s="47">
        <f t="shared" si="20"/>
        <v>0</v>
      </c>
      <c r="CV31" s="47">
        <f t="shared" si="21"/>
        <v>0</v>
      </c>
      <c r="CW31" s="47">
        <f t="shared" si="22"/>
        <v>0</v>
      </c>
      <c r="CX31" s="47">
        <f t="shared" si="23"/>
        <v>0</v>
      </c>
      <c r="CZ31" s="6"/>
      <c r="DA31" s="6"/>
      <c r="DB31" s="6"/>
      <c r="DC31" s="6"/>
      <c r="DD31" s="6"/>
    </row>
    <row r="32" spans="2:112" x14ac:dyDescent="0.25">
      <c r="B32" s="75"/>
      <c r="C32" s="75"/>
      <c r="D32" s="75"/>
      <c r="E32" s="75"/>
      <c r="F32" s="75"/>
      <c r="G32" s="75"/>
      <c r="H32" s="75"/>
      <c r="I32" s="75"/>
      <c r="J32" s="128"/>
      <c r="K32" s="128"/>
      <c r="L32" s="128"/>
      <c r="M32" s="128"/>
      <c r="N32" s="128"/>
      <c r="O32" s="128"/>
      <c r="P32" s="128"/>
      <c r="Q32" s="128"/>
      <c r="R32" s="129"/>
      <c r="S32" s="128"/>
      <c r="T32" s="128"/>
      <c r="U32" s="128"/>
      <c r="V32" s="128"/>
      <c r="W32" s="128"/>
      <c r="X32" s="128"/>
      <c r="Y32" s="128"/>
      <c r="Z32" s="128"/>
      <c r="AA32" s="129"/>
      <c r="AB32" s="75"/>
      <c r="AC32" s="75"/>
      <c r="AD32" s="75"/>
      <c r="AE32" s="75"/>
      <c r="AF32" s="75"/>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9"/>
      <c r="BY32" s="128"/>
      <c r="BZ32" s="128"/>
      <c r="CA32" s="128"/>
      <c r="CB32" s="128"/>
      <c r="CC32" s="128"/>
      <c r="CD32" s="128"/>
      <c r="CE32" s="128"/>
      <c r="CF32" s="128"/>
      <c r="CG32" s="129"/>
      <c r="CH32" s="128"/>
      <c r="CI32" s="128"/>
      <c r="CJ32" s="128"/>
      <c r="CK32" s="47"/>
      <c r="CL32" s="47"/>
      <c r="CM32" s="47"/>
      <c r="CN32" s="47"/>
      <c r="CO32" s="47"/>
      <c r="CQ32" s="47">
        <f t="shared" si="18"/>
        <v>0</v>
      </c>
      <c r="CR32" s="47">
        <f t="shared" si="29"/>
        <v>0</v>
      </c>
      <c r="CS32" s="47">
        <f t="shared" si="30"/>
        <v>0</v>
      </c>
      <c r="CT32" s="47">
        <f t="shared" si="19"/>
        <v>0</v>
      </c>
      <c r="CU32" s="47">
        <f t="shared" si="20"/>
        <v>0</v>
      </c>
      <c r="CV32" s="47">
        <f t="shared" si="21"/>
        <v>0</v>
      </c>
      <c r="CW32" s="47">
        <f t="shared" si="22"/>
        <v>0</v>
      </c>
      <c r="CX32" s="47">
        <f t="shared" si="23"/>
        <v>0</v>
      </c>
      <c r="CZ32" s="6"/>
      <c r="DA32" s="6"/>
      <c r="DB32" s="6"/>
      <c r="DC32" s="6"/>
      <c r="DD32" s="6"/>
    </row>
    <row r="33" spans="2:108" x14ac:dyDescent="0.25">
      <c r="B33" s="75"/>
      <c r="C33" s="75"/>
      <c r="D33" s="75"/>
      <c r="E33" s="75"/>
      <c r="F33" s="75"/>
      <c r="G33" s="75"/>
      <c r="H33" s="75"/>
      <c r="I33" s="75"/>
      <c r="J33" s="128"/>
      <c r="K33" s="128"/>
      <c r="L33" s="128"/>
      <c r="M33" s="128"/>
      <c r="N33" s="128"/>
      <c r="O33" s="128"/>
      <c r="P33" s="128"/>
      <c r="Q33" s="128"/>
      <c r="R33" s="129"/>
      <c r="S33" s="128"/>
      <c r="T33" s="128"/>
      <c r="U33" s="128"/>
      <c r="V33" s="128"/>
      <c r="W33" s="128"/>
      <c r="X33" s="128"/>
      <c r="Y33" s="128"/>
      <c r="Z33" s="128"/>
      <c r="AA33" s="129"/>
      <c r="AB33" s="75"/>
      <c r="AC33" s="75"/>
      <c r="AD33" s="75"/>
      <c r="AE33" s="75"/>
      <c r="AF33" s="75"/>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9"/>
      <c r="BY33" s="128"/>
      <c r="BZ33" s="128"/>
      <c r="CA33" s="128"/>
      <c r="CB33" s="128"/>
      <c r="CC33" s="128"/>
      <c r="CD33" s="128"/>
      <c r="CE33" s="128"/>
      <c r="CF33" s="128"/>
      <c r="CG33" s="129"/>
      <c r="CH33" s="128"/>
      <c r="CI33" s="128"/>
      <c r="CJ33" s="128"/>
      <c r="CK33" s="47"/>
      <c r="CL33" s="47"/>
      <c r="CM33" s="47"/>
      <c r="CN33" s="47"/>
      <c r="CO33" s="47"/>
      <c r="CQ33" s="47">
        <f t="shared" si="18"/>
        <v>0</v>
      </c>
      <c r="CR33" s="47">
        <f t="shared" si="29"/>
        <v>0</v>
      </c>
      <c r="CS33" s="47">
        <f t="shared" si="30"/>
        <v>0</v>
      </c>
      <c r="CT33" s="47">
        <f t="shared" si="19"/>
        <v>0</v>
      </c>
      <c r="CU33" s="47">
        <f t="shared" si="20"/>
        <v>0</v>
      </c>
      <c r="CV33" s="47">
        <f t="shared" si="21"/>
        <v>0</v>
      </c>
      <c r="CW33" s="47">
        <f t="shared" si="22"/>
        <v>0</v>
      </c>
      <c r="CX33" s="47">
        <f t="shared" si="23"/>
        <v>0</v>
      </c>
      <c r="CZ33" s="6"/>
      <c r="DA33" s="6"/>
      <c r="DB33" s="6"/>
      <c r="DC33" s="6"/>
      <c r="DD33" s="6"/>
    </row>
    <row r="34" spans="2:108" x14ac:dyDescent="0.25">
      <c r="B34" s="75"/>
      <c r="C34" s="75"/>
      <c r="D34" s="75"/>
      <c r="E34" s="75"/>
      <c r="F34" s="75"/>
      <c r="G34" s="75"/>
      <c r="H34" s="75"/>
      <c r="I34" s="75"/>
      <c r="J34" s="128"/>
      <c r="K34" s="128"/>
      <c r="L34" s="128"/>
      <c r="M34" s="128"/>
      <c r="N34" s="128"/>
      <c r="O34" s="128"/>
      <c r="P34" s="128"/>
      <c r="Q34" s="128"/>
      <c r="R34" s="129"/>
      <c r="S34" s="128"/>
      <c r="T34" s="128"/>
      <c r="U34" s="128"/>
      <c r="V34" s="128"/>
      <c r="W34" s="128"/>
      <c r="X34" s="128"/>
      <c r="Y34" s="128"/>
      <c r="Z34" s="128"/>
      <c r="AA34" s="129"/>
      <c r="AB34" s="75"/>
      <c r="AC34" s="75"/>
      <c r="AD34" s="75"/>
      <c r="AE34" s="75"/>
      <c r="AF34" s="75"/>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9"/>
      <c r="BY34" s="128"/>
      <c r="BZ34" s="128"/>
      <c r="CA34" s="128"/>
      <c r="CB34" s="128"/>
      <c r="CC34" s="128"/>
      <c r="CD34" s="128"/>
      <c r="CE34" s="128"/>
      <c r="CF34" s="128"/>
      <c r="CG34" s="129"/>
      <c r="CH34" s="128"/>
      <c r="CI34" s="128"/>
      <c r="CJ34" s="128"/>
      <c r="CK34" s="47"/>
      <c r="CL34" s="47"/>
      <c r="CM34" s="47"/>
      <c r="CN34" s="47"/>
      <c r="CO34" s="47"/>
      <c r="CQ34" s="47">
        <f t="shared" si="18"/>
        <v>0</v>
      </c>
      <c r="CR34" s="47">
        <f t="shared" si="29"/>
        <v>0</v>
      </c>
      <c r="CS34" s="47">
        <f t="shared" si="30"/>
        <v>0</v>
      </c>
      <c r="CT34" s="47">
        <f t="shared" si="19"/>
        <v>0</v>
      </c>
      <c r="CU34" s="47">
        <f t="shared" si="20"/>
        <v>0</v>
      </c>
      <c r="CV34" s="47">
        <f t="shared" si="21"/>
        <v>0</v>
      </c>
      <c r="CW34" s="47">
        <f t="shared" si="22"/>
        <v>0</v>
      </c>
      <c r="CX34" s="47">
        <f t="shared" si="23"/>
        <v>0</v>
      </c>
      <c r="CZ34" s="6"/>
      <c r="DA34" s="6"/>
      <c r="DB34" s="6"/>
      <c r="DC34" s="6"/>
      <c r="DD34" s="6"/>
    </row>
    <row r="35" spans="2:108" x14ac:dyDescent="0.25">
      <c r="B35" s="75"/>
      <c r="C35" s="75"/>
      <c r="D35" s="75"/>
      <c r="E35" s="75"/>
      <c r="F35" s="75"/>
      <c r="G35" s="75"/>
      <c r="H35" s="75"/>
      <c r="I35" s="75"/>
      <c r="J35" s="128"/>
      <c r="K35" s="128"/>
      <c r="L35" s="128"/>
      <c r="M35" s="128"/>
      <c r="N35" s="128"/>
      <c r="O35" s="128"/>
      <c r="P35" s="128"/>
      <c r="Q35" s="128"/>
      <c r="R35" s="129"/>
      <c r="S35" s="128"/>
      <c r="T35" s="128"/>
      <c r="U35" s="128"/>
      <c r="V35" s="128"/>
      <c r="W35" s="128"/>
      <c r="X35" s="128"/>
      <c r="Y35" s="128"/>
      <c r="Z35" s="128"/>
      <c r="AA35" s="129"/>
      <c r="AB35" s="75"/>
      <c r="AC35" s="75"/>
      <c r="AD35" s="75"/>
      <c r="AE35" s="75"/>
      <c r="AF35" s="75"/>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9"/>
      <c r="BY35" s="128"/>
      <c r="BZ35" s="128"/>
      <c r="CA35" s="128"/>
      <c r="CB35" s="128"/>
      <c r="CC35" s="128"/>
      <c r="CD35" s="128"/>
      <c r="CE35" s="128"/>
      <c r="CF35" s="128"/>
      <c r="CG35" s="129"/>
      <c r="CH35" s="128"/>
      <c r="CI35" s="128"/>
      <c r="CJ35" s="128"/>
      <c r="CK35" s="47"/>
      <c r="CL35" s="47"/>
      <c r="CM35" s="47"/>
      <c r="CN35" s="47"/>
      <c r="CO35" s="47"/>
      <c r="CQ35" s="47">
        <f t="shared" si="18"/>
        <v>0</v>
      </c>
      <c r="CR35" s="47">
        <f t="shared" si="29"/>
        <v>0</v>
      </c>
      <c r="CS35" s="47">
        <f t="shared" si="30"/>
        <v>0</v>
      </c>
      <c r="CT35" s="47">
        <f t="shared" si="19"/>
        <v>0</v>
      </c>
      <c r="CU35" s="47">
        <f t="shared" si="20"/>
        <v>0</v>
      </c>
      <c r="CV35" s="47">
        <f t="shared" si="21"/>
        <v>0</v>
      </c>
      <c r="CW35" s="47">
        <f t="shared" si="22"/>
        <v>0</v>
      </c>
      <c r="CX35" s="47">
        <f t="shared" si="23"/>
        <v>0</v>
      </c>
      <c r="CZ35" s="6"/>
      <c r="DA35" s="6"/>
      <c r="DB35" s="6"/>
      <c r="DC35" s="6"/>
      <c r="DD35" s="6"/>
    </row>
    <row r="36" spans="2:108" x14ac:dyDescent="0.25">
      <c r="B36" s="75"/>
      <c r="C36" s="75"/>
      <c r="D36" s="75"/>
      <c r="E36" s="75"/>
      <c r="F36" s="75"/>
      <c r="G36" s="75"/>
      <c r="H36" s="75"/>
      <c r="I36" s="75"/>
      <c r="J36" s="128"/>
      <c r="K36" s="128"/>
      <c r="L36" s="128"/>
      <c r="M36" s="128"/>
      <c r="N36" s="128"/>
      <c r="O36" s="128"/>
      <c r="P36" s="128"/>
      <c r="Q36" s="128"/>
      <c r="R36" s="129"/>
      <c r="S36" s="128"/>
      <c r="T36" s="128"/>
      <c r="U36" s="128"/>
      <c r="V36" s="128"/>
      <c r="W36" s="128"/>
      <c r="X36" s="128"/>
      <c r="Y36" s="128"/>
      <c r="Z36" s="128"/>
      <c r="AA36" s="129"/>
      <c r="AB36" s="75"/>
      <c r="AC36" s="75"/>
      <c r="AD36" s="75"/>
      <c r="AE36" s="75"/>
      <c r="AF36" s="75"/>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9"/>
      <c r="BY36" s="128"/>
      <c r="BZ36" s="128"/>
      <c r="CA36" s="128"/>
      <c r="CB36" s="128"/>
      <c r="CC36" s="128"/>
      <c r="CD36" s="128"/>
      <c r="CE36" s="128"/>
      <c r="CF36" s="128"/>
      <c r="CG36" s="129"/>
      <c r="CH36" s="128"/>
      <c r="CI36" s="128"/>
      <c r="CJ36" s="128"/>
      <c r="CK36" s="47"/>
      <c r="CL36" s="47"/>
      <c r="CM36" s="47"/>
      <c r="CN36" s="47"/>
      <c r="CO36" s="47"/>
      <c r="CQ36" s="47">
        <f t="shared" si="18"/>
        <v>0</v>
      </c>
      <c r="CR36" s="47">
        <f t="shared" si="29"/>
        <v>0</v>
      </c>
      <c r="CS36" s="47">
        <f t="shared" si="30"/>
        <v>0</v>
      </c>
      <c r="CT36" s="47">
        <f t="shared" si="19"/>
        <v>0</v>
      </c>
      <c r="CU36" s="47">
        <f t="shared" si="20"/>
        <v>0</v>
      </c>
      <c r="CV36" s="47">
        <f t="shared" si="21"/>
        <v>0</v>
      </c>
      <c r="CW36" s="47">
        <f t="shared" si="22"/>
        <v>0</v>
      </c>
      <c r="CX36" s="47">
        <f t="shared" si="23"/>
        <v>0</v>
      </c>
      <c r="CZ36" s="6"/>
      <c r="DA36" s="6"/>
      <c r="DB36" s="6"/>
      <c r="DC36" s="6"/>
      <c r="DD36" s="6"/>
    </row>
    <row r="37" spans="2:108" x14ac:dyDescent="0.25">
      <c r="J37" s="48">
        <f t="shared" ref="J37:Q37" si="35">SUM(J6:J36)</f>
        <v>0</v>
      </c>
      <c r="K37" s="764">
        <f t="shared" si="35"/>
        <v>1070</v>
      </c>
      <c r="L37" s="764">
        <f t="shared" si="35"/>
        <v>2539.0062499999999</v>
      </c>
      <c r="M37" s="764">
        <f t="shared" si="35"/>
        <v>12391.40625</v>
      </c>
      <c r="N37" s="764">
        <f t="shared" si="35"/>
        <v>23575.956249999999</v>
      </c>
      <c r="O37" s="764">
        <f t="shared" si="35"/>
        <v>22360.298749999998</v>
      </c>
      <c r="P37" s="764">
        <f t="shared" si="35"/>
        <v>8734.8649999999998</v>
      </c>
      <c r="Q37" s="764">
        <f t="shared" si="35"/>
        <v>2165.3624999999997</v>
      </c>
      <c r="R37" s="129"/>
      <c r="S37" s="764">
        <f t="shared" ref="S37:Z37" si="36">SUM(S6:S36)</f>
        <v>0</v>
      </c>
      <c r="T37" s="764">
        <f t="shared" si="36"/>
        <v>108.76504049784914</v>
      </c>
      <c r="U37" s="764">
        <f t="shared" ref="U37" si="37">SUM(U6:U36)</f>
        <v>257.50195424880951</v>
      </c>
      <c r="V37" s="764">
        <f t="shared" si="36"/>
        <v>1259.7161101416984</v>
      </c>
      <c r="W37" s="764">
        <f t="shared" si="36"/>
        <v>2390.7562223748473</v>
      </c>
      <c r="X37" s="764">
        <f t="shared" si="36"/>
        <v>2265.8337117290835</v>
      </c>
      <c r="Y37" s="764">
        <f t="shared" si="36"/>
        <v>888.37997772217432</v>
      </c>
      <c r="Z37" s="764">
        <f t="shared" si="36"/>
        <v>222.42310603458836</v>
      </c>
      <c r="AA37" s="129"/>
      <c r="AB37" s="764">
        <f t="shared" ref="AB37:AF37" si="38">SUM(AB6:AB36)</f>
        <v>0</v>
      </c>
      <c r="AC37" s="764">
        <f t="shared" si="38"/>
        <v>0</v>
      </c>
      <c r="AD37" s="764">
        <f t="shared" si="38"/>
        <v>0</v>
      </c>
      <c r="AE37" s="764">
        <f t="shared" si="38"/>
        <v>0</v>
      </c>
      <c r="AF37" s="764">
        <f t="shared" si="38"/>
        <v>0</v>
      </c>
      <c r="AG37" s="764">
        <f t="shared" ref="AG37:BW37" si="39">SUM(AG6:AG36)</f>
        <v>0</v>
      </c>
      <c r="AH37" s="764">
        <f t="shared" ref="AH37:AS37" si="40">SUM(AH6:AH36)</f>
        <v>11.764603008069484</v>
      </c>
      <c r="AI37" s="764">
        <f t="shared" si="40"/>
        <v>35.29380902420845</v>
      </c>
      <c r="AJ37" s="764">
        <f t="shared" si="40"/>
        <v>94.116824064555871</v>
      </c>
      <c r="AK37" s="764">
        <f t="shared" si="40"/>
        <v>0</v>
      </c>
      <c r="AL37" s="764">
        <f t="shared" si="40"/>
        <v>94.116824064555871</v>
      </c>
      <c r="AM37" s="764">
        <f t="shared" si="40"/>
        <v>235.29206016138966</v>
      </c>
      <c r="AN37" s="764">
        <f t="shared" si="40"/>
        <v>27.916262211455347</v>
      </c>
      <c r="AO37" s="764">
        <f t="shared" si="40"/>
        <v>83.748786634366013</v>
      </c>
      <c r="AP37" s="764">
        <f t="shared" si="40"/>
        <v>223.33009769164278</v>
      </c>
      <c r="AQ37" s="764">
        <f t="shared" si="40"/>
        <v>0</v>
      </c>
      <c r="AR37" s="764">
        <f t="shared" si="40"/>
        <v>223.33009769164278</v>
      </c>
      <c r="AS37" s="764">
        <f t="shared" si="40"/>
        <v>558.32524422910683</v>
      </c>
      <c r="AT37" s="764">
        <f t="shared" si="39"/>
        <v>136.24296751678597</v>
      </c>
      <c r="AU37" s="764">
        <f t="shared" si="39"/>
        <v>408.72890255035804</v>
      </c>
      <c r="AV37" s="764">
        <f t="shared" si="39"/>
        <v>1089.9437401342877</v>
      </c>
      <c r="AW37" s="764">
        <f t="shared" si="39"/>
        <v>0</v>
      </c>
      <c r="AX37" s="764">
        <f t="shared" si="39"/>
        <v>1089.9437401342877</v>
      </c>
      <c r="AY37" s="764">
        <f t="shared" si="39"/>
        <v>2724.8593503357197</v>
      </c>
      <c r="AZ37" s="764">
        <f t="shared" si="39"/>
        <v>259.21660356716302</v>
      </c>
      <c r="BA37" s="764">
        <f t="shared" si="39"/>
        <v>777.64981070148917</v>
      </c>
      <c r="BB37" s="764">
        <f t="shared" si="39"/>
        <v>2073.7328285373042</v>
      </c>
      <c r="BC37" s="764">
        <f t="shared" si="39"/>
        <v>0</v>
      </c>
      <c r="BD37" s="764">
        <f t="shared" si="39"/>
        <v>2073.7328285373042</v>
      </c>
      <c r="BE37" s="764">
        <f t="shared" si="39"/>
        <v>5184.3320713432613</v>
      </c>
      <c r="BF37" s="764">
        <f t="shared" si="39"/>
        <v>245.85050274353486</v>
      </c>
      <c r="BG37" s="764">
        <f t="shared" si="39"/>
        <v>737.55150823060455</v>
      </c>
      <c r="BH37" s="764">
        <f t="shared" si="39"/>
        <v>1966.8040219482789</v>
      </c>
      <c r="BI37" s="764">
        <f t="shared" si="39"/>
        <v>0</v>
      </c>
      <c r="BJ37" s="764">
        <f t="shared" si="39"/>
        <v>1966.8040219482789</v>
      </c>
      <c r="BK37" s="764">
        <f t="shared" si="39"/>
        <v>4917.0100548706978</v>
      </c>
      <c r="BL37" s="764">
        <f t="shared" si="39"/>
        <v>96.039457059888647</v>
      </c>
      <c r="BM37" s="764">
        <f t="shared" si="39"/>
        <v>288.11837117966593</v>
      </c>
      <c r="BN37" s="764">
        <f t="shared" si="39"/>
        <v>768.31565647910918</v>
      </c>
      <c r="BO37" s="764">
        <f t="shared" si="39"/>
        <v>0</v>
      </c>
      <c r="BP37" s="764">
        <f t="shared" si="39"/>
        <v>768.31565647910918</v>
      </c>
      <c r="BQ37" s="764">
        <f t="shared" si="39"/>
        <v>1920.789141197773</v>
      </c>
      <c r="BR37" s="764">
        <f t="shared" si="39"/>
        <v>23.808065589776497</v>
      </c>
      <c r="BS37" s="764">
        <f t="shared" si="39"/>
        <v>71.424196769329498</v>
      </c>
      <c r="BT37" s="764">
        <f t="shared" si="39"/>
        <v>190.46452471821198</v>
      </c>
      <c r="BU37" s="764">
        <f t="shared" si="39"/>
        <v>0</v>
      </c>
      <c r="BV37" s="764">
        <f t="shared" si="39"/>
        <v>190.46452471821198</v>
      </c>
      <c r="BW37" s="764">
        <f t="shared" si="39"/>
        <v>476.16131179553008</v>
      </c>
      <c r="BX37" s="129"/>
      <c r="BY37" s="764">
        <f t="shared" ref="BY37:CF37" si="41">SUM(BY6:BY36)</f>
        <v>0</v>
      </c>
      <c r="BZ37" s="764">
        <f t="shared" si="41"/>
        <v>630.3161807331104</v>
      </c>
      <c r="CA37" s="764">
        <f t="shared" ref="CA37" si="42">SUM(CA6:CA36)</f>
        <v>1495.6791797733615</v>
      </c>
      <c r="CB37" s="764">
        <f t="shared" si="41"/>
        <v>7299.5363190770031</v>
      </c>
      <c r="CC37" s="764">
        <f t="shared" si="41"/>
        <v>13888.13710339337</v>
      </c>
      <c r="CD37" s="764">
        <f t="shared" si="41"/>
        <v>13172.016923505927</v>
      </c>
      <c r="CE37" s="764">
        <f t="shared" si="41"/>
        <v>5145.5390149713267</v>
      </c>
      <c r="CF37" s="764">
        <f t="shared" si="41"/>
        <v>1275.5729167314953</v>
      </c>
      <c r="CG37" s="129"/>
      <c r="CH37" s="764">
        <f t="shared" ref="CH37:CO37" si="43">SUM(CH6:CH36)</f>
        <v>0</v>
      </c>
      <c r="CI37" s="764">
        <f t="shared" si="43"/>
        <v>97.544572476894828</v>
      </c>
      <c r="CJ37" s="764">
        <f t="shared" si="43"/>
        <v>231.46381231066727</v>
      </c>
      <c r="CK37" s="764">
        <f t="shared" si="43"/>
        <v>1129.6396495736194</v>
      </c>
      <c r="CL37" s="764">
        <f t="shared" si="43"/>
        <v>2149.2584795703056</v>
      </c>
      <c r="CM37" s="764">
        <f t="shared" si="43"/>
        <v>2038.435310303174</v>
      </c>
      <c r="CN37" s="764">
        <f t="shared" si="43"/>
        <v>796.29782436298308</v>
      </c>
      <c r="CO37" s="764">
        <f t="shared" si="43"/>
        <v>197.40127039252357</v>
      </c>
      <c r="CP37" s="129"/>
      <c r="CQ37" s="764">
        <f t="shared" ref="CQ37:DD37" si="44">SUM(CQ6:CQ36)</f>
        <v>0</v>
      </c>
      <c r="CR37" s="764">
        <f t="shared" ref="CR37:CS37" si="45">SUM(CR6:CR36)</f>
        <v>1071.917853869244</v>
      </c>
      <c r="CS37" s="764">
        <f t="shared" si="45"/>
        <v>2542.9701905619449</v>
      </c>
      <c r="CT37" s="764">
        <f t="shared" si="44"/>
        <v>12413.751429128042</v>
      </c>
      <c r="CU37" s="764">
        <f t="shared" si="44"/>
        <v>23612.483876681781</v>
      </c>
      <c r="CV37" s="764">
        <f t="shared" si="44"/>
        <v>22393.296000408882</v>
      </c>
      <c r="CW37" s="764">
        <f t="shared" si="44"/>
        <v>8751.0059582542581</v>
      </c>
      <c r="CX37" s="764">
        <f t="shared" si="44"/>
        <v>2171.5586049541366</v>
      </c>
      <c r="CY37" s="129"/>
      <c r="CZ37" s="764">
        <f t="shared" si="44"/>
        <v>69227.888749999998</v>
      </c>
      <c r="DA37" s="764">
        <f t="shared" si="44"/>
        <v>69342.09586942711</v>
      </c>
      <c r="DB37" s="764">
        <f t="shared" si="44"/>
        <v>72787.276784348971</v>
      </c>
      <c r="DC37" s="764">
        <f t="shared" si="44"/>
        <v>77296.190372394864</v>
      </c>
      <c r="DD37" s="764">
        <f t="shared" si="44"/>
        <v>81136.561167771288</v>
      </c>
    </row>
    <row r="38" spans="2:108" x14ac:dyDescent="0.25">
      <c r="CQ38" s="84">
        <f t="shared" ref="CQ38:CX38" si="46">IF(ISERROR((CQ37-J37)/J37),0,(CQ37-J37)/J37)</f>
        <v>0</v>
      </c>
      <c r="CR38" s="84">
        <f t="shared" si="46"/>
        <v>1.7923867936860067E-3</v>
      </c>
      <c r="CS38" s="84">
        <f t="shared" si="46"/>
        <v>1.5612173313653865E-3</v>
      </c>
      <c r="CT38" s="84">
        <f t="shared" si="46"/>
        <v>1.8032803280936915E-3</v>
      </c>
      <c r="CU38" s="84">
        <f t="shared" si="46"/>
        <v>1.5493592834344458E-3</v>
      </c>
      <c r="CV38" s="84">
        <f t="shared" si="46"/>
        <v>1.4757070456799556E-3</v>
      </c>
      <c r="CW38" s="84">
        <f t="shared" si="46"/>
        <v>1.8478772430092845E-3</v>
      </c>
      <c r="CX38" s="84">
        <f t="shared" si="46"/>
        <v>2.8614631287541461E-3</v>
      </c>
    </row>
    <row r="39" spans="2:108" x14ac:dyDescent="0.25">
      <c r="J39" s="39"/>
      <c r="K39" s="39"/>
      <c r="L39" s="39"/>
      <c r="M39" s="39"/>
      <c r="N39" s="39"/>
      <c r="O39" s="39"/>
      <c r="P39" s="39"/>
      <c r="Q39" s="39"/>
    </row>
    <row r="40" spans="2:108" x14ac:dyDescent="0.25">
      <c r="J40" s="39"/>
      <c r="K40" s="39"/>
      <c r="L40" s="39"/>
      <c r="M40" s="108"/>
      <c r="N40" s="39"/>
      <c r="O40" s="39"/>
      <c r="P40" s="39"/>
      <c r="Q40" s="39"/>
    </row>
    <row r="41" spans="2:108" x14ac:dyDescent="0.25">
      <c r="D41" s="318"/>
      <c r="E41" s="24"/>
      <c r="F41" s="24"/>
      <c r="G41" s="24"/>
      <c r="H41" s="24"/>
      <c r="I41" s="24"/>
      <c r="J41" s="24"/>
      <c r="K41" s="24"/>
      <c r="L41" s="24"/>
      <c r="M41" s="319"/>
      <c r="N41" s="319"/>
      <c r="O41" s="319"/>
      <c r="P41" s="319"/>
      <c r="Q41" s="319"/>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319"/>
      <c r="CS41" s="319"/>
      <c r="CT41" s="319"/>
      <c r="CU41" s="319"/>
      <c r="CV41" s="319"/>
      <c r="CW41" s="319"/>
      <c r="CX41" s="319"/>
      <c r="CY41" s="24"/>
      <c r="CZ41" s="319"/>
      <c r="DA41" s="319"/>
      <c r="DB41" s="319"/>
      <c r="DC41" s="319"/>
      <c r="DD41" s="319"/>
    </row>
    <row r="42" spans="2:108" x14ac:dyDescent="0.25">
      <c r="Q42" s="51"/>
    </row>
    <row r="55" spans="13:17" x14ac:dyDescent="0.25">
      <c r="M55" s="39"/>
      <c r="N55" s="39"/>
      <c r="O55" s="39"/>
      <c r="P55" s="39"/>
      <c r="Q55" s="39"/>
    </row>
    <row r="56" spans="13:17" x14ac:dyDescent="0.25">
      <c r="M56" s="39"/>
      <c r="N56" s="39"/>
      <c r="O56" s="39"/>
      <c r="P56" s="39"/>
      <c r="Q56" s="39"/>
    </row>
    <row r="57" spans="13:17" x14ac:dyDescent="0.25">
      <c r="M57" s="39"/>
      <c r="N57" s="39"/>
      <c r="O57" s="39"/>
      <c r="P57" s="39"/>
      <c r="Q57" s="39"/>
    </row>
    <row r="58" spans="13:17" x14ac:dyDescent="0.25">
      <c r="M58" s="39"/>
      <c r="N58" s="39"/>
      <c r="O58" s="39"/>
      <c r="P58" s="39"/>
      <c r="Q58" s="39"/>
    </row>
    <row r="59" spans="13:17" x14ac:dyDescent="0.25">
      <c r="M59" s="39"/>
      <c r="N59" s="39"/>
      <c r="O59" s="39"/>
      <c r="P59" s="39"/>
      <c r="Q59" s="39"/>
    </row>
    <row r="60" spans="13:17" x14ac:dyDescent="0.25">
      <c r="M60" s="39"/>
      <c r="N60" s="39"/>
      <c r="O60" s="39"/>
      <c r="P60" s="39"/>
      <c r="Q60" s="39"/>
    </row>
    <row r="61" spans="13:17" x14ac:dyDescent="0.25">
      <c r="M61" s="39"/>
      <c r="N61" s="39"/>
      <c r="O61" s="39"/>
      <c r="P61" s="39"/>
      <c r="Q61" s="39"/>
    </row>
    <row r="62" spans="13:17" x14ac:dyDescent="0.25">
      <c r="M62" s="39"/>
      <c r="N62" s="39"/>
      <c r="O62" s="39"/>
      <c r="P62" s="39"/>
      <c r="Q62" s="39"/>
    </row>
  </sheetData>
  <mergeCells count="11">
    <mergeCell ref="CQ4:CX4"/>
    <mergeCell ref="BY4:CF4"/>
    <mergeCell ref="CH4:CO4"/>
    <mergeCell ref="S4:Z4"/>
    <mergeCell ref="J4:Q4"/>
    <mergeCell ref="M1:N1"/>
    <mergeCell ref="J3:Q3"/>
    <mergeCell ref="S3:Z3"/>
    <mergeCell ref="BY3:CF3"/>
    <mergeCell ref="CQ3:CX3"/>
    <mergeCell ref="CH3:CO3"/>
  </mergeCells>
  <hyperlinks>
    <hyperlink ref="B2" location="Contents!A1" display="Table of Contents"/>
  </hyperlink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5">
        <x14:dataValidation type="list" errorStyle="warning" showInputMessage="1" showErrorMessage="1" error="Invalid data entered" prompt="Select from drop down list">
          <x14:formula1>
            <xm:f>Lookups!$C$5:$C$13</xm:f>
          </x14:formula1>
          <xm:sqref>E6:E36</xm:sqref>
        </x14:dataValidation>
        <x14:dataValidation type="list" errorStyle="warning" showInputMessage="1" showErrorMessage="1" error="Invalid data entered" prompt="Select from drop down list">
          <x14:formula1>
            <xm:f>Lookups!$C$16:$C$27</xm:f>
          </x14:formula1>
          <xm:sqref>F6:F36</xm:sqref>
        </x14:dataValidation>
        <x14:dataValidation type="list" errorStyle="warning" allowBlank="1" showInputMessage="1" showErrorMessage="1" prompt="Select from drop down list">
          <x14:formula1>
            <xm:f>Lab_Mat!$C$62:$C$98</xm:f>
          </x14:formula1>
          <xm:sqref>I6:I36</xm:sqref>
        </x14:dataValidation>
        <x14:dataValidation type="list" errorStyle="warning" showInputMessage="1" showErrorMessage="1" error="Invalid data entered" prompt="Select from drop down list">
          <x14:formula1>
            <xm:f>Lookups!$I$5:$I$10</xm:f>
          </x14:formula1>
          <xm:sqref>G6:G36</xm:sqref>
        </x14:dataValidation>
        <x14:dataValidation type="list" errorStyle="warning" allowBlank="1" showInputMessage="1" showErrorMessage="1" prompt="Select from drop down list">
          <x14:formula1>
            <xm:f>Lab_Mat!$C$13:$C$22</xm:f>
          </x14:formula1>
          <xm:sqref>H6:H36</xm:sqref>
        </x14:dataValidation>
      </x14:dataValidation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DT42"/>
  <sheetViews>
    <sheetView zoomScale="85" zoomScaleNormal="85" zoomScalePageLayoutView="125" workbookViewId="0">
      <pane xSplit="9" topLeftCell="J1" activePane="topRight" state="frozen"/>
      <selection activeCell="V33" sqref="V33"/>
      <selection pane="topRight" activeCell="DM25" sqref="M7:DM25"/>
    </sheetView>
  </sheetViews>
  <sheetFormatPr defaultColWidth="8.85546875" defaultRowHeight="15" outlineLevelRow="1" outlineLevelCol="1" x14ac:dyDescent="0.25"/>
  <cols>
    <col min="1" max="1" width="4" style="1" customWidth="1"/>
    <col min="2" max="2" width="11.7109375" style="1" customWidth="1"/>
    <col min="3" max="3" width="43.7109375" style="1" customWidth="1"/>
    <col min="4" max="4" width="30.7109375" style="1" customWidth="1"/>
    <col min="5" max="5" width="15.7109375" style="1" customWidth="1" outlineLevel="1"/>
    <col min="6" max="6" width="33.85546875" style="1" customWidth="1" outlineLevel="1"/>
    <col min="7" max="7" width="28.85546875" style="1" customWidth="1" outlineLevel="1"/>
    <col min="8" max="8" width="18" style="1" customWidth="1" outlineLevel="1"/>
    <col min="9" max="9" width="8.28515625" style="1" customWidth="1" outlineLevel="1"/>
    <col min="10" max="17" width="8.85546875" style="1"/>
    <col min="18" max="18" width="9.42578125" style="1" customWidth="1"/>
    <col min="19" max="19" width="2.85546875" style="1" customWidth="1"/>
    <col min="20" max="27" width="9.5703125" style="1" customWidth="1"/>
    <col min="28" max="28" width="2.7109375" style="1" customWidth="1"/>
    <col min="29" max="30" width="8.85546875" style="1"/>
    <col min="31" max="32" width="9.140625" style="1" customWidth="1"/>
    <col min="33" max="33" width="3" style="1" customWidth="1"/>
    <col min="34" max="41" width="8.85546875" style="1"/>
    <col min="42" max="42" width="2.7109375" style="1" customWidth="1"/>
    <col min="43" max="47" width="10.42578125" style="1" hidden="1" customWidth="1" outlineLevel="1"/>
    <col min="48" max="48" width="8.85546875" style="1" collapsed="1"/>
    <col min="49" max="53" width="10.42578125" style="1" hidden="1" customWidth="1" outlineLevel="1"/>
    <col min="54" max="54" width="8.85546875" style="1" collapsed="1"/>
    <col min="55" max="59" width="8.85546875" style="1" hidden="1" customWidth="1" outlineLevel="1"/>
    <col min="60" max="60" width="8.85546875" style="1" collapsed="1"/>
    <col min="61" max="65" width="10.42578125" style="1" hidden="1" customWidth="1" outlineLevel="1"/>
    <col min="66" max="66" width="8.85546875" style="1" collapsed="1"/>
    <col min="67" max="71" width="9.140625" style="1" hidden="1" customWidth="1" outlineLevel="1"/>
    <col min="72" max="72" width="8.85546875" style="1" collapsed="1"/>
    <col min="73" max="77" width="9.140625" style="1" hidden="1" customWidth="1" outlineLevel="1"/>
    <col min="78" max="78" width="8.85546875" style="1" collapsed="1"/>
    <col min="79" max="83" width="9.140625" style="1" hidden="1" customWidth="1" outlineLevel="1"/>
    <col min="84" max="84" width="8.85546875" style="1" collapsed="1"/>
    <col min="85" max="89" width="9.140625" style="1" hidden="1" customWidth="1" outlineLevel="1"/>
    <col min="90" max="90" width="8.85546875" style="1" collapsed="1"/>
    <col min="91" max="91" width="2.7109375" style="1" customWidth="1"/>
    <col min="92" max="99" width="8.85546875" style="1"/>
    <col min="100" max="100" width="2.85546875" style="1" customWidth="1"/>
    <col min="101" max="108" width="8.85546875" style="1"/>
    <col min="109" max="109" width="2.85546875" style="1" customWidth="1"/>
    <col min="110" max="16384" width="8.85546875" style="1"/>
  </cols>
  <sheetData>
    <row r="1" spans="2:124" ht="18.75" x14ac:dyDescent="0.3">
      <c r="B1" s="10" t="s">
        <v>1</v>
      </c>
      <c r="M1" s="825" t="s">
        <v>749</v>
      </c>
      <c r="N1" s="825"/>
    </row>
    <row r="2" spans="2:124" x14ac:dyDescent="0.25">
      <c r="B2" s="25" t="s">
        <v>6</v>
      </c>
    </row>
    <row r="3" spans="2:124" x14ac:dyDescent="0.25">
      <c r="R3" s="66"/>
      <c r="T3" s="829"/>
      <c r="U3" s="829"/>
      <c r="V3" s="829"/>
      <c r="W3" s="829"/>
      <c r="X3" s="829"/>
      <c r="Y3" s="829"/>
      <c r="Z3" s="829"/>
      <c r="AA3" s="829"/>
      <c r="AH3" s="829"/>
      <c r="AI3" s="829"/>
      <c r="AJ3" s="829"/>
      <c r="AK3" s="829"/>
      <c r="AL3" s="829"/>
      <c r="AM3" s="829"/>
      <c r="AN3" s="829"/>
      <c r="AO3" s="829"/>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N3" s="829"/>
      <c r="CO3" s="829"/>
      <c r="CP3" s="829"/>
      <c r="CQ3" s="829"/>
      <c r="CR3" s="829"/>
      <c r="CS3" s="829"/>
      <c r="CT3" s="829"/>
      <c r="CU3" s="829"/>
      <c r="CW3" s="829"/>
      <c r="CX3" s="829"/>
      <c r="CY3" s="829"/>
      <c r="CZ3" s="829"/>
      <c r="DA3" s="829"/>
      <c r="DB3" s="829"/>
      <c r="DC3" s="829"/>
      <c r="DD3" s="829"/>
      <c r="DF3" s="829"/>
      <c r="DG3" s="829"/>
      <c r="DH3" s="829"/>
      <c r="DI3" s="829"/>
      <c r="DJ3" s="829"/>
      <c r="DK3" s="829"/>
      <c r="DL3" s="829"/>
      <c r="DM3" s="829"/>
    </row>
    <row r="4" spans="2:124" hidden="1" outlineLevel="1" x14ac:dyDescent="0.25">
      <c r="R4" s="66"/>
      <c r="T4" s="80"/>
      <c r="U4" s="221"/>
      <c r="V4" s="333"/>
      <c r="W4" s="80"/>
      <c r="X4" s="80"/>
      <c r="Y4" s="80"/>
      <c r="Z4" s="80"/>
      <c r="AA4" s="80"/>
      <c r="AC4" s="1" t="s">
        <v>174</v>
      </c>
      <c r="AD4" s="1" t="s">
        <v>173</v>
      </c>
      <c r="AE4" s="1" t="s">
        <v>299</v>
      </c>
      <c r="AF4" s="1" t="s">
        <v>175</v>
      </c>
      <c r="AH4" s="80"/>
      <c r="AI4" s="221"/>
      <c r="AJ4" s="333"/>
      <c r="AK4" s="80"/>
      <c r="AL4" s="80"/>
      <c r="AM4" s="80"/>
      <c r="AN4" s="80"/>
      <c r="AO4" s="80"/>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N4" s="80"/>
      <c r="CO4" s="221"/>
      <c r="CP4" s="333"/>
      <c r="CQ4" s="80"/>
      <c r="CR4" s="80"/>
      <c r="CS4" s="80"/>
      <c r="CT4" s="80"/>
      <c r="CU4" s="80"/>
      <c r="CW4" s="93"/>
      <c r="CX4" s="221"/>
      <c r="CY4" s="333"/>
      <c r="CZ4" s="93"/>
      <c r="DA4" s="93"/>
      <c r="DB4" s="93"/>
      <c r="DC4" s="93"/>
      <c r="DD4" s="93"/>
      <c r="DF4" s="80"/>
      <c r="DG4" s="221"/>
      <c r="DH4" s="333"/>
      <c r="DI4" s="80"/>
      <c r="DJ4" s="80"/>
      <c r="DK4" s="80"/>
      <c r="DL4" s="80"/>
      <c r="DM4" s="80"/>
    </row>
    <row r="5" spans="2:124" ht="75" collapsed="1" x14ac:dyDescent="0.25">
      <c r="J5" s="826" t="s">
        <v>387</v>
      </c>
      <c r="K5" s="827"/>
      <c r="L5" s="827"/>
      <c r="M5" s="827"/>
      <c r="N5" s="827"/>
      <c r="O5" s="827"/>
      <c r="P5" s="827"/>
      <c r="Q5" s="828"/>
      <c r="R5" s="9" t="s">
        <v>379</v>
      </c>
      <c r="T5" s="826" t="s">
        <v>388</v>
      </c>
      <c r="U5" s="827"/>
      <c r="V5" s="827"/>
      <c r="W5" s="827"/>
      <c r="X5" s="827"/>
      <c r="Y5" s="827"/>
      <c r="Z5" s="827"/>
      <c r="AA5" s="828"/>
      <c r="AC5" s="9" t="s">
        <v>383</v>
      </c>
      <c r="AD5" s="9" t="s">
        <v>384</v>
      </c>
      <c r="AE5" s="9" t="s">
        <v>385</v>
      </c>
      <c r="AF5" s="9" t="s">
        <v>386</v>
      </c>
      <c r="AG5" s="57"/>
      <c r="AH5" s="826" t="s">
        <v>174</v>
      </c>
      <c r="AI5" s="827"/>
      <c r="AJ5" s="827"/>
      <c r="AK5" s="827"/>
      <c r="AL5" s="827"/>
      <c r="AM5" s="827"/>
      <c r="AN5" s="827"/>
      <c r="AO5" s="828"/>
      <c r="AP5" s="57"/>
      <c r="AQ5" s="9" t="s">
        <v>180</v>
      </c>
      <c r="AR5" s="9" t="s">
        <v>181</v>
      </c>
      <c r="AS5" s="9" t="s">
        <v>182</v>
      </c>
      <c r="AT5" s="9" t="s">
        <v>183</v>
      </c>
      <c r="AU5" s="9" t="s">
        <v>5</v>
      </c>
      <c r="AV5" s="9" t="s">
        <v>173</v>
      </c>
      <c r="AW5" s="9" t="s">
        <v>180</v>
      </c>
      <c r="AX5" s="9" t="s">
        <v>181</v>
      </c>
      <c r="AY5" s="9" t="s">
        <v>182</v>
      </c>
      <c r="AZ5" s="9" t="s">
        <v>183</v>
      </c>
      <c r="BA5" s="9" t="s">
        <v>5</v>
      </c>
      <c r="BB5" s="9" t="s">
        <v>173</v>
      </c>
      <c r="BC5" s="9" t="s">
        <v>180</v>
      </c>
      <c r="BD5" s="9" t="s">
        <v>181</v>
      </c>
      <c r="BE5" s="9" t="s">
        <v>182</v>
      </c>
      <c r="BF5" s="9" t="s">
        <v>183</v>
      </c>
      <c r="BG5" s="9" t="s">
        <v>5</v>
      </c>
      <c r="BH5" s="9" t="s">
        <v>173</v>
      </c>
      <c r="BI5" s="9" t="s">
        <v>180</v>
      </c>
      <c r="BJ5" s="9" t="s">
        <v>181</v>
      </c>
      <c r="BK5" s="9" t="s">
        <v>182</v>
      </c>
      <c r="BL5" s="9" t="s">
        <v>183</v>
      </c>
      <c r="BM5" s="9" t="s">
        <v>5</v>
      </c>
      <c r="BN5" s="9" t="s">
        <v>173</v>
      </c>
      <c r="BO5" s="9" t="s">
        <v>180</v>
      </c>
      <c r="BP5" s="9" t="s">
        <v>181</v>
      </c>
      <c r="BQ5" s="9" t="s">
        <v>182</v>
      </c>
      <c r="BR5" s="9" t="s">
        <v>183</v>
      </c>
      <c r="BS5" s="9" t="s">
        <v>5</v>
      </c>
      <c r="BT5" s="9" t="s">
        <v>173</v>
      </c>
      <c r="BU5" s="9" t="s">
        <v>180</v>
      </c>
      <c r="BV5" s="9" t="s">
        <v>181</v>
      </c>
      <c r="BW5" s="9" t="s">
        <v>182</v>
      </c>
      <c r="BX5" s="9" t="s">
        <v>183</v>
      </c>
      <c r="BY5" s="9" t="s">
        <v>5</v>
      </c>
      <c r="BZ5" s="9" t="s">
        <v>173</v>
      </c>
      <c r="CA5" s="9" t="s">
        <v>180</v>
      </c>
      <c r="CB5" s="9" t="s">
        <v>181</v>
      </c>
      <c r="CC5" s="9" t="s">
        <v>182</v>
      </c>
      <c r="CD5" s="9" t="s">
        <v>183</v>
      </c>
      <c r="CE5" s="9" t="s">
        <v>5</v>
      </c>
      <c r="CF5" s="9" t="s">
        <v>173</v>
      </c>
      <c r="CG5" s="9" t="s">
        <v>180</v>
      </c>
      <c r="CH5" s="9" t="s">
        <v>181</v>
      </c>
      <c r="CI5" s="9" t="s">
        <v>182</v>
      </c>
      <c r="CJ5" s="9" t="s">
        <v>183</v>
      </c>
      <c r="CK5" s="9" t="s">
        <v>5</v>
      </c>
      <c r="CL5" s="9" t="s">
        <v>173</v>
      </c>
      <c r="CM5" s="57"/>
      <c r="CN5" s="826" t="s">
        <v>299</v>
      </c>
      <c r="CO5" s="827"/>
      <c r="CP5" s="827"/>
      <c r="CQ5" s="827"/>
      <c r="CR5" s="827"/>
      <c r="CS5" s="827"/>
      <c r="CT5" s="827"/>
      <c r="CU5" s="828"/>
      <c r="CV5" s="57"/>
      <c r="CW5" s="826" t="s">
        <v>175</v>
      </c>
      <c r="CX5" s="827"/>
      <c r="CY5" s="827"/>
      <c r="CZ5" s="827"/>
      <c r="DA5" s="827"/>
      <c r="DB5" s="827"/>
      <c r="DC5" s="827"/>
      <c r="DD5" s="828"/>
      <c r="DE5" s="57"/>
      <c r="DF5" s="826" t="s">
        <v>381</v>
      </c>
      <c r="DG5" s="827"/>
      <c r="DH5" s="827"/>
      <c r="DI5" s="827"/>
      <c r="DJ5" s="827"/>
      <c r="DK5" s="827"/>
      <c r="DL5" s="827"/>
      <c r="DM5" s="828"/>
    </row>
    <row r="6" spans="2:124" x14ac:dyDescent="0.25">
      <c r="B6" s="8" t="s">
        <v>23</v>
      </c>
      <c r="C6" s="8" t="s">
        <v>24</v>
      </c>
      <c r="D6" s="17" t="s">
        <v>98</v>
      </c>
      <c r="E6" s="17" t="s">
        <v>76</v>
      </c>
      <c r="F6" s="17" t="s">
        <v>77</v>
      </c>
      <c r="G6" s="17" t="s">
        <v>324</v>
      </c>
      <c r="H6" s="17" t="s">
        <v>212</v>
      </c>
      <c r="I6" s="17" t="s">
        <v>177</v>
      </c>
      <c r="J6" s="335">
        <f>CP_Yr_4</f>
        <v>43800</v>
      </c>
      <c r="K6" s="335">
        <f>CP_Yr_5</f>
        <v>44166</v>
      </c>
      <c r="L6" s="335">
        <f>Stub</f>
        <v>44377</v>
      </c>
      <c r="M6" s="335">
        <f>Yr_1</f>
        <v>44742</v>
      </c>
      <c r="N6" s="335">
        <f>Yr_2</f>
        <v>45107</v>
      </c>
      <c r="O6" s="335">
        <f>Yr_3</f>
        <v>45473</v>
      </c>
      <c r="P6" s="335">
        <f>Yr_4</f>
        <v>45838</v>
      </c>
      <c r="Q6" s="335">
        <f>Yr_5</f>
        <v>46203</v>
      </c>
      <c r="R6" s="17"/>
      <c r="T6" s="335">
        <f>CP_Yr_4</f>
        <v>43800</v>
      </c>
      <c r="U6" s="335">
        <f>CP_Yr_5</f>
        <v>44166</v>
      </c>
      <c r="V6" s="335">
        <f>Stub</f>
        <v>44377</v>
      </c>
      <c r="W6" s="335">
        <f>Yr_1</f>
        <v>44742</v>
      </c>
      <c r="X6" s="335">
        <f>Yr_2</f>
        <v>45107</v>
      </c>
      <c r="Y6" s="335">
        <f>Yr_3</f>
        <v>45473</v>
      </c>
      <c r="Z6" s="335">
        <f>Yr_4</f>
        <v>45838</v>
      </c>
      <c r="AA6" s="335">
        <f>Yr_5</f>
        <v>46203</v>
      </c>
      <c r="AB6" s="336"/>
      <c r="AC6" s="335"/>
      <c r="AD6" s="335"/>
      <c r="AE6" s="335"/>
      <c r="AF6" s="335"/>
      <c r="AG6" s="223"/>
      <c r="AH6" s="335">
        <f>CP_Yr_4</f>
        <v>43800</v>
      </c>
      <c r="AI6" s="335">
        <f>CP_Yr_5</f>
        <v>44166</v>
      </c>
      <c r="AJ6" s="335">
        <f>Stub</f>
        <v>44377</v>
      </c>
      <c r="AK6" s="335">
        <f>Yr_1</f>
        <v>44742</v>
      </c>
      <c r="AL6" s="335">
        <f>Yr_2</f>
        <v>45107</v>
      </c>
      <c r="AM6" s="335">
        <f>Yr_3</f>
        <v>45473</v>
      </c>
      <c r="AN6" s="335">
        <f>Yr_4</f>
        <v>45838</v>
      </c>
      <c r="AO6" s="335">
        <f>Yr_5</f>
        <v>46203</v>
      </c>
      <c r="AP6" s="336"/>
      <c r="AQ6" s="335">
        <f t="shared" ref="AQ6:AV6" si="0">CP_Yr_4</f>
        <v>43800</v>
      </c>
      <c r="AR6" s="335">
        <f t="shared" si="0"/>
        <v>43800</v>
      </c>
      <c r="AS6" s="335">
        <f t="shared" si="0"/>
        <v>43800</v>
      </c>
      <c r="AT6" s="335">
        <f t="shared" si="0"/>
        <v>43800</v>
      </c>
      <c r="AU6" s="335">
        <f t="shared" si="0"/>
        <v>43800</v>
      </c>
      <c r="AV6" s="335">
        <f t="shared" si="0"/>
        <v>43800</v>
      </c>
      <c r="AW6" s="335">
        <f t="shared" ref="AW6:BB6" si="1">CP_Yr_5</f>
        <v>44166</v>
      </c>
      <c r="AX6" s="335">
        <f t="shared" si="1"/>
        <v>44166</v>
      </c>
      <c r="AY6" s="335">
        <f t="shared" si="1"/>
        <v>44166</v>
      </c>
      <c r="AZ6" s="335">
        <f t="shared" si="1"/>
        <v>44166</v>
      </c>
      <c r="BA6" s="335">
        <f t="shared" si="1"/>
        <v>44166</v>
      </c>
      <c r="BB6" s="335">
        <f t="shared" si="1"/>
        <v>44166</v>
      </c>
      <c r="BC6" s="335">
        <f t="shared" ref="BC6:BH6" si="2">Stub</f>
        <v>44377</v>
      </c>
      <c r="BD6" s="335">
        <f t="shared" si="2"/>
        <v>44377</v>
      </c>
      <c r="BE6" s="335">
        <f t="shared" si="2"/>
        <v>44377</v>
      </c>
      <c r="BF6" s="335">
        <f t="shared" si="2"/>
        <v>44377</v>
      </c>
      <c r="BG6" s="335">
        <f t="shared" si="2"/>
        <v>44377</v>
      </c>
      <c r="BH6" s="335">
        <f t="shared" si="2"/>
        <v>44377</v>
      </c>
      <c r="BI6" s="335">
        <f t="shared" ref="BI6:BN6" si="3">Yr_1</f>
        <v>44742</v>
      </c>
      <c r="BJ6" s="335">
        <f t="shared" si="3"/>
        <v>44742</v>
      </c>
      <c r="BK6" s="335">
        <f t="shared" si="3"/>
        <v>44742</v>
      </c>
      <c r="BL6" s="335">
        <f t="shared" si="3"/>
        <v>44742</v>
      </c>
      <c r="BM6" s="335">
        <f t="shared" si="3"/>
        <v>44742</v>
      </c>
      <c r="BN6" s="335">
        <f t="shared" si="3"/>
        <v>44742</v>
      </c>
      <c r="BO6" s="335">
        <f t="shared" ref="BO6:BT6" si="4">Yr_2</f>
        <v>45107</v>
      </c>
      <c r="BP6" s="335">
        <f t="shared" si="4"/>
        <v>45107</v>
      </c>
      <c r="BQ6" s="335">
        <f t="shared" si="4"/>
        <v>45107</v>
      </c>
      <c r="BR6" s="335">
        <f t="shared" si="4"/>
        <v>45107</v>
      </c>
      <c r="BS6" s="335">
        <f t="shared" si="4"/>
        <v>45107</v>
      </c>
      <c r="BT6" s="335">
        <f t="shared" si="4"/>
        <v>45107</v>
      </c>
      <c r="BU6" s="335">
        <f t="shared" ref="BU6:BZ6" si="5">Yr_3</f>
        <v>45473</v>
      </c>
      <c r="BV6" s="335">
        <f t="shared" si="5"/>
        <v>45473</v>
      </c>
      <c r="BW6" s="335">
        <f t="shared" si="5"/>
        <v>45473</v>
      </c>
      <c r="BX6" s="335">
        <f t="shared" si="5"/>
        <v>45473</v>
      </c>
      <c r="BY6" s="335">
        <f t="shared" si="5"/>
        <v>45473</v>
      </c>
      <c r="BZ6" s="335">
        <f t="shared" si="5"/>
        <v>45473</v>
      </c>
      <c r="CA6" s="335">
        <f t="shared" ref="CA6:CF6" si="6">Yr_4</f>
        <v>45838</v>
      </c>
      <c r="CB6" s="335">
        <f t="shared" si="6"/>
        <v>45838</v>
      </c>
      <c r="CC6" s="335">
        <f t="shared" si="6"/>
        <v>45838</v>
      </c>
      <c r="CD6" s="335">
        <f t="shared" si="6"/>
        <v>45838</v>
      </c>
      <c r="CE6" s="335">
        <f t="shared" si="6"/>
        <v>45838</v>
      </c>
      <c r="CF6" s="335">
        <f t="shared" si="6"/>
        <v>45838</v>
      </c>
      <c r="CG6" s="335">
        <f t="shared" ref="CG6:CL6" si="7">Yr_5</f>
        <v>46203</v>
      </c>
      <c r="CH6" s="335">
        <f t="shared" si="7"/>
        <v>46203</v>
      </c>
      <c r="CI6" s="335">
        <f t="shared" si="7"/>
        <v>46203</v>
      </c>
      <c r="CJ6" s="335">
        <f t="shared" si="7"/>
        <v>46203</v>
      </c>
      <c r="CK6" s="335">
        <f t="shared" si="7"/>
        <v>46203</v>
      </c>
      <c r="CL6" s="335">
        <f t="shared" si="7"/>
        <v>46203</v>
      </c>
      <c r="CM6" s="336"/>
      <c r="CN6" s="335">
        <f>CP_Yr_4</f>
        <v>43800</v>
      </c>
      <c r="CO6" s="335">
        <f>CP_Yr_5</f>
        <v>44166</v>
      </c>
      <c r="CP6" s="335">
        <f>Stub</f>
        <v>44377</v>
      </c>
      <c r="CQ6" s="335">
        <f>Yr_1</f>
        <v>44742</v>
      </c>
      <c r="CR6" s="335">
        <f>Yr_2</f>
        <v>45107</v>
      </c>
      <c r="CS6" s="335">
        <f>Yr_3</f>
        <v>45473</v>
      </c>
      <c r="CT6" s="335">
        <f>Yr_4</f>
        <v>45838</v>
      </c>
      <c r="CU6" s="335">
        <f>Yr_5</f>
        <v>46203</v>
      </c>
      <c r="CV6" s="336"/>
      <c r="CW6" s="335">
        <f>CP_Yr_4</f>
        <v>43800</v>
      </c>
      <c r="CX6" s="335">
        <f>CP_Yr_5</f>
        <v>44166</v>
      </c>
      <c r="CY6" s="335">
        <f>Stub</f>
        <v>44377</v>
      </c>
      <c r="CZ6" s="335">
        <f>Yr_1</f>
        <v>44742</v>
      </c>
      <c r="DA6" s="335">
        <f>Yr_2</f>
        <v>45107</v>
      </c>
      <c r="DB6" s="335">
        <f>Yr_3</f>
        <v>45473</v>
      </c>
      <c r="DC6" s="335">
        <f>Yr_4</f>
        <v>45838</v>
      </c>
      <c r="DD6" s="335">
        <f>Yr_5</f>
        <v>46203</v>
      </c>
      <c r="DE6" s="336"/>
      <c r="DF6" s="335">
        <f>CP_Yr_4</f>
        <v>43800</v>
      </c>
      <c r="DG6" s="335">
        <f>CP_Yr_5</f>
        <v>44166</v>
      </c>
      <c r="DH6" s="335">
        <f>Stub</f>
        <v>44377</v>
      </c>
      <c r="DI6" s="335">
        <f>Yr_1</f>
        <v>44742</v>
      </c>
      <c r="DJ6" s="335">
        <f>Yr_2</f>
        <v>45107</v>
      </c>
      <c r="DK6" s="335">
        <f>Yr_3</f>
        <v>45473</v>
      </c>
      <c r="DL6" s="335">
        <f>Yr_4</f>
        <v>45838</v>
      </c>
      <c r="DM6" s="335">
        <f>Yr_5</f>
        <v>46203</v>
      </c>
    </row>
    <row r="7" spans="2:124" x14ac:dyDescent="0.25">
      <c r="B7" s="7"/>
      <c r="C7" s="7" t="s">
        <v>82</v>
      </c>
      <c r="D7" s="7" t="s">
        <v>106</v>
      </c>
      <c r="E7" s="7" t="s">
        <v>44</v>
      </c>
      <c r="F7" s="7" t="s">
        <v>130</v>
      </c>
      <c r="G7" s="7" t="s">
        <v>150</v>
      </c>
      <c r="H7" s="7" t="s">
        <v>5</v>
      </c>
      <c r="I7" s="7" t="s">
        <v>209</v>
      </c>
      <c r="J7" s="7"/>
      <c r="K7" s="7"/>
      <c r="L7" s="7"/>
      <c r="M7" s="255"/>
      <c r="N7" s="255"/>
      <c r="O7" s="255"/>
      <c r="P7" s="255"/>
      <c r="Q7" s="255"/>
      <c r="R7" s="540"/>
      <c r="S7" s="241"/>
      <c r="T7" s="539"/>
      <c r="U7" s="539"/>
      <c r="V7" s="539"/>
      <c r="W7" s="539"/>
      <c r="X7" s="539"/>
      <c r="Y7" s="539"/>
      <c r="Z7" s="539"/>
      <c r="AA7" s="539"/>
      <c r="AB7" s="241"/>
      <c r="AC7" s="540"/>
      <c r="AD7" s="540"/>
      <c r="AE7" s="540"/>
      <c r="AF7" s="540"/>
      <c r="AG7" s="241"/>
      <c r="AH7" s="539"/>
      <c r="AI7" s="539"/>
      <c r="AJ7" s="539"/>
      <c r="AK7" s="539"/>
      <c r="AL7" s="539"/>
      <c r="AM7" s="539"/>
      <c r="AN7" s="539"/>
      <c r="AO7" s="539"/>
      <c r="AP7" s="241"/>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241"/>
      <c r="CN7" s="539"/>
      <c r="CO7" s="539"/>
      <c r="CP7" s="539"/>
      <c r="CQ7" s="539"/>
      <c r="CR7" s="539"/>
      <c r="CS7" s="539"/>
      <c r="CT7" s="539"/>
      <c r="CU7" s="539"/>
      <c r="CV7" s="241"/>
      <c r="CW7" s="540"/>
      <c r="CX7" s="540"/>
      <c r="CY7" s="540"/>
      <c r="CZ7" s="540"/>
      <c r="DA7" s="540"/>
      <c r="DB7" s="540"/>
      <c r="DC7" s="540"/>
      <c r="DD7" s="540"/>
      <c r="DE7" s="241"/>
      <c r="DF7" s="539"/>
      <c r="DG7" s="539"/>
      <c r="DH7" s="539"/>
      <c r="DI7" s="539"/>
      <c r="DJ7" s="539"/>
      <c r="DK7" s="539"/>
      <c r="DL7" s="539"/>
      <c r="DM7" s="539"/>
      <c r="DO7" s="39"/>
      <c r="DP7" s="39"/>
      <c r="DQ7" s="39"/>
      <c r="DR7" s="39"/>
      <c r="DS7" s="39"/>
      <c r="DT7" s="39"/>
    </row>
    <row r="8" spans="2:124" x14ac:dyDescent="0.25">
      <c r="B8" s="7"/>
      <c r="C8" s="7" t="s">
        <v>83</v>
      </c>
      <c r="D8" s="7" t="s">
        <v>106</v>
      </c>
      <c r="E8" s="7" t="s">
        <v>44</v>
      </c>
      <c r="F8" s="7" t="s">
        <v>130</v>
      </c>
      <c r="G8" s="7" t="s">
        <v>150</v>
      </c>
      <c r="H8" s="7" t="s">
        <v>5</v>
      </c>
      <c r="I8" s="7" t="s">
        <v>209</v>
      </c>
      <c r="J8" s="7"/>
      <c r="K8" s="7"/>
      <c r="L8" s="7"/>
      <c r="M8" s="255"/>
      <c r="N8" s="255"/>
      <c r="O8" s="255"/>
      <c r="P8" s="255"/>
      <c r="Q8" s="255"/>
      <c r="R8" s="540"/>
      <c r="S8" s="241"/>
      <c r="T8" s="539"/>
      <c r="U8" s="539"/>
      <c r="V8" s="539"/>
      <c r="W8" s="539"/>
      <c r="X8" s="539"/>
      <c r="Y8" s="539"/>
      <c r="Z8" s="539"/>
      <c r="AA8" s="539"/>
      <c r="AB8" s="241"/>
      <c r="AC8" s="540"/>
      <c r="AD8" s="540"/>
      <c r="AE8" s="540"/>
      <c r="AF8" s="540"/>
      <c r="AG8" s="241"/>
      <c r="AH8" s="539"/>
      <c r="AI8" s="539"/>
      <c r="AJ8" s="539"/>
      <c r="AK8" s="539"/>
      <c r="AL8" s="539"/>
      <c r="AM8" s="539"/>
      <c r="AN8" s="539"/>
      <c r="AO8" s="539"/>
      <c r="AP8" s="241"/>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241"/>
      <c r="CN8" s="539"/>
      <c r="CO8" s="539"/>
      <c r="CP8" s="539"/>
      <c r="CQ8" s="539"/>
      <c r="CR8" s="539"/>
      <c r="CS8" s="539"/>
      <c r="CT8" s="539"/>
      <c r="CU8" s="539"/>
      <c r="CV8" s="241"/>
      <c r="CW8" s="540"/>
      <c r="CX8" s="540"/>
      <c r="CY8" s="540"/>
      <c r="CZ8" s="540"/>
      <c r="DA8" s="540"/>
      <c r="DB8" s="540"/>
      <c r="DC8" s="540"/>
      <c r="DD8" s="540"/>
      <c r="DE8" s="241"/>
      <c r="DF8" s="539"/>
      <c r="DG8" s="539"/>
      <c r="DH8" s="539"/>
      <c r="DI8" s="539"/>
      <c r="DJ8" s="539"/>
      <c r="DK8" s="539"/>
      <c r="DL8" s="539"/>
      <c r="DM8" s="539"/>
      <c r="DO8" s="39"/>
      <c r="DP8" s="39"/>
      <c r="DQ8" s="39"/>
      <c r="DR8" s="39"/>
      <c r="DS8" s="39"/>
      <c r="DT8" s="39"/>
    </row>
    <row r="9" spans="2:124" x14ac:dyDescent="0.25">
      <c r="B9" s="7"/>
      <c r="C9" s="7"/>
      <c r="D9" s="7"/>
      <c r="E9" s="7"/>
      <c r="F9" s="7"/>
      <c r="G9" s="7"/>
      <c r="H9" s="7"/>
      <c r="I9" s="7"/>
      <c r="J9" s="7"/>
      <c r="K9" s="7"/>
      <c r="L9" s="7"/>
      <c r="M9" s="255"/>
      <c r="N9" s="255"/>
      <c r="O9" s="255"/>
      <c r="P9" s="255"/>
      <c r="Q9" s="255"/>
      <c r="R9" s="540"/>
      <c r="S9" s="241"/>
      <c r="T9" s="539"/>
      <c r="U9" s="539"/>
      <c r="V9" s="539"/>
      <c r="W9" s="539"/>
      <c r="X9" s="539"/>
      <c r="Y9" s="539"/>
      <c r="Z9" s="539"/>
      <c r="AA9" s="539"/>
      <c r="AB9" s="241"/>
      <c r="AC9" s="540"/>
      <c r="AD9" s="540"/>
      <c r="AE9" s="540"/>
      <c r="AF9" s="540"/>
      <c r="AG9" s="241"/>
      <c r="AH9" s="539"/>
      <c r="AI9" s="539"/>
      <c r="AJ9" s="539"/>
      <c r="AK9" s="539"/>
      <c r="AL9" s="539"/>
      <c r="AM9" s="539"/>
      <c r="AN9" s="539"/>
      <c r="AO9" s="539"/>
      <c r="AP9" s="241"/>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241"/>
      <c r="CN9" s="539"/>
      <c r="CO9" s="539"/>
      <c r="CP9" s="539"/>
      <c r="CQ9" s="539"/>
      <c r="CR9" s="539"/>
      <c r="CS9" s="539"/>
      <c r="CT9" s="539"/>
      <c r="CU9" s="539"/>
      <c r="CV9" s="241"/>
      <c r="CW9" s="540"/>
      <c r="CX9" s="540"/>
      <c r="CY9" s="540"/>
      <c r="CZ9" s="540"/>
      <c r="DA9" s="540"/>
      <c r="DB9" s="540"/>
      <c r="DC9" s="540"/>
      <c r="DD9" s="540"/>
      <c r="DE9" s="241"/>
      <c r="DF9" s="539"/>
      <c r="DG9" s="539"/>
      <c r="DH9" s="539"/>
      <c r="DI9" s="539"/>
      <c r="DJ9" s="539"/>
      <c r="DK9" s="539"/>
      <c r="DL9" s="539"/>
      <c r="DM9" s="539"/>
      <c r="DO9" s="39"/>
      <c r="DP9" s="39"/>
      <c r="DQ9" s="39"/>
      <c r="DR9" s="39"/>
      <c r="DS9" s="39"/>
      <c r="DT9" s="39"/>
    </row>
    <row r="10" spans="2:124" x14ac:dyDescent="0.25">
      <c r="B10" s="7"/>
      <c r="C10" s="7" t="s">
        <v>476</v>
      </c>
      <c r="D10" s="7" t="s">
        <v>186</v>
      </c>
      <c r="E10" s="7" t="s">
        <v>44</v>
      </c>
      <c r="F10" s="7" t="s">
        <v>54</v>
      </c>
      <c r="G10" s="7" t="s">
        <v>150</v>
      </c>
      <c r="H10" s="7" t="s">
        <v>160</v>
      </c>
      <c r="I10" s="7" t="s">
        <v>186</v>
      </c>
      <c r="J10" s="7"/>
      <c r="K10" s="7"/>
      <c r="L10" s="7"/>
      <c r="M10" s="255"/>
      <c r="N10" s="255"/>
      <c r="O10" s="255"/>
      <c r="P10" s="255"/>
      <c r="Q10" s="255"/>
      <c r="R10" s="540"/>
      <c r="S10" s="241"/>
      <c r="T10" s="539"/>
      <c r="U10" s="539"/>
      <c r="V10" s="539"/>
      <c r="W10" s="539"/>
      <c r="X10" s="539"/>
      <c r="Y10" s="539"/>
      <c r="Z10" s="539"/>
      <c r="AA10" s="539"/>
      <c r="AB10" s="241"/>
      <c r="AC10" s="540"/>
      <c r="AD10" s="540"/>
      <c r="AE10" s="540"/>
      <c r="AF10" s="540"/>
      <c r="AG10" s="241"/>
      <c r="AH10" s="539"/>
      <c r="AI10" s="539"/>
      <c r="AJ10" s="539"/>
      <c r="AK10" s="539"/>
      <c r="AL10" s="539"/>
      <c r="AM10" s="539"/>
      <c r="AN10" s="539"/>
      <c r="AO10" s="539"/>
      <c r="AP10" s="241"/>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241"/>
      <c r="CN10" s="539"/>
      <c r="CO10" s="539"/>
      <c r="CP10" s="539"/>
      <c r="CQ10" s="539"/>
      <c r="CR10" s="539"/>
      <c r="CS10" s="539"/>
      <c r="CT10" s="539"/>
      <c r="CU10" s="539"/>
      <c r="CV10" s="241"/>
      <c r="CW10" s="540"/>
      <c r="CX10" s="540"/>
      <c r="CY10" s="540"/>
      <c r="CZ10" s="540"/>
      <c r="DA10" s="540"/>
      <c r="DB10" s="540"/>
      <c r="DC10" s="540"/>
      <c r="DD10" s="540"/>
      <c r="DE10" s="241"/>
      <c r="DF10" s="539"/>
      <c r="DG10" s="539"/>
      <c r="DH10" s="539"/>
      <c r="DI10" s="539"/>
      <c r="DJ10" s="539"/>
      <c r="DK10" s="539"/>
      <c r="DL10" s="539"/>
      <c r="DM10" s="539"/>
      <c r="DO10" s="39"/>
      <c r="DP10" s="39"/>
      <c r="DQ10" s="39"/>
      <c r="DR10" s="39"/>
      <c r="DS10" s="39"/>
      <c r="DT10" s="39"/>
    </row>
    <row r="11" spans="2:124" x14ac:dyDescent="0.25">
      <c r="B11" s="7"/>
      <c r="C11" s="7" t="s">
        <v>477</v>
      </c>
      <c r="D11" s="7" t="s">
        <v>186</v>
      </c>
      <c r="E11" s="7" t="s">
        <v>44</v>
      </c>
      <c r="F11" s="7" t="s">
        <v>54</v>
      </c>
      <c r="G11" s="7" t="s">
        <v>150</v>
      </c>
      <c r="H11" s="7" t="s">
        <v>160</v>
      </c>
      <c r="I11" s="7" t="s">
        <v>186</v>
      </c>
      <c r="J11" s="7"/>
      <c r="K11" s="7"/>
      <c r="L11" s="7"/>
      <c r="M11" s="255"/>
      <c r="N11" s="255"/>
      <c r="O11" s="255"/>
      <c r="P11" s="255"/>
      <c r="Q11" s="255"/>
      <c r="R11" s="540"/>
      <c r="S11" s="241"/>
      <c r="T11" s="539"/>
      <c r="U11" s="539"/>
      <c r="V11" s="539"/>
      <c r="W11" s="539"/>
      <c r="X11" s="539"/>
      <c r="Y11" s="539"/>
      <c r="Z11" s="539"/>
      <c r="AA11" s="539"/>
      <c r="AB11" s="241"/>
      <c r="AC11" s="540"/>
      <c r="AD11" s="540"/>
      <c r="AE11" s="540"/>
      <c r="AF11" s="540"/>
      <c r="AG11" s="241"/>
      <c r="AH11" s="539"/>
      <c r="AI11" s="539"/>
      <c r="AJ11" s="539"/>
      <c r="AK11" s="539"/>
      <c r="AL11" s="539"/>
      <c r="AM11" s="539"/>
      <c r="AN11" s="539"/>
      <c r="AO11" s="539"/>
      <c r="AP11" s="241"/>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241"/>
      <c r="CN11" s="539"/>
      <c r="CO11" s="539"/>
      <c r="CP11" s="539"/>
      <c r="CQ11" s="539"/>
      <c r="CR11" s="539"/>
      <c r="CS11" s="539"/>
      <c r="CT11" s="539"/>
      <c r="CU11" s="539"/>
      <c r="CV11" s="241"/>
      <c r="CW11" s="540"/>
      <c r="CX11" s="540"/>
      <c r="CY11" s="540"/>
      <c r="CZ11" s="540"/>
      <c r="DA11" s="540"/>
      <c r="DB11" s="540"/>
      <c r="DC11" s="540"/>
      <c r="DD11" s="540"/>
      <c r="DE11" s="241"/>
      <c r="DF11" s="539"/>
      <c r="DG11" s="539"/>
      <c r="DH11" s="539"/>
      <c r="DI11" s="539"/>
      <c r="DJ11" s="539"/>
      <c r="DK11" s="539"/>
      <c r="DL11" s="539"/>
      <c r="DM11" s="539"/>
      <c r="DO11" s="39"/>
      <c r="DP11" s="39"/>
      <c r="DQ11" s="39"/>
      <c r="DR11" s="39"/>
      <c r="DS11" s="39"/>
      <c r="DT11" s="39"/>
    </row>
    <row r="12" spans="2:124" x14ac:dyDescent="0.25">
      <c r="B12" s="7"/>
      <c r="C12" s="7" t="s">
        <v>472</v>
      </c>
      <c r="D12" s="7" t="s">
        <v>186</v>
      </c>
      <c r="E12" s="7" t="s">
        <v>44</v>
      </c>
      <c r="F12" s="7" t="s">
        <v>54</v>
      </c>
      <c r="G12" s="7" t="s">
        <v>150</v>
      </c>
      <c r="H12" s="7" t="s">
        <v>160</v>
      </c>
      <c r="I12" s="7" t="s">
        <v>186</v>
      </c>
      <c r="J12" s="7"/>
      <c r="K12" s="7"/>
      <c r="L12" s="7"/>
      <c r="M12" s="255"/>
      <c r="N12" s="255"/>
      <c r="O12" s="255"/>
      <c r="P12" s="255"/>
      <c r="Q12" s="255"/>
      <c r="R12" s="540"/>
      <c r="S12" s="241"/>
      <c r="T12" s="539"/>
      <c r="U12" s="539"/>
      <c r="V12" s="539"/>
      <c r="W12" s="539"/>
      <c r="X12" s="539"/>
      <c r="Y12" s="539"/>
      <c r="Z12" s="539"/>
      <c r="AA12" s="539"/>
      <c r="AB12" s="241"/>
      <c r="AC12" s="540"/>
      <c r="AD12" s="540"/>
      <c r="AE12" s="540"/>
      <c r="AF12" s="540"/>
      <c r="AG12" s="241"/>
      <c r="AH12" s="539"/>
      <c r="AI12" s="539"/>
      <c r="AJ12" s="539"/>
      <c r="AK12" s="539"/>
      <c r="AL12" s="539"/>
      <c r="AM12" s="539"/>
      <c r="AN12" s="539"/>
      <c r="AO12" s="539"/>
      <c r="AP12" s="241"/>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241"/>
      <c r="CN12" s="539"/>
      <c r="CO12" s="539"/>
      <c r="CP12" s="539"/>
      <c r="CQ12" s="539"/>
      <c r="CR12" s="539"/>
      <c r="CS12" s="539"/>
      <c r="CT12" s="539"/>
      <c r="CU12" s="539"/>
      <c r="CV12" s="241"/>
      <c r="CW12" s="540"/>
      <c r="CX12" s="540"/>
      <c r="CY12" s="540"/>
      <c r="CZ12" s="540"/>
      <c r="DA12" s="540"/>
      <c r="DB12" s="540"/>
      <c r="DC12" s="540"/>
      <c r="DD12" s="540"/>
      <c r="DE12" s="241"/>
      <c r="DF12" s="539"/>
      <c r="DG12" s="539"/>
      <c r="DH12" s="539"/>
      <c r="DI12" s="539"/>
      <c r="DJ12" s="539"/>
      <c r="DK12" s="539"/>
      <c r="DL12" s="539"/>
      <c r="DM12" s="539"/>
      <c r="DO12" s="39"/>
      <c r="DP12" s="39"/>
      <c r="DQ12" s="39"/>
      <c r="DR12" s="39"/>
      <c r="DS12" s="39"/>
      <c r="DT12" s="39"/>
    </row>
    <row r="13" spans="2:124" x14ac:dyDescent="0.25">
      <c r="B13" s="7"/>
      <c r="C13" s="7" t="s">
        <v>473</v>
      </c>
      <c r="D13" s="7" t="s">
        <v>186</v>
      </c>
      <c r="E13" s="7" t="s">
        <v>44</v>
      </c>
      <c r="F13" s="7" t="s">
        <v>54</v>
      </c>
      <c r="G13" s="7" t="s">
        <v>150</v>
      </c>
      <c r="H13" s="7" t="s">
        <v>160</v>
      </c>
      <c r="I13" s="7" t="s">
        <v>186</v>
      </c>
      <c r="J13" s="7"/>
      <c r="K13" s="7"/>
      <c r="L13" s="7"/>
      <c r="M13" s="255"/>
      <c r="N13" s="255"/>
      <c r="O13" s="255"/>
      <c r="P13" s="255"/>
      <c r="Q13" s="255"/>
      <c r="R13" s="540"/>
      <c r="S13" s="241"/>
      <c r="T13" s="539"/>
      <c r="U13" s="539"/>
      <c r="V13" s="539"/>
      <c r="W13" s="539"/>
      <c r="X13" s="539"/>
      <c r="Y13" s="539"/>
      <c r="Z13" s="539"/>
      <c r="AA13" s="539"/>
      <c r="AB13" s="241"/>
      <c r="AC13" s="540"/>
      <c r="AD13" s="540"/>
      <c r="AE13" s="540"/>
      <c r="AF13" s="540"/>
      <c r="AG13" s="241"/>
      <c r="AH13" s="539"/>
      <c r="AI13" s="539"/>
      <c r="AJ13" s="539"/>
      <c r="AK13" s="539"/>
      <c r="AL13" s="539"/>
      <c r="AM13" s="539"/>
      <c r="AN13" s="539"/>
      <c r="AO13" s="539"/>
      <c r="AP13" s="241"/>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241"/>
      <c r="CN13" s="539"/>
      <c r="CO13" s="539"/>
      <c r="CP13" s="539"/>
      <c r="CQ13" s="539"/>
      <c r="CR13" s="539"/>
      <c r="CS13" s="539"/>
      <c r="CT13" s="539"/>
      <c r="CU13" s="539"/>
      <c r="CV13" s="241"/>
      <c r="CW13" s="540"/>
      <c r="CX13" s="540"/>
      <c r="CY13" s="540"/>
      <c r="CZ13" s="540"/>
      <c r="DA13" s="540"/>
      <c r="DB13" s="540"/>
      <c r="DC13" s="540"/>
      <c r="DD13" s="540"/>
      <c r="DE13" s="241"/>
      <c r="DF13" s="539"/>
      <c r="DG13" s="539"/>
      <c r="DH13" s="539"/>
      <c r="DI13" s="539"/>
      <c r="DJ13" s="539"/>
      <c r="DK13" s="539"/>
      <c r="DL13" s="539"/>
      <c r="DM13" s="539"/>
      <c r="DO13" s="39"/>
      <c r="DP13" s="39"/>
      <c r="DQ13" s="39"/>
      <c r="DR13" s="39"/>
      <c r="DS13" s="39"/>
      <c r="DT13" s="39"/>
    </row>
    <row r="14" spans="2:124" x14ac:dyDescent="0.25">
      <c r="B14" s="7"/>
      <c r="C14" s="7" t="s">
        <v>446</v>
      </c>
      <c r="D14" s="7" t="s">
        <v>245</v>
      </c>
      <c r="E14" s="7" t="s">
        <v>44</v>
      </c>
      <c r="F14" s="7" t="s">
        <v>53</v>
      </c>
      <c r="G14" s="7" t="s">
        <v>150</v>
      </c>
      <c r="H14" s="7" t="s">
        <v>5</v>
      </c>
      <c r="I14" s="7" t="s">
        <v>245</v>
      </c>
      <c r="J14" s="7"/>
      <c r="K14" s="7"/>
      <c r="L14" s="7"/>
      <c r="M14" s="255"/>
      <c r="N14" s="255"/>
      <c r="O14" s="255"/>
      <c r="P14" s="255"/>
      <c r="Q14" s="255"/>
      <c r="R14" s="540"/>
      <c r="S14" s="241"/>
      <c r="T14" s="539"/>
      <c r="U14" s="539"/>
      <c r="V14" s="539"/>
      <c r="W14" s="539"/>
      <c r="X14" s="539"/>
      <c r="Y14" s="539"/>
      <c r="Z14" s="539"/>
      <c r="AA14" s="539"/>
      <c r="AB14" s="241"/>
      <c r="AC14" s="540"/>
      <c r="AD14" s="540"/>
      <c r="AE14" s="540"/>
      <c r="AF14" s="540"/>
      <c r="AG14" s="241"/>
      <c r="AH14" s="539"/>
      <c r="AI14" s="539"/>
      <c r="AJ14" s="539"/>
      <c r="AK14" s="539"/>
      <c r="AL14" s="539"/>
      <c r="AM14" s="539"/>
      <c r="AN14" s="539"/>
      <c r="AO14" s="539"/>
      <c r="AP14" s="241"/>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241"/>
      <c r="CN14" s="539"/>
      <c r="CO14" s="539"/>
      <c r="CP14" s="539"/>
      <c r="CQ14" s="539"/>
      <c r="CR14" s="539"/>
      <c r="CS14" s="539"/>
      <c r="CT14" s="539"/>
      <c r="CU14" s="539"/>
      <c r="CV14" s="241"/>
      <c r="CW14" s="540"/>
      <c r="CX14" s="540"/>
      <c r="CY14" s="540"/>
      <c r="CZ14" s="540"/>
      <c r="DA14" s="540"/>
      <c r="DB14" s="540"/>
      <c r="DC14" s="540"/>
      <c r="DD14" s="540"/>
      <c r="DE14" s="241"/>
      <c r="DF14" s="539"/>
      <c r="DG14" s="539"/>
      <c r="DH14" s="539"/>
      <c r="DI14" s="539"/>
      <c r="DJ14" s="539"/>
      <c r="DK14" s="539"/>
      <c r="DL14" s="539"/>
      <c r="DM14" s="539"/>
      <c r="DO14" s="39"/>
      <c r="DP14" s="39"/>
      <c r="DQ14" s="39"/>
      <c r="DR14" s="39"/>
      <c r="DS14" s="39"/>
      <c r="DT14" s="39"/>
    </row>
    <row r="15" spans="2:124" x14ac:dyDescent="0.25">
      <c r="B15" s="7"/>
      <c r="C15" s="7" t="s">
        <v>447</v>
      </c>
      <c r="D15" s="7" t="s">
        <v>474</v>
      </c>
      <c r="E15" s="7" t="s">
        <v>44</v>
      </c>
      <c r="F15" s="7" t="s">
        <v>53</v>
      </c>
      <c r="G15" s="7" t="s">
        <v>150</v>
      </c>
      <c r="H15" s="7" t="s">
        <v>5</v>
      </c>
      <c r="I15" s="7" t="s">
        <v>244</v>
      </c>
      <c r="J15" s="7"/>
      <c r="K15" s="7"/>
      <c r="L15" s="7"/>
      <c r="M15" s="255"/>
      <c r="N15" s="255"/>
      <c r="O15" s="255"/>
      <c r="P15" s="255"/>
      <c r="Q15" s="255"/>
      <c r="R15" s="540"/>
      <c r="S15" s="241"/>
      <c r="T15" s="539"/>
      <c r="U15" s="539"/>
      <c r="V15" s="539"/>
      <c r="W15" s="539"/>
      <c r="X15" s="539"/>
      <c r="Y15" s="539"/>
      <c r="Z15" s="539"/>
      <c r="AA15" s="539"/>
      <c r="AB15" s="241"/>
      <c r="AC15" s="540"/>
      <c r="AD15" s="540"/>
      <c r="AE15" s="540"/>
      <c r="AF15" s="540"/>
      <c r="AG15" s="241"/>
      <c r="AH15" s="539"/>
      <c r="AI15" s="539"/>
      <c r="AJ15" s="539"/>
      <c r="AK15" s="539"/>
      <c r="AL15" s="539"/>
      <c r="AM15" s="539"/>
      <c r="AN15" s="539"/>
      <c r="AO15" s="539"/>
      <c r="AP15" s="241"/>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241"/>
      <c r="CN15" s="539"/>
      <c r="CO15" s="539"/>
      <c r="CP15" s="539"/>
      <c r="CQ15" s="539"/>
      <c r="CR15" s="539"/>
      <c r="CS15" s="539"/>
      <c r="CT15" s="539"/>
      <c r="CU15" s="539"/>
      <c r="CV15" s="241"/>
      <c r="CW15" s="540"/>
      <c r="CX15" s="540"/>
      <c r="CY15" s="540"/>
      <c r="CZ15" s="540"/>
      <c r="DA15" s="540"/>
      <c r="DB15" s="540"/>
      <c r="DC15" s="540"/>
      <c r="DD15" s="540"/>
      <c r="DE15" s="241"/>
      <c r="DF15" s="539"/>
      <c r="DG15" s="539"/>
      <c r="DH15" s="539"/>
      <c r="DI15" s="539"/>
      <c r="DJ15" s="539"/>
      <c r="DK15" s="539"/>
      <c r="DL15" s="539"/>
      <c r="DM15" s="539"/>
      <c r="DO15" s="39"/>
      <c r="DP15" s="39"/>
      <c r="DQ15" s="39"/>
      <c r="DR15" s="39"/>
      <c r="DS15" s="39"/>
      <c r="DT15" s="39"/>
    </row>
    <row r="16" spans="2:124" x14ac:dyDescent="0.25">
      <c r="B16" s="7"/>
      <c r="C16" s="7" t="s">
        <v>84</v>
      </c>
      <c r="D16" s="7" t="s">
        <v>204</v>
      </c>
      <c r="E16" s="7" t="s">
        <v>44</v>
      </c>
      <c r="F16" s="7" t="s">
        <v>130</v>
      </c>
      <c r="G16" s="7" t="s">
        <v>150</v>
      </c>
      <c r="H16" s="7" t="s">
        <v>5</v>
      </c>
      <c r="I16" s="7" t="s">
        <v>204</v>
      </c>
      <c r="J16" s="7"/>
      <c r="K16" s="7"/>
      <c r="L16" s="7"/>
      <c r="M16" s="255"/>
      <c r="N16" s="255"/>
      <c r="O16" s="255"/>
      <c r="P16" s="255"/>
      <c r="Q16" s="255"/>
      <c r="R16" s="540"/>
      <c r="S16" s="241"/>
      <c r="T16" s="539"/>
      <c r="U16" s="539"/>
      <c r="V16" s="539"/>
      <c r="W16" s="539"/>
      <c r="X16" s="539"/>
      <c r="Y16" s="539"/>
      <c r="Z16" s="539"/>
      <c r="AA16" s="539"/>
      <c r="AB16" s="241"/>
      <c r="AC16" s="540"/>
      <c r="AD16" s="540"/>
      <c r="AE16" s="540"/>
      <c r="AF16" s="540"/>
      <c r="AG16" s="241"/>
      <c r="AH16" s="539"/>
      <c r="AI16" s="539"/>
      <c r="AJ16" s="539"/>
      <c r="AK16" s="539"/>
      <c r="AL16" s="539"/>
      <c r="AM16" s="539"/>
      <c r="AN16" s="539"/>
      <c r="AO16" s="539"/>
      <c r="AP16" s="241"/>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241"/>
      <c r="CN16" s="539"/>
      <c r="CO16" s="539"/>
      <c r="CP16" s="539"/>
      <c r="CQ16" s="539"/>
      <c r="CR16" s="539"/>
      <c r="CS16" s="539"/>
      <c r="CT16" s="539"/>
      <c r="CU16" s="539"/>
      <c r="CV16" s="241"/>
      <c r="CW16" s="540"/>
      <c r="CX16" s="540"/>
      <c r="CY16" s="540"/>
      <c r="CZ16" s="540"/>
      <c r="DA16" s="540"/>
      <c r="DB16" s="540"/>
      <c r="DC16" s="540"/>
      <c r="DD16" s="540"/>
      <c r="DE16" s="241"/>
      <c r="DF16" s="539"/>
      <c r="DG16" s="539"/>
      <c r="DH16" s="539"/>
      <c r="DI16" s="539"/>
      <c r="DJ16" s="539"/>
      <c r="DK16" s="539"/>
      <c r="DL16" s="539"/>
      <c r="DM16" s="539"/>
      <c r="DO16" s="39"/>
      <c r="DP16" s="39"/>
      <c r="DQ16" s="39"/>
      <c r="DR16" s="39"/>
      <c r="DS16" s="39"/>
      <c r="DT16" s="39"/>
    </row>
    <row r="17" spans="2:119" x14ac:dyDescent="0.25">
      <c r="B17" s="7"/>
      <c r="C17" s="7" t="s">
        <v>258</v>
      </c>
      <c r="D17" s="7" t="s">
        <v>249</v>
      </c>
      <c r="E17" s="7" t="s">
        <v>44</v>
      </c>
      <c r="F17" s="7" t="s">
        <v>54</v>
      </c>
      <c r="G17" s="7" t="s">
        <v>150</v>
      </c>
      <c r="H17" s="7" t="s">
        <v>160</v>
      </c>
      <c r="I17" s="7" t="s">
        <v>249</v>
      </c>
      <c r="J17" s="7"/>
      <c r="K17" s="7"/>
      <c r="L17" s="7"/>
      <c r="M17" s="255"/>
      <c r="N17" s="255"/>
      <c r="O17" s="255"/>
      <c r="P17" s="255"/>
      <c r="Q17" s="255"/>
      <c r="R17" s="540"/>
      <c r="S17" s="241"/>
      <c r="T17" s="539"/>
      <c r="U17" s="539"/>
      <c r="V17" s="539"/>
      <c r="W17" s="539"/>
      <c r="X17" s="539"/>
      <c r="Y17" s="539"/>
      <c r="Z17" s="539"/>
      <c r="AA17" s="539"/>
      <c r="AB17" s="241"/>
      <c r="AC17" s="540"/>
      <c r="AD17" s="540"/>
      <c r="AE17" s="540"/>
      <c r="AF17" s="540"/>
      <c r="AG17" s="241"/>
      <c r="AH17" s="539"/>
      <c r="AI17" s="539"/>
      <c r="AJ17" s="539"/>
      <c r="AK17" s="539"/>
      <c r="AL17" s="539"/>
      <c r="AM17" s="539"/>
      <c r="AN17" s="539"/>
      <c r="AO17" s="539"/>
      <c r="AP17" s="241"/>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241"/>
      <c r="CN17" s="539"/>
      <c r="CO17" s="539"/>
      <c r="CP17" s="539"/>
      <c r="CQ17" s="539"/>
      <c r="CR17" s="539"/>
      <c r="CS17" s="539"/>
      <c r="CT17" s="539"/>
      <c r="CU17" s="539"/>
      <c r="CV17" s="241"/>
      <c r="CW17" s="540"/>
      <c r="CX17" s="540"/>
      <c r="CY17" s="540"/>
      <c r="CZ17" s="540"/>
      <c r="DA17" s="540"/>
      <c r="DB17" s="540"/>
      <c r="DC17" s="540"/>
      <c r="DD17" s="540"/>
      <c r="DE17" s="241"/>
      <c r="DF17" s="539"/>
      <c r="DG17" s="539"/>
      <c r="DH17" s="539"/>
      <c r="DI17" s="539"/>
      <c r="DJ17" s="539"/>
      <c r="DK17" s="539"/>
      <c r="DL17" s="539"/>
      <c r="DM17" s="539"/>
      <c r="DO17" s="39"/>
    </row>
    <row r="18" spans="2:119" x14ac:dyDescent="0.25">
      <c r="B18" s="7"/>
      <c r="C18" s="7" t="s">
        <v>470</v>
      </c>
      <c r="D18" s="7" t="s">
        <v>249</v>
      </c>
      <c r="E18" s="7" t="s">
        <v>44</v>
      </c>
      <c r="F18" s="7" t="s">
        <v>54</v>
      </c>
      <c r="G18" s="7" t="s">
        <v>150</v>
      </c>
      <c r="H18" s="7" t="s">
        <v>160</v>
      </c>
      <c r="I18" s="7" t="s">
        <v>249</v>
      </c>
      <c r="J18" s="7"/>
      <c r="K18" s="7"/>
      <c r="L18" s="7"/>
      <c r="M18" s="255"/>
      <c r="N18" s="255"/>
      <c r="O18" s="255"/>
      <c r="P18" s="255"/>
      <c r="Q18" s="255"/>
      <c r="R18" s="540"/>
      <c r="S18" s="241"/>
      <c r="T18" s="539"/>
      <c r="U18" s="539"/>
      <c r="V18" s="539"/>
      <c r="W18" s="539"/>
      <c r="X18" s="539"/>
      <c r="Y18" s="539"/>
      <c r="Z18" s="539"/>
      <c r="AA18" s="539"/>
      <c r="AB18" s="241"/>
      <c r="AC18" s="540"/>
      <c r="AD18" s="540"/>
      <c r="AE18" s="540"/>
      <c r="AF18" s="540"/>
      <c r="AG18" s="241"/>
      <c r="AH18" s="539"/>
      <c r="AI18" s="539"/>
      <c r="AJ18" s="539"/>
      <c r="AK18" s="539"/>
      <c r="AL18" s="539"/>
      <c r="AM18" s="539"/>
      <c r="AN18" s="539"/>
      <c r="AO18" s="539"/>
      <c r="AP18" s="241"/>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241"/>
      <c r="CN18" s="539"/>
      <c r="CO18" s="539"/>
      <c r="CP18" s="539"/>
      <c r="CQ18" s="539"/>
      <c r="CR18" s="539"/>
      <c r="CS18" s="539"/>
      <c r="CT18" s="539"/>
      <c r="CU18" s="539"/>
      <c r="CV18" s="241"/>
      <c r="CW18" s="540"/>
      <c r="CX18" s="540"/>
      <c r="CY18" s="540"/>
      <c r="CZ18" s="540"/>
      <c r="DA18" s="540"/>
      <c r="DB18" s="540"/>
      <c r="DC18" s="540"/>
      <c r="DD18" s="540"/>
      <c r="DE18" s="241"/>
      <c r="DF18" s="539"/>
      <c r="DG18" s="539"/>
      <c r="DH18" s="539"/>
      <c r="DI18" s="539"/>
      <c r="DJ18" s="539"/>
      <c r="DK18" s="539"/>
      <c r="DL18" s="539"/>
      <c r="DM18" s="539"/>
      <c r="DO18" s="39"/>
    </row>
    <row r="19" spans="2:119" x14ac:dyDescent="0.25">
      <c r="B19" s="7"/>
      <c r="C19" s="7" t="s">
        <v>471</v>
      </c>
      <c r="D19" s="7" t="s">
        <v>249</v>
      </c>
      <c r="E19" s="7" t="s">
        <v>44</v>
      </c>
      <c r="F19" s="7" t="s">
        <v>54</v>
      </c>
      <c r="G19" s="7" t="s">
        <v>150</v>
      </c>
      <c r="H19" s="7" t="s">
        <v>160</v>
      </c>
      <c r="I19" s="7" t="s">
        <v>249</v>
      </c>
      <c r="J19" s="7"/>
      <c r="K19" s="7"/>
      <c r="L19" s="7"/>
      <c r="M19" s="255"/>
      <c r="N19" s="255"/>
      <c r="O19" s="255"/>
      <c r="P19" s="255"/>
      <c r="Q19" s="255"/>
      <c r="R19" s="540"/>
      <c r="S19" s="241"/>
      <c r="T19" s="539"/>
      <c r="U19" s="539"/>
      <c r="V19" s="539"/>
      <c r="W19" s="539"/>
      <c r="X19" s="539"/>
      <c r="Y19" s="539"/>
      <c r="Z19" s="539"/>
      <c r="AA19" s="539"/>
      <c r="AB19" s="241"/>
      <c r="AC19" s="540"/>
      <c r="AD19" s="540"/>
      <c r="AE19" s="540"/>
      <c r="AF19" s="540"/>
      <c r="AG19" s="241"/>
      <c r="AH19" s="539"/>
      <c r="AI19" s="539"/>
      <c r="AJ19" s="539"/>
      <c r="AK19" s="539"/>
      <c r="AL19" s="539"/>
      <c r="AM19" s="539"/>
      <c r="AN19" s="539"/>
      <c r="AO19" s="539"/>
      <c r="AP19" s="241"/>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241"/>
      <c r="CN19" s="539"/>
      <c r="CO19" s="539"/>
      <c r="CP19" s="539"/>
      <c r="CQ19" s="539"/>
      <c r="CR19" s="539"/>
      <c r="CS19" s="539"/>
      <c r="CT19" s="539"/>
      <c r="CU19" s="539"/>
      <c r="CV19" s="241"/>
      <c r="CW19" s="540"/>
      <c r="CX19" s="540"/>
      <c r="CY19" s="540"/>
      <c r="CZ19" s="540"/>
      <c r="DA19" s="540"/>
      <c r="DB19" s="540"/>
      <c r="DC19" s="540"/>
      <c r="DD19" s="540"/>
      <c r="DE19" s="241"/>
      <c r="DF19" s="539"/>
      <c r="DG19" s="539"/>
      <c r="DH19" s="539"/>
      <c r="DI19" s="539"/>
      <c r="DJ19" s="539"/>
      <c r="DK19" s="539"/>
      <c r="DL19" s="539"/>
      <c r="DM19" s="539"/>
      <c r="DO19" s="39"/>
    </row>
    <row r="20" spans="2:119" x14ac:dyDescent="0.25">
      <c r="B20" s="7"/>
      <c r="C20" s="7" t="s">
        <v>259</v>
      </c>
      <c r="D20" s="7" t="s">
        <v>246</v>
      </c>
      <c r="E20" s="7" t="s">
        <v>44</v>
      </c>
      <c r="F20" s="7" t="s">
        <v>130</v>
      </c>
      <c r="G20" s="7" t="s">
        <v>150</v>
      </c>
      <c r="H20" s="7" t="s">
        <v>5</v>
      </c>
      <c r="I20" s="7" t="s">
        <v>246</v>
      </c>
      <c r="J20" s="7"/>
      <c r="K20" s="7"/>
      <c r="L20" s="7"/>
      <c r="M20" s="255"/>
      <c r="N20" s="255"/>
      <c r="O20" s="255"/>
      <c r="P20" s="255"/>
      <c r="Q20" s="255"/>
      <c r="R20" s="540"/>
      <c r="S20" s="241"/>
      <c r="T20" s="539"/>
      <c r="U20" s="539"/>
      <c r="V20" s="539"/>
      <c r="W20" s="539"/>
      <c r="X20" s="539"/>
      <c r="Y20" s="539"/>
      <c r="Z20" s="539"/>
      <c r="AA20" s="539"/>
      <c r="AB20" s="241"/>
      <c r="AC20" s="540"/>
      <c r="AD20" s="540"/>
      <c r="AE20" s="540"/>
      <c r="AF20" s="540"/>
      <c r="AG20" s="241"/>
      <c r="AH20" s="539"/>
      <c r="AI20" s="539"/>
      <c r="AJ20" s="539"/>
      <c r="AK20" s="539"/>
      <c r="AL20" s="539"/>
      <c r="AM20" s="539"/>
      <c r="AN20" s="539"/>
      <c r="AO20" s="539"/>
      <c r="AP20" s="241"/>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241"/>
      <c r="CN20" s="539"/>
      <c r="CO20" s="539"/>
      <c r="CP20" s="539"/>
      <c r="CQ20" s="539"/>
      <c r="CR20" s="539"/>
      <c r="CS20" s="539"/>
      <c r="CT20" s="539"/>
      <c r="CU20" s="539"/>
      <c r="CV20" s="241"/>
      <c r="CW20" s="540"/>
      <c r="CX20" s="540"/>
      <c r="CY20" s="540"/>
      <c r="CZ20" s="540"/>
      <c r="DA20" s="540"/>
      <c r="DB20" s="540"/>
      <c r="DC20" s="540"/>
      <c r="DD20" s="540"/>
      <c r="DE20" s="241"/>
      <c r="DF20" s="539"/>
      <c r="DG20" s="539"/>
      <c r="DH20" s="539"/>
      <c r="DI20" s="539"/>
      <c r="DJ20" s="539"/>
      <c r="DK20" s="539"/>
      <c r="DL20" s="539"/>
      <c r="DM20" s="539"/>
      <c r="DO20" s="39"/>
    </row>
    <row r="21" spans="2:119" x14ac:dyDescent="0.25">
      <c r="B21" s="7"/>
      <c r="C21" s="7" t="s">
        <v>85</v>
      </c>
      <c r="D21" s="7" t="s">
        <v>247</v>
      </c>
      <c r="E21" s="7" t="s">
        <v>44</v>
      </c>
      <c r="F21" s="7" t="s">
        <v>130</v>
      </c>
      <c r="G21" s="7" t="s">
        <v>150</v>
      </c>
      <c r="H21" s="7" t="s">
        <v>5</v>
      </c>
      <c r="I21" s="7" t="s">
        <v>247</v>
      </c>
      <c r="J21" s="7"/>
      <c r="K21" s="7"/>
      <c r="L21" s="7"/>
      <c r="M21" s="255"/>
      <c r="N21" s="255"/>
      <c r="O21" s="255"/>
      <c r="P21" s="255"/>
      <c r="Q21" s="255"/>
      <c r="R21" s="540"/>
      <c r="S21" s="241"/>
      <c r="T21" s="539"/>
      <c r="U21" s="539"/>
      <c r="V21" s="539"/>
      <c r="W21" s="539"/>
      <c r="X21" s="539"/>
      <c r="Y21" s="539"/>
      <c r="Z21" s="539"/>
      <c r="AA21" s="539"/>
      <c r="AB21" s="241"/>
      <c r="AC21" s="540"/>
      <c r="AD21" s="540"/>
      <c r="AE21" s="540"/>
      <c r="AF21" s="540"/>
      <c r="AG21" s="241"/>
      <c r="AH21" s="539"/>
      <c r="AI21" s="539"/>
      <c r="AJ21" s="539"/>
      <c r="AK21" s="539"/>
      <c r="AL21" s="539"/>
      <c r="AM21" s="539"/>
      <c r="AN21" s="539"/>
      <c r="AO21" s="539"/>
      <c r="AP21" s="241"/>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241"/>
      <c r="CN21" s="539"/>
      <c r="CO21" s="539"/>
      <c r="CP21" s="539"/>
      <c r="CQ21" s="539"/>
      <c r="CR21" s="539"/>
      <c r="CS21" s="539"/>
      <c r="CT21" s="539"/>
      <c r="CU21" s="539"/>
      <c r="CV21" s="241"/>
      <c r="CW21" s="540"/>
      <c r="CX21" s="540"/>
      <c r="CY21" s="540"/>
      <c r="CZ21" s="540"/>
      <c r="DA21" s="540"/>
      <c r="DB21" s="540"/>
      <c r="DC21" s="540"/>
      <c r="DD21" s="540"/>
      <c r="DE21" s="241"/>
      <c r="DF21" s="539"/>
      <c r="DG21" s="539"/>
      <c r="DH21" s="539"/>
      <c r="DI21" s="539"/>
      <c r="DJ21" s="539"/>
      <c r="DK21" s="539"/>
      <c r="DL21" s="539"/>
      <c r="DM21" s="539"/>
      <c r="DO21" s="39"/>
    </row>
    <row r="22" spans="2:119" x14ac:dyDescent="0.25">
      <c r="B22" s="7"/>
      <c r="C22" s="7" t="s">
        <v>467</v>
      </c>
      <c r="D22" s="7" t="s">
        <v>247</v>
      </c>
      <c r="E22" s="7" t="s">
        <v>44</v>
      </c>
      <c r="F22" s="7" t="s">
        <v>130</v>
      </c>
      <c r="G22" s="7" t="s">
        <v>150</v>
      </c>
      <c r="H22" s="7" t="s">
        <v>5</v>
      </c>
      <c r="I22" s="7" t="s">
        <v>247</v>
      </c>
      <c r="J22" s="7"/>
      <c r="K22" s="7"/>
      <c r="L22" s="7"/>
      <c r="M22" s="255"/>
      <c r="N22" s="255"/>
      <c r="O22" s="255"/>
      <c r="P22" s="255"/>
      <c r="Q22" s="255"/>
      <c r="R22" s="540"/>
      <c r="S22" s="241"/>
      <c r="T22" s="539"/>
      <c r="U22" s="539"/>
      <c r="V22" s="539"/>
      <c r="W22" s="539"/>
      <c r="X22" s="539"/>
      <c r="Y22" s="539"/>
      <c r="Z22" s="539"/>
      <c r="AA22" s="539"/>
      <c r="AB22" s="241"/>
      <c r="AC22" s="540"/>
      <c r="AD22" s="540"/>
      <c r="AE22" s="540"/>
      <c r="AF22" s="540"/>
      <c r="AG22" s="241"/>
      <c r="AH22" s="539"/>
      <c r="AI22" s="539"/>
      <c r="AJ22" s="539"/>
      <c r="AK22" s="539"/>
      <c r="AL22" s="539"/>
      <c r="AM22" s="539"/>
      <c r="AN22" s="539"/>
      <c r="AO22" s="539"/>
      <c r="AP22" s="241"/>
      <c r="AQ22" s="255"/>
      <c r="AR22" s="255"/>
      <c r="AS22" s="255"/>
      <c r="AT22" s="255"/>
      <c r="AU22" s="255"/>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241"/>
      <c r="CN22" s="539"/>
      <c r="CO22" s="539"/>
      <c r="CP22" s="539"/>
      <c r="CQ22" s="539"/>
      <c r="CR22" s="539"/>
      <c r="CS22" s="539"/>
      <c r="CT22" s="539"/>
      <c r="CU22" s="539"/>
      <c r="CV22" s="241"/>
      <c r="CW22" s="540"/>
      <c r="CX22" s="540"/>
      <c r="CY22" s="540"/>
      <c r="CZ22" s="540"/>
      <c r="DA22" s="540"/>
      <c r="DB22" s="540"/>
      <c r="DC22" s="540"/>
      <c r="DD22" s="540"/>
      <c r="DE22" s="241"/>
      <c r="DF22" s="539"/>
      <c r="DG22" s="539"/>
      <c r="DH22" s="539"/>
      <c r="DI22" s="539"/>
      <c r="DJ22" s="539"/>
      <c r="DK22" s="539"/>
      <c r="DL22" s="539"/>
      <c r="DM22" s="539"/>
      <c r="DO22" s="39"/>
    </row>
    <row r="23" spans="2:119" x14ac:dyDescent="0.25">
      <c r="B23" s="7"/>
      <c r="C23" s="7" t="s">
        <v>448</v>
      </c>
      <c r="D23" s="7" t="s">
        <v>203</v>
      </c>
      <c r="E23" s="7" t="s">
        <v>44</v>
      </c>
      <c r="F23" s="7" t="s">
        <v>52</v>
      </c>
      <c r="G23" s="7" t="s">
        <v>150</v>
      </c>
      <c r="H23" s="7" t="s">
        <v>5</v>
      </c>
      <c r="I23" s="7" t="s">
        <v>203</v>
      </c>
      <c r="J23" s="7"/>
      <c r="K23" s="7"/>
      <c r="L23" s="7"/>
      <c r="M23" s="255"/>
      <c r="N23" s="255"/>
      <c r="O23" s="255"/>
      <c r="P23" s="255"/>
      <c r="Q23" s="255"/>
      <c r="R23" s="540"/>
      <c r="S23" s="241"/>
      <c r="T23" s="539"/>
      <c r="U23" s="539"/>
      <c r="V23" s="539"/>
      <c r="W23" s="539"/>
      <c r="X23" s="539"/>
      <c r="Y23" s="539"/>
      <c r="Z23" s="539"/>
      <c r="AA23" s="539"/>
      <c r="AB23" s="241"/>
      <c r="AC23" s="540"/>
      <c r="AD23" s="540"/>
      <c r="AE23" s="540"/>
      <c r="AF23" s="540"/>
      <c r="AG23" s="241"/>
      <c r="AH23" s="539"/>
      <c r="AI23" s="539"/>
      <c r="AJ23" s="539"/>
      <c r="AK23" s="539"/>
      <c r="AL23" s="539"/>
      <c r="AM23" s="539"/>
      <c r="AN23" s="539"/>
      <c r="AO23" s="539"/>
      <c r="AP23" s="241"/>
      <c r="AQ23" s="255"/>
      <c r="AR23" s="255"/>
      <c r="AS23" s="255"/>
      <c r="AT23" s="255"/>
      <c r="AU23" s="255"/>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241"/>
      <c r="CN23" s="539"/>
      <c r="CO23" s="539"/>
      <c r="CP23" s="539"/>
      <c r="CQ23" s="539"/>
      <c r="CR23" s="539"/>
      <c r="CS23" s="539"/>
      <c r="CT23" s="539"/>
      <c r="CU23" s="539"/>
      <c r="CV23" s="241"/>
      <c r="CW23" s="540"/>
      <c r="CX23" s="540"/>
      <c r="CY23" s="540"/>
      <c r="CZ23" s="540"/>
      <c r="DA23" s="540"/>
      <c r="DB23" s="540"/>
      <c r="DC23" s="540"/>
      <c r="DD23" s="540"/>
      <c r="DE23" s="241"/>
      <c r="DF23" s="539"/>
      <c r="DG23" s="539"/>
      <c r="DH23" s="539"/>
      <c r="DI23" s="539"/>
      <c r="DJ23" s="539"/>
      <c r="DK23" s="539"/>
      <c r="DL23" s="539"/>
      <c r="DM23" s="539"/>
      <c r="DO23" s="39"/>
    </row>
    <row r="24" spans="2:119" x14ac:dyDescent="0.25">
      <c r="B24" s="7"/>
      <c r="C24" s="7" t="s">
        <v>449</v>
      </c>
      <c r="D24" s="7" t="s">
        <v>203</v>
      </c>
      <c r="E24" s="7" t="s">
        <v>44</v>
      </c>
      <c r="F24" s="7" t="s">
        <v>52</v>
      </c>
      <c r="G24" s="7" t="s">
        <v>150</v>
      </c>
      <c r="H24" s="7" t="s">
        <v>5</v>
      </c>
      <c r="I24" s="7" t="s">
        <v>203</v>
      </c>
      <c r="J24" s="7"/>
      <c r="K24" s="7"/>
      <c r="L24" s="7"/>
      <c r="M24" s="255"/>
      <c r="N24" s="255"/>
      <c r="O24" s="255"/>
      <c r="P24" s="255"/>
      <c r="Q24" s="255"/>
      <c r="R24" s="540"/>
      <c r="S24" s="241"/>
      <c r="T24" s="539"/>
      <c r="U24" s="539"/>
      <c r="V24" s="539"/>
      <c r="W24" s="539"/>
      <c r="X24" s="539"/>
      <c r="Y24" s="539"/>
      <c r="Z24" s="539"/>
      <c r="AA24" s="539"/>
      <c r="AB24" s="241"/>
      <c r="AC24" s="540"/>
      <c r="AD24" s="540"/>
      <c r="AE24" s="540"/>
      <c r="AF24" s="540"/>
      <c r="AG24" s="241"/>
      <c r="AH24" s="539"/>
      <c r="AI24" s="539"/>
      <c r="AJ24" s="539"/>
      <c r="AK24" s="539"/>
      <c r="AL24" s="539"/>
      <c r="AM24" s="539"/>
      <c r="AN24" s="539"/>
      <c r="AO24" s="539"/>
      <c r="AP24" s="241"/>
      <c r="AQ24" s="255"/>
      <c r="AR24" s="255"/>
      <c r="AS24" s="255"/>
      <c r="AT24" s="255"/>
      <c r="AU24" s="255"/>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241"/>
      <c r="CN24" s="539"/>
      <c r="CO24" s="539"/>
      <c r="CP24" s="539"/>
      <c r="CQ24" s="539"/>
      <c r="CR24" s="539"/>
      <c r="CS24" s="539"/>
      <c r="CT24" s="539"/>
      <c r="CU24" s="539"/>
      <c r="CV24" s="241"/>
      <c r="CW24" s="540"/>
      <c r="CX24" s="540"/>
      <c r="CY24" s="540"/>
      <c r="CZ24" s="540"/>
      <c r="DA24" s="540"/>
      <c r="DB24" s="540"/>
      <c r="DC24" s="540"/>
      <c r="DD24" s="540"/>
      <c r="DE24" s="241"/>
      <c r="DF24" s="539"/>
      <c r="DG24" s="539"/>
      <c r="DH24" s="539"/>
      <c r="DI24" s="539"/>
      <c r="DJ24" s="539"/>
      <c r="DK24" s="539"/>
      <c r="DL24" s="539"/>
      <c r="DM24" s="539"/>
      <c r="DO24" s="39"/>
    </row>
    <row r="25" spans="2:119" x14ac:dyDescent="0.25">
      <c r="B25" s="7"/>
      <c r="C25" s="7" t="s">
        <v>87</v>
      </c>
      <c r="D25" s="7" t="s">
        <v>202</v>
      </c>
      <c r="E25" s="7" t="s">
        <v>44</v>
      </c>
      <c r="F25" s="7" t="s">
        <v>52</v>
      </c>
      <c r="G25" s="7" t="s">
        <v>150</v>
      </c>
      <c r="H25" s="7" t="s">
        <v>5</v>
      </c>
      <c r="I25" s="7" t="s">
        <v>202</v>
      </c>
      <c r="J25" s="7"/>
      <c r="K25" s="7"/>
      <c r="L25" s="7"/>
      <c r="M25" s="255"/>
      <c r="N25" s="255"/>
      <c r="O25" s="255"/>
      <c r="P25" s="255"/>
      <c r="Q25" s="255"/>
      <c r="R25" s="540"/>
      <c r="S25" s="241"/>
      <c r="T25" s="539"/>
      <c r="U25" s="539"/>
      <c r="V25" s="539"/>
      <c r="W25" s="539"/>
      <c r="X25" s="539"/>
      <c r="Y25" s="539"/>
      <c r="Z25" s="539"/>
      <c r="AA25" s="539"/>
      <c r="AB25" s="241"/>
      <c r="AC25" s="540"/>
      <c r="AD25" s="540"/>
      <c r="AE25" s="540"/>
      <c r="AF25" s="540"/>
      <c r="AG25" s="241"/>
      <c r="AH25" s="539"/>
      <c r="AI25" s="539"/>
      <c r="AJ25" s="539"/>
      <c r="AK25" s="539"/>
      <c r="AL25" s="539"/>
      <c r="AM25" s="539"/>
      <c r="AN25" s="539"/>
      <c r="AO25" s="539"/>
      <c r="AP25" s="241"/>
      <c r="AQ25" s="255"/>
      <c r="AR25" s="255"/>
      <c r="AS25" s="255"/>
      <c r="AT25" s="255"/>
      <c r="AU25" s="255"/>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241"/>
      <c r="CN25" s="539"/>
      <c r="CO25" s="539"/>
      <c r="CP25" s="539"/>
      <c r="CQ25" s="539"/>
      <c r="CR25" s="539"/>
      <c r="CS25" s="539"/>
      <c r="CT25" s="539"/>
      <c r="CU25" s="539"/>
      <c r="CV25" s="241"/>
      <c r="CW25" s="540"/>
      <c r="CX25" s="540"/>
      <c r="CY25" s="540"/>
      <c r="CZ25" s="540"/>
      <c r="DA25" s="540"/>
      <c r="DB25" s="540"/>
      <c r="DC25" s="540"/>
      <c r="DD25" s="540"/>
      <c r="DE25" s="241"/>
      <c r="DF25" s="539"/>
      <c r="DG25" s="539"/>
      <c r="DH25" s="539"/>
      <c r="DI25" s="539"/>
      <c r="DJ25" s="539"/>
      <c r="DK25" s="539"/>
      <c r="DL25" s="539"/>
      <c r="DM25" s="539"/>
      <c r="DO25" s="39"/>
    </row>
    <row r="26" spans="2:119" x14ac:dyDescent="0.25">
      <c r="B26" s="7"/>
      <c r="C26" s="7"/>
      <c r="D26" s="7"/>
      <c r="E26" s="7"/>
      <c r="F26" s="7"/>
      <c r="G26" s="7"/>
      <c r="H26" s="7"/>
      <c r="I26" s="7"/>
      <c r="J26" s="7"/>
      <c r="K26" s="7"/>
      <c r="L26" s="7"/>
      <c r="M26" s="7"/>
      <c r="N26" s="7"/>
      <c r="O26" s="7"/>
      <c r="P26" s="7"/>
      <c r="Q26" s="7"/>
      <c r="R26" s="46"/>
      <c r="T26" s="47">
        <f t="shared" ref="T26:T38" si="8">J26*$R26</f>
        <v>0</v>
      </c>
      <c r="U26" s="47">
        <f t="shared" ref="U26:U38" si="9">K26*$R26</f>
        <v>0</v>
      </c>
      <c r="V26" s="47">
        <f t="shared" ref="V26:V38" si="10">L26*$R26</f>
        <v>0</v>
      </c>
      <c r="W26" s="47">
        <f t="shared" ref="W26:W38" si="11">M26*$R26</f>
        <v>0</v>
      </c>
      <c r="X26" s="47">
        <f t="shared" ref="X26:X38" si="12">N26*$R26</f>
        <v>0</v>
      </c>
      <c r="Y26" s="47">
        <f t="shared" ref="Y26:Y38" si="13">O26*$R26</f>
        <v>0</v>
      </c>
      <c r="Z26" s="47">
        <f t="shared" ref="Z26:Z38" si="14">P26*$R26</f>
        <v>0</v>
      </c>
      <c r="AA26" s="47">
        <f t="shared" ref="AA26:AA38" si="15">Q26*$R26</f>
        <v>0</v>
      </c>
      <c r="AC26" s="82">
        <f t="shared" ref="AC26:AF38" si="16">IF($R26="",0,INDEX(Direct_Cost_Splits_Network,MATCH($H26,RIN_Asset_Cat_Network,0),MATCH(AC$4,Direct_Cost_Type,0))*$R26)</f>
        <v>0</v>
      </c>
      <c r="AD26" s="82">
        <f t="shared" si="16"/>
        <v>0</v>
      </c>
      <c r="AE26" s="82">
        <f t="shared" si="16"/>
        <v>0</v>
      </c>
      <c r="AF26" s="82">
        <f t="shared" si="16"/>
        <v>0</v>
      </c>
      <c r="AH26" s="47">
        <f>IF($R26="",0,J26*$AC26*HLOOKUP(AH$6,Escalators!$I$25:$U$30,3,FALSE))</f>
        <v>0</v>
      </c>
      <c r="AI26" s="47">
        <f>IF($R26="",0,K26*$AC26*HLOOKUP(AI$6,Escalators!$I$25:$U$30,3,FALSE))</f>
        <v>0</v>
      </c>
      <c r="AJ26" s="47">
        <f>IF($R26="",0,L26*$AC26*HLOOKUP(AJ$6,Escalators!$I$25:$U$30,3,FALSE))</f>
        <v>0</v>
      </c>
      <c r="AK26" s="47">
        <f>IF($R26="",0,M26*$AC26*HLOOKUP(AK$6,Escalators!$I$25:$U$30,3,FALSE))</f>
        <v>0</v>
      </c>
      <c r="AL26" s="47">
        <f>IF($R26="",0,N26*$AC26*HLOOKUP(AL$6,Escalators!$I$25:$U$30,3,FALSE))</f>
        <v>0</v>
      </c>
      <c r="AM26" s="47">
        <f>IF($R26="",0,O26*$AC26*HLOOKUP(AM$6,Escalators!$I$25:$U$30,3,FALSE))</f>
        <v>0</v>
      </c>
      <c r="AN26" s="47">
        <f>IF($R26="",0,P26*$AC26*HLOOKUP(AN$6,Escalators!$I$25:$U$30,3,FALSE))</f>
        <v>0</v>
      </c>
      <c r="AO26" s="47">
        <f>IF($R26="",0,Q26*$AC26*HLOOKUP(AO$6,Escalators!$I$25:$U$30,3,FALSE))</f>
        <v>0</v>
      </c>
      <c r="AQ26" s="6">
        <f>IF($R26="",0,$J26*$AD26*INDEX(Act_Type_Repex_Splits,MATCH($I26,Act_Type_Repex,0),MATCH(AQ$5,Mat_Type,0))*INDEX(Escalators!$I$44:$U$49,MATCH(AQ$5,Escalators!$C$44:$C$49,0),MATCH(AQ$6,Escalators!$I$43:$U$43,0)))</f>
        <v>0</v>
      </c>
      <c r="AR26" s="6">
        <f>IF($R26="",0,$J26*$AD26*INDEX(Act_Type_Repex_Splits,MATCH($I26,Act_Type_Repex,0),MATCH(AR$5,Mat_Type,0))*INDEX(Escalators!$I$44:$U$49,MATCH(AR$5,Escalators!$C$44:$C$49,0),MATCH(AR$6,Escalators!$I$43:$U$43,0)))</f>
        <v>0</v>
      </c>
      <c r="AS26" s="6">
        <f>IF($R26="",0,$J26*$AD26*INDEX(Act_Type_Repex_Splits,MATCH($I26,Act_Type_Repex,0),MATCH(AS$5,Mat_Type,0))*INDEX(Escalators!$I$44:$U$49,MATCH(AS$5,Escalators!$C$44:$C$49,0),MATCH(AS$6,Escalators!$I$43:$U$43,0)))</f>
        <v>0</v>
      </c>
      <c r="AT26" s="6">
        <f>IF($R26="",0,$J26*$AD26*INDEX(Act_Type_Repex_Splits,MATCH($I26,Act_Type_Repex,0),MATCH(AT$5,Mat_Type,0))*INDEX(Escalators!$I$44:$U$49,MATCH(AT$5,Escalators!$C$44:$C$49,0),MATCH(AT$6,Escalators!$I$43:$U$43,0)))</f>
        <v>0</v>
      </c>
      <c r="AU26" s="6">
        <f>IF($R26="",0,$J26*$AD26*INDEX(Act_Type_Repex_Splits,MATCH($I26,Act_Type_Repex,0),MATCH(AU$5,Mat_Type,0))*INDEX(Escalators!$I$44:$U$49,MATCH(AU$5,Escalators!$C$44:$C$49,0),MATCH(AU$6,Escalators!$I$43:$U$43,0)))</f>
        <v>0</v>
      </c>
      <c r="AV26" s="47">
        <f t="shared" ref="AV26:AV38" si="17">SUM(AQ26:AU26)</f>
        <v>0</v>
      </c>
      <c r="AW26" s="47">
        <f>IF($R26="",0,$K26*$AD26*INDEX(Act_Type_Repex_Splits,MATCH($I26,Act_Type_Repex,0),MATCH(AW$5,Mat_Type,0))*INDEX(Escalators!$I$44:$U$49,MATCH(AW$5,Escalators!$C$44:$C$49,0),MATCH(AW$6,Escalators!$I$43:$U$43,0)))</f>
        <v>0</v>
      </c>
      <c r="AX26" s="47">
        <f>IF($R26="",0,$K26*$AD26*INDEX(Act_Type_Repex_Splits,MATCH($I26,Act_Type_Repex,0),MATCH(AX$5,Mat_Type,0))*INDEX(Escalators!$I$44:$U$49,MATCH(AX$5,Escalators!$C$44:$C$49,0),MATCH(AX$6,Escalators!$I$43:$U$43,0)))</f>
        <v>0</v>
      </c>
      <c r="AY26" s="47">
        <f>IF($R26="",0,$K26*$AD26*INDEX(Act_Type_Repex_Splits,MATCH($I26,Act_Type_Repex,0),MATCH(AY$5,Mat_Type,0))*INDEX(Escalators!$I$44:$U$49,MATCH(AY$5,Escalators!$C$44:$C$49,0),MATCH(AY$6,Escalators!$I$43:$U$43,0)))</f>
        <v>0</v>
      </c>
      <c r="AZ26" s="47">
        <f>IF($R26="",0,$K26*$AD26*INDEX(Act_Type_Repex_Splits,MATCH($I26,Act_Type_Repex,0),MATCH(AZ$5,Mat_Type,0))*INDEX(Escalators!$I$44:$U$49,MATCH(AZ$5,Escalators!$C$44:$C$49,0),MATCH(AZ$6,Escalators!$I$43:$U$43,0)))</f>
        <v>0</v>
      </c>
      <c r="BA26" s="47">
        <f>IF($R26="",0,$K26*$AD26*INDEX(Act_Type_Repex_Splits,MATCH($I26,Act_Type_Repex,0),MATCH(BA$5,Mat_Type,0))*INDEX(Escalators!$I$44:$U$49,MATCH(BA$5,Escalators!$C$44:$C$49,0),MATCH(BA$6,Escalators!$I$43:$U$43,0)))</f>
        <v>0</v>
      </c>
      <c r="BB26" s="47">
        <f t="shared" ref="BB26:BB38" si="18">SUM(AW26:BA26)</f>
        <v>0</v>
      </c>
      <c r="BC26" s="47">
        <f>IF($R26="",0,$L26*$AD26*INDEX(Act_Type_Repex_Splits,MATCH($I26,Act_Type_Repex,0),MATCH(BC$5,Mat_Type,0))*INDEX(Escalators!$I$44:$U$49,MATCH(BC$5,Escalators!$C$44:$C$49,0),MATCH(BC$6,Escalators!$I$43:$U$43,0)))</f>
        <v>0</v>
      </c>
      <c r="BD26" s="47">
        <f>IF($R26="",0,$L26*$AD26*INDEX(Act_Type_Repex_Splits,MATCH($I26,Act_Type_Repex,0),MATCH(BD$5,Mat_Type,0))*INDEX(Escalators!$I$44:$U$49,MATCH(BD$5,Escalators!$C$44:$C$49,0),MATCH(BD$6,Escalators!$I$43:$U$43,0)))</f>
        <v>0</v>
      </c>
      <c r="BE26" s="47">
        <f>IF($R26="",0,$L26*$AD26*INDEX(Act_Type_Repex_Splits,MATCH($I26,Act_Type_Repex,0),MATCH(BE$5,Mat_Type,0))*INDEX(Escalators!$I$44:$U$49,MATCH(BE$5,Escalators!$C$44:$C$49,0),MATCH(BE$6,Escalators!$I$43:$U$43,0)))</f>
        <v>0</v>
      </c>
      <c r="BF26" s="47">
        <f>IF($R26="",0,$L26*$AD26*INDEX(Act_Type_Repex_Splits,MATCH($I26,Act_Type_Repex,0),MATCH(BF$5,Mat_Type,0))*INDEX(Escalators!$I$44:$U$49,MATCH(BF$5,Escalators!$C$44:$C$49,0),MATCH(BF$6,Escalators!$I$43:$U$43,0)))</f>
        <v>0</v>
      </c>
      <c r="BG26" s="47">
        <f>IF($R26="",0,$L26*$AD26*INDEX(Act_Type_Repex_Splits,MATCH($I26,Act_Type_Repex,0),MATCH(BG$5,Mat_Type,0))*INDEX(Escalators!$I$44:$U$49,MATCH(BG$5,Escalators!$C$44:$C$49,0),MATCH(BG$6,Escalators!$I$43:$U$43,0)))</f>
        <v>0</v>
      </c>
      <c r="BH26" s="47">
        <f t="shared" ref="BH26:BH38" si="19">SUM(BC26:BG26)</f>
        <v>0</v>
      </c>
      <c r="BI26" s="47">
        <f>IF($R26="",0,$M26*$AD26*INDEX(Act_Type_Repex_Splits,MATCH($I26,Act_Type_Repex,0),MATCH(BI$5,Mat_Type,0))*INDEX(Escalators!$I$44:$U$49,MATCH(BI$5,Escalators!$C$44:$C$49,0),MATCH(BI$6,Escalators!$I$43:$U$43,0)))</f>
        <v>0</v>
      </c>
      <c r="BJ26" s="47">
        <f>IF($R26="",0,$M26*$AD26*INDEX(Act_Type_Repex_Splits,MATCH($I26,Act_Type_Repex,0),MATCH(BJ$5,Mat_Type,0))*INDEX(Escalators!$I$44:$U$49,MATCH(BJ$5,Escalators!$C$44:$C$49,0),MATCH(BJ$6,Escalators!$I$43:$U$43,0)))</f>
        <v>0</v>
      </c>
      <c r="BK26" s="47">
        <f>IF($R26="",0,$M26*$AD26*INDEX(Act_Type_Repex_Splits,MATCH($I26,Act_Type_Repex,0),MATCH(BK$5,Mat_Type,0))*INDEX(Escalators!$I$44:$U$49,MATCH(BK$5,Escalators!$C$44:$C$49,0),MATCH(BK$6,Escalators!$I$43:$U$43,0)))</f>
        <v>0</v>
      </c>
      <c r="BL26" s="47">
        <f>IF($R26="",0,$M26*$AD26*INDEX(Act_Type_Repex_Splits,MATCH($I26,Act_Type_Repex,0),MATCH(BL$5,Mat_Type,0))*INDEX(Escalators!$I$44:$U$49,MATCH(BL$5,Escalators!$C$44:$C$49,0),MATCH(BL$6,Escalators!$I$43:$U$43,0)))</f>
        <v>0</v>
      </c>
      <c r="BM26" s="47">
        <f>IF($R26="",0,$M26*$AD26*INDEX(Act_Type_Repex_Splits,MATCH($I26,Act_Type_Repex,0),MATCH(BM$5,Mat_Type,0))*INDEX(Escalators!$I$44:$U$49,MATCH(BM$5,Escalators!$C$44:$C$49,0),MATCH(BM$6,Escalators!$I$43:$U$43,0)))</f>
        <v>0</v>
      </c>
      <c r="BN26" s="47">
        <f t="shared" ref="BN26:BN38" si="20">SUM(BI26:BM26)</f>
        <v>0</v>
      </c>
      <c r="BO26" s="47">
        <f>IF($R26="",0,$N26*$AD26*INDEX(Act_Type_Repex_Splits,MATCH($I26,Act_Type_Repex,0),MATCH(BO$5,Mat_Type,0))*INDEX(Escalators!$I$44:$U$49,MATCH(BO$5,Escalators!$C$44:$C$49,0),MATCH(BO$6,Escalators!$I$43:$U$43,0)))</f>
        <v>0</v>
      </c>
      <c r="BP26" s="47">
        <f>IF($R26="",0,$N26*$AD26*INDEX(Act_Type_Repex_Splits,MATCH($I26,Act_Type_Repex,0),MATCH(BP$5,Mat_Type,0))*INDEX(Escalators!$I$44:$U$49,MATCH(BP$5,Escalators!$C$44:$C$49,0),MATCH(BP$6,Escalators!$I$43:$U$43,0)))</f>
        <v>0</v>
      </c>
      <c r="BQ26" s="47">
        <f>IF($R26="",0,$N26*$AD26*INDEX(Act_Type_Repex_Splits,MATCH($I26,Act_Type_Repex,0),MATCH(BQ$5,Mat_Type,0))*INDEX(Escalators!$I$44:$U$49,MATCH(BQ$5,Escalators!$C$44:$C$49,0),MATCH(BQ$6,Escalators!$I$43:$U$43,0)))</f>
        <v>0</v>
      </c>
      <c r="BR26" s="47">
        <f>IF($R26="",0,$N26*$AD26*INDEX(Act_Type_Repex_Splits,MATCH($I26,Act_Type_Repex,0),MATCH(BR$5,Mat_Type,0))*INDEX(Escalators!$I$44:$U$49,MATCH(BR$5,Escalators!$C$44:$C$49,0),MATCH(BR$6,Escalators!$I$43:$U$43,0)))</f>
        <v>0</v>
      </c>
      <c r="BS26" s="47">
        <f>IF($R26="",0,$N26*$AD26*INDEX(Act_Type_Repex_Splits,MATCH($I26,Act_Type_Repex,0),MATCH(BS$5,Mat_Type,0))*INDEX(Escalators!$I$44:$U$49,MATCH(BS$5,Escalators!$C$44:$C$49,0),MATCH(BS$6,Escalators!$I$43:$U$43,0)))</f>
        <v>0</v>
      </c>
      <c r="BT26" s="47">
        <f t="shared" ref="BT26:BT38" si="21">SUM(BO26:BS26)</f>
        <v>0</v>
      </c>
      <c r="BU26" s="47">
        <f>IF($R26="",0,$O26*$AD26*INDEX(Act_Type_Repex_Splits,MATCH($I26,Act_Type_Repex,0),MATCH(BU$5,Mat_Type,0))*INDEX(Escalators!$I$44:$U$49,MATCH(BU$5,Escalators!$C$44:$C$49,0),MATCH(BU$6,Escalators!$I$43:$U$43,0)))</f>
        <v>0</v>
      </c>
      <c r="BV26" s="47">
        <f>IF($R26="",0,$O26*$AD26*INDEX(Act_Type_Repex_Splits,MATCH($I26,Act_Type_Repex,0),MATCH(BV$5,Mat_Type,0))*INDEX(Escalators!$I$44:$U$49,MATCH(BV$5,Escalators!$C$44:$C$49,0),MATCH(BV$6,Escalators!$I$43:$U$43,0)))</f>
        <v>0</v>
      </c>
      <c r="BW26" s="47">
        <f>IF($R26="",0,$O26*$AD26*INDEX(Act_Type_Repex_Splits,MATCH($I26,Act_Type_Repex,0),MATCH(BW$5,Mat_Type,0))*INDEX(Escalators!$I$44:$U$49,MATCH(BW$5,Escalators!$C$44:$C$49,0),MATCH(BW$6,Escalators!$I$43:$U$43,0)))</f>
        <v>0</v>
      </c>
      <c r="BX26" s="47">
        <f>IF($R26="",0,$O26*$AD26*INDEX(Act_Type_Repex_Splits,MATCH($I26,Act_Type_Repex,0),MATCH(BX$5,Mat_Type,0))*INDEX(Escalators!$I$44:$U$49,MATCH(BX$5,Escalators!$C$44:$C$49,0),MATCH(BX$6,Escalators!$I$43:$U$43,0)))</f>
        <v>0</v>
      </c>
      <c r="BY26" s="47">
        <f>IF($R26="",0,$O26*$AD26*INDEX(Act_Type_Repex_Splits,MATCH($I26,Act_Type_Repex,0),MATCH(BY$5,Mat_Type,0))*INDEX(Escalators!$I$44:$U$49,MATCH(BY$5,Escalators!$C$44:$C$49,0),MATCH(BY$6,Escalators!$I$43:$U$43,0)))</f>
        <v>0</v>
      </c>
      <c r="BZ26" s="47">
        <f t="shared" ref="BZ26:BZ38" si="22">SUM(BU26:BY26)</f>
        <v>0</v>
      </c>
      <c r="CA26" s="47">
        <f>IF($R26="",0,$P26*$AD26*INDEX(Act_Type_Repex_Splits,MATCH($I26,Act_Type_Repex,0),MATCH(CA$5,Mat_Type,0))*INDEX(Escalators!$I$44:$U$49,MATCH(CA$5,Escalators!$C$44:$C$49,0),MATCH(CA$6,Escalators!$I$43:$U$43,0)))</f>
        <v>0</v>
      </c>
      <c r="CB26" s="47">
        <f>IF($R26="",0,$P26*$AD26*INDEX(Act_Type_Repex_Splits,MATCH($I26,Act_Type_Repex,0),MATCH(CB$5,Mat_Type,0))*INDEX(Escalators!$I$44:$U$49,MATCH(CB$5,Escalators!$C$44:$C$49,0),MATCH(CB$6,Escalators!$I$43:$U$43,0)))</f>
        <v>0</v>
      </c>
      <c r="CC26" s="47">
        <f>IF($R26="",0,$P26*$AD26*INDEX(Act_Type_Repex_Splits,MATCH($I26,Act_Type_Repex,0),MATCH(CC$5,Mat_Type,0))*INDEX(Escalators!$I$44:$U$49,MATCH(CC$5,Escalators!$C$44:$C$49,0),MATCH(CC$6,Escalators!$I$43:$U$43,0)))</f>
        <v>0</v>
      </c>
      <c r="CD26" s="47">
        <f>IF($R26="",0,$P26*$AD26*INDEX(Act_Type_Repex_Splits,MATCH($I26,Act_Type_Repex,0),MATCH(CD$5,Mat_Type,0))*INDEX(Escalators!$I$44:$U$49,MATCH(CD$5,Escalators!$C$44:$C$49,0),MATCH(CD$6,Escalators!$I$43:$U$43,0)))</f>
        <v>0</v>
      </c>
      <c r="CE26" s="47">
        <f>IF($R26="",0,$P26*$AD26*INDEX(Act_Type_Repex_Splits,MATCH($I26,Act_Type_Repex,0),MATCH(CE$5,Mat_Type,0))*INDEX(Escalators!$I$44:$U$49,MATCH(CE$5,Escalators!$C$44:$C$49,0),MATCH(CE$6,Escalators!$I$43:$U$43,0)))</f>
        <v>0</v>
      </c>
      <c r="CF26" s="47">
        <f t="shared" ref="CF26:CF38" si="23">SUM(CA26:CE26)</f>
        <v>0</v>
      </c>
      <c r="CG26" s="47">
        <f>IF($R26="",0,$Q26*$AD26*INDEX(Act_Type_Repex_Splits,MATCH($I26,Act_Type_Repex,0),MATCH(CG$5,Mat_Type,0))*INDEX(Escalators!$I$44:$U$49,MATCH(CG$5,Escalators!$C$44:$C$49,0),MATCH(CG$6,Escalators!$I$43:$U$43,0)))</f>
        <v>0</v>
      </c>
      <c r="CH26" s="47">
        <f>IF($R26="",0,$Q26*$AD26*INDEX(Act_Type_Repex_Splits,MATCH($I26,Act_Type_Repex,0),MATCH(CH$5,Mat_Type,0))*INDEX(Escalators!$I$44:$U$49,MATCH(CH$5,Escalators!$C$44:$C$49,0),MATCH(CH$6,Escalators!$I$43:$U$43,0)))</f>
        <v>0</v>
      </c>
      <c r="CI26" s="47">
        <f>IF($R26="",0,$Q26*$AD26*INDEX(Act_Type_Repex_Splits,MATCH($I26,Act_Type_Repex,0),MATCH(CI$5,Mat_Type,0))*INDEX(Escalators!$I$44:$U$49,MATCH(CI$5,Escalators!$C$44:$C$49,0),MATCH(CI$6,Escalators!$I$43:$U$43,0)))</f>
        <v>0</v>
      </c>
      <c r="CJ26" s="47">
        <f>IF($R26="",0,$Q26*$AD26*INDEX(Act_Type_Repex_Splits,MATCH($I26,Act_Type_Repex,0),MATCH(CJ$5,Mat_Type,0))*INDEX(Escalators!$I$44:$U$49,MATCH(CJ$5,Escalators!$C$44:$C$49,0),MATCH(CJ$6,Escalators!$I$43:$U$43,0)))</f>
        <v>0</v>
      </c>
      <c r="CK26" s="47">
        <f>IF($R26="",0,$Q26*$AD26*INDEX(Act_Type_Repex_Splits,MATCH($I26,Act_Type_Repex,0),MATCH(CK$5,Mat_Type,0))*INDEX(Escalators!$I$44:$U$49,MATCH(CK$5,Escalators!$C$44:$C$49,0),MATCH(CK$6,Escalators!$I$43:$U$43,0)))</f>
        <v>0</v>
      </c>
      <c r="CL26" s="47">
        <f t="shared" ref="CL26:CL38" si="24">SUM(CG26:CK26)</f>
        <v>0</v>
      </c>
      <c r="CN26" s="47">
        <f>IF($R26="",0,J26*$AE26*HLOOKUP(CN$6,Escalators!$I$25:$U$30,6,FALSE))</f>
        <v>0</v>
      </c>
      <c r="CO26" s="47">
        <f>IF($R26="",0,K26*$AE26*HLOOKUP(CO$6,Escalators!$I$25:$U$30,6,FALSE))</f>
        <v>0</v>
      </c>
      <c r="CP26" s="47">
        <f>IF($R26="",0,L26*$AE26*HLOOKUP(CP$6,Escalators!$I$25:$U$30,6,FALSE))</f>
        <v>0</v>
      </c>
      <c r="CQ26" s="47">
        <f>IF($R26="",0,M26*$AE26*HLOOKUP(CQ$6,Escalators!$I$25:$U$30,6,FALSE))</f>
        <v>0</v>
      </c>
      <c r="CR26" s="47">
        <f>IF($R26="",0,N26*$AE26*HLOOKUP(CR$6,Escalators!$I$25:$U$30,6,FALSE))</f>
        <v>0</v>
      </c>
      <c r="CS26" s="47">
        <f>IF($R26="",0,O26*$AE26*HLOOKUP(CS$6,Escalators!$I$25:$U$30,6,FALSE))</f>
        <v>0</v>
      </c>
      <c r="CT26" s="47">
        <f>IF($R26="",0,P26*$AE26*HLOOKUP(CT$6,Escalators!$I$25:$U$30,6,FALSE))</f>
        <v>0</v>
      </c>
      <c r="CU26" s="47">
        <f>IF($R26="",0,Q26*$AE26*HLOOKUP(CU$6,Escalators!$I$25:$U$30,6,FALSE))</f>
        <v>0</v>
      </c>
      <c r="CW26" s="82">
        <f t="shared" ref="CW26:CW38" si="25">IF($R26="",0,J26*$AF26)</f>
        <v>0</v>
      </c>
      <c r="CX26" s="82">
        <f t="shared" ref="CX26:CX38" si="26">IF($R26="",0,K26*$AF26)</f>
        <v>0</v>
      </c>
      <c r="CY26" s="82">
        <f t="shared" ref="CY26:CY38" si="27">IF($R26="",0,L26*$AF26)</f>
        <v>0</v>
      </c>
      <c r="CZ26" s="82">
        <f t="shared" ref="CZ26:CZ38" si="28">IF($R26="",0,M26*$AF26)</f>
        <v>0</v>
      </c>
      <c r="DA26" s="82">
        <f t="shared" ref="DA26:DA38" si="29">IF($R26="",0,N26*$AF26)</f>
        <v>0</v>
      </c>
      <c r="DB26" s="82">
        <f t="shared" ref="DB26:DB38" si="30">IF($R26="",0,O26*$AF26)</f>
        <v>0</v>
      </c>
      <c r="DC26" s="82">
        <f t="shared" ref="DC26:DC38" si="31">IF($R26="",0,P26*$AF26)</f>
        <v>0</v>
      </c>
      <c r="DD26" s="82">
        <f t="shared" ref="DD26:DD38" si="32">IF($R26="",0,Q26*$AF26)</f>
        <v>0</v>
      </c>
      <c r="DF26" s="47">
        <f t="shared" ref="DF26:DF38" si="33">AH26+AV26+CN26+CW26</f>
        <v>0</v>
      </c>
      <c r="DG26" s="47">
        <f t="shared" ref="DG26:DG38" si="34">AI26+BB26+CO26+CX26</f>
        <v>0</v>
      </c>
      <c r="DH26" s="47">
        <f t="shared" ref="DH26:DH38" si="35">AJ26+BH26+CP26+CY26</f>
        <v>0</v>
      </c>
      <c r="DI26" s="47">
        <f t="shared" ref="DI26:DI38" si="36">AK26+BN26+CQ26+CZ26</f>
        <v>0</v>
      </c>
      <c r="DJ26" s="47">
        <f t="shared" ref="DJ26:DJ38" si="37">AL26+BT26+CR26+DA26</f>
        <v>0</v>
      </c>
      <c r="DK26" s="47">
        <f t="shared" ref="DK26:DK38" si="38">AM26+BZ26+CS26+DB26</f>
        <v>0</v>
      </c>
      <c r="DL26" s="47">
        <f t="shared" ref="DL26:DL38" si="39">AN26+CF26+CT26+DC26</f>
        <v>0</v>
      </c>
      <c r="DM26" s="47">
        <f t="shared" ref="DM26:DM38" si="40">AO26+CL26+CU26+DD26</f>
        <v>0</v>
      </c>
      <c r="DO26" s="39"/>
    </row>
    <row r="27" spans="2:119" x14ac:dyDescent="0.25">
      <c r="B27" s="7"/>
      <c r="C27" s="7"/>
      <c r="D27" s="7"/>
      <c r="E27" s="7"/>
      <c r="F27" s="7"/>
      <c r="G27" s="7"/>
      <c r="H27" s="7"/>
      <c r="I27" s="7"/>
      <c r="J27" s="7"/>
      <c r="K27" s="7"/>
      <c r="L27" s="7"/>
      <c r="M27" s="7"/>
      <c r="N27" s="7"/>
      <c r="O27" s="7"/>
      <c r="P27" s="7"/>
      <c r="Q27" s="7"/>
      <c r="R27" s="46"/>
      <c r="T27" s="47">
        <f t="shared" si="8"/>
        <v>0</v>
      </c>
      <c r="U27" s="47">
        <f t="shared" si="9"/>
        <v>0</v>
      </c>
      <c r="V27" s="47">
        <f t="shared" si="10"/>
        <v>0</v>
      </c>
      <c r="W27" s="47">
        <f t="shared" si="11"/>
        <v>0</v>
      </c>
      <c r="X27" s="47">
        <f t="shared" si="12"/>
        <v>0</v>
      </c>
      <c r="Y27" s="47">
        <f t="shared" si="13"/>
        <v>0</v>
      </c>
      <c r="Z27" s="47">
        <f t="shared" si="14"/>
        <v>0</v>
      </c>
      <c r="AA27" s="47">
        <f t="shared" si="15"/>
        <v>0</v>
      </c>
      <c r="AC27" s="82">
        <f t="shared" si="16"/>
        <v>0</v>
      </c>
      <c r="AD27" s="82">
        <f t="shared" si="16"/>
        <v>0</v>
      </c>
      <c r="AE27" s="82">
        <f t="shared" si="16"/>
        <v>0</v>
      </c>
      <c r="AF27" s="82">
        <f t="shared" si="16"/>
        <v>0</v>
      </c>
      <c r="AH27" s="47">
        <f>IF($R27="",0,J27*$AC27*HLOOKUP(AH$6,Escalators!$I$25:$U$30,3,FALSE))</f>
        <v>0</v>
      </c>
      <c r="AI27" s="47">
        <f>IF($R27="",0,K27*$AC27*HLOOKUP(AI$6,Escalators!$I$25:$U$30,3,FALSE))</f>
        <v>0</v>
      </c>
      <c r="AJ27" s="47">
        <f>IF($R27="",0,L27*$AC27*HLOOKUP(AJ$6,Escalators!$I$25:$U$30,3,FALSE))</f>
        <v>0</v>
      </c>
      <c r="AK27" s="47">
        <f>IF($R27="",0,M27*$AC27*HLOOKUP(AK$6,Escalators!$I$25:$U$30,3,FALSE))</f>
        <v>0</v>
      </c>
      <c r="AL27" s="47">
        <f>IF($R27="",0,N27*$AC27*HLOOKUP(AL$6,Escalators!$I$25:$U$30,3,FALSE))</f>
        <v>0</v>
      </c>
      <c r="AM27" s="47">
        <f>IF($R27="",0,O27*$AC27*HLOOKUP(AM$6,Escalators!$I$25:$U$30,3,FALSE))</f>
        <v>0</v>
      </c>
      <c r="AN27" s="47">
        <f>IF($R27="",0,P27*$AC27*HLOOKUP(AN$6,Escalators!$I$25:$U$30,3,FALSE))</f>
        <v>0</v>
      </c>
      <c r="AO27" s="47">
        <f>IF($R27="",0,Q27*$AC27*HLOOKUP(AO$6,Escalators!$I$25:$U$30,3,FALSE))</f>
        <v>0</v>
      </c>
      <c r="AQ27" s="6">
        <f>IF($R27="",0,$J27*$AD27*INDEX(Act_Type_Repex_Splits,MATCH($I27,Act_Type_Repex,0),MATCH(AQ$5,Mat_Type,0))*INDEX(Escalators!$I$44:$U$49,MATCH(AQ$5,Escalators!$C$44:$C$49,0),MATCH(AQ$6,Escalators!$I$43:$U$43,0)))</f>
        <v>0</v>
      </c>
      <c r="AR27" s="6">
        <f>IF($R27="",0,$J27*$AD27*INDEX(Act_Type_Repex_Splits,MATCH($I27,Act_Type_Repex,0),MATCH(AR$5,Mat_Type,0))*INDEX(Escalators!$I$44:$U$49,MATCH(AR$5,Escalators!$C$44:$C$49,0),MATCH(AR$6,Escalators!$I$43:$U$43,0)))</f>
        <v>0</v>
      </c>
      <c r="AS27" s="6">
        <f>IF($R27="",0,$J27*$AD27*INDEX(Act_Type_Repex_Splits,MATCH($I27,Act_Type_Repex,0),MATCH(AS$5,Mat_Type,0))*INDEX(Escalators!$I$44:$U$49,MATCH(AS$5,Escalators!$C$44:$C$49,0),MATCH(AS$6,Escalators!$I$43:$U$43,0)))</f>
        <v>0</v>
      </c>
      <c r="AT27" s="6">
        <f>IF($R27="",0,$J27*$AD27*INDEX(Act_Type_Repex_Splits,MATCH($I27,Act_Type_Repex,0),MATCH(AT$5,Mat_Type,0))*INDEX(Escalators!$I$44:$U$49,MATCH(AT$5,Escalators!$C$44:$C$49,0),MATCH(AT$6,Escalators!$I$43:$U$43,0)))</f>
        <v>0</v>
      </c>
      <c r="AU27" s="6">
        <f>IF($R27="",0,$J27*$AD27*INDEX(Act_Type_Repex_Splits,MATCH($I27,Act_Type_Repex,0),MATCH(AU$5,Mat_Type,0))*INDEX(Escalators!$I$44:$U$49,MATCH(AU$5,Escalators!$C$44:$C$49,0),MATCH(AU$6,Escalators!$I$43:$U$43,0)))</f>
        <v>0</v>
      </c>
      <c r="AV27" s="47">
        <f t="shared" si="17"/>
        <v>0</v>
      </c>
      <c r="AW27" s="47">
        <f>IF($R27="",0,$K27*$AD27*INDEX(Act_Type_Repex_Splits,MATCH($I27,Act_Type_Repex,0),MATCH(AW$5,Mat_Type,0))*INDEX(Escalators!$I$44:$U$49,MATCH(AW$5,Escalators!$C$44:$C$49,0),MATCH(AW$6,Escalators!$I$43:$U$43,0)))</f>
        <v>0</v>
      </c>
      <c r="AX27" s="47">
        <f>IF($R27="",0,$K27*$AD27*INDEX(Act_Type_Repex_Splits,MATCH($I27,Act_Type_Repex,0),MATCH(AX$5,Mat_Type,0))*INDEX(Escalators!$I$44:$U$49,MATCH(AX$5,Escalators!$C$44:$C$49,0),MATCH(AX$6,Escalators!$I$43:$U$43,0)))</f>
        <v>0</v>
      </c>
      <c r="AY27" s="47">
        <f>IF($R27="",0,$K27*$AD27*INDEX(Act_Type_Repex_Splits,MATCH($I27,Act_Type_Repex,0),MATCH(AY$5,Mat_Type,0))*INDEX(Escalators!$I$44:$U$49,MATCH(AY$5,Escalators!$C$44:$C$49,0),MATCH(AY$6,Escalators!$I$43:$U$43,0)))</f>
        <v>0</v>
      </c>
      <c r="AZ27" s="47">
        <f>IF($R27="",0,$K27*$AD27*INDEX(Act_Type_Repex_Splits,MATCH($I27,Act_Type_Repex,0),MATCH(AZ$5,Mat_Type,0))*INDEX(Escalators!$I$44:$U$49,MATCH(AZ$5,Escalators!$C$44:$C$49,0),MATCH(AZ$6,Escalators!$I$43:$U$43,0)))</f>
        <v>0</v>
      </c>
      <c r="BA27" s="47">
        <f>IF($R27="",0,$K27*$AD27*INDEX(Act_Type_Repex_Splits,MATCH($I27,Act_Type_Repex,0),MATCH(BA$5,Mat_Type,0))*INDEX(Escalators!$I$44:$U$49,MATCH(BA$5,Escalators!$C$44:$C$49,0),MATCH(BA$6,Escalators!$I$43:$U$43,0)))</f>
        <v>0</v>
      </c>
      <c r="BB27" s="47">
        <f t="shared" si="18"/>
        <v>0</v>
      </c>
      <c r="BC27" s="47">
        <f>IF($R27="",0,$L27*$AD27*INDEX(Act_Type_Repex_Splits,MATCH($I27,Act_Type_Repex,0),MATCH(BC$5,Mat_Type,0))*INDEX(Escalators!$I$44:$U$49,MATCH(BC$5,Escalators!$C$44:$C$49,0),MATCH(BC$6,Escalators!$I$43:$U$43,0)))</f>
        <v>0</v>
      </c>
      <c r="BD27" s="47">
        <f>IF($R27="",0,$L27*$AD27*INDEX(Act_Type_Repex_Splits,MATCH($I27,Act_Type_Repex,0),MATCH(BD$5,Mat_Type,0))*INDEX(Escalators!$I$44:$U$49,MATCH(BD$5,Escalators!$C$44:$C$49,0),MATCH(BD$6,Escalators!$I$43:$U$43,0)))</f>
        <v>0</v>
      </c>
      <c r="BE27" s="47">
        <f>IF($R27="",0,$L27*$AD27*INDEX(Act_Type_Repex_Splits,MATCH($I27,Act_Type_Repex,0),MATCH(BE$5,Mat_Type,0))*INDEX(Escalators!$I$44:$U$49,MATCH(BE$5,Escalators!$C$44:$C$49,0),MATCH(BE$6,Escalators!$I$43:$U$43,0)))</f>
        <v>0</v>
      </c>
      <c r="BF27" s="47">
        <f>IF($R27="",0,$L27*$AD27*INDEX(Act_Type_Repex_Splits,MATCH($I27,Act_Type_Repex,0),MATCH(BF$5,Mat_Type,0))*INDEX(Escalators!$I$44:$U$49,MATCH(BF$5,Escalators!$C$44:$C$49,0),MATCH(BF$6,Escalators!$I$43:$U$43,0)))</f>
        <v>0</v>
      </c>
      <c r="BG27" s="47">
        <f>IF($R27="",0,$L27*$AD27*INDEX(Act_Type_Repex_Splits,MATCH($I27,Act_Type_Repex,0),MATCH(BG$5,Mat_Type,0))*INDEX(Escalators!$I$44:$U$49,MATCH(BG$5,Escalators!$C$44:$C$49,0),MATCH(BG$6,Escalators!$I$43:$U$43,0)))</f>
        <v>0</v>
      </c>
      <c r="BH27" s="47">
        <f t="shared" si="19"/>
        <v>0</v>
      </c>
      <c r="BI27" s="47">
        <f>IF($R27="",0,$M27*$AD27*INDEX(Act_Type_Repex_Splits,MATCH($I27,Act_Type_Repex,0),MATCH(BI$5,Mat_Type,0))*INDEX(Escalators!$I$44:$U$49,MATCH(BI$5,Escalators!$C$44:$C$49,0),MATCH(BI$6,Escalators!$I$43:$U$43,0)))</f>
        <v>0</v>
      </c>
      <c r="BJ27" s="47">
        <f>IF($R27="",0,$M27*$AD27*INDEX(Act_Type_Repex_Splits,MATCH($I27,Act_Type_Repex,0),MATCH(BJ$5,Mat_Type,0))*INDEX(Escalators!$I$44:$U$49,MATCH(BJ$5,Escalators!$C$44:$C$49,0),MATCH(BJ$6,Escalators!$I$43:$U$43,0)))</f>
        <v>0</v>
      </c>
      <c r="BK27" s="47">
        <f>IF($R27="",0,$M27*$AD27*INDEX(Act_Type_Repex_Splits,MATCH($I27,Act_Type_Repex,0),MATCH(BK$5,Mat_Type,0))*INDEX(Escalators!$I$44:$U$49,MATCH(BK$5,Escalators!$C$44:$C$49,0),MATCH(BK$6,Escalators!$I$43:$U$43,0)))</f>
        <v>0</v>
      </c>
      <c r="BL27" s="47">
        <f>IF($R27="",0,$M27*$AD27*INDEX(Act_Type_Repex_Splits,MATCH($I27,Act_Type_Repex,0),MATCH(BL$5,Mat_Type,0))*INDEX(Escalators!$I$44:$U$49,MATCH(BL$5,Escalators!$C$44:$C$49,0),MATCH(BL$6,Escalators!$I$43:$U$43,0)))</f>
        <v>0</v>
      </c>
      <c r="BM27" s="47">
        <f>IF($R27="",0,$M27*$AD27*INDEX(Act_Type_Repex_Splits,MATCH($I27,Act_Type_Repex,0),MATCH(BM$5,Mat_Type,0))*INDEX(Escalators!$I$44:$U$49,MATCH(BM$5,Escalators!$C$44:$C$49,0),MATCH(BM$6,Escalators!$I$43:$U$43,0)))</f>
        <v>0</v>
      </c>
      <c r="BN27" s="47">
        <f t="shared" si="20"/>
        <v>0</v>
      </c>
      <c r="BO27" s="47">
        <f>IF($R27="",0,$N27*$AD27*INDEX(Act_Type_Repex_Splits,MATCH($I27,Act_Type_Repex,0),MATCH(BO$5,Mat_Type,0))*INDEX(Escalators!$I$44:$U$49,MATCH(BO$5,Escalators!$C$44:$C$49,0),MATCH(BO$6,Escalators!$I$43:$U$43,0)))</f>
        <v>0</v>
      </c>
      <c r="BP27" s="47">
        <f>IF($R27="",0,$N27*$AD27*INDEX(Act_Type_Repex_Splits,MATCH($I27,Act_Type_Repex,0),MATCH(BP$5,Mat_Type,0))*INDEX(Escalators!$I$44:$U$49,MATCH(BP$5,Escalators!$C$44:$C$49,0),MATCH(BP$6,Escalators!$I$43:$U$43,0)))</f>
        <v>0</v>
      </c>
      <c r="BQ27" s="47">
        <f>IF($R27="",0,$N27*$AD27*INDEX(Act_Type_Repex_Splits,MATCH($I27,Act_Type_Repex,0),MATCH(BQ$5,Mat_Type,0))*INDEX(Escalators!$I$44:$U$49,MATCH(BQ$5,Escalators!$C$44:$C$49,0),MATCH(BQ$6,Escalators!$I$43:$U$43,0)))</f>
        <v>0</v>
      </c>
      <c r="BR27" s="47">
        <f>IF($R27="",0,$N27*$AD27*INDEX(Act_Type_Repex_Splits,MATCH($I27,Act_Type_Repex,0),MATCH(BR$5,Mat_Type,0))*INDEX(Escalators!$I$44:$U$49,MATCH(BR$5,Escalators!$C$44:$C$49,0),MATCH(BR$6,Escalators!$I$43:$U$43,0)))</f>
        <v>0</v>
      </c>
      <c r="BS27" s="47">
        <f>IF($R27="",0,$N27*$AD27*INDEX(Act_Type_Repex_Splits,MATCH($I27,Act_Type_Repex,0),MATCH(BS$5,Mat_Type,0))*INDEX(Escalators!$I$44:$U$49,MATCH(BS$5,Escalators!$C$44:$C$49,0),MATCH(BS$6,Escalators!$I$43:$U$43,0)))</f>
        <v>0</v>
      </c>
      <c r="BT27" s="47">
        <f t="shared" si="21"/>
        <v>0</v>
      </c>
      <c r="BU27" s="47">
        <f>IF($R27="",0,$O27*$AD27*INDEX(Act_Type_Repex_Splits,MATCH($I27,Act_Type_Repex,0),MATCH(BU$5,Mat_Type,0))*INDEX(Escalators!$I$44:$U$49,MATCH(BU$5,Escalators!$C$44:$C$49,0),MATCH(BU$6,Escalators!$I$43:$U$43,0)))</f>
        <v>0</v>
      </c>
      <c r="BV27" s="47">
        <f>IF($R27="",0,$O27*$AD27*INDEX(Act_Type_Repex_Splits,MATCH($I27,Act_Type_Repex,0),MATCH(BV$5,Mat_Type,0))*INDEX(Escalators!$I$44:$U$49,MATCH(BV$5,Escalators!$C$44:$C$49,0),MATCH(BV$6,Escalators!$I$43:$U$43,0)))</f>
        <v>0</v>
      </c>
      <c r="BW27" s="47">
        <f>IF($R27="",0,$O27*$AD27*INDEX(Act_Type_Repex_Splits,MATCH($I27,Act_Type_Repex,0),MATCH(BW$5,Mat_Type,0))*INDEX(Escalators!$I$44:$U$49,MATCH(BW$5,Escalators!$C$44:$C$49,0),MATCH(BW$6,Escalators!$I$43:$U$43,0)))</f>
        <v>0</v>
      </c>
      <c r="BX27" s="47">
        <f>IF($R27="",0,$O27*$AD27*INDEX(Act_Type_Repex_Splits,MATCH($I27,Act_Type_Repex,0),MATCH(BX$5,Mat_Type,0))*INDEX(Escalators!$I$44:$U$49,MATCH(BX$5,Escalators!$C$44:$C$49,0),MATCH(BX$6,Escalators!$I$43:$U$43,0)))</f>
        <v>0</v>
      </c>
      <c r="BY27" s="47">
        <f>IF($R27="",0,$O27*$AD27*INDEX(Act_Type_Repex_Splits,MATCH($I27,Act_Type_Repex,0),MATCH(BY$5,Mat_Type,0))*INDEX(Escalators!$I$44:$U$49,MATCH(BY$5,Escalators!$C$44:$C$49,0),MATCH(BY$6,Escalators!$I$43:$U$43,0)))</f>
        <v>0</v>
      </c>
      <c r="BZ27" s="47">
        <f t="shared" si="22"/>
        <v>0</v>
      </c>
      <c r="CA27" s="47">
        <f>IF($R27="",0,$P27*$AD27*INDEX(Act_Type_Repex_Splits,MATCH($I27,Act_Type_Repex,0),MATCH(CA$5,Mat_Type,0))*INDEX(Escalators!$I$44:$U$49,MATCH(CA$5,Escalators!$C$44:$C$49,0),MATCH(CA$6,Escalators!$I$43:$U$43,0)))</f>
        <v>0</v>
      </c>
      <c r="CB27" s="47">
        <f>IF($R27="",0,$P27*$AD27*INDEX(Act_Type_Repex_Splits,MATCH($I27,Act_Type_Repex,0),MATCH(CB$5,Mat_Type,0))*INDEX(Escalators!$I$44:$U$49,MATCH(CB$5,Escalators!$C$44:$C$49,0),MATCH(CB$6,Escalators!$I$43:$U$43,0)))</f>
        <v>0</v>
      </c>
      <c r="CC27" s="47">
        <f>IF($R27="",0,$P27*$AD27*INDEX(Act_Type_Repex_Splits,MATCH($I27,Act_Type_Repex,0),MATCH(CC$5,Mat_Type,0))*INDEX(Escalators!$I$44:$U$49,MATCH(CC$5,Escalators!$C$44:$C$49,0),MATCH(CC$6,Escalators!$I$43:$U$43,0)))</f>
        <v>0</v>
      </c>
      <c r="CD27" s="47">
        <f>IF($R27="",0,$P27*$AD27*INDEX(Act_Type_Repex_Splits,MATCH($I27,Act_Type_Repex,0),MATCH(CD$5,Mat_Type,0))*INDEX(Escalators!$I$44:$U$49,MATCH(CD$5,Escalators!$C$44:$C$49,0),MATCH(CD$6,Escalators!$I$43:$U$43,0)))</f>
        <v>0</v>
      </c>
      <c r="CE27" s="47">
        <f>IF($R27="",0,$P27*$AD27*INDEX(Act_Type_Repex_Splits,MATCH($I27,Act_Type_Repex,0),MATCH(CE$5,Mat_Type,0))*INDEX(Escalators!$I$44:$U$49,MATCH(CE$5,Escalators!$C$44:$C$49,0),MATCH(CE$6,Escalators!$I$43:$U$43,0)))</f>
        <v>0</v>
      </c>
      <c r="CF27" s="47">
        <f t="shared" si="23"/>
        <v>0</v>
      </c>
      <c r="CG27" s="47">
        <f>IF($R27="",0,$Q27*$AD27*INDEX(Act_Type_Repex_Splits,MATCH($I27,Act_Type_Repex,0),MATCH(CG$5,Mat_Type,0))*INDEX(Escalators!$I$44:$U$49,MATCH(CG$5,Escalators!$C$44:$C$49,0),MATCH(CG$6,Escalators!$I$43:$U$43,0)))</f>
        <v>0</v>
      </c>
      <c r="CH27" s="47">
        <f>IF($R27="",0,$Q27*$AD27*INDEX(Act_Type_Repex_Splits,MATCH($I27,Act_Type_Repex,0),MATCH(CH$5,Mat_Type,0))*INDEX(Escalators!$I$44:$U$49,MATCH(CH$5,Escalators!$C$44:$C$49,0),MATCH(CH$6,Escalators!$I$43:$U$43,0)))</f>
        <v>0</v>
      </c>
      <c r="CI27" s="47">
        <f>IF($R27="",0,$Q27*$AD27*INDEX(Act_Type_Repex_Splits,MATCH($I27,Act_Type_Repex,0),MATCH(CI$5,Mat_Type,0))*INDEX(Escalators!$I$44:$U$49,MATCH(CI$5,Escalators!$C$44:$C$49,0),MATCH(CI$6,Escalators!$I$43:$U$43,0)))</f>
        <v>0</v>
      </c>
      <c r="CJ27" s="47">
        <f>IF($R27="",0,$Q27*$AD27*INDEX(Act_Type_Repex_Splits,MATCH($I27,Act_Type_Repex,0),MATCH(CJ$5,Mat_Type,0))*INDEX(Escalators!$I$44:$U$49,MATCH(CJ$5,Escalators!$C$44:$C$49,0),MATCH(CJ$6,Escalators!$I$43:$U$43,0)))</f>
        <v>0</v>
      </c>
      <c r="CK27" s="47">
        <f>IF($R27="",0,$Q27*$AD27*INDEX(Act_Type_Repex_Splits,MATCH($I27,Act_Type_Repex,0),MATCH(CK$5,Mat_Type,0))*INDEX(Escalators!$I$44:$U$49,MATCH(CK$5,Escalators!$C$44:$C$49,0),MATCH(CK$6,Escalators!$I$43:$U$43,0)))</f>
        <v>0</v>
      </c>
      <c r="CL27" s="47">
        <f t="shared" si="24"/>
        <v>0</v>
      </c>
      <c r="CN27" s="47">
        <f>IF($R27="",0,J27*$AE27*HLOOKUP(CN$6,Escalators!$I$25:$U$30,6,FALSE))</f>
        <v>0</v>
      </c>
      <c r="CO27" s="47">
        <f>IF($R27="",0,K27*$AE27*HLOOKUP(CO$6,Escalators!$I$25:$U$30,6,FALSE))</f>
        <v>0</v>
      </c>
      <c r="CP27" s="47">
        <f>IF($R27="",0,L27*$AE27*HLOOKUP(CP$6,Escalators!$I$25:$U$30,6,FALSE))</f>
        <v>0</v>
      </c>
      <c r="CQ27" s="47">
        <f>IF($R27="",0,M27*$AE27*HLOOKUP(CQ$6,Escalators!$I$25:$U$30,6,FALSE))</f>
        <v>0</v>
      </c>
      <c r="CR27" s="47">
        <f>IF($R27="",0,N27*$AE27*HLOOKUP(CR$6,Escalators!$I$25:$U$30,6,FALSE))</f>
        <v>0</v>
      </c>
      <c r="CS27" s="47">
        <f>IF($R27="",0,O27*$AE27*HLOOKUP(CS$6,Escalators!$I$25:$U$30,6,FALSE))</f>
        <v>0</v>
      </c>
      <c r="CT27" s="47">
        <f>IF($R27="",0,P27*$AE27*HLOOKUP(CT$6,Escalators!$I$25:$U$30,6,FALSE))</f>
        <v>0</v>
      </c>
      <c r="CU27" s="47">
        <f>IF($R27="",0,Q27*$AE27*HLOOKUP(CU$6,Escalators!$I$25:$U$30,6,FALSE))</f>
        <v>0</v>
      </c>
      <c r="CW27" s="82">
        <f t="shared" si="25"/>
        <v>0</v>
      </c>
      <c r="CX27" s="82">
        <f t="shared" si="26"/>
        <v>0</v>
      </c>
      <c r="CY27" s="82">
        <f t="shared" si="27"/>
        <v>0</v>
      </c>
      <c r="CZ27" s="82">
        <f t="shared" si="28"/>
        <v>0</v>
      </c>
      <c r="DA27" s="82">
        <f t="shared" si="29"/>
        <v>0</v>
      </c>
      <c r="DB27" s="82">
        <f t="shared" si="30"/>
        <v>0</v>
      </c>
      <c r="DC27" s="82">
        <f t="shared" si="31"/>
        <v>0</v>
      </c>
      <c r="DD27" s="82">
        <f t="shared" si="32"/>
        <v>0</v>
      </c>
      <c r="DF27" s="47">
        <f t="shared" si="33"/>
        <v>0</v>
      </c>
      <c r="DG27" s="47">
        <f t="shared" si="34"/>
        <v>0</v>
      </c>
      <c r="DH27" s="47">
        <f t="shared" si="35"/>
        <v>0</v>
      </c>
      <c r="DI27" s="47">
        <f t="shared" si="36"/>
        <v>0</v>
      </c>
      <c r="DJ27" s="47">
        <f t="shared" si="37"/>
        <v>0</v>
      </c>
      <c r="DK27" s="47">
        <f t="shared" si="38"/>
        <v>0</v>
      </c>
      <c r="DL27" s="47">
        <f t="shared" si="39"/>
        <v>0</v>
      </c>
      <c r="DM27" s="47">
        <f t="shared" si="40"/>
        <v>0</v>
      </c>
      <c r="DO27" s="39"/>
    </row>
    <row r="28" spans="2:119" x14ac:dyDescent="0.25">
      <c r="B28" s="7"/>
      <c r="C28" s="7"/>
      <c r="D28" s="7"/>
      <c r="E28" s="7"/>
      <c r="F28" s="7"/>
      <c r="G28" s="7"/>
      <c r="H28" s="7"/>
      <c r="I28" s="7"/>
      <c r="J28" s="7"/>
      <c r="K28" s="7"/>
      <c r="L28" s="7"/>
      <c r="M28" s="7"/>
      <c r="N28" s="7"/>
      <c r="O28" s="7"/>
      <c r="P28" s="7"/>
      <c r="Q28" s="7"/>
      <c r="R28" s="46"/>
      <c r="T28" s="47">
        <f t="shared" si="8"/>
        <v>0</v>
      </c>
      <c r="U28" s="47">
        <f t="shared" si="9"/>
        <v>0</v>
      </c>
      <c r="V28" s="47">
        <f t="shared" si="10"/>
        <v>0</v>
      </c>
      <c r="W28" s="47">
        <f t="shared" si="11"/>
        <v>0</v>
      </c>
      <c r="X28" s="47">
        <f t="shared" si="12"/>
        <v>0</v>
      </c>
      <c r="Y28" s="47">
        <f t="shared" si="13"/>
        <v>0</v>
      </c>
      <c r="Z28" s="47">
        <f t="shared" si="14"/>
        <v>0</v>
      </c>
      <c r="AA28" s="47">
        <f t="shared" si="15"/>
        <v>0</v>
      </c>
      <c r="AC28" s="82">
        <f t="shared" si="16"/>
        <v>0</v>
      </c>
      <c r="AD28" s="82">
        <f t="shared" si="16"/>
        <v>0</v>
      </c>
      <c r="AE28" s="82">
        <f t="shared" si="16"/>
        <v>0</v>
      </c>
      <c r="AF28" s="82">
        <f t="shared" si="16"/>
        <v>0</v>
      </c>
      <c r="AH28" s="47">
        <f>IF($R28="",0,J28*$AC28*HLOOKUP(AH$6,Escalators!$I$25:$U$30,3,FALSE))</f>
        <v>0</v>
      </c>
      <c r="AI28" s="47">
        <f>IF($R28="",0,K28*$AC28*HLOOKUP(AI$6,Escalators!$I$25:$U$30,3,FALSE))</f>
        <v>0</v>
      </c>
      <c r="AJ28" s="47">
        <f>IF($R28="",0,L28*$AC28*HLOOKUP(AJ$6,Escalators!$I$25:$U$30,3,FALSE))</f>
        <v>0</v>
      </c>
      <c r="AK28" s="47">
        <f>IF($R28="",0,M28*$AC28*HLOOKUP(AK$6,Escalators!$I$25:$U$30,3,FALSE))</f>
        <v>0</v>
      </c>
      <c r="AL28" s="47">
        <f>IF($R28="",0,N28*$AC28*HLOOKUP(AL$6,Escalators!$I$25:$U$30,3,FALSE))</f>
        <v>0</v>
      </c>
      <c r="AM28" s="47">
        <f>IF($R28="",0,O28*$AC28*HLOOKUP(AM$6,Escalators!$I$25:$U$30,3,FALSE))</f>
        <v>0</v>
      </c>
      <c r="AN28" s="47">
        <f>IF($R28="",0,P28*$AC28*HLOOKUP(AN$6,Escalators!$I$25:$U$30,3,FALSE))</f>
        <v>0</v>
      </c>
      <c r="AO28" s="47">
        <f>IF($R28="",0,Q28*$AC28*HLOOKUP(AO$6,Escalators!$I$25:$U$30,3,FALSE))</f>
        <v>0</v>
      </c>
      <c r="AQ28" s="6">
        <f>IF($R28="",0,$J28*$AD28*INDEX(Act_Type_Repex_Splits,MATCH($I28,Act_Type_Repex,0),MATCH(AQ$5,Mat_Type,0))*INDEX(Escalators!$I$44:$U$49,MATCH(AQ$5,Escalators!$C$44:$C$49,0),MATCH(AQ$6,Escalators!$I$43:$U$43,0)))</f>
        <v>0</v>
      </c>
      <c r="AR28" s="6">
        <f>IF($R28="",0,$J28*$AD28*INDEX(Act_Type_Repex_Splits,MATCH($I28,Act_Type_Repex,0),MATCH(AR$5,Mat_Type,0))*INDEX(Escalators!$I$44:$U$49,MATCH(AR$5,Escalators!$C$44:$C$49,0),MATCH(AR$6,Escalators!$I$43:$U$43,0)))</f>
        <v>0</v>
      </c>
      <c r="AS28" s="6">
        <f>IF($R28="",0,$J28*$AD28*INDEX(Act_Type_Repex_Splits,MATCH($I28,Act_Type_Repex,0),MATCH(AS$5,Mat_Type,0))*INDEX(Escalators!$I$44:$U$49,MATCH(AS$5,Escalators!$C$44:$C$49,0),MATCH(AS$6,Escalators!$I$43:$U$43,0)))</f>
        <v>0</v>
      </c>
      <c r="AT28" s="6">
        <f>IF($R28="",0,$J28*$AD28*INDEX(Act_Type_Repex_Splits,MATCH($I28,Act_Type_Repex,0),MATCH(AT$5,Mat_Type,0))*INDEX(Escalators!$I$44:$U$49,MATCH(AT$5,Escalators!$C$44:$C$49,0),MATCH(AT$6,Escalators!$I$43:$U$43,0)))</f>
        <v>0</v>
      </c>
      <c r="AU28" s="6">
        <f>IF($R28="",0,$J28*$AD28*INDEX(Act_Type_Repex_Splits,MATCH($I28,Act_Type_Repex,0),MATCH(AU$5,Mat_Type,0))*INDEX(Escalators!$I$44:$U$49,MATCH(AU$5,Escalators!$C$44:$C$49,0),MATCH(AU$6,Escalators!$I$43:$U$43,0)))</f>
        <v>0</v>
      </c>
      <c r="AV28" s="47">
        <f t="shared" si="17"/>
        <v>0</v>
      </c>
      <c r="AW28" s="47">
        <f>IF($R28="",0,$K28*$AD28*INDEX(Act_Type_Repex_Splits,MATCH($I28,Act_Type_Repex,0),MATCH(AW$5,Mat_Type,0))*INDEX(Escalators!$I$44:$U$49,MATCH(AW$5,Escalators!$C$44:$C$49,0),MATCH(AW$6,Escalators!$I$43:$U$43,0)))</f>
        <v>0</v>
      </c>
      <c r="AX28" s="47">
        <f>IF($R28="",0,$K28*$AD28*INDEX(Act_Type_Repex_Splits,MATCH($I28,Act_Type_Repex,0),MATCH(AX$5,Mat_Type,0))*INDEX(Escalators!$I$44:$U$49,MATCH(AX$5,Escalators!$C$44:$C$49,0),MATCH(AX$6,Escalators!$I$43:$U$43,0)))</f>
        <v>0</v>
      </c>
      <c r="AY28" s="47">
        <f>IF($R28="",0,$K28*$AD28*INDEX(Act_Type_Repex_Splits,MATCH($I28,Act_Type_Repex,0),MATCH(AY$5,Mat_Type,0))*INDEX(Escalators!$I$44:$U$49,MATCH(AY$5,Escalators!$C$44:$C$49,0),MATCH(AY$6,Escalators!$I$43:$U$43,0)))</f>
        <v>0</v>
      </c>
      <c r="AZ28" s="47">
        <f>IF($R28="",0,$K28*$AD28*INDEX(Act_Type_Repex_Splits,MATCH($I28,Act_Type_Repex,0),MATCH(AZ$5,Mat_Type,0))*INDEX(Escalators!$I$44:$U$49,MATCH(AZ$5,Escalators!$C$44:$C$49,0),MATCH(AZ$6,Escalators!$I$43:$U$43,0)))</f>
        <v>0</v>
      </c>
      <c r="BA28" s="47">
        <f>IF($R28="",0,$K28*$AD28*INDEX(Act_Type_Repex_Splits,MATCH($I28,Act_Type_Repex,0),MATCH(BA$5,Mat_Type,0))*INDEX(Escalators!$I$44:$U$49,MATCH(BA$5,Escalators!$C$44:$C$49,0),MATCH(BA$6,Escalators!$I$43:$U$43,0)))</f>
        <v>0</v>
      </c>
      <c r="BB28" s="47">
        <f t="shared" si="18"/>
        <v>0</v>
      </c>
      <c r="BC28" s="47">
        <f>IF($R28="",0,$L28*$AD28*INDEX(Act_Type_Repex_Splits,MATCH($I28,Act_Type_Repex,0),MATCH(BC$5,Mat_Type,0))*INDEX(Escalators!$I$44:$U$49,MATCH(BC$5,Escalators!$C$44:$C$49,0),MATCH(BC$6,Escalators!$I$43:$U$43,0)))</f>
        <v>0</v>
      </c>
      <c r="BD28" s="47">
        <f>IF($R28="",0,$L28*$AD28*INDEX(Act_Type_Repex_Splits,MATCH($I28,Act_Type_Repex,0),MATCH(BD$5,Mat_Type,0))*INDEX(Escalators!$I$44:$U$49,MATCH(BD$5,Escalators!$C$44:$C$49,0),MATCH(BD$6,Escalators!$I$43:$U$43,0)))</f>
        <v>0</v>
      </c>
      <c r="BE28" s="47">
        <f>IF($R28="",0,$L28*$AD28*INDEX(Act_Type_Repex_Splits,MATCH($I28,Act_Type_Repex,0),MATCH(BE$5,Mat_Type,0))*INDEX(Escalators!$I$44:$U$49,MATCH(BE$5,Escalators!$C$44:$C$49,0),MATCH(BE$6,Escalators!$I$43:$U$43,0)))</f>
        <v>0</v>
      </c>
      <c r="BF28" s="47">
        <f>IF($R28="",0,$L28*$AD28*INDEX(Act_Type_Repex_Splits,MATCH($I28,Act_Type_Repex,0),MATCH(BF$5,Mat_Type,0))*INDEX(Escalators!$I$44:$U$49,MATCH(BF$5,Escalators!$C$44:$C$49,0),MATCH(BF$6,Escalators!$I$43:$U$43,0)))</f>
        <v>0</v>
      </c>
      <c r="BG28" s="47">
        <f>IF($R28="",0,$L28*$AD28*INDEX(Act_Type_Repex_Splits,MATCH($I28,Act_Type_Repex,0),MATCH(BG$5,Mat_Type,0))*INDEX(Escalators!$I$44:$U$49,MATCH(BG$5,Escalators!$C$44:$C$49,0),MATCH(BG$6,Escalators!$I$43:$U$43,0)))</f>
        <v>0</v>
      </c>
      <c r="BH28" s="47">
        <f t="shared" si="19"/>
        <v>0</v>
      </c>
      <c r="BI28" s="47">
        <f>IF($R28="",0,$M28*$AD28*INDEX(Act_Type_Repex_Splits,MATCH($I28,Act_Type_Repex,0),MATCH(BI$5,Mat_Type,0))*INDEX(Escalators!$I$44:$U$49,MATCH(BI$5,Escalators!$C$44:$C$49,0),MATCH(BI$6,Escalators!$I$43:$U$43,0)))</f>
        <v>0</v>
      </c>
      <c r="BJ28" s="47">
        <f>IF($R28="",0,$M28*$AD28*INDEX(Act_Type_Repex_Splits,MATCH($I28,Act_Type_Repex,0),MATCH(BJ$5,Mat_Type,0))*INDEX(Escalators!$I$44:$U$49,MATCH(BJ$5,Escalators!$C$44:$C$49,0),MATCH(BJ$6,Escalators!$I$43:$U$43,0)))</f>
        <v>0</v>
      </c>
      <c r="BK28" s="47">
        <f>IF($R28="",0,$M28*$AD28*INDEX(Act_Type_Repex_Splits,MATCH($I28,Act_Type_Repex,0),MATCH(BK$5,Mat_Type,0))*INDEX(Escalators!$I$44:$U$49,MATCH(BK$5,Escalators!$C$44:$C$49,0),MATCH(BK$6,Escalators!$I$43:$U$43,0)))</f>
        <v>0</v>
      </c>
      <c r="BL28" s="47">
        <f>IF($R28="",0,$M28*$AD28*INDEX(Act_Type_Repex_Splits,MATCH($I28,Act_Type_Repex,0),MATCH(BL$5,Mat_Type,0))*INDEX(Escalators!$I$44:$U$49,MATCH(BL$5,Escalators!$C$44:$C$49,0),MATCH(BL$6,Escalators!$I$43:$U$43,0)))</f>
        <v>0</v>
      </c>
      <c r="BM28" s="47">
        <f>IF($R28="",0,$M28*$AD28*INDEX(Act_Type_Repex_Splits,MATCH($I28,Act_Type_Repex,0),MATCH(BM$5,Mat_Type,0))*INDEX(Escalators!$I$44:$U$49,MATCH(BM$5,Escalators!$C$44:$C$49,0),MATCH(BM$6,Escalators!$I$43:$U$43,0)))</f>
        <v>0</v>
      </c>
      <c r="BN28" s="47">
        <f t="shared" si="20"/>
        <v>0</v>
      </c>
      <c r="BO28" s="47">
        <f>IF($R28="",0,$N28*$AD28*INDEX(Act_Type_Repex_Splits,MATCH($I28,Act_Type_Repex,0),MATCH(BO$5,Mat_Type,0))*INDEX(Escalators!$I$44:$U$49,MATCH(BO$5,Escalators!$C$44:$C$49,0),MATCH(BO$6,Escalators!$I$43:$U$43,0)))</f>
        <v>0</v>
      </c>
      <c r="BP28" s="47">
        <f>IF($R28="",0,$N28*$AD28*INDEX(Act_Type_Repex_Splits,MATCH($I28,Act_Type_Repex,0),MATCH(BP$5,Mat_Type,0))*INDEX(Escalators!$I$44:$U$49,MATCH(BP$5,Escalators!$C$44:$C$49,0),MATCH(BP$6,Escalators!$I$43:$U$43,0)))</f>
        <v>0</v>
      </c>
      <c r="BQ28" s="47">
        <f>IF($R28="",0,$N28*$AD28*INDEX(Act_Type_Repex_Splits,MATCH($I28,Act_Type_Repex,0),MATCH(BQ$5,Mat_Type,0))*INDEX(Escalators!$I$44:$U$49,MATCH(BQ$5,Escalators!$C$44:$C$49,0),MATCH(BQ$6,Escalators!$I$43:$U$43,0)))</f>
        <v>0</v>
      </c>
      <c r="BR28" s="47">
        <f>IF($R28="",0,$N28*$AD28*INDEX(Act_Type_Repex_Splits,MATCH($I28,Act_Type_Repex,0),MATCH(BR$5,Mat_Type,0))*INDEX(Escalators!$I$44:$U$49,MATCH(BR$5,Escalators!$C$44:$C$49,0),MATCH(BR$6,Escalators!$I$43:$U$43,0)))</f>
        <v>0</v>
      </c>
      <c r="BS28" s="47">
        <f>IF($R28="",0,$N28*$AD28*INDEX(Act_Type_Repex_Splits,MATCH($I28,Act_Type_Repex,0),MATCH(BS$5,Mat_Type,0))*INDEX(Escalators!$I$44:$U$49,MATCH(BS$5,Escalators!$C$44:$C$49,0),MATCH(BS$6,Escalators!$I$43:$U$43,0)))</f>
        <v>0</v>
      </c>
      <c r="BT28" s="47">
        <f t="shared" si="21"/>
        <v>0</v>
      </c>
      <c r="BU28" s="47">
        <f>IF($R28="",0,$O28*$AD28*INDEX(Act_Type_Repex_Splits,MATCH($I28,Act_Type_Repex,0),MATCH(BU$5,Mat_Type,0))*INDEX(Escalators!$I$44:$U$49,MATCH(BU$5,Escalators!$C$44:$C$49,0),MATCH(BU$6,Escalators!$I$43:$U$43,0)))</f>
        <v>0</v>
      </c>
      <c r="BV28" s="47">
        <f>IF($R28="",0,$O28*$AD28*INDEX(Act_Type_Repex_Splits,MATCH($I28,Act_Type_Repex,0),MATCH(BV$5,Mat_Type,0))*INDEX(Escalators!$I$44:$U$49,MATCH(BV$5,Escalators!$C$44:$C$49,0),MATCH(BV$6,Escalators!$I$43:$U$43,0)))</f>
        <v>0</v>
      </c>
      <c r="BW28" s="47">
        <f>IF($R28="",0,$O28*$AD28*INDEX(Act_Type_Repex_Splits,MATCH($I28,Act_Type_Repex,0),MATCH(BW$5,Mat_Type,0))*INDEX(Escalators!$I$44:$U$49,MATCH(BW$5,Escalators!$C$44:$C$49,0),MATCH(BW$6,Escalators!$I$43:$U$43,0)))</f>
        <v>0</v>
      </c>
      <c r="BX28" s="47">
        <f>IF($R28="",0,$O28*$AD28*INDEX(Act_Type_Repex_Splits,MATCH($I28,Act_Type_Repex,0),MATCH(BX$5,Mat_Type,0))*INDEX(Escalators!$I$44:$U$49,MATCH(BX$5,Escalators!$C$44:$C$49,0),MATCH(BX$6,Escalators!$I$43:$U$43,0)))</f>
        <v>0</v>
      </c>
      <c r="BY28" s="47">
        <f>IF($R28="",0,$O28*$AD28*INDEX(Act_Type_Repex_Splits,MATCH($I28,Act_Type_Repex,0),MATCH(BY$5,Mat_Type,0))*INDEX(Escalators!$I$44:$U$49,MATCH(BY$5,Escalators!$C$44:$C$49,0),MATCH(BY$6,Escalators!$I$43:$U$43,0)))</f>
        <v>0</v>
      </c>
      <c r="BZ28" s="47">
        <f t="shared" si="22"/>
        <v>0</v>
      </c>
      <c r="CA28" s="47">
        <f>IF($R28="",0,$P28*$AD28*INDEX(Act_Type_Repex_Splits,MATCH($I28,Act_Type_Repex,0),MATCH(CA$5,Mat_Type,0))*INDEX(Escalators!$I$44:$U$49,MATCH(CA$5,Escalators!$C$44:$C$49,0),MATCH(CA$6,Escalators!$I$43:$U$43,0)))</f>
        <v>0</v>
      </c>
      <c r="CB28" s="47">
        <f>IF($R28="",0,$P28*$AD28*INDEX(Act_Type_Repex_Splits,MATCH($I28,Act_Type_Repex,0),MATCH(CB$5,Mat_Type,0))*INDEX(Escalators!$I$44:$U$49,MATCH(CB$5,Escalators!$C$44:$C$49,0),MATCH(CB$6,Escalators!$I$43:$U$43,0)))</f>
        <v>0</v>
      </c>
      <c r="CC28" s="47">
        <f>IF($R28="",0,$P28*$AD28*INDEX(Act_Type_Repex_Splits,MATCH($I28,Act_Type_Repex,0),MATCH(CC$5,Mat_Type,0))*INDEX(Escalators!$I$44:$U$49,MATCH(CC$5,Escalators!$C$44:$C$49,0),MATCH(CC$6,Escalators!$I$43:$U$43,0)))</f>
        <v>0</v>
      </c>
      <c r="CD28" s="47">
        <f>IF($R28="",0,$P28*$AD28*INDEX(Act_Type_Repex_Splits,MATCH($I28,Act_Type_Repex,0),MATCH(CD$5,Mat_Type,0))*INDEX(Escalators!$I$44:$U$49,MATCH(CD$5,Escalators!$C$44:$C$49,0),MATCH(CD$6,Escalators!$I$43:$U$43,0)))</f>
        <v>0</v>
      </c>
      <c r="CE28" s="47">
        <f>IF($R28="",0,$P28*$AD28*INDEX(Act_Type_Repex_Splits,MATCH($I28,Act_Type_Repex,0),MATCH(CE$5,Mat_Type,0))*INDEX(Escalators!$I$44:$U$49,MATCH(CE$5,Escalators!$C$44:$C$49,0),MATCH(CE$6,Escalators!$I$43:$U$43,0)))</f>
        <v>0</v>
      </c>
      <c r="CF28" s="47">
        <f t="shared" si="23"/>
        <v>0</v>
      </c>
      <c r="CG28" s="47">
        <f>IF($R28="",0,$Q28*$AD28*INDEX(Act_Type_Repex_Splits,MATCH($I28,Act_Type_Repex,0),MATCH(CG$5,Mat_Type,0))*INDEX(Escalators!$I$44:$U$49,MATCH(CG$5,Escalators!$C$44:$C$49,0),MATCH(CG$6,Escalators!$I$43:$U$43,0)))</f>
        <v>0</v>
      </c>
      <c r="CH28" s="47">
        <f>IF($R28="",0,$Q28*$AD28*INDEX(Act_Type_Repex_Splits,MATCH($I28,Act_Type_Repex,0),MATCH(CH$5,Mat_Type,0))*INDEX(Escalators!$I$44:$U$49,MATCH(CH$5,Escalators!$C$44:$C$49,0),MATCH(CH$6,Escalators!$I$43:$U$43,0)))</f>
        <v>0</v>
      </c>
      <c r="CI28" s="47">
        <f>IF($R28="",0,$Q28*$AD28*INDEX(Act_Type_Repex_Splits,MATCH($I28,Act_Type_Repex,0),MATCH(CI$5,Mat_Type,0))*INDEX(Escalators!$I$44:$U$49,MATCH(CI$5,Escalators!$C$44:$C$49,0),MATCH(CI$6,Escalators!$I$43:$U$43,0)))</f>
        <v>0</v>
      </c>
      <c r="CJ28" s="47">
        <f>IF($R28="",0,$Q28*$AD28*INDEX(Act_Type_Repex_Splits,MATCH($I28,Act_Type_Repex,0),MATCH(CJ$5,Mat_Type,0))*INDEX(Escalators!$I$44:$U$49,MATCH(CJ$5,Escalators!$C$44:$C$49,0),MATCH(CJ$6,Escalators!$I$43:$U$43,0)))</f>
        <v>0</v>
      </c>
      <c r="CK28" s="47">
        <f>IF($R28="",0,$Q28*$AD28*INDEX(Act_Type_Repex_Splits,MATCH($I28,Act_Type_Repex,0),MATCH(CK$5,Mat_Type,0))*INDEX(Escalators!$I$44:$U$49,MATCH(CK$5,Escalators!$C$44:$C$49,0),MATCH(CK$6,Escalators!$I$43:$U$43,0)))</f>
        <v>0</v>
      </c>
      <c r="CL28" s="47">
        <f t="shared" si="24"/>
        <v>0</v>
      </c>
      <c r="CN28" s="47">
        <f>IF($R28="",0,J28*$AE28*HLOOKUP(CN$6,Escalators!$I$25:$U$30,6,FALSE))</f>
        <v>0</v>
      </c>
      <c r="CO28" s="47">
        <f>IF($R28="",0,K28*$AE28*HLOOKUP(CO$6,Escalators!$I$25:$U$30,6,FALSE))</f>
        <v>0</v>
      </c>
      <c r="CP28" s="47">
        <f>IF($R28="",0,L28*$AE28*HLOOKUP(CP$6,Escalators!$I$25:$U$30,6,FALSE))</f>
        <v>0</v>
      </c>
      <c r="CQ28" s="47">
        <f>IF($R28="",0,M28*$AE28*HLOOKUP(CQ$6,Escalators!$I$25:$U$30,6,FALSE))</f>
        <v>0</v>
      </c>
      <c r="CR28" s="47">
        <f>IF($R28="",0,N28*$AE28*HLOOKUP(CR$6,Escalators!$I$25:$U$30,6,FALSE))</f>
        <v>0</v>
      </c>
      <c r="CS28" s="47">
        <f>IF($R28="",0,O28*$AE28*HLOOKUP(CS$6,Escalators!$I$25:$U$30,6,FALSE))</f>
        <v>0</v>
      </c>
      <c r="CT28" s="47">
        <f>IF($R28="",0,P28*$AE28*HLOOKUP(CT$6,Escalators!$I$25:$U$30,6,FALSE))</f>
        <v>0</v>
      </c>
      <c r="CU28" s="47">
        <f>IF($R28="",0,Q28*$AE28*HLOOKUP(CU$6,Escalators!$I$25:$U$30,6,FALSE))</f>
        <v>0</v>
      </c>
      <c r="CW28" s="82">
        <f t="shared" si="25"/>
        <v>0</v>
      </c>
      <c r="CX28" s="82">
        <f t="shared" si="26"/>
        <v>0</v>
      </c>
      <c r="CY28" s="82">
        <f t="shared" si="27"/>
        <v>0</v>
      </c>
      <c r="CZ28" s="82">
        <f t="shared" si="28"/>
        <v>0</v>
      </c>
      <c r="DA28" s="82">
        <f t="shared" si="29"/>
        <v>0</v>
      </c>
      <c r="DB28" s="82">
        <f t="shared" si="30"/>
        <v>0</v>
      </c>
      <c r="DC28" s="82">
        <f t="shared" si="31"/>
        <v>0</v>
      </c>
      <c r="DD28" s="82">
        <f t="shared" si="32"/>
        <v>0</v>
      </c>
      <c r="DF28" s="47">
        <f t="shared" si="33"/>
        <v>0</v>
      </c>
      <c r="DG28" s="47">
        <f t="shared" si="34"/>
        <v>0</v>
      </c>
      <c r="DH28" s="47">
        <f t="shared" si="35"/>
        <v>0</v>
      </c>
      <c r="DI28" s="47">
        <f t="shared" si="36"/>
        <v>0</v>
      </c>
      <c r="DJ28" s="47">
        <f t="shared" si="37"/>
        <v>0</v>
      </c>
      <c r="DK28" s="47">
        <f t="shared" si="38"/>
        <v>0</v>
      </c>
      <c r="DL28" s="47">
        <f t="shared" si="39"/>
        <v>0</v>
      </c>
      <c r="DM28" s="47">
        <f t="shared" si="40"/>
        <v>0</v>
      </c>
      <c r="DO28" s="39"/>
    </row>
    <row r="29" spans="2:119" x14ac:dyDescent="0.25">
      <c r="B29" s="7"/>
      <c r="C29" s="7"/>
      <c r="D29" s="7"/>
      <c r="E29" s="7"/>
      <c r="F29" s="7"/>
      <c r="G29" s="7"/>
      <c r="H29" s="7"/>
      <c r="I29" s="7"/>
      <c r="J29" s="7"/>
      <c r="K29" s="7"/>
      <c r="L29" s="7"/>
      <c r="M29" s="7"/>
      <c r="N29" s="7"/>
      <c r="O29" s="7"/>
      <c r="P29" s="7"/>
      <c r="Q29" s="7"/>
      <c r="R29" s="46"/>
      <c r="T29" s="47">
        <f t="shared" si="8"/>
        <v>0</v>
      </c>
      <c r="U29" s="47">
        <f t="shared" si="9"/>
        <v>0</v>
      </c>
      <c r="V29" s="47">
        <f t="shared" si="10"/>
        <v>0</v>
      </c>
      <c r="W29" s="47">
        <f t="shared" si="11"/>
        <v>0</v>
      </c>
      <c r="X29" s="47">
        <f t="shared" si="12"/>
        <v>0</v>
      </c>
      <c r="Y29" s="47">
        <f t="shared" si="13"/>
        <v>0</v>
      </c>
      <c r="Z29" s="47">
        <f t="shared" si="14"/>
        <v>0</v>
      </c>
      <c r="AA29" s="47">
        <f t="shared" si="15"/>
        <v>0</v>
      </c>
      <c r="AC29" s="82">
        <f t="shared" si="16"/>
        <v>0</v>
      </c>
      <c r="AD29" s="82">
        <f t="shared" si="16"/>
        <v>0</v>
      </c>
      <c r="AE29" s="82">
        <f t="shared" si="16"/>
        <v>0</v>
      </c>
      <c r="AF29" s="82">
        <f t="shared" si="16"/>
        <v>0</v>
      </c>
      <c r="AH29" s="47">
        <f>IF($R29="",0,J29*$AC29*HLOOKUP(AH$6,Escalators!$I$25:$U$30,3,FALSE))</f>
        <v>0</v>
      </c>
      <c r="AI29" s="47">
        <f>IF($R29="",0,K29*$AC29*HLOOKUP(AI$6,Escalators!$I$25:$U$30,3,FALSE))</f>
        <v>0</v>
      </c>
      <c r="AJ29" s="47">
        <f>IF($R29="",0,L29*$AC29*HLOOKUP(AJ$6,Escalators!$I$25:$U$30,3,FALSE))</f>
        <v>0</v>
      </c>
      <c r="AK29" s="47">
        <f>IF($R29="",0,M29*$AC29*HLOOKUP(AK$6,Escalators!$I$25:$U$30,3,FALSE))</f>
        <v>0</v>
      </c>
      <c r="AL29" s="47">
        <f>IF($R29="",0,N29*$AC29*HLOOKUP(AL$6,Escalators!$I$25:$U$30,3,FALSE))</f>
        <v>0</v>
      </c>
      <c r="AM29" s="47">
        <f>IF($R29="",0,O29*$AC29*HLOOKUP(AM$6,Escalators!$I$25:$U$30,3,FALSE))</f>
        <v>0</v>
      </c>
      <c r="AN29" s="47">
        <f>IF($R29="",0,P29*$AC29*HLOOKUP(AN$6,Escalators!$I$25:$U$30,3,FALSE))</f>
        <v>0</v>
      </c>
      <c r="AO29" s="47">
        <f>IF($R29="",0,Q29*$AC29*HLOOKUP(AO$6,Escalators!$I$25:$U$30,3,FALSE))</f>
        <v>0</v>
      </c>
      <c r="AQ29" s="6">
        <f>IF($R29="",0,$J29*$AD29*INDEX(Act_Type_Repex_Splits,MATCH($I29,Act_Type_Repex,0),MATCH(AQ$5,Mat_Type,0))*INDEX(Escalators!$I$44:$U$49,MATCH(AQ$5,Escalators!$C$44:$C$49,0),MATCH(AQ$6,Escalators!$I$43:$U$43,0)))</f>
        <v>0</v>
      </c>
      <c r="AR29" s="6">
        <f>IF($R29="",0,$J29*$AD29*INDEX(Act_Type_Repex_Splits,MATCH($I29,Act_Type_Repex,0),MATCH(AR$5,Mat_Type,0))*INDEX(Escalators!$I$44:$U$49,MATCH(AR$5,Escalators!$C$44:$C$49,0),MATCH(AR$6,Escalators!$I$43:$U$43,0)))</f>
        <v>0</v>
      </c>
      <c r="AS29" s="6">
        <f>IF($R29="",0,$J29*$AD29*INDEX(Act_Type_Repex_Splits,MATCH($I29,Act_Type_Repex,0),MATCH(AS$5,Mat_Type,0))*INDEX(Escalators!$I$44:$U$49,MATCH(AS$5,Escalators!$C$44:$C$49,0),MATCH(AS$6,Escalators!$I$43:$U$43,0)))</f>
        <v>0</v>
      </c>
      <c r="AT29" s="6">
        <f>IF($R29="",0,$J29*$AD29*INDEX(Act_Type_Repex_Splits,MATCH($I29,Act_Type_Repex,0),MATCH(AT$5,Mat_Type,0))*INDEX(Escalators!$I$44:$U$49,MATCH(AT$5,Escalators!$C$44:$C$49,0),MATCH(AT$6,Escalators!$I$43:$U$43,0)))</f>
        <v>0</v>
      </c>
      <c r="AU29" s="6">
        <f>IF($R29="",0,$J29*$AD29*INDEX(Act_Type_Repex_Splits,MATCH($I29,Act_Type_Repex,0),MATCH(AU$5,Mat_Type,0))*INDEX(Escalators!$I$44:$U$49,MATCH(AU$5,Escalators!$C$44:$C$49,0),MATCH(AU$6,Escalators!$I$43:$U$43,0)))</f>
        <v>0</v>
      </c>
      <c r="AV29" s="47">
        <f t="shared" si="17"/>
        <v>0</v>
      </c>
      <c r="AW29" s="47">
        <f>IF($R29="",0,$K29*$AD29*INDEX(Act_Type_Repex_Splits,MATCH($I29,Act_Type_Repex,0),MATCH(AW$5,Mat_Type,0))*INDEX(Escalators!$I$44:$U$49,MATCH(AW$5,Escalators!$C$44:$C$49,0),MATCH(AW$6,Escalators!$I$43:$U$43,0)))</f>
        <v>0</v>
      </c>
      <c r="AX29" s="47">
        <f>IF($R29="",0,$K29*$AD29*INDEX(Act_Type_Repex_Splits,MATCH($I29,Act_Type_Repex,0),MATCH(AX$5,Mat_Type,0))*INDEX(Escalators!$I$44:$U$49,MATCH(AX$5,Escalators!$C$44:$C$49,0),MATCH(AX$6,Escalators!$I$43:$U$43,0)))</f>
        <v>0</v>
      </c>
      <c r="AY29" s="47">
        <f>IF($R29="",0,$K29*$AD29*INDEX(Act_Type_Repex_Splits,MATCH($I29,Act_Type_Repex,0),MATCH(AY$5,Mat_Type,0))*INDEX(Escalators!$I$44:$U$49,MATCH(AY$5,Escalators!$C$44:$C$49,0),MATCH(AY$6,Escalators!$I$43:$U$43,0)))</f>
        <v>0</v>
      </c>
      <c r="AZ29" s="47">
        <f>IF($R29="",0,$K29*$AD29*INDEX(Act_Type_Repex_Splits,MATCH($I29,Act_Type_Repex,0),MATCH(AZ$5,Mat_Type,0))*INDEX(Escalators!$I$44:$U$49,MATCH(AZ$5,Escalators!$C$44:$C$49,0),MATCH(AZ$6,Escalators!$I$43:$U$43,0)))</f>
        <v>0</v>
      </c>
      <c r="BA29" s="47">
        <f>IF($R29="",0,$K29*$AD29*INDEX(Act_Type_Repex_Splits,MATCH($I29,Act_Type_Repex,0),MATCH(BA$5,Mat_Type,0))*INDEX(Escalators!$I$44:$U$49,MATCH(BA$5,Escalators!$C$44:$C$49,0),MATCH(BA$6,Escalators!$I$43:$U$43,0)))</f>
        <v>0</v>
      </c>
      <c r="BB29" s="47">
        <f t="shared" si="18"/>
        <v>0</v>
      </c>
      <c r="BC29" s="47">
        <f>IF($R29="",0,$L29*$AD29*INDEX(Act_Type_Repex_Splits,MATCH($I29,Act_Type_Repex,0),MATCH(BC$5,Mat_Type,0))*INDEX(Escalators!$I$44:$U$49,MATCH(BC$5,Escalators!$C$44:$C$49,0),MATCH(BC$6,Escalators!$I$43:$U$43,0)))</f>
        <v>0</v>
      </c>
      <c r="BD29" s="47">
        <f>IF($R29="",0,$L29*$AD29*INDEX(Act_Type_Repex_Splits,MATCH($I29,Act_Type_Repex,0),MATCH(BD$5,Mat_Type,0))*INDEX(Escalators!$I$44:$U$49,MATCH(BD$5,Escalators!$C$44:$C$49,0),MATCH(BD$6,Escalators!$I$43:$U$43,0)))</f>
        <v>0</v>
      </c>
      <c r="BE29" s="47">
        <f>IF($R29="",0,$L29*$AD29*INDEX(Act_Type_Repex_Splits,MATCH($I29,Act_Type_Repex,0),MATCH(BE$5,Mat_Type,0))*INDEX(Escalators!$I$44:$U$49,MATCH(BE$5,Escalators!$C$44:$C$49,0),MATCH(BE$6,Escalators!$I$43:$U$43,0)))</f>
        <v>0</v>
      </c>
      <c r="BF29" s="47">
        <f>IF($R29="",0,$L29*$AD29*INDEX(Act_Type_Repex_Splits,MATCH($I29,Act_Type_Repex,0),MATCH(BF$5,Mat_Type,0))*INDEX(Escalators!$I$44:$U$49,MATCH(BF$5,Escalators!$C$44:$C$49,0),MATCH(BF$6,Escalators!$I$43:$U$43,0)))</f>
        <v>0</v>
      </c>
      <c r="BG29" s="47">
        <f>IF($R29="",0,$L29*$AD29*INDEX(Act_Type_Repex_Splits,MATCH($I29,Act_Type_Repex,0),MATCH(BG$5,Mat_Type,0))*INDEX(Escalators!$I$44:$U$49,MATCH(BG$5,Escalators!$C$44:$C$49,0),MATCH(BG$6,Escalators!$I$43:$U$43,0)))</f>
        <v>0</v>
      </c>
      <c r="BH29" s="47">
        <f t="shared" si="19"/>
        <v>0</v>
      </c>
      <c r="BI29" s="47">
        <f>IF($R29="",0,$M29*$AD29*INDEX(Act_Type_Repex_Splits,MATCH($I29,Act_Type_Repex,0),MATCH(BI$5,Mat_Type,0))*INDEX(Escalators!$I$44:$U$49,MATCH(BI$5,Escalators!$C$44:$C$49,0),MATCH(BI$6,Escalators!$I$43:$U$43,0)))</f>
        <v>0</v>
      </c>
      <c r="BJ29" s="47">
        <f>IF($R29="",0,$M29*$AD29*INDEX(Act_Type_Repex_Splits,MATCH($I29,Act_Type_Repex,0),MATCH(BJ$5,Mat_Type,0))*INDEX(Escalators!$I$44:$U$49,MATCH(BJ$5,Escalators!$C$44:$C$49,0),MATCH(BJ$6,Escalators!$I$43:$U$43,0)))</f>
        <v>0</v>
      </c>
      <c r="BK29" s="47">
        <f>IF($R29="",0,$M29*$AD29*INDEX(Act_Type_Repex_Splits,MATCH($I29,Act_Type_Repex,0),MATCH(BK$5,Mat_Type,0))*INDEX(Escalators!$I$44:$U$49,MATCH(BK$5,Escalators!$C$44:$C$49,0),MATCH(BK$6,Escalators!$I$43:$U$43,0)))</f>
        <v>0</v>
      </c>
      <c r="BL29" s="47">
        <f>IF($R29="",0,$M29*$AD29*INDEX(Act_Type_Repex_Splits,MATCH($I29,Act_Type_Repex,0),MATCH(BL$5,Mat_Type,0))*INDEX(Escalators!$I$44:$U$49,MATCH(BL$5,Escalators!$C$44:$C$49,0),MATCH(BL$6,Escalators!$I$43:$U$43,0)))</f>
        <v>0</v>
      </c>
      <c r="BM29" s="47">
        <f>IF($R29="",0,$M29*$AD29*INDEX(Act_Type_Repex_Splits,MATCH($I29,Act_Type_Repex,0),MATCH(BM$5,Mat_Type,0))*INDEX(Escalators!$I$44:$U$49,MATCH(BM$5,Escalators!$C$44:$C$49,0),MATCH(BM$6,Escalators!$I$43:$U$43,0)))</f>
        <v>0</v>
      </c>
      <c r="BN29" s="47">
        <f t="shared" si="20"/>
        <v>0</v>
      </c>
      <c r="BO29" s="47">
        <f>IF($R29="",0,$N29*$AD29*INDEX(Act_Type_Repex_Splits,MATCH($I29,Act_Type_Repex,0),MATCH(BO$5,Mat_Type,0))*INDEX(Escalators!$I$44:$U$49,MATCH(BO$5,Escalators!$C$44:$C$49,0),MATCH(BO$6,Escalators!$I$43:$U$43,0)))</f>
        <v>0</v>
      </c>
      <c r="BP29" s="47">
        <f>IF($R29="",0,$N29*$AD29*INDEX(Act_Type_Repex_Splits,MATCH($I29,Act_Type_Repex,0),MATCH(BP$5,Mat_Type,0))*INDEX(Escalators!$I$44:$U$49,MATCH(BP$5,Escalators!$C$44:$C$49,0),MATCH(BP$6,Escalators!$I$43:$U$43,0)))</f>
        <v>0</v>
      </c>
      <c r="BQ29" s="47">
        <f>IF($R29="",0,$N29*$AD29*INDEX(Act_Type_Repex_Splits,MATCH($I29,Act_Type_Repex,0),MATCH(BQ$5,Mat_Type,0))*INDEX(Escalators!$I$44:$U$49,MATCH(BQ$5,Escalators!$C$44:$C$49,0),MATCH(BQ$6,Escalators!$I$43:$U$43,0)))</f>
        <v>0</v>
      </c>
      <c r="BR29" s="47">
        <f>IF($R29="",0,$N29*$AD29*INDEX(Act_Type_Repex_Splits,MATCH($I29,Act_Type_Repex,0),MATCH(BR$5,Mat_Type,0))*INDEX(Escalators!$I$44:$U$49,MATCH(BR$5,Escalators!$C$44:$C$49,0),MATCH(BR$6,Escalators!$I$43:$U$43,0)))</f>
        <v>0</v>
      </c>
      <c r="BS29" s="47">
        <f>IF($R29="",0,$N29*$AD29*INDEX(Act_Type_Repex_Splits,MATCH($I29,Act_Type_Repex,0),MATCH(BS$5,Mat_Type,0))*INDEX(Escalators!$I$44:$U$49,MATCH(BS$5,Escalators!$C$44:$C$49,0),MATCH(BS$6,Escalators!$I$43:$U$43,0)))</f>
        <v>0</v>
      </c>
      <c r="BT29" s="47">
        <f t="shared" si="21"/>
        <v>0</v>
      </c>
      <c r="BU29" s="47">
        <f>IF($R29="",0,$O29*$AD29*INDEX(Act_Type_Repex_Splits,MATCH($I29,Act_Type_Repex,0),MATCH(BU$5,Mat_Type,0))*INDEX(Escalators!$I$44:$U$49,MATCH(BU$5,Escalators!$C$44:$C$49,0),MATCH(BU$6,Escalators!$I$43:$U$43,0)))</f>
        <v>0</v>
      </c>
      <c r="BV29" s="47">
        <f>IF($R29="",0,$O29*$AD29*INDEX(Act_Type_Repex_Splits,MATCH($I29,Act_Type_Repex,0),MATCH(BV$5,Mat_Type,0))*INDEX(Escalators!$I$44:$U$49,MATCH(BV$5,Escalators!$C$44:$C$49,0),MATCH(BV$6,Escalators!$I$43:$U$43,0)))</f>
        <v>0</v>
      </c>
      <c r="BW29" s="47">
        <f>IF($R29="",0,$O29*$AD29*INDEX(Act_Type_Repex_Splits,MATCH($I29,Act_Type_Repex,0),MATCH(BW$5,Mat_Type,0))*INDEX(Escalators!$I$44:$U$49,MATCH(BW$5,Escalators!$C$44:$C$49,0),MATCH(BW$6,Escalators!$I$43:$U$43,0)))</f>
        <v>0</v>
      </c>
      <c r="BX29" s="47">
        <f>IF($R29="",0,$O29*$AD29*INDEX(Act_Type_Repex_Splits,MATCH($I29,Act_Type_Repex,0),MATCH(BX$5,Mat_Type,0))*INDEX(Escalators!$I$44:$U$49,MATCH(BX$5,Escalators!$C$44:$C$49,0),MATCH(BX$6,Escalators!$I$43:$U$43,0)))</f>
        <v>0</v>
      </c>
      <c r="BY29" s="47">
        <f>IF($R29="",0,$O29*$AD29*INDEX(Act_Type_Repex_Splits,MATCH($I29,Act_Type_Repex,0),MATCH(BY$5,Mat_Type,0))*INDEX(Escalators!$I$44:$U$49,MATCH(BY$5,Escalators!$C$44:$C$49,0),MATCH(BY$6,Escalators!$I$43:$U$43,0)))</f>
        <v>0</v>
      </c>
      <c r="BZ29" s="47">
        <f t="shared" si="22"/>
        <v>0</v>
      </c>
      <c r="CA29" s="47">
        <f>IF($R29="",0,$P29*$AD29*INDEX(Act_Type_Repex_Splits,MATCH($I29,Act_Type_Repex,0),MATCH(CA$5,Mat_Type,0))*INDEX(Escalators!$I$44:$U$49,MATCH(CA$5,Escalators!$C$44:$C$49,0),MATCH(CA$6,Escalators!$I$43:$U$43,0)))</f>
        <v>0</v>
      </c>
      <c r="CB29" s="47">
        <f>IF($R29="",0,$P29*$AD29*INDEX(Act_Type_Repex_Splits,MATCH($I29,Act_Type_Repex,0),MATCH(CB$5,Mat_Type,0))*INDEX(Escalators!$I$44:$U$49,MATCH(CB$5,Escalators!$C$44:$C$49,0),MATCH(CB$6,Escalators!$I$43:$U$43,0)))</f>
        <v>0</v>
      </c>
      <c r="CC29" s="47">
        <f>IF($R29="",0,$P29*$AD29*INDEX(Act_Type_Repex_Splits,MATCH($I29,Act_Type_Repex,0),MATCH(CC$5,Mat_Type,0))*INDEX(Escalators!$I$44:$U$49,MATCH(CC$5,Escalators!$C$44:$C$49,0),MATCH(CC$6,Escalators!$I$43:$U$43,0)))</f>
        <v>0</v>
      </c>
      <c r="CD29" s="47">
        <f>IF($R29="",0,$P29*$AD29*INDEX(Act_Type_Repex_Splits,MATCH($I29,Act_Type_Repex,0),MATCH(CD$5,Mat_Type,0))*INDEX(Escalators!$I$44:$U$49,MATCH(CD$5,Escalators!$C$44:$C$49,0),MATCH(CD$6,Escalators!$I$43:$U$43,0)))</f>
        <v>0</v>
      </c>
      <c r="CE29" s="47">
        <f>IF($R29="",0,$P29*$AD29*INDEX(Act_Type_Repex_Splits,MATCH($I29,Act_Type_Repex,0),MATCH(CE$5,Mat_Type,0))*INDEX(Escalators!$I$44:$U$49,MATCH(CE$5,Escalators!$C$44:$C$49,0),MATCH(CE$6,Escalators!$I$43:$U$43,0)))</f>
        <v>0</v>
      </c>
      <c r="CF29" s="47">
        <f t="shared" si="23"/>
        <v>0</v>
      </c>
      <c r="CG29" s="47">
        <f>IF($R29="",0,$Q29*$AD29*INDEX(Act_Type_Repex_Splits,MATCH($I29,Act_Type_Repex,0),MATCH(CG$5,Mat_Type,0))*INDEX(Escalators!$I$44:$U$49,MATCH(CG$5,Escalators!$C$44:$C$49,0),MATCH(CG$6,Escalators!$I$43:$U$43,0)))</f>
        <v>0</v>
      </c>
      <c r="CH29" s="47">
        <f>IF($R29="",0,$Q29*$AD29*INDEX(Act_Type_Repex_Splits,MATCH($I29,Act_Type_Repex,0),MATCH(CH$5,Mat_Type,0))*INDEX(Escalators!$I$44:$U$49,MATCH(CH$5,Escalators!$C$44:$C$49,0),MATCH(CH$6,Escalators!$I$43:$U$43,0)))</f>
        <v>0</v>
      </c>
      <c r="CI29" s="47">
        <f>IF($R29="",0,$Q29*$AD29*INDEX(Act_Type_Repex_Splits,MATCH($I29,Act_Type_Repex,0),MATCH(CI$5,Mat_Type,0))*INDEX(Escalators!$I$44:$U$49,MATCH(CI$5,Escalators!$C$44:$C$49,0),MATCH(CI$6,Escalators!$I$43:$U$43,0)))</f>
        <v>0</v>
      </c>
      <c r="CJ29" s="47">
        <f>IF($R29="",0,$Q29*$AD29*INDEX(Act_Type_Repex_Splits,MATCH($I29,Act_Type_Repex,0),MATCH(CJ$5,Mat_Type,0))*INDEX(Escalators!$I$44:$U$49,MATCH(CJ$5,Escalators!$C$44:$C$49,0),MATCH(CJ$6,Escalators!$I$43:$U$43,0)))</f>
        <v>0</v>
      </c>
      <c r="CK29" s="47">
        <f>IF($R29="",0,$Q29*$AD29*INDEX(Act_Type_Repex_Splits,MATCH($I29,Act_Type_Repex,0),MATCH(CK$5,Mat_Type,0))*INDEX(Escalators!$I$44:$U$49,MATCH(CK$5,Escalators!$C$44:$C$49,0),MATCH(CK$6,Escalators!$I$43:$U$43,0)))</f>
        <v>0</v>
      </c>
      <c r="CL29" s="47">
        <f t="shared" si="24"/>
        <v>0</v>
      </c>
      <c r="CN29" s="47">
        <f>IF($R29="",0,J29*$AE29*HLOOKUP(CN$6,Escalators!$I$25:$U$30,6,FALSE))</f>
        <v>0</v>
      </c>
      <c r="CO29" s="47">
        <f>IF($R29="",0,K29*$AE29*HLOOKUP(CO$6,Escalators!$I$25:$U$30,6,FALSE))</f>
        <v>0</v>
      </c>
      <c r="CP29" s="47">
        <f>IF($R29="",0,L29*$AE29*HLOOKUP(CP$6,Escalators!$I$25:$U$30,6,FALSE))</f>
        <v>0</v>
      </c>
      <c r="CQ29" s="47">
        <f>IF($R29="",0,M29*$AE29*HLOOKUP(CQ$6,Escalators!$I$25:$U$30,6,FALSE))</f>
        <v>0</v>
      </c>
      <c r="CR29" s="47">
        <f>IF($R29="",0,N29*$AE29*HLOOKUP(CR$6,Escalators!$I$25:$U$30,6,FALSE))</f>
        <v>0</v>
      </c>
      <c r="CS29" s="47">
        <f>IF($R29="",0,O29*$AE29*HLOOKUP(CS$6,Escalators!$I$25:$U$30,6,FALSE))</f>
        <v>0</v>
      </c>
      <c r="CT29" s="47">
        <f>IF($R29="",0,P29*$AE29*HLOOKUP(CT$6,Escalators!$I$25:$U$30,6,FALSE))</f>
        <v>0</v>
      </c>
      <c r="CU29" s="47">
        <f>IF($R29="",0,Q29*$AE29*HLOOKUP(CU$6,Escalators!$I$25:$U$30,6,FALSE))</f>
        <v>0</v>
      </c>
      <c r="CW29" s="82">
        <f t="shared" si="25"/>
        <v>0</v>
      </c>
      <c r="CX29" s="82">
        <f t="shared" si="26"/>
        <v>0</v>
      </c>
      <c r="CY29" s="82">
        <f t="shared" si="27"/>
        <v>0</v>
      </c>
      <c r="CZ29" s="82">
        <f t="shared" si="28"/>
        <v>0</v>
      </c>
      <c r="DA29" s="82">
        <f t="shared" si="29"/>
        <v>0</v>
      </c>
      <c r="DB29" s="82">
        <f t="shared" si="30"/>
        <v>0</v>
      </c>
      <c r="DC29" s="82">
        <f t="shared" si="31"/>
        <v>0</v>
      </c>
      <c r="DD29" s="82">
        <f t="shared" si="32"/>
        <v>0</v>
      </c>
      <c r="DF29" s="47">
        <f t="shared" si="33"/>
        <v>0</v>
      </c>
      <c r="DG29" s="47">
        <f t="shared" si="34"/>
        <v>0</v>
      </c>
      <c r="DH29" s="47">
        <f t="shared" si="35"/>
        <v>0</v>
      </c>
      <c r="DI29" s="47">
        <f t="shared" si="36"/>
        <v>0</v>
      </c>
      <c r="DJ29" s="47">
        <f t="shared" si="37"/>
        <v>0</v>
      </c>
      <c r="DK29" s="47">
        <f t="shared" si="38"/>
        <v>0</v>
      </c>
      <c r="DL29" s="47">
        <f t="shared" si="39"/>
        <v>0</v>
      </c>
      <c r="DM29" s="47">
        <f t="shared" si="40"/>
        <v>0</v>
      </c>
      <c r="DO29" s="39"/>
    </row>
    <row r="30" spans="2:119" x14ac:dyDescent="0.25">
      <c r="B30" s="7"/>
      <c r="C30" s="7"/>
      <c r="D30" s="7"/>
      <c r="E30" s="7"/>
      <c r="F30" s="7"/>
      <c r="G30" s="7"/>
      <c r="H30" s="7"/>
      <c r="I30" s="7"/>
      <c r="J30" s="7"/>
      <c r="K30" s="7"/>
      <c r="L30" s="7"/>
      <c r="M30" s="7"/>
      <c r="N30" s="7"/>
      <c r="O30" s="7"/>
      <c r="P30" s="7"/>
      <c r="Q30" s="7"/>
      <c r="R30" s="46"/>
      <c r="T30" s="47">
        <f t="shared" si="8"/>
        <v>0</v>
      </c>
      <c r="U30" s="47">
        <f t="shared" si="9"/>
        <v>0</v>
      </c>
      <c r="V30" s="47">
        <f t="shared" si="10"/>
        <v>0</v>
      </c>
      <c r="W30" s="47">
        <f t="shared" si="11"/>
        <v>0</v>
      </c>
      <c r="X30" s="47">
        <f t="shared" si="12"/>
        <v>0</v>
      </c>
      <c r="Y30" s="47">
        <f t="shared" si="13"/>
        <v>0</v>
      </c>
      <c r="Z30" s="47">
        <f t="shared" si="14"/>
        <v>0</v>
      </c>
      <c r="AA30" s="47">
        <f t="shared" si="15"/>
        <v>0</v>
      </c>
      <c r="AC30" s="82">
        <f t="shared" si="16"/>
        <v>0</v>
      </c>
      <c r="AD30" s="82">
        <f t="shared" si="16"/>
        <v>0</v>
      </c>
      <c r="AE30" s="82">
        <f t="shared" si="16"/>
        <v>0</v>
      </c>
      <c r="AF30" s="82">
        <f t="shared" si="16"/>
        <v>0</v>
      </c>
      <c r="AH30" s="47">
        <f>IF($R30="",0,J30*$AC30*HLOOKUP(AH$6,Escalators!$I$25:$U$30,3,FALSE))</f>
        <v>0</v>
      </c>
      <c r="AI30" s="47">
        <f>IF($R30="",0,K30*$AC30*HLOOKUP(AI$6,Escalators!$I$25:$U$30,3,FALSE))</f>
        <v>0</v>
      </c>
      <c r="AJ30" s="47">
        <f>IF($R30="",0,L30*$AC30*HLOOKUP(AJ$6,Escalators!$I$25:$U$30,3,FALSE))</f>
        <v>0</v>
      </c>
      <c r="AK30" s="47">
        <f>IF($R30="",0,M30*$AC30*HLOOKUP(AK$6,Escalators!$I$25:$U$30,3,FALSE))</f>
        <v>0</v>
      </c>
      <c r="AL30" s="47">
        <f>IF($R30="",0,N30*$AC30*HLOOKUP(AL$6,Escalators!$I$25:$U$30,3,FALSE))</f>
        <v>0</v>
      </c>
      <c r="AM30" s="47">
        <f>IF($R30="",0,O30*$AC30*HLOOKUP(AM$6,Escalators!$I$25:$U$30,3,FALSE))</f>
        <v>0</v>
      </c>
      <c r="AN30" s="47">
        <f>IF($R30="",0,P30*$AC30*HLOOKUP(AN$6,Escalators!$I$25:$U$30,3,FALSE))</f>
        <v>0</v>
      </c>
      <c r="AO30" s="47">
        <f>IF($R30="",0,Q30*$AC30*HLOOKUP(AO$6,Escalators!$I$25:$U$30,3,FALSE))</f>
        <v>0</v>
      </c>
      <c r="AQ30" s="6">
        <f>IF($R30="",0,$J30*$AD30*INDEX(Act_Type_Repex_Splits,MATCH($I30,Act_Type_Repex,0),MATCH(AQ$5,Mat_Type,0))*INDEX(Escalators!$I$44:$U$49,MATCH(AQ$5,Escalators!$C$44:$C$49,0),MATCH(AQ$6,Escalators!$I$43:$U$43,0)))</f>
        <v>0</v>
      </c>
      <c r="AR30" s="6">
        <f>IF($R30="",0,$J30*$AD30*INDEX(Act_Type_Repex_Splits,MATCH($I30,Act_Type_Repex,0),MATCH(AR$5,Mat_Type,0))*INDEX(Escalators!$I$44:$U$49,MATCH(AR$5,Escalators!$C$44:$C$49,0),MATCH(AR$6,Escalators!$I$43:$U$43,0)))</f>
        <v>0</v>
      </c>
      <c r="AS30" s="6">
        <f>IF($R30="",0,$J30*$AD30*INDEX(Act_Type_Repex_Splits,MATCH($I30,Act_Type_Repex,0),MATCH(AS$5,Mat_Type,0))*INDEX(Escalators!$I$44:$U$49,MATCH(AS$5,Escalators!$C$44:$C$49,0),MATCH(AS$6,Escalators!$I$43:$U$43,0)))</f>
        <v>0</v>
      </c>
      <c r="AT30" s="6">
        <f>IF($R30="",0,$J30*$AD30*INDEX(Act_Type_Repex_Splits,MATCH($I30,Act_Type_Repex,0),MATCH(AT$5,Mat_Type,0))*INDEX(Escalators!$I$44:$U$49,MATCH(AT$5,Escalators!$C$44:$C$49,0),MATCH(AT$6,Escalators!$I$43:$U$43,0)))</f>
        <v>0</v>
      </c>
      <c r="AU30" s="6">
        <f>IF($R30="",0,$J30*$AD30*INDEX(Act_Type_Repex_Splits,MATCH($I30,Act_Type_Repex,0),MATCH(AU$5,Mat_Type,0))*INDEX(Escalators!$I$44:$U$49,MATCH(AU$5,Escalators!$C$44:$C$49,0),MATCH(AU$6,Escalators!$I$43:$U$43,0)))</f>
        <v>0</v>
      </c>
      <c r="AV30" s="47">
        <f t="shared" si="17"/>
        <v>0</v>
      </c>
      <c r="AW30" s="47">
        <f>IF($R30="",0,$K30*$AD30*INDEX(Act_Type_Repex_Splits,MATCH($I30,Act_Type_Repex,0),MATCH(AW$5,Mat_Type,0))*INDEX(Escalators!$I$44:$U$49,MATCH(AW$5,Escalators!$C$44:$C$49,0),MATCH(AW$6,Escalators!$I$43:$U$43,0)))</f>
        <v>0</v>
      </c>
      <c r="AX30" s="47">
        <f>IF($R30="",0,$K30*$AD30*INDEX(Act_Type_Repex_Splits,MATCH($I30,Act_Type_Repex,0),MATCH(AX$5,Mat_Type,0))*INDEX(Escalators!$I$44:$U$49,MATCH(AX$5,Escalators!$C$44:$C$49,0),MATCH(AX$6,Escalators!$I$43:$U$43,0)))</f>
        <v>0</v>
      </c>
      <c r="AY30" s="47">
        <f>IF($R30="",0,$K30*$AD30*INDEX(Act_Type_Repex_Splits,MATCH($I30,Act_Type_Repex,0),MATCH(AY$5,Mat_Type,0))*INDEX(Escalators!$I$44:$U$49,MATCH(AY$5,Escalators!$C$44:$C$49,0),MATCH(AY$6,Escalators!$I$43:$U$43,0)))</f>
        <v>0</v>
      </c>
      <c r="AZ30" s="47">
        <f>IF($R30="",0,$K30*$AD30*INDEX(Act_Type_Repex_Splits,MATCH($I30,Act_Type_Repex,0),MATCH(AZ$5,Mat_Type,0))*INDEX(Escalators!$I$44:$U$49,MATCH(AZ$5,Escalators!$C$44:$C$49,0),MATCH(AZ$6,Escalators!$I$43:$U$43,0)))</f>
        <v>0</v>
      </c>
      <c r="BA30" s="47">
        <f>IF($R30="",0,$K30*$AD30*INDEX(Act_Type_Repex_Splits,MATCH($I30,Act_Type_Repex,0),MATCH(BA$5,Mat_Type,0))*INDEX(Escalators!$I$44:$U$49,MATCH(BA$5,Escalators!$C$44:$C$49,0),MATCH(BA$6,Escalators!$I$43:$U$43,0)))</f>
        <v>0</v>
      </c>
      <c r="BB30" s="47">
        <f t="shared" si="18"/>
        <v>0</v>
      </c>
      <c r="BC30" s="47">
        <f>IF($R30="",0,$L30*$AD30*INDEX(Act_Type_Repex_Splits,MATCH($I30,Act_Type_Repex,0),MATCH(BC$5,Mat_Type,0))*INDEX(Escalators!$I$44:$U$49,MATCH(BC$5,Escalators!$C$44:$C$49,0),MATCH(BC$6,Escalators!$I$43:$U$43,0)))</f>
        <v>0</v>
      </c>
      <c r="BD30" s="47">
        <f>IF($R30="",0,$L30*$AD30*INDEX(Act_Type_Repex_Splits,MATCH($I30,Act_Type_Repex,0),MATCH(BD$5,Mat_Type,0))*INDEX(Escalators!$I$44:$U$49,MATCH(BD$5,Escalators!$C$44:$C$49,0),MATCH(BD$6,Escalators!$I$43:$U$43,0)))</f>
        <v>0</v>
      </c>
      <c r="BE30" s="47">
        <f>IF($R30="",0,$L30*$AD30*INDEX(Act_Type_Repex_Splits,MATCH($I30,Act_Type_Repex,0),MATCH(BE$5,Mat_Type,0))*INDEX(Escalators!$I$44:$U$49,MATCH(BE$5,Escalators!$C$44:$C$49,0),MATCH(BE$6,Escalators!$I$43:$U$43,0)))</f>
        <v>0</v>
      </c>
      <c r="BF30" s="47">
        <f>IF($R30="",0,$L30*$AD30*INDEX(Act_Type_Repex_Splits,MATCH($I30,Act_Type_Repex,0),MATCH(BF$5,Mat_Type,0))*INDEX(Escalators!$I$44:$U$49,MATCH(BF$5,Escalators!$C$44:$C$49,0),MATCH(BF$6,Escalators!$I$43:$U$43,0)))</f>
        <v>0</v>
      </c>
      <c r="BG30" s="47">
        <f>IF($R30="",0,$L30*$AD30*INDEX(Act_Type_Repex_Splits,MATCH($I30,Act_Type_Repex,0),MATCH(BG$5,Mat_Type,0))*INDEX(Escalators!$I$44:$U$49,MATCH(BG$5,Escalators!$C$44:$C$49,0),MATCH(BG$6,Escalators!$I$43:$U$43,0)))</f>
        <v>0</v>
      </c>
      <c r="BH30" s="47">
        <f t="shared" si="19"/>
        <v>0</v>
      </c>
      <c r="BI30" s="47">
        <f>IF($R30="",0,$M30*$AD30*INDEX(Act_Type_Repex_Splits,MATCH($I30,Act_Type_Repex,0),MATCH(BI$5,Mat_Type,0))*INDEX(Escalators!$I$44:$U$49,MATCH(BI$5,Escalators!$C$44:$C$49,0),MATCH(BI$6,Escalators!$I$43:$U$43,0)))</f>
        <v>0</v>
      </c>
      <c r="BJ30" s="47">
        <f>IF($R30="",0,$M30*$AD30*INDEX(Act_Type_Repex_Splits,MATCH($I30,Act_Type_Repex,0),MATCH(BJ$5,Mat_Type,0))*INDEX(Escalators!$I$44:$U$49,MATCH(BJ$5,Escalators!$C$44:$C$49,0),MATCH(BJ$6,Escalators!$I$43:$U$43,0)))</f>
        <v>0</v>
      </c>
      <c r="BK30" s="47">
        <f>IF($R30="",0,$M30*$AD30*INDEX(Act_Type_Repex_Splits,MATCH($I30,Act_Type_Repex,0),MATCH(BK$5,Mat_Type,0))*INDEX(Escalators!$I$44:$U$49,MATCH(BK$5,Escalators!$C$44:$C$49,0),MATCH(BK$6,Escalators!$I$43:$U$43,0)))</f>
        <v>0</v>
      </c>
      <c r="BL30" s="47">
        <f>IF($R30="",0,$M30*$AD30*INDEX(Act_Type_Repex_Splits,MATCH($I30,Act_Type_Repex,0),MATCH(BL$5,Mat_Type,0))*INDEX(Escalators!$I$44:$U$49,MATCH(BL$5,Escalators!$C$44:$C$49,0),MATCH(BL$6,Escalators!$I$43:$U$43,0)))</f>
        <v>0</v>
      </c>
      <c r="BM30" s="47">
        <f>IF($R30="",0,$M30*$AD30*INDEX(Act_Type_Repex_Splits,MATCH($I30,Act_Type_Repex,0),MATCH(BM$5,Mat_Type,0))*INDEX(Escalators!$I$44:$U$49,MATCH(BM$5,Escalators!$C$44:$C$49,0),MATCH(BM$6,Escalators!$I$43:$U$43,0)))</f>
        <v>0</v>
      </c>
      <c r="BN30" s="47">
        <f t="shared" si="20"/>
        <v>0</v>
      </c>
      <c r="BO30" s="47">
        <f>IF($R30="",0,$N30*$AD30*INDEX(Act_Type_Repex_Splits,MATCH($I30,Act_Type_Repex,0),MATCH(BO$5,Mat_Type,0))*INDEX(Escalators!$I$44:$U$49,MATCH(BO$5,Escalators!$C$44:$C$49,0),MATCH(BO$6,Escalators!$I$43:$U$43,0)))</f>
        <v>0</v>
      </c>
      <c r="BP30" s="47">
        <f>IF($R30="",0,$N30*$AD30*INDEX(Act_Type_Repex_Splits,MATCH($I30,Act_Type_Repex,0),MATCH(BP$5,Mat_Type,0))*INDEX(Escalators!$I$44:$U$49,MATCH(BP$5,Escalators!$C$44:$C$49,0),MATCH(BP$6,Escalators!$I$43:$U$43,0)))</f>
        <v>0</v>
      </c>
      <c r="BQ30" s="47">
        <f>IF($R30="",0,$N30*$AD30*INDEX(Act_Type_Repex_Splits,MATCH($I30,Act_Type_Repex,0),MATCH(BQ$5,Mat_Type,0))*INDEX(Escalators!$I$44:$U$49,MATCH(BQ$5,Escalators!$C$44:$C$49,0),MATCH(BQ$6,Escalators!$I$43:$U$43,0)))</f>
        <v>0</v>
      </c>
      <c r="BR30" s="47">
        <f>IF($R30="",0,$N30*$AD30*INDEX(Act_Type_Repex_Splits,MATCH($I30,Act_Type_Repex,0),MATCH(BR$5,Mat_Type,0))*INDEX(Escalators!$I$44:$U$49,MATCH(BR$5,Escalators!$C$44:$C$49,0),MATCH(BR$6,Escalators!$I$43:$U$43,0)))</f>
        <v>0</v>
      </c>
      <c r="BS30" s="47">
        <f>IF($R30="",0,$N30*$AD30*INDEX(Act_Type_Repex_Splits,MATCH($I30,Act_Type_Repex,0),MATCH(BS$5,Mat_Type,0))*INDEX(Escalators!$I$44:$U$49,MATCH(BS$5,Escalators!$C$44:$C$49,0),MATCH(BS$6,Escalators!$I$43:$U$43,0)))</f>
        <v>0</v>
      </c>
      <c r="BT30" s="47">
        <f t="shared" si="21"/>
        <v>0</v>
      </c>
      <c r="BU30" s="47">
        <f>IF($R30="",0,$O30*$AD30*INDEX(Act_Type_Repex_Splits,MATCH($I30,Act_Type_Repex,0),MATCH(BU$5,Mat_Type,0))*INDEX(Escalators!$I$44:$U$49,MATCH(BU$5,Escalators!$C$44:$C$49,0),MATCH(BU$6,Escalators!$I$43:$U$43,0)))</f>
        <v>0</v>
      </c>
      <c r="BV30" s="47">
        <f>IF($R30="",0,$O30*$AD30*INDEX(Act_Type_Repex_Splits,MATCH($I30,Act_Type_Repex,0),MATCH(BV$5,Mat_Type,0))*INDEX(Escalators!$I$44:$U$49,MATCH(BV$5,Escalators!$C$44:$C$49,0),MATCH(BV$6,Escalators!$I$43:$U$43,0)))</f>
        <v>0</v>
      </c>
      <c r="BW30" s="47">
        <f>IF($R30="",0,$O30*$AD30*INDEX(Act_Type_Repex_Splits,MATCH($I30,Act_Type_Repex,0),MATCH(BW$5,Mat_Type,0))*INDEX(Escalators!$I$44:$U$49,MATCH(BW$5,Escalators!$C$44:$C$49,0),MATCH(BW$6,Escalators!$I$43:$U$43,0)))</f>
        <v>0</v>
      </c>
      <c r="BX30" s="47">
        <f>IF($R30="",0,$O30*$AD30*INDEX(Act_Type_Repex_Splits,MATCH($I30,Act_Type_Repex,0),MATCH(BX$5,Mat_Type,0))*INDEX(Escalators!$I$44:$U$49,MATCH(BX$5,Escalators!$C$44:$C$49,0),MATCH(BX$6,Escalators!$I$43:$U$43,0)))</f>
        <v>0</v>
      </c>
      <c r="BY30" s="47">
        <f>IF($R30="",0,$O30*$AD30*INDEX(Act_Type_Repex_Splits,MATCH($I30,Act_Type_Repex,0),MATCH(BY$5,Mat_Type,0))*INDEX(Escalators!$I$44:$U$49,MATCH(BY$5,Escalators!$C$44:$C$49,0),MATCH(BY$6,Escalators!$I$43:$U$43,0)))</f>
        <v>0</v>
      </c>
      <c r="BZ30" s="47">
        <f t="shared" si="22"/>
        <v>0</v>
      </c>
      <c r="CA30" s="47">
        <f>IF($R30="",0,$P30*$AD30*INDEX(Act_Type_Repex_Splits,MATCH($I30,Act_Type_Repex,0),MATCH(CA$5,Mat_Type,0))*INDEX(Escalators!$I$44:$U$49,MATCH(CA$5,Escalators!$C$44:$C$49,0),MATCH(CA$6,Escalators!$I$43:$U$43,0)))</f>
        <v>0</v>
      </c>
      <c r="CB30" s="47">
        <f>IF($R30="",0,$P30*$AD30*INDEX(Act_Type_Repex_Splits,MATCH($I30,Act_Type_Repex,0),MATCH(CB$5,Mat_Type,0))*INDEX(Escalators!$I$44:$U$49,MATCH(CB$5,Escalators!$C$44:$C$49,0),MATCH(CB$6,Escalators!$I$43:$U$43,0)))</f>
        <v>0</v>
      </c>
      <c r="CC30" s="47">
        <f>IF($R30="",0,$P30*$AD30*INDEX(Act_Type_Repex_Splits,MATCH($I30,Act_Type_Repex,0),MATCH(CC$5,Mat_Type,0))*INDEX(Escalators!$I$44:$U$49,MATCH(CC$5,Escalators!$C$44:$C$49,0),MATCH(CC$6,Escalators!$I$43:$U$43,0)))</f>
        <v>0</v>
      </c>
      <c r="CD30" s="47">
        <f>IF($R30="",0,$P30*$AD30*INDEX(Act_Type_Repex_Splits,MATCH($I30,Act_Type_Repex,0),MATCH(CD$5,Mat_Type,0))*INDEX(Escalators!$I$44:$U$49,MATCH(CD$5,Escalators!$C$44:$C$49,0),MATCH(CD$6,Escalators!$I$43:$U$43,0)))</f>
        <v>0</v>
      </c>
      <c r="CE30" s="47">
        <f>IF($R30="",0,$P30*$AD30*INDEX(Act_Type_Repex_Splits,MATCH($I30,Act_Type_Repex,0),MATCH(CE$5,Mat_Type,0))*INDEX(Escalators!$I$44:$U$49,MATCH(CE$5,Escalators!$C$44:$C$49,0),MATCH(CE$6,Escalators!$I$43:$U$43,0)))</f>
        <v>0</v>
      </c>
      <c r="CF30" s="47">
        <f t="shared" si="23"/>
        <v>0</v>
      </c>
      <c r="CG30" s="47">
        <f>IF($R30="",0,$Q30*$AD30*INDEX(Act_Type_Repex_Splits,MATCH($I30,Act_Type_Repex,0),MATCH(CG$5,Mat_Type,0))*INDEX(Escalators!$I$44:$U$49,MATCH(CG$5,Escalators!$C$44:$C$49,0),MATCH(CG$6,Escalators!$I$43:$U$43,0)))</f>
        <v>0</v>
      </c>
      <c r="CH30" s="47">
        <f>IF($R30="",0,$Q30*$AD30*INDEX(Act_Type_Repex_Splits,MATCH($I30,Act_Type_Repex,0),MATCH(CH$5,Mat_Type,0))*INDEX(Escalators!$I$44:$U$49,MATCH(CH$5,Escalators!$C$44:$C$49,0),MATCH(CH$6,Escalators!$I$43:$U$43,0)))</f>
        <v>0</v>
      </c>
      <c r="CI30" s="47">
        <f>IF($R30="",0,$Q30*$AD30*INDEX(Act_Type_Repex_Splits,MATCH($I30,Act_Type_Repex,0),MATCH(CI$5,Mat_Type,0))*INDEX(Escalators!$I$44:$U$49,MATCH(CI$5,Escalators!$C$44:$C$49,0),MATCH(CI$6,Escalators!$I$43:$U$43,0)))</f>
        <v>0</v>
      </c>
      <c r="CJ30" s="47">
        <f>IF($R30="",0,$Q30*$AD30*INDEX(Act_Type_Repex_Splits,MATCH($I30,Act_Type_Repex,0),MATCH(CJ$5,Mat_Type,0))*INDEX(Escalators!$I$44:$U$49,MATCH(CJ$5,Escalators!$C$44:$C$49,0),MATCH(CJ$6,Escalators!$I$43:$U$43,0)))</f>
        <v>0</v>
      </c>
      <c r="CK30" s="47">
        <f>IF($R30="",0,$Q30*$AD30*INDEX(Act_Type_Repex_Splits,MATCH($I30,Act_Type_Repex,0),MATCH(CK$5,Mat_Type,0))*INDEX(Escalators!$I$44:$U$49,MATCH(CK$5,Escalators!$C$44:$C$49,0),MATCH(CK$6,Escalators!$I$43:$U$43,0)))</f>
        <v>0</v>
      </c>
      <c r="CL30" s="47">
        <f t="shared" si="24"/>
        <v>0</v>
      </c>
      <c r="CN30" s="47">
        <f>IF($R30="",0,J30*$AE30*HLOOKUP(CN$6,Escalators!$I$25:$U$30,6,FALSE))</f>
        <v>0</v>
      </c>
      <c r="CO30" s="47">
        <f>IF($R30="",0,K30*$AE30*HLOOKUP(CO$6,Escalators!$I$25:$U$30,6,FALSE))</f>
        <v>0</v>
      </c>
      <c r="CP30" s="47">
        <f>IF($R30="",0,L30*$AE30*HLOOKUP(CP$6,Escalators!$I$25:$U$30,6,FALSE))</f>
        <v>0</v>
      </c>
      <c r="CQ30" s="47">
        <f>IF($R30="",0,M30*$AE30*HLOOKUP(CQ$6,Escalators!$I$25:$U$30,6,FALSE))</f>
        <v>0</v>
      </c>
      <c r="CR30" s="47">
        <f>IF($R30="",0,N30*$AE30*HLOOKUP(CR$6,Escalators!$I$25:$U$30,6,FALSE))</f>
        <v>0</v>
      </c>
      <c r="CS30" s="47">
        <f>IF($R30="",0,O30*$AE30*HLOOKUP(CS$6,Escalators!$I$25:$U$30,6,FALSE))</f>
        <v>0</v>
      </c>
      <c r="CT30" s="47">
        <f>IF($R30="",0,P30*$AE30*HLOOKUP(CT$6,Escalators!$I$25:$U$30,6,FALSE))</f>
        <v>0</v>
      </c>
      <c r="CU30" s="47">
        <f>IF($R30="",0,Q30*$AE30*HLOOKUP(CU$6,Escalators!$I$25:$U$30,6,FALSE))</f>
        <v>0</v>
      </c>
      <c r="CW30" s="82">
        <f t="shared" si="25"/>
        <v>0</v>
      </c>
      <c r="CX30" s="82">
        <f t="shared" si="26"/>
        <v>0</v>
      </c>
      <c r="CY30" s="82">
        <f t="shared" si="27"/>
        <v>0</v>
      </c>
      <c r="CZ30" s="82">
        <f t="shared" si="28"/>
        <v>0</v>
      </c>
      <c r="DA30" s="82">
        <f t="shared" si="29"/>
        <v>0</v>
      </c>
      <c r="DB30" s="82">
        <f t="shared" si="30"/>
        <v>0</v>
      </c>
      <c r="DC30" s="82">
        <f t="shared" si="31"/>
        <v>0</v>
      </c>
      <c r="DD30" s="82">
        <f t="shared" si="32"/>
        <v>0</v>
      </c>
      <c r="DF30" s="47">
        <f t="shared" si="33"/>
        <v>0</v>
      </c>
      <c r="DG30" s="47">
        <f t="shared" si="34"/>
        <v>0</v>
      </c>
      <c r="DH30" s="47">
        <f t="shared" si="35"/>
        <v>0</v>
      </c>
      <c r="DI30" s="47">
        <f t="shared" si="36"/>
        <v>0</v>
      </c>
      <c r="DJ30" s="47">
        <f t="shared" si="37"/>
        <v>0</v>
      </c>
      <c r="DK30" s="47">
        <f t="shared" si="38"/>
        <v>0</v>
      </c>
      <c r="DL30" s="47">
        <f t="shared" si="39"/>
        <v>0</v>
      </c>
      <c r="DM30" s="47">
        <f t="shared" si="40"/>
        <v>0</v>
      </c>
      <c r="DO30" s="39"/>
    </row>
    <row r="31" spans="2:119" x14ac:dyDescent="0.25">
      <c r="B31" s="7"/>
      <c r="C31" s="7"/>
      <c r="D31" s="7"/>
      <c r="E31" s="7"/>
      <c r="F31" s="7"/>
      <c r="G31" s="7"/>
      <c r="H31" s="7"/>
      <c r="I31" s="7"/>
      <c r="J31" s="7"/>
      <c r="K31" s="7"/>
      <c r="L31" s="7"/>
      <c r="M31" s="7"/>
      <c r="N31" s="7"/>
      <c r="O31" s="7"/>
      <c r="P31" s="7"/>
      <c r="Q31" s="7"/>
      <c r="R31" s="46"/>
      <c r="T31" s="47">
        <f t="shared" si="8"/>
        <v>0</v>
      </c>
      <c r="U31" s="47">
        <f t="shared" si="9"/>
        <v>0</v>
      </c>
      <c r="V31" s="47">
        <f t="shared" si="10"/>
        <v>0</v>
      </c>
      <c r="W31" s="47">
        <f t="shared" si="11"/>
        <v>0</v>
      </c>
      <c r="X31" s="47">
        <f t="shared" si="12"/>
        <v>0</v>
      </c>
      <c r="Y31" s="47">
        <f t="shared" si="13"/>
        <v>0</v>
      </c>
      <c r="Z31" s="47">
        <f t="shared" si="14"/>
        <v>0</v>
      </c>
      <c r="AA31" s="47">
        <f t="shared" si="15"/>
        <v>0</v>
      </c>
      <c r="AC31" s="82">
        <f t="shared" si="16"/>
        <v>0</v>
      </c>
      <c r="AD31" s="82">
        <f t="shared" si="16"/>
        <v>0</v>
      </c>
      <c r="AE31" s="82">
        <f t="shared" si="16"/>
        <v>0</v>
      </c>
      <c r="AF31" s="82">
        <f t="shared" si="16"/>
        <v>0</v>
      </c>
      <c r="AH31" s="47">
        <f>IF($R31="",0,J31*$AC31*HLOOKUP(AH$6,Escalators!$I$25:$U$30,3,FALSE))</f>
        <v>0</v>
      </c>
      <c r="AI31" s="47">
        <f>IF($R31="",0,K31*$AC31*HLOOKUP(AI$6,Escalators!$I$25:$U$30,3,FALSE))</f>
        <v>0</v>
      </c>
      <c r="AJ31" s="47">
        <f>IF($R31="",0,L31*$AC31*HLOOKUP(AJ$6,Escalators!$I$25:$U$30,3,FALSE))</f>
        <v>0</v>
      </c>
      <c r="AK31" s="47">
        <f>IF($R31="",0,M31*$AC31*HLOOKUP(AK$6,Escalators!$I$25:$U$30,3,FALSE))</f>
        <v>0</v>
      </c>
      <c r="AL31" s="47">
        <f>IF($R31="",0,N31*$AC31*HLOOKUP(AL$6,Escalators!$I$25:$U$30,3,FALSE))</f>
        <v>0</v>
      </c>
      <c r="AM31" s="47">
        <f>IF($R31="",0,O31*$AC31*HLOOKUP(AM$6,Escalators!$I$25:$U$30,3,FALSE))</f>
        <v>0</v>
      </c>
      <c r="AN31" s="47">
        <f>IF($R31="",0,P31*$AC31*HLOOKUP(AN$6,Escalators!$I$25:$U$30,3,FALSE))</f>
        <v>0</v>
      </c>
      <c r="AO31" s="47">
        <f>IF($R31="",0,Q31*$AC31*HLOOKUP(AO$6,Escalators!$I$25:$U$30,3,FALSE))</f>
        <v>0</v>
      </c>
      <c r="AQ31" s="6">
        <f>IF($R31="",0,$J31*$AD31*INDEX(Act_Type_Repex_Splits,MATCH($I31,Act_Type_Repex,0),MATCH(AQ$5,Mat_Type,0))*INDEX(Escalators!$I$44:$U$49,MATCH(AQ$5,Escalators!$C$44:$C$49,0),MATCH(AQ$6,Escalators!$I$43:$U$43,0)))</f>
        <v>0</v>
      </c>
      <c r="AR31" s="6">
        <f>IF($R31="",0,$J31*$AD31*INDEX(Act_Type_Repex_Splits,MATCH($I31,Act_Type_Repex,0),MATCH(AR$5,Mat_Type,0))*INDEX(Escalators!$I$44:$U$49,MATCH(AR$5,Escalators!$C$44:$C$49,0),MATCH(AR$6,Escalators!$I$43:$U$43,0)))</f>
        <v>0</v>
      </c>
      <c r="AS31" s="6">
        <f>IF($R31="",0,$J31*$AD31*INDEX(Act_Type_Repex_Splits,MATCH($I31,Act_Type_Repex,0),MATCH(AS$5,Mat_Type,0))*INDEX(Escalators!$I$44:$U$49,MATCH(AS$5,Escalators!$C$44:$C$49,0),MATCH(AS$6,Escalators!$I$43:$U$43,0)))</f>
        <v>0</v>
      </c>
      <c r="AT31" s="6">
        <f>IF($R31="",0,$J31*$AD31*INDEX(Act_Type_Repex_Splits,MATCH($I31,Act_Type_Repex,0),MATCH(AT$5,Mat_Type,0))*INDEX(Escalators!$I$44:$U$49,MATCH(AT$5,Escalators!$C$44:$C$49,0),MATCH(AT$6,Escalators!$I$43:$U$43,0)))</f>
        <v>0</v>
      </c>
      <c r="AU31" s="6">
        <f>IF($R31="",0,$J31*$AD31*INDEX(Act_Type_Repex_Splits,MATCH($I31,Act_Type_Repex,0),MATCH(AU$5,Mat_Type,0))*INDEX(Escalators!$I$44:$U$49,MATCH(AU$5,Escalators!$C$44:$C$49,0),MATCH(AU$6,Escalators!$I$43:$U$43,0)))</f>
        <v>0</v>
      </c>
      <c r="AV31" s="47">
        <f t="shared" si="17"/>
        <v>0</v>
      </c>
      <c r="AW31" s="47">
        <f>IF($R31="",0,$K31*$AD31*INDEX(Act_Type_Repex_Splits,MATCH($I31,Act_Type_Repex,0),MATCH(AW$5,Mat_Type,0))*INDEX(Escalators!$I$44:$U$49,MATCH(AW$5,Escalators!$C$44:$C$49,0),MATCH(AW$6,Escalators!$I$43:$U$43,0)))</f>
        <v>0</v>
      </c>
      <c r="AX31" s="47">
        <f>IF($R31="",0,$K31*$AD31*INDEX(Act_Type_Repex_Splits,MATCH($I31,Act_Type_Repex,0),MATCH(AX$5,Mat_Type,0))*INDEX(Escalators!$I$44:$U$49,MATCH(AX$5,Escalators!$C$44:$C$49,0),MATCH(AX$6,Escalators!$I$43:$U$43,0)))</f>
        <v>0</v>
      </c>
      <c r="AY31" s="47">
        <f>IF($R31="",0,$K31*$AD31*INDEX(Act_Type_Repex_Splits,MATCH($I31,Act_Type_Repex,0),MATCH(AY$5,Mat_Type,0))*INDEX(Escalators!$I$44:$U$49,MATCH(AY$5,Escalators!$C$44:$C$49,0),MATCH(AY$6,Escalators!$I$43:$U$43,0)))</f>
        <v>0</v>
      </c>
      <c r="AZ31" s="47">
        <f>IF($R31="",0,$K31*$AD31*INDEX(Act_Type_Repex_Splits,MATCH($I31,Act_Type_Repex,0),MATCH(AZ$5,Mat_Type,0))*INDEX(Escalators!$I$44:$U$49,MATCH(AZ$5,Escalators!$C$44:$C$49,0),MATCH(AZ$6,Escalators!$I$43:$U$43,0)))</f>
        <v>0</v>
      </c>
      <c r="BA31" s="47">
        <f>IF($R31="",0,$K31*$AD31*INDEX(Act_Type_Repex_Splits,MATCH($I31,Act_Type_Repex,0),MATCH(BA$5,Mat_Type,0))*INDEX(Escalators!$I$44:$U$49,MATCH(BA$5,Escalators!$C$44:$C$49,0),MATCH(BA$6,Escalators!$I$43:$U$43,0)))</f>
        <v>0</v>
      </c>
      <c r="BB31" s="47">
        <f t="shared" si="18"/>
        <v>0</v>
      </c>
      <c r="BC31" s="47">
        <f>IF($R31="",0,$L31*$AD31*INDEX(Act_Type_Repex_Splits,MATCH($I31,Act_Type_Repex,0),MATCH(BC$5,Mat_Type,0))*INDEX(Escalators!$I$44:$U$49,MATCH(BC$5,Escalators!$C$44:$C$49,0),MATCH(BC$6,Escalators!$I$43:$U$43,0)))</f>
        <v>0</v>
      </c>
      <c r="BD31" s="47">
        <f>IF($R31="",0,$L31*$AD31*INDEX(Act_Type_Repex_Splits,MATCH($I31,Act_Type_Repex,0),MATCH(BD$5,Mat_Type,0))*INDEX(Escalators!$I$44:$U$49,MATCH(BD$5,Escalators!$C$44:$C$49,0),MATCH(BD$6,Escalators!$I$43:$U$43,0)))</f>
        <v>0</v>
      </c>
      <c r="BE31" s="47">
        <f>IF($R31="",0,$L31*$AD31*INDEX(Act_Type_Repex_Splits,MATCH($I31,Act_Type_Repex,0),MATCH(BE$5,Mat_Type,0))*INDEX(Escalators!$I$44:$U$49,MATCH(BE$5,Escalators!$C$44:$C$49,0),MATCH(BE$6,Escalators!$I$43:$U$43,0)))</f>
        <v>0</v>
      </c>
      <c r="BF31" s="47">
        <f>IF($R31="",0,$L31*$AD31*INDEX(Act_Type_Repex_Splits,MATCH($I31,Act_Type_Repex,0),MATCH(BF$5,Mat_Type,0))*INDEX(Escalators!$I$44:$U$49,MATCH(BF$5,Escalators!$C$44:$C$49,0),MATCH(BF$6,Escalators!$I$43:$U$43,0)))</f>
        <v>0</v>
      </c>
      <c r="BG31" s="47">
        <f>IF($R31="",0,$L31*$AD31*INDEX(Act_Type_Repex_Splits,MATCH($I31,Act_Type_Repex,0),MATCH(BG$5,Mat_Type,0))*INDEX(Escalators!$I$44:$U$49,MATCH(BG$5,Escalators!$C$44:$C$49,0),MATCH(BG$6,Escalators!$I$43:$U$43,0)))</f>
        <v>0</v>
      </c>
      <c r="BH31" s="47">
        <f t="shared" si="19"/>
        <v>0</v>
      </c>
      <c r="BI31" s="47">
        <f>IF($R31="",0,$M31*$AD31*INDEX(Act_Type_Repex_Splits,MATCH($I31,Act_Type_Repex,0),MATCH(BI$5,Mat_Type,0))*INDEX(Escalators!$I$44:$U$49,MATCH(BI$5,Escalators!$C$44:$C$49,0),MATCH(BI$6,Escalators!$I$43:$U$43,0)))</f>
        <v>0</v>
      </c>
      <c r="BJ31" s="47">
        <f>IF($R31="",0,$M31*$AD31*INDEX(Act_Type_Repex_Splits,MATCH($I31,Act_Type_Repex,0),MATCH(BJ$5,Mat_Type,0))*INDEX(Escalators!$I$44:$U$49,MATCH(BJ$5,Escalators!$C$44:$C$49,0),MATCH(BJ$6,Escalators!$I$43:$U$43,0)))</f>
        <v>0</v>
      </c>
      <c r="BK31" s="47">
        <f>IF($R31="",0,$M31*$AD31*INDEX(Act_Type_Repex_Splits,MATCH($I31,Act_Type_Repex,0),MATCH(BK$5,Mat_Type,0))*INDEX(Escalators!$I$44:$U$49,MATCH(BK$5,Escalators!$C$44:$C$49,0),MATCH(BK$6,Escalators!$I$43:$U$43,0)))</f>
        <v>0</v>
      </c>
      <c r="BL31" s="47">
        <f>IF($R31="",0,$M31*$AD31*INDEX(Act_Type_Repex_Splits,MATCH($I31,Act_Type_Repex,0),MATCH(BL$5,Mat_Type,0))*INDEX(Escalators!$I$44:$U$49,MATCH(BL$5,Escalators!$C$44:$C$49,0),MATCH(BL$6,Escalators!$I$43:$U$43,0)))</f>
        <v>0</v>
      </c>
      <c r="BM31" s="47">
        <f>IF($R31="",0,$M31*$AD31*INDEX(Act_Type_Repex_Splits,MATCH($I31,Act_Type_Repex,0),MATCH(BM$5,Mat_Type,0))*INDEX(Escalators!$I$44:$U$49,MATCH(BM$5,Escalators!$C$44:$C$49,0),MATCH(BM$6,Escalators!$I$43:$U$43,0)))</f>
        <v>0</v>
      </c>
      <c r="BN31" s="47">
        <f t="shared" si="20"/>
        <v>0</v>
      </c>
      <c r="BO31" s="47">
        <f>IF($R31="",0,$N31*$AD31*INDEX(Act_Type_Repex_Splits,MATCH($I31,Act_Type_Repex,0),MATCH(BO$5,Mat_Type,0))*INDEX(Escalators!$I$44:$U$49,MATCH(BO$5,Escalators!$C$44:$C$49,0),MATCH(BO$6,Escalators!$I$43:$U$43,0)))</f>
        <v>0</v>
      </c>
      <c r="BP31" s="47">
        <f>IF($R31="",0,$N31*$AD31*INDEX(Act_Type_Repex_Splits,MATCH($I31,Act_Type_Repex,0),MATCH(BP$5,Mat_Type,0))*INDEX(Escalators!$I$44:$U$49,MATCH(BP$5,Escalators!$C$44:$C$49,0),MATCH(BP$6,Escalators!$I$43:$U$43,0)))</f>
        <v>0</v>
      </c>
      <c r="BQ31" s="47">
        <f>IF($R31="",0,$N31*$AD31*INDEX(Act_Type_Repex_Splits,MATCH($I31,Act_Type_Repex,0),MATCH(BQ$5,Mat_Type,0))*INDEX(Escalators!$I$44:$U$49,MATCH(BQ$5,Escalators!$C$44:$C$49,0),MATCH(BQ$6,Escalators!$I$43:$U$43,0)))</f>
        <v>0</v>
      </c>
      <c r="BR31" s="47">
        <f>IF($R31="",0,$N31*$AD31*INDEX(Act_Type_Repex_Splits,MATCH($I31,Act_Type_Repex,0),MATCH(BR$5,Mat_Type,0))*INDEX(Escalators!$I$44:$U$49,MATCH(BR$5,Escalators!$C$44:$C$49,0),MATCH(BR$6,Escalators!$I$43:$U$43,0)))</f>
        <v>0</v>
      </c>
      <c r="BS31" s="47">
        <f>IF($R31="",0,$N31*$AD31*INDEX(Act_Type_Repex_Splits,MATCH($I31,Act_Type_Repex,0),MATCH(BS$5,Mat_Type,0))*INDEX(Escalators!$I$44:$U$49,MATCH(BS$5,Escalators!$C$44:$C$49,0),MATCH(BS$6,Escalators!$I$43:$U$43,0)))</f>
        <v>0</v>
      </c>
      <c r="BT31" s="47">
        <f t="shared" si="21"/>
        <v>0</v>
      </c>
      <c r="BU31" s="47">
        <f>IF($R31="",0,$O31*$AD31*INDEX(Act_Type_Repex_Splits,MATCH($I31,Act_Type_Repex,0),MATCH(BU$5,Mat_Type,0))*INDEX(Escalators!$I$44:$U$49,MATCH(BU$5,Escalators!$C$44:$C$49,0),MATCH(BU$6,Escalators!$I$43:$U$43,0)))</f>
        <v>0</v>
      </c>
      <c r="BV31" s="47">
        <f>IF($R31="",0,$O31*$AD31*INDEX(Act_Type_Repex_Splits,MATCH($I31,Act_Type_Repex,0),MATCH(BV$5,Mat_Type,0))*INDEX(Escalators!$I$44:$U$49,MATCH(BV$5,Escalators!$C$44:$C$49,0),MATCH(BV$6,Escalators!$I$43:$U$43,0)))</f>
        <v>0</v>
      </c>
      <c r="BW31" s="47">
        <f>IF($R31="",0,$O31*$AD31*INDEX(Act_Type_Repex_Splits,MATCH($I31,Act_Type_Repex,0),MATCH(BW$5,Mat_Type,0))*INDEX(Escalators!$I$44:$U$49,MATCH(BW$5,Escalators!$C$44:$C$49,0),MATCH(BW$6,Escalators!$I$43:$U$43,0)))</f>
        <v>0</v>
      </c>
      <c r="BX31" s="47">
        <f>IF($R31="",0,$O31*$AD31*INDEX(Act_Type_Repex_Splits,MATCH($I31,Act_Type_Repex,0),MATCH(BX$5,Mat_Type,0))*INDEX(Escalators!$I$44:$U$49,MATCH(BX$5,Escalators!$C$44:$C$49,0),MATCH(BX$6,Escalators!$I$43:$U$43,0)))</f>
        <v>0</v>
      </c>
      <c r="BY31" s="47">
        <f>IF($R31="",0,$O31*$AD31*INDEX(Act_Type_Repex_Splits,MATCH($I31,Act_Type_Repex,0),MATCH(BY$5,Mat_Type,0))*INDEX(Escalators!$I$44:$U$49,MATCH(BY$5,Escalators!$C$44:$C$49,0),MATCH(BY$6,Escalators!$I$43:$U$43,0)))</f>
        <v>0</v>
      </c>
      <c r="BZ31" s="47">
        <f t="shared" si="22"/>
        <v>0</v>
      </c>
      <c r="CA31" s="47">
        <f>IF($R31="",0,$P31*$AD31*INDEX(Act_Type_Repex_Splits,MATCH($I31,Act_Type_Repex,0),MATCH(CA$5,Mat_Type,0))*INDEX(Escalators!$I$44:$U$49,MATCH(CA$5,Escalators!$C$44:$C$49,0),MATCH(CA$6,Escalators!$I$43:$U$43,0)))</f>
        <v>0</v>
      </c>
      <c r="CB31" s="47">
        <f>IF($R31="",0,$P31*$AD31*INDEX(Act_Type_Repex_Splits,MATCH($I31,Act_Type_Repex,0),MATCH(CB$5,Mat_Type,0))*INDEX(Escalators!$I$44:$U$49,MATCH(CB$5,Escalators!$C$44:$C$49,0),MATCH(CB$6,Escalators!$I$43:$U$43,0)))</f>
        <v>0</v>
      </c>
      <c r="CC31" s="47">
        <f>IF($R31="",0,$P31*$AD31*INDEX(Act_Type_Repex_Splits,MATCH($I31,Act_Type_Repex,0),MATCH(CC$5,Mat_Type,0))*INDEX(Escalators!$I$44:$U$49,MATCH(CC$5,Escalators!$C$44:$C$49,0),MATCH(CC$6,Escalators!$I$43:$U$43,0)))</f>
        <v>0</v>
      </c>
      <c r="CD31" s="47">
        <f>IF($R31="",0,$P31*$AD31*INDEX(Act_Type_Repex_Splits,MATCH($I31,Act_Type_Repex,0),MATCH(CD$5,Mat_Type,0))*INDEX(Escalators!$I$44:$U$49,MATCH(CD$5,Escalators!$C$44:$C$49,0),MATCH(CD$6,Escalators!$I$43:$U$43,0)))</f>
        <v>0</v>
      </c>
      <c r="CE31" s="47">
        <f>IF($R31="",0,$P31*$AD31*INDEX(Act_Type_Repex_Splits,MATCH($I31,Act_Type_Repex,0),MATCH(CE$5,Mat_Type,0))*INDEX(Escalators!$I$44:$U$49,MATCH(CE$5,Escalators!$C$44:$C$49,0),MATCH(CE$6,Escalators!$I$43:$U$43,0)))</f>
        <v>0</v>
      </c>
      <c r="CF31" s="47">
        <f t="shared" si="23"/>
        <v>0</v>
      </c>
      <c r="CG31" s="47">
        <f>IF($R31="",0,$Q31*$AD31*INDEX(Act_Type_Repex_Splits,MATCH($I31,Act_Type_Repex,0),MATCH(CG$5,Mat_Type,0))*INDEX(Escalators!$I$44:$U$49,MATCH(CG$5,Escalators!$C$44:$C$49,0),MATCH(CG$6,Escalators!$I$43:$U$43,0)))</f>
        <v>0</v>
      </c>
      <c r="CH31" s="47">
        <f>IF($R31="",0,$Q31*$AD31*INDEX(Act_Type_Repex_Splits,MATCH($I31,Act_Type_Repex,0),MATCH(CH$5,Mat_Type,0))*INDEX(Escalators!$I$44:$U$49,MATCH(CH$5,Escalators!$C$44:$C$49,0),MATCH(CH$6,Escalators!$I$43:$U$43,0)))</f>
        <v>0</v>
      </c>
      <c r="CI31" s="47">
        <f>IF($R31="",0,$Q31*$AD31*INDEX(Act_Type_Repex_Splits,MATCH($I31,Act_Type_Repex,0),MATCH(CI$5,Mat_Type,0))*INDEX(Escalators!$I$44:$U$49,MATCH(CI$5,Escalators!$C$44:$C$49,0),MATCH(CI$6,Escalators!$I$43:$U$43,0)))</f>
        <v>0</v>
      </c>
      <c r="CJ31" s="47">
        <f>IF($R31="",0,$Q31*$AD31*INDEX(Act_Type_Repex_Splits,MATCH($I31,Act_Type_Repex,0),MATCH(CJ$5,Mat_Type,0))*INDEX(Escalators!$I$44:$U$49,MATCH(CJ$5,Escalators!$C$44:$C$49,0),MATCH(CJ$6,Escalators!$I$43:$U$43,0)))</f>
        <v>0</v>
      </c>
      <c r="CK31" s="47">
        <f>IF($R31="",0,$Q31*$AD31*INDEX(Act_Type_Repex_Splits,MATCH($I31,Act_Type_Repex,0),MATCH(CK$5,Mat_Type,0))*INDEX(Escalators!$I$44:$U$49,MATCH(CK$5,Escalators!$C$44:$C$49,0),MATCH(CK$6,Escalators!$I$43:$U$43,0)))</f>
        <v>0</v>
      </c>
      <c r="CL31" s="47">
        <f t="shared" si="24"/>
        <v>0</v>
      </c>
      <c r="CN31" s="47">
        <f>IF($R31="",0,J31*$AE31*HLOOKUP(CN$6,Escalators!$I$25:$U$30,6,FALSE))</f>
        <v>0</v>
      </c>
      <c r="CO31" s="47">
        <f>IF($R31="",0,K31*$AE31*HLOOKUP(CO$6,Escalators!$I$25:$U$30,6,FALSE))</f>
        <v>0</v>
      </c>
      <c r="CP31" s="47">
        <f>IF($R31="",0,L31*$AE31*HLOOKUP(CP$6,Escalators!$I$25:$U$30,6,FALSE))</f>
        <v>0</v>
      </c>
      <c r="CQ31" s="47">
        <f>IF($R31="",0,M31*$AE31*HLOOKUP(CQ$6,Escalators!$I$25:$U$30,6,FALSE))</f>
        <v>0</v>
      </c>
      <c r="CR31" s="47">
        <f>IF($R31="",0,N31*$AE31*HLOOKUP(CR$6,Escalators!$I$25:$U$30,6,FALSE))</f>
        <v>0</v>
      </c>
      <c r="CS31" s="47">
        <f>IF($R31="",0,O31*$AE31*HLOOKUP(CS$6,Escalators!$I$25:$U$30,6,FALSE))</f>
        <v>0</v>
      </c>
      <c r="CT31" s="47">
        <f>IF($R31="",0,P31*$AE31*HLOOKUP(CT$6,Escalators!$I$25:$U$30,6,FALSE))</f>
        <v>0</v>
      </c>
      <c r="CU31" s="47">
        <f>IF($R31="",0,Q31*$AE31*HLOOKUP(CU$6,Escalators!$I$25:$U$30,6,FALSE))</f>
        <v>0</v>
      </c>
      <c r="CW31" s="82">
        <f t="shared" si="25"/>
        <v>0</v>
      </c>
      <c r="CX31" s="82">
        <f t="shared" si="26"/>
        <v>0</v>
      </c>
      <c r="CY31" s="82">
        <f t="shared" si="27"/>
        <v>0</v>
      </c>
      <c r="CZ31" s="82">
        <f t="shared" si="28"/>
        <v>0</v>
      </c>
      <c r="DA31" s="82">
        <f t="shared" si="29"/>
        <v>0</v>
      </c>
      <c r="DB31" s="82">
        <f t="shared" si="30"/>
        <v>0</v>
      </c>
      <c r="DC31" s="82">
        <f t="shared" si="31"/>
        <v>0</v>
      </c>
      <c r="DD31" s="82">
        <f t="shared" si="32"/>
        <v>0</v>
      </c>
      <c r="DF31" s="47">
        <f t="shared" si="33"/>
        <v>0</v>
      </c>
      <c r="DG31" s="47">
        <f t="shared" si="34"/>
        <v>0</v>
      </c>
      <c r="DH31" s="47">
        <f t="shared" si="35"/>
        <v>0</v>
      </c>
      <c r="DI31" s="47">
        <f t="shared" si="36"/>
        <v>0</v>
      </c>
      <c r="DJ31" s="47">
        <f t="shared" si="37"/>
        <v>0</v>
      </c>
      <c r="DK31" s="47">
        <f t="shared" si="38"/>
        <v>0</v>
      </c>
      <c r="DL31" s="47">
        <f t="shared" si="39"/>
        <v>0</v>
      </c>
      <c r="DM31" s="47">
        <f t="shared" si="40"/>
        <v>0</v>
      </c>
      <c r="DO31" s="39"/>
    </row>
    <row r="32" spans="2:119" x14ac:dyDescent="0.25">
      <c r="B32" s="7"/>
      <c r="C32" s="7"/>
      <c r="D32" s="7"/>
      <c r="E32" s="7"/>
      <c r="F32" s="7"/>
      <c r="G32" s="7"/>
      <c r="H32" s="7"/>
      <c r="I32" s="7"/>
      <c r="J32" s="7"/>
      <c r="K32" s="7"/>
      <c r="L32" s="7"/>
      <c r="M32" s="7"/>
      <c r="N32" s="7"/>
      <c r="O32" s="7"/>
      <c r="P32" s="7"/>
      <c r="Q32" s="7"/>
      <c r="R32" s="46"/>
      <c r="T32" s="47">
        <f t="shared" si="8"/>
        <v>0</v>
      </c>
      <c r="U32" s="47">
        <f t="shared" si="9"/>
        <v>0</v>
      </c>
      <c r="V32" s="47">
        <f t="shared" si="10"/>
        <v>0</v>
      </c>
      <c r="W32" s="47">
        <f t="shared" si="11"/>
        <v>0</v>
      </c>
      <c r="X32" s="47">
        <f t="shared" si="12"/>
        <v>0</v>
      </c>
      <c r="Y32" s="47">
        <f t="shared" si="13"/>
        <v>0</v>
      </c>
      <c r="Z32" s="47">
        <f t="shared" si="14"/>
        <v>0</v>
      </c>
      <c r="AA32" s="47">
        <f t="shared" si="15"/>
        <v>0</v>
      </c>
      <c r="AC32" s="82">
        <f t="shared" si="16"/>
        <v>0</v>
      </c>
      <c r="AD32" s="82">
        <f t="shared" si="16"/>
        <v>0</v>
      </c>
      <c r="AE32" s="82">
        <f t="shared" si="16"/>
        <v>0</v>
      </c>
      <c r="AF32" s="82">
        <f t="shared" si="16"/>
        <v>0</v>
      </c>
      <c r="AH32" s="47">
        <f>IF($R32="",0,J32*$AC32*HLOOKUP(AH$6,Escalators!$I$25:$U$30,3,FALSE))</f>
        <v>0</v>
      </c>
      <c r="AI32" s="47">
        <f>IF($R32="",0,K32*$AC32*HLOOKUP(AI$6,Escalators!$I$25:$U$30,3,FALSE))</f>
        <v>0</v>
      </c>
      <c r="AJ32" s="47">
        <f>IF($R32="",0,L32*$AC32*HLOOKUP(AJ$6,Escalators!$I$25:$U$30,3,FALSE))</f>
        <v>0</v>
      </c>
      <c r="AK32" s="47">
        <f>IF($R32="",0,M32*$AC32*HLOOKUP(AK$6,Escalators!$I$25:$U$30,3,FALSE))</f>
        <v>0</v>
      </c>
      <c r="AL32" s="47">
        <f>IF($R32="",0,N32*$AC32*HLOOKUP(AL$6,Escalators!$I$25:$U$30,3,FALSE))</f>
        <v>0</v>
      </c>
      <c r="AM32" s="47">
        <f>IF($R32="",0,O32*$AC32*HLOOKUP(AM$6,Escalators!$I$25:$U$30,3,FALSE))</f>
        <v>0</v>
      </c>
      <c r="AN32" s="47">
        <f>IF($R32="",0,P32*$AC32*HLOOKUP(AN$6,Escalators!$I$25:$U$30,3,FALSE))</f>
        <v>0</v>
      </c>
      <c r="AO32" s="47">
        <f>IF($R32="",0,Q32*$AC32*HLOOKUP(AO$6,Escalators!$I$25:$U$30,3,FALSE))</f>
        <v>0</v>
      </c>
      <c r="AQ32" s="6">
        <f>IF($R32="",0,$J32*$AD32*INDEX(Act_Type_Repex_Splits,MATCH($I32,Act_Type_Repex,0),MATCH(AQ$5,Mat_Type,0))*INDEX(Escalators!$I$44:$U$49,MATCH(AQ$5,Escalators!$C$44:$C$49,0),MATCH(AQ$6,Escalators!$I$43:$U$43,0)))</f>
        <v>0</v>
      </c>
      <c r="AR32" s="6">
        <f>IF($R32="",0,$J32*$AD32*INDEX(Act_Type_Repex_Splits,MATCH($I32,Act_Type_Repex,0),MATCH(AR$5,Mat_Type,0))*INDEX(Escalators!$I$44:$U$49,MATCH(AR$5,Escalators!$C$44:$C$49,0),MATCH(AR$6,Escalators!$I$43:$U$43,0)))</f>
        <v>0</v>
      </c>
      <c r="AS32" s="6">
        <f>IF($R32="",0,$J32*$AD32*INDEX(Act_Type_Repex_Splits,MATCH($I32,Act_Type_Repex,0),MATCH(AS$5,Mat_Type,0))*INDEX(Escalators!$I$44:$U$49,MATCH(AS$5,Escalators!$C$44:$C$49,0),MATCH(AS$6,Escalators!$I$43:$U$43,0)))</f>
        <v>0</v>
      </c>
      <c r="AT32" s="6">
        <f>IF($R32="",0,$J32*$AD32*INDEX(Act_Type_Repex_Splits,MATCH($I32,Act_Type_Repex,0),MATCH(AT$5,Mat_Type,0))*INDEX(Escalators!$I$44:$U$49,MATCH(AT$5,Escalators!$C$44:$C$49,0),MATCH(AT$6,Escalators!$I$43:$U$43,0)))</f>
        <v>0</v>
      </c>
      <c r="AU32" s="6">
        <f>IF($R32="",0,$J32*$AD32*INDEX(Act_Type_Repex_Splits,MATCH($I32,Act_Type_Repex,0),MATCH(AU$5,Mat_Type,0))*INDEX(Escalators!$I$44:$U$49,MATCH(AU$5,Escalators!$C$44:$C$49,0),MATCH(AU$6,Escalators!$I$43:$U$43,0)))</f>
        <v>0</v>
      </c>
      <c r="AV32" s="47">
        <f t="shared" si="17"/>
        <v>0</v>
      </c>
      <c r="AW32" s="47">
        <f>IF($R32="",0,$K32*$AD32*INDEX(Act_Type_Repex_Splits,MATCH($I32,Act_Type_Repex,0),MATCH(AW$5,Mat_Type,0))*INDEX(Escalators!$I$44:$U$49,MATCH(AW$5,Escalators!$C$44:$C$49,0),MATCH(AW$6,Escalators!$I$43:$U$43,0)))</f>
        <v>0</v>
      </c>
      <c r="AX32" s="47">
        <f>IF($R32="",0,$K32*$AD32*INDEX(Act_Type_Repex_Splits,MATCH($I32,Act_Type_Repex,0),MATCH(AX$5,Mat_Type,0))*INDEX(Escalators!$I$44:$U$49,MATCH(AX$5,Escalators!$C$44:$C$49,0),MATCH(AX$6,Escalators!$I$43:$U$43,0)))</f>
        <v>0</v>
      </c>
      <c r="AY32" s="47">
        <f>IF($R32="",0,$K32*$AD32*INDEX(Act_Type_Repex_Splits,MATCH($I32,Act_Type_Repex,0),MATCH(AY$5,Mat_Type,0))*INDEX(Escalators!$I$44:$U$49,MATCH(AY$5,Escalators!$C$44:$C$49,0),MATCH(AY$6,Escalators!$I$43:$U$43,0)))</f>
        <v>0</v>
      </c>
      <c r="AZ32" s="47">
        <f>IF($R32="",0,$K32*$AD32*INDEX(Act_Type_Repex_Splits,MATCH($I32,Act_Type_Repex,0),MATCH(AZ$5,Mat_Type,0))*INDEX(Escalators!$I$44:$U$49,MATCH(AZ$5,Escalators!$C$44:$C$49,0),MATCH(AZ$6,Escalators!$I$43:$U$43,0)))</f>
        <v>0</v>
      </c>
      <c r="BA32" s="47">
        <f>IF($R32="",0,$K32*$AD32*INDEX(Act_Type_Repex_Splits,MATCH($I32,Act_Type_Repex,0),MATCH(BA$5,Mat_Type,0))*INDEX(Escalators!$I$44:$U$49,MATCH(BA$5,Escalators!$C$44:$C$49,0),MATCH(BA$6,Escalators!$I$43:$U$43,0)))</f>
        <v>0</v>
      </c>
      <c r="BB32" s="47">
        <f t="shared" si="18"/>
        <v>0</v>
      </c>
      <c r="BC32" s="47">
        <f>IF($R32="",0,$L32*$AD32*INDEX(Act_Type_Repex_Splits,MATCH($I32,Act_Type_Repex,0),MATCH(BC$5,Mat_Type,0))*INDEX(Escalators!$I$44:$U$49,MATCH(BC$5,Escalators!$C$44:$C$49,0),MATCH(BC$6,Escalators!$I$43:$U$43,0)))</f>
        <v>0</v>
      </c>
      <c r="BD32" s="47">
        <f>IF($R32="",0,$L32*$AD32*INDEX(Act_Type_Repex_Splits,MATCH($I32,Act_Type_Repex,0),MATCH(BD$5,Mat_Type,0))*INDEX(Escalators!$I$44:$U$49,MATCH(BD$5,Escalators!$C$44:$C$49,0),MATCH(BD$6,Escalators!$I$43:$U$43,0)))</f>
        <v>0</v>
      </c>
      <c r="BE32" s="47">
        <f>IF($R32="",0,$L32*$AD32*INDEX(Act_Type_Repex_Splits,MATCH($I32,Act_Type_Repex,0),MATCH(BE$5,Mat_Type,0))*INDEX(Escalators!$I$44:$U$49,MATCH(BE$5,Escalators!$C$44:$C$49,0),MATCH(BE$6,Escalators!$I$43:$U$43,0)))</f>
        <v>0</v>
      </c>
      <c r="BF32" s="47">
        <f>IF($R32="",0,$L32*$AD32*INDEX(Act_Type_Repex_Splits,MATCH($I32,Act_Type_Repex,0),MATCH(BF$5,Mat_Type,0))*INDEX(Escalators!$I$44:$U$49,MATCH(BF$5,Escalators!$C$44:$C$49,0),MATCH(BF$6,Escalators!$I$43:$U$43,0)))</f>
        <v>0</v>
      </c>
      <c r="BG32" s="47">
        <f>IF($R32="",0,$L32*$AD32*INDEX(Act_Type_Repex_Splits,MATCH($I32,Act_Type_Repex,0),MATCH(BG$5,Mat_Type,0))*INDEX(Escalators!$I$44:$U$49,MATCH(BG$5,Escalators!$C$44:$C$49,0),MATCH(BG$6,Escalators!$I$43:$U$43,0)))</f>
        <v>0</v>
      </c>
      <c r="BH32" s="47">
        <f t="shared" si="19"/>
        <v>0</v>
      </c>
      <c r="BI32" s="47">
        <f>IF($R32="",0,$M32*$AD32*INDEX(Act_Type_Repex_Splits,MATCH($I32,Act_Type_Repex,0),MATCH(BI$5,Mat_Type,0))*INDEX(Escalators!$I$44:$U$49,MATCH(BI$5,Escalators!$C$44:$C$49,0),MATCH(BI$6,Escalators!$I$43:$U$43,0)))</f>
        <v>0</v>
      </c>
      <c r="BJ32" s="47">
        <f>IF($R32="",0,$M32*$AD32*INDEX(Act_Type_Repex_Splits,MATCH($I32,Act_Type_Repex,0),MATCH(BJ$5,Mat_Type,0))*INDEX(Escalators!$I$44:$U$49,MATCH(BJ$5,Escalators!$C$44:$C$49,0),MATCH(BJ$6,Escalators!$I$43:$U$43,0)))</f>
        <v>0</v>
      </c>
      <c r="BK32" s="47">
        <f>IF($R32="",0,$M32*$AD32*INDEX(Act_Type_Repex_Splits,MATCH($I32,Act_Type_Repex,0),MATCH(BK$5,Mat_Type,0))*INDEX(Escalators!$I$44:$U$49,MATCH(BK$5,Escalators!$C$44:$C$49,0),MATCH(BK$6,Escalators!$I$43:$U$43,0)))</f>
        <v>0</v>
      </c>
      <c r="BL32" s="47">
        <f>IF($R32="",0,$M32*$AD32*INDEX(Act_Type_Repex_Splits,MATCH($I32,Act_Type_Repex,0),MATCH(BL$5,Mat_Type,0))*INDEX(Escalators!$I$44:$U$49,MATCH(BL$5,Escalators!$C$44:$C$49,0),MATCH(BL$6,Escalators!$I$43:$U$43,0)))</f>
        <v>0</v>
      </c>
      <c r="BM32" s="47">
        <f>IF($R32="",0,$M32*$AD32*INDEX(Act_Type_Repex_Splits,MATCH($I32,Act_Type_Repex,0),MATCH(BM$5,Mat_Type,0))*INDEX(Escalators!$I$44:$U$49,MATCH(BM$5,Escalators!$C$44:$C$49,0),MATCH(BM$6,Escalators!$I$43:$U$43,0)))</f>
        <v>0</v>
      </c>
      <c r="BN32" s="47">
        <f t="shared" si="20"/>
        <v>0</v>
      </c>
      <c r="BO32" s="47">
        <f>IF($R32="",0,$N32*$AD32*INDEX(Act_Type_Repex_Splits,MATCH($I32,Act_Type_Repex,0),MATCH(BO$5,Mat_Type,0))*INDEX(Escalators!$I$44:$U$49,MATCH(BO$5,Escalators!$C$44:$C$49,0),MATCH(BO$6,Escalators!$I$43:$U$43,0)))</f>
        <v>0</v>
      </c>
      <c r="BP32" s="47">
        <f>IF($R32="",0,$N32*$AD32*INDEX(Act_Type_Repex_Splits,MATCH($I32,Act_Type_Repex,0),MATCH(BP$5,Mat_Type,0))*INDEX(Escalators!$I$44:$U$49,MATCH(BP$5,Escalators!$C$44:$C$49,0),MATCH(BP$6,Escalators!$I$43:$U$43,0)))</f>
        <v>0</v>
      </c>
      <c r="BQ32" s="47">
        <f>IF($R32="",0,$N32*$AD32*INDEX(Act_Type_Repex_Splits,MATCH($I32,Act_Type_Repex,0),MATCH(BQ$5,Mat_Type,0))*INDEX(Escalators!$I$44:$U$49,MATCH(BQ$5,Escalators!$C$44:$C$49,0),MATCH(BQ$6,Escalators!$I$43:$U$43,0)))</f>
        <v>0</v>
      </c>
      <c r="BR32" s="47">
        <f>IF($R32="",0,$N32*$AD32*INDEX(Act_Type_Repex_Splits,MATCH($I32,Act_Type_Repex,0),MATCH(BR$5,Mat_Type,0))*INDEX(Escalators!$I$44:$U$49,MATCH(BR$5,Escalators!$C$44:$C$49,0),MATCH(BR$6,Escalators!$I$43:$U$43,0)))</f>
        <v>0</v>
      </c>
      <c r="BS32" s="47">
        <f>IF($R32="",0,$N32*$AD32*INDEX(Act_Type_Repex_Splits,MATCH($I32,Act_Type_Repex,0),MATCH(BS$5,Mat_Type,0))*INDEX(Escalators!$I$44:$U$49,MATCH(BS$5,Escalators!$C$44:$C$49,0),MATCH(BS$6,Escalators!$I$43:$U$43,0)))</f>
        <v>0</v>
      </c>
      <c r="BT32" s="47">
        <f t="shared" si="21"/>
        <v>0</v>
      </c>
      <c r="BU32" s="47">
        <f>IF($R32="",0,$O32*$AD32*INDEX(Act_Type_Repex_Splits,MATCH($I32,Act_Type_Repex,0),MATCH(BU$5,Mat_Type,0))*INDEX(Escalators!$I$44:$U$49,MATCH(BU$5,Escalators!$C$44:$C$49,0),MATCH(BU$6,Escalators!$I$43:$U$43,0)))</f>
        <v>0</v>
      </c>
      <c r="BV32" s="47">
        <f>IF($R32="",0,$O32*$AD32*INDEX(Act_Type_Repex_Splits,MATCH($I32,Act_Type_Repex,0),MATCH(BV$5,Mat_Type,0))*INDEX(Escalators!$I$44:$U$49,MATCH(BV$5,Escalators!$C$44:$C$49,0),MATCH(BV$6,Escalators!$I$43:$U$43,0)))</f>
        <v>0</v>
      </c>
      <c r="BW32" s="47">
        <f>IF($R32="",0,$O32*$AD32*INDEX(Act_Type_Repex_Splits,MATCH($I32,Act_Type_Repex,0),MATCH(BW$5,Mat_Type,0))*INDEX(Escalators!$I$44:$U$49,MATCH(BW$5,Escalators!$C$44:$C$49,0),MATCH(BW$6,Escalators!$I$43:$U$43,0)))</f>
        <v>0</v>
      </c>
      <c r="BX32" s="47">
        <f>IF($R32="",0,$O32*$AD32*INDEX(Act_Type_Repex_Splits,MATCH($I32,Act_Type_Repex,0),MATCH(BX$5,Mat_Type,0))*INDEX(Escalators!$I$44:$U$49,MATCH(BX$5,Escalators!$C$44:$C$49,0),MATCH(BX$6,Escalators!$I$43:$U$43,0)))</f>
        <v>0</v>
      </c>
      <c r="BY32" s="47">
        <f>IF($R32="",0,$O32*$AD32*INDEX(Act_Type_Repex_Splits,MATCH($I32,Act_Type_Repex,0),MATCH(BY$5,Mat_Type,0))*INDEX(Escalators!$I$44:$U$49,MATCH(BY$5,Escalators!$C$44:$C$49,0),MATCH(BY$6,Escalators!$I$43:$U$43,0)))</f>
        <v>0</v>
      </c>
      <c r="BZ32" s="47">
        <f t="shared" si="22"/>
        <v>0</v>
      </c>
      <c r="CA32" s="47">
        <f>IF($R32="",0,$P32*$AD32*INDEX(Act_Type_Repex_Splits,MATCH($I32,Act_Type_Repex,0),MATCH(CA$5,Mat_Type,0))*INDEX(Escalators!$I$44:$U$49,MATCH(CA$5,Escalators!$C$44:$C$49,0),MATCH(CA$6,Escalators!$I$43:$U$43,0)))</f>
        <v>0</v>
      </c>
      <c r="CB32" s="47">
        <f>IF($R32="",0,$P32*$AD32*INDEX(Act_Type_Repex_Splits,MATCH($I32,Act_Type_Repex,0),MATCH(CB$5,Mat_Type,0))*INDEX(Escalators!$I$44:$U$49,MATCH(CB$5,Escalators!$C$44:$C$49,0),MATCH(CB$6,Escalators!$I$43:$U$43,0)))</f>
        <v>0</v>
      </c>
      <c r="CC32" s="47">
        <f>IF($R32="",0,$P32*$AD32*INDEX(Act_Type_Repex_Splits,MATCH($I32,Act_Type_Repex,0),MATCH(CC$5,Mat_Type,0))*INDEX(Escalators!$I$44:$U$49,MATCH(CC$5,Escalators!$C$44:$C$49,0),MATCH(CC$6,Escalators!$I$43:$U$43,0)))</f>
        <v>0</v>
      </c>
      <c r="CD32" s="47">
        <f>IF($R32="",0,$P32*$AD32*INDEX(Act_Type_Repex_Splits,MATCH($I32,Act_Type_Repex,0),MATCH(CD$5,Mat_Type,0))*INDEX(Escalators!$I$44:$U$49,MATCH(CD$5,Escalators!$C$44:$C$49,0),MATCH(CD$6,Escalators!$I$43:$U$43,0)))</f>
        <v>0</v>
      </c>
      <c r="CE32" s="47">
        <f>IF($R32="",0,$P32*$AD32*INDEX(Act_Type_Repex_Splits,MATCH($I32,Act_Type_Repex,0),MATCH(CE$5,Mat_Type,0))*INDEX(Escalators!$I$44:$U$49,MATCH(CE$5,Escalators!$C$44:$C$49,0),MATCH(CE$6,Escalators!$I$43:$U$43,0)))</f>
        <v>0</v>
      </c>
      <c r="CF32" s="47">
        <f t="shared" si="23"/>
        <v>0</v>
      </c>
      <c r="CG32" s="47">
        <f>IF($R32="",0,$Q32*$AD32*INDEX(Act_Type_Repex_Splits,MATCH($I32,Act_Type_Repex,0),MATCH(CG$5,Mat_Type,0))*INDEX(Escalators!$I$44:$U$49,MATCH(CG$5,Escalators!$C$44:$C$49,0),MATCH(CG$6,Escalators!$I$43:$U$43,0)))</f>
        <v>0</v>
      </c>
      <c r="CH32" s="47">
        <f>IF($R32="",0,$Q32*$AD32*INDEX(Act_Type_Repex_Splits,MATCH($I32,Act_Type_Repex,0),MATCH(CH$5,Mat_Type,0))*INDEX(Escalators!$I$44:$U$49,MATCH(CH$5,Escalators!$C$44:$C$49,0),MATCH(CH$6,Escalators!$I$43:$U$43,0)))</f>
        <v>0</v>
      </c>
      <c r="CI32" s="47">
        <f>IF($R32="",0,$Q32*$AD32*INDEX(Act_Type_Repex_Splits,MATCH($I32,Act_Type_Repex,0),MATCH(CI$5,Mat_Type,0))*INDEX(Escalators!$I$44:$U$49,MATCH(CI$5,Escalators!$C$44:$C$49,0),MATCH(CI$6,Escalators!$I$43:$U$43,0)))</f>
        <v>0</v>
      </c>
      <c r="CJ32" s="47">
        <f>IF($R32="",0,$Q32*$AD32*INDEX(Act_Type_Repex_Splits,MATCH($I32,Act_Type_Repex,0),MATCH(CJ$5,Mat_Type,0))*INDEX(Escalators!$I$44:$U$49,MATCH(CJ$5,Escalators!$C$44:$C$49,0),MATCH(CJ$6,Escalators!$I$43:$U$43,0)))</f>
        <v>0</v>
      </c>
      <c r="CK32" s="47">
        <f>IF($R32="",0,$Q32*$AD32*INDEX(Act_Type_Repex_Splits,MATCH($I32,Act_Type_Repex,0),MATCH(CK$5,Mat_Type,0))*INDEX(Escalators!$I$44:$U$49,MATCH(CK$5,Escalators!$C$44:$C$49,0),MATCH(CK$6,Escalators!$I$43:$U$43,0)))</f>
        <v>0</v>
      </c>
      <c r="CL32" s="47">
        <f t="shared" si="24"/>
        <v>0</v>
      </c>
      <c r="CN32" s="47">
        <f>IF($R32="",0,J32*$AE32*HLOOKUP(CN$6,Escalators!$I$25:$U$30,6,FALSE))</f>
        <v>0</v>
      </c>
      <c r="CO32" s="47">
        <f>IF($R32="",0,K32*$AE32*HLOOKUP(CO$6,Escalators!$I$25:$U$30,6,FALSE))</f>
        <v>0</v>
      </c>
      <c r="CP32" s="47">
        <f>IF($R32="",0,L32*$AE32*HLOOKUP(CP$6,Escalators!$I$25:$U$30,6,FALSE))</f>
        <v>0</v>
      </c>
      <c r="CQ32" s="47">
        <f>IF($R32="",0,M32*$AE32*HLOOKUP(CQ$6,Escalators!$I$25:$U$30,6,FALSE))</f>
        <v>0</v>
      </c>
      <c r="CR32" s="47">
        <f>IF($R32="",0,N32*$AE32*HLOOKUP(CR$6,Escalators!$I$25:$U$30,6,FALSE))</f>
        <v>0</v>
      </c>
      <c r="CS32" s="47">
        <f>IF($R32="",0,O32*$AE32*HLOOKUP(CS$6,Escalators!$I$25:$U$30,6,FALSE))</f>
        <v>0</v>
      </c>
      <c r="CT32" s="47">
        <f>IF($R32="",0,P32*$AE32*HLOOKUP(CT$6,Escalators!$I$25:$U$30,6,FALSE))</f>
        <v>0</v>
      </c>
      <c r="CU32" s="47">
        <f>IF($R32="",0,Q32*$AE32*HLOOKUP(CU$6,Escalators!$I$25:$U$30,6,FALSE))</f>
        <v>0</v>
      </c>
      <c r="CW32" s="82">
        <f t="shared" si="25"/>
        <v>0</v>
      </c>
      <c r="CX32" s="82">
        <f t="shared" si="26"/>
        <v>0</v>
      </c>
      <c r="CY32" s="82">
        <f t="shared" si="27"/>
        <v>0</v>
      </c>
      <c r="CZ32" s="82">
        <f t="shared" si="28"/>
        <v>0</v>
      </c>
      <c r="DA32" s="82">
        <f t="shared" si="29"/>
        <v>0</v>
      </c>
      <c r="DB32" s="82">
        <f t="shared" si="30"/>
        <v>0</v>
      </c>
      <c r="DC32" s="82">
        <f t="shared" si="31"/>
        <v>0</v>
      </c>
      <c r="DD32" s="82">
        <f t="shared" si="32"/>
        <v>0</v>
      </c>
      <c r="DF32" s="47">
        <f t="shared" si="33"/>
        <v>0</v>
      </c>
      <c r="DG32" s="47">
        <f t="shared" si="34"/>
        <v>0</v>
      </c>
      <c r="DH32" s="47">
        <f t="shared" si="35"/>
        <v>0</v>
      </c>
      <c r="DI32" s="47">
        <f t="shared" si="36"/>
        <v>0</v>
      </c>
      <c r="DJ32" s="47">
        <f t="shared" si="37"/>
        <v>0</v>
      </c>
      <c r="DK32" s="47">
        <f t="shared" si="38"/>
        <v>0</v>
      </c>
      <c r="DL32" s="47">
        <f t="shared" si="39"/>
        <v>0</v>
      </c>
      <c r="DM32" s="47">
        <f t="shared" si="40"/>
        <v>0</v>
      </c>
      <c r="DO32" s="39"/>
    </row>
    <row r="33" spans="2:119" x14ac:dyDescent="0.25">
      <c r="B33" s="7"/>
      <c r="C33" s="7"/>
      <c r="D33" s="7"/>
      <c r="E33" s="7"/>
      <c r="F33" s="7"/>
      <c r="G33" s="7"/>
      <c r="H33" s="7"/>
      <c r="I33" s="7"/>
      <c r="J33" s="7"/>
      <c r="K33" s="7"/>
      <c r="L33" s="7"/>
      <c r="M33" s="7"/>
      <c r="N33" s="7"/>
      <c r="O33" s="7"/>
      <c r="P33" s="7"/>
      <c r="Q33" s="7"/>
      <c r="R33" s="46"/>
      <c r="T33" s="47">
        <f t="shared" si="8"/>
        <v>0</v>
      </c>
      <c r="U33" s="47">
        <f t="shared" si="9"/>
        <v>0</v>
      </c>
      <c r="V33" s="47">
        <f t="shared" si="10"/>
        <v>0</v>
      </c>
      <c r="W33" s="47">
        <f t="shared" si="11"/>
        <v>0</v>
      </c>
      <c r="X33" s="47">
        <f t="shared" si="12"/>
        <v>0</v>
      </c>
      <c r="Y33" s="47">
        <f t="shared" si="13"/>
        <v>0</v>
      </c>
      <c r="Z33" s="47">
        <f t="shared" si="14"/>
        <v>0</v>
      </c>
      <c r="AA33" s="47">
        <f t="shared" si="15"/>
        <v>0</v>
      </c>
      <c r="AC33" s="82">
        <f t="shared" si="16"/>
        <v>0</v>
      </c>
      <c r="AD33" s="82">
        <f t="shared" si="16"/>
        <v>0</v>
      </c>
      <c r="AE33" s="82">
        <f t="shared" si="16"/>
        <v>0</v>
      </c>
      <c r="AF33" s="82">
        <f t="shared" si="16"/>
        <v>0</v>
      </c>
      <c r="AH33" s="47">
        <f>IF($R33="",0,J33*$AC33*HLOOKUP(AH$6,Escalators!$I$25:$U$30,3,FALSE))</f>
        <v>0</v>
      </c>
      <c r="AI33" s="47">
        <f>IF($R33="",0,K33*$AC33*HLOOKUP(AI$6,Escalators!$I$25:$U$30,3,FALSE))</f>
        <v>0</v>
      </c>
      <c r="AJ33" s="47">
        <f>IF($R33="",0,L33*$AC33*HLOOKUP(AJ$6,Escalators!$I$25:$U$30,3,FALSE))</f>
        <v>0</v>
      </c>
      <c r="AK33" s="47">
        <f>IF($R33="",0,M33*$AC33*HLOOKUP(AK$6,Escalators!$I$25:$U$30,3,FALSE))</f>
        <v>0</v>
      </c>
      <c r="AL33" s="47">
        <f>IF($R33="",0,N33*$AC33*HLOOKUP(AL$6,Escalators!$I$25:$U$30,3,FALSE))</f>
        <v>0</v>
      </c>
      <c r="AM33" s="47">
        <f>IF($R33="",0,O33*$AC33*HLOOKUP(AM$6,Escalators!$I$25:$U$30,3,FALSE))</f>
        <v>0</v>
      </c>
      <c r="AN33" s="47">
        <f>IF($R33="",0,P33*$AC33*HLOOKUP(AN$6,Escalators!$I$25:$U$30,3,FALSE))</f>
        <v>0</v>
      </c>
      <c r="AO33" s="47">
        <f>IF($R33="",0,Q33*$AC33*HLOOKUP(AO$6,Escalators!$I$25:$U$30,3,FALSE))</f>
        <v>0</v>
      </c>
      <c r="AQ33" s="6">
        <f>IF($R33="",0,$J33*$AD33*INDEX(Act_Type_Repex_Splits,MATCH($I33,Act_Type_Repex,0),MATCH(AQ$5,Mat_Type,0))*INDEX(Escalators!$I$44:$U$49,MATCH(AQ$5,Escalators!$C$44:$C$49,0),MATCH(AQ$6,Escalators!$I$43:$U$43,0)))</f>
        <v>0</v>
      </c>
      <c r="AR33" s="6">
        <f>IF($R33="",0,$J33*$AD33*INDEX(Act_Type_Repex_Splits,MATCH($I33,Act_Type_Repex,0),MATCH(AR$5,Mat_Type,0))*INDEX(Escalators!$I$44:$U$49,MATCH(AR$5,Escalators!$C$44:$C$49,0),MATCH(AR$6,Escalators!$I$43:$U$43,0)))</f>
        <v>0</v>
      </c>
      <c r="AS33" s="6">
        <f>IF($R33="",0,$J33*$AD33*INDEX(Act_Type_Repex_Splits,MATCH($I33,Act_Type_Repex,0),MATCH(AS$5,Mat_Type,0))*INDEX(Escalators!$I$44:$U$49,MATCH(AS$5,Escalators!$C$44:$C$49,0),MATCH(AS$6,Escalators!$I$43:$U$43,0)))</f>
        <v>0</v>
      </c>
      <c r="AT33" s="6">
        <f>IF($R33="",0,$J33*$AD33*INDEX(Act_Type_Repex_Splits,MATCH($I33,Act_Type_Repex,0),MATCH(AT$5,Mat_Type,0))*INDEX(Escalators!$I$44:$U$49,MATCH(AT$5,Escalators!$C$44:$C$49,0),MATCH(AT$6,Escalators!$I$43:$U$43,0)))</f>
        <v>0</v>
      </c>
      <c r="AU33" s="6">
        <f>IF($R33="",0,$J33*$AD33*INDEX(Act_Type_Repex_Splits,MATCH($I33,Act_Type_Repex,0),MATCH(AU$5,Mat_Type,0))*INDEX(Escalators!$I$44:$U$49,MATCH(AU$5,Escalators!$C$44:$C$49,0),MATCH(AU$6,Escalators!$I$43:$U$43,0)))</f>
        <v>0</v>
      </c>
      <c r="AV33" s="47">
        <f t="shared" si="17"/>
        <v>0</v>
      </c>
      <c r="AW33" s="47">
        <f>IF($R33="",0,$K33*$AD33*INDEX(Act_Type_Repex_Splits,MATCH($I33,Act_Type_Repex,0),MATCH(AW$5,Mat_Type,0))*INDEX(Escalators!$I$44:$U$49,MATCH(AW$5,Escalators!$C$44:$C$49,0),MATCH(AW$6,Escalators!$I$43:$U$43,0)))</f>
        <v>0</v>
      </c>
      <c r="AX33" s="47">
        <f>IF($R33="",0,$K33*$AD33*INDEX(Act_Type_Repex_Splits,MATCH($I33,Act_Type_Repex,0),MATCH(AX$5,Mat_Type,0))*INDEX(Escalators!$I$44:$U$49,MATCH(AX$5,Escalators!$C$44:$C$49,0),MATCH(AX$6,Escalators!$I$43:$U$43,0)))</f>
        <v>0</v>
      </c>
      <c r="AY33" s="47">
        <f>IF($R33="",0,$K33*$AD33*INDEX(Act_Type_Repex_Splits,MATCH($I33,Act_Type_Repex,0),MATCH(AY$5,Mat_Type,0))*INDEX(Escalators!$I$44:$U$49,MATCH(AY$5,Escalators!$C$44:$C$49,0),MATCH(AY$6,Escalators!$I$43:$U$43,0)))</f>
        <v>0</v>
      </c>
      <c r="AZ33" s="47">
        <f>IF($R33="",0,$K33*$AD33*INDEX(Act_Type_Repex_Splits,MATCH($I33,Act_Type_Repex,0),MATCH(AZ$5,Mat_Type,0))*INDEX(Escalators!$I$44:$U$49,MATCH(AZ$5,Escalators!$C$44:$C$49,0),MATCH(AZ$6,Escalators!$I$43:$U$43,0)))</f>
        <v>0</v>
      </c>
      <c r="BA33" s="47">
        <f>IF($R33="",0,$K33*$AD33*INDEX(Act_Type_Repex_Splits,MATCH($I33,Act_Type_Repex,0),MATCH(BA$5,Mat_Type,0))*INDEX(Escalators!$I$44:$U$49,MATCH(BA$5,Escalators!$C$44:$C$49,0),MATCH(BA$6,Escalators!$I$43:$U$43,0)))</f>
        <v>0</v>
      </c>
      <c r="BB33" s="47">
        <f t="shared" si="18"/>
        <v>0</v>
      </c>
      <c r="BC33" s="47">
        <f>IF($R33="",0,$L33*$AD33*INDEX(Act_Type_Repex_Splits,MATCH($I33,Act_Type_Repex,0),MATCH(BC$5,Mat_Type,0))*INDEX(Escalators!$I$44:$U$49,MATCH(BC$5,Escalators!$C$44:$C$49,0),MATCH(BC$6,Escalators!$I$43:$U$43,0)))</f>
        <v>0</v>
      </c>
      <c r="BD33" s="47">
        <f>IF($R33="",0,$L33*$AD33*INDEX(Act_Type_Repex_Splits,MATCH($I33,Act_Type_Repex,0),MATCH(BD$5,Mat_Type,0))*INDEX(Escalators!$I$44:$U$49,MATCH(BD$5,Escalators!$C$44:$C$49,0),MATCH(BD$6,Escalators!$I$43:$U$43,0)))</f>
        <v>0</v>
      </c>
      <c r="BE33" s="47">
        <f>IF($R33="",0,$L33*$AD33*INDEX(Act_Type_Repex_Splits,MATCH($I33,Act_Type_Repex,0),MATCH(BE$5,Mat_Type,0))*INDEX(Escalators!$I$44:$U$49,MATCH(BE$5,Escalators!$C$44:$C$49,0),MATCH(BE$6,Escalators!$I$43:$U$43,0)))</f>
        <v>0</v>
      </c>
      <c r="BF33" s="47">
        <f>IF($R33="",0,$L33*$AD33*INDEX(Act_Type_Repex_Splits,MATCH($I33,Act_Type_Repex,0),MATCH(BF$5,Mat_Type,0))*INDEX(Escalators!$I$44:$U$49,MATCH(BF$5,Escalators!$C$44:$C$49,0),MATCH(BF$6,Escalators!$I$43:$U$43,0)))</f>
        <v>0</v>
      </c>
      <c r="BG33" s="47">
        <f>IF($R33="",0,$L33*$AD33*INDEX(Act_Type_Repex_Splits,MATCH($I33,Act_Type_Repex,0),MATCH(BG$5,Mat_Type,0))*INDEX(Escalators!$I$44:$U$49,MATCH(BG$5,Escalators!$C$44:$C$49,0),MATCH(BG$6,Escalators!$I$43:$U$43,0)))</f>
        <v>0</v>
      </c>
      <c r="BH33" s="47">
        <f t="shared" si="19"/>
        <v>0</v>
      </c>
      <c r="BI33" s="47">
        <f>IF($R33="",0,$M33*$AD33*INDEX(Act_Type_Repex_Splits,MATCH($I33,Act_Type_Repex,0),MATCH(BI$5,Mat_Type,0))*INDEX(Escalators!$I$44:$U$49,MATCH(BI$5,Escalators!$C$44:$C$49,0),MATCH(BI$6,Escalators!$I$43:$U$43,0)))</f>
        <v>0</v>
      </c>
      <c r="BJ33" s="47">
        <f>IF($R33="",0,$M33*$AD33*INDEX(Act_Type_Repex_Splits,MATCH($I33,Act_Type_Repex,0),MATCH(BJ$5,Mat_Type,0))*INDEX(Escalators!$I$44:$U$49,MATCH(BJ$5,Escalators!$C$44:$C$49,0),MATCH(BJ$6,Escalators!$I$43:$U$43,0)))</f>
        <v>0</v>
      </c>
      <c r="BK33" s="47">
        <f>IF($R33="",0,$M33*$AD33*INDEX(Act_Type_Repex_Splits,MATCH($I33,Act_Type_Repex,0),MATCH(BK$5,Mat_Type,0))*INDEX(Escalators!$I$44:$U$49,MATCH(BK$5,Escalators!$C$44:$C$49,0),MATCH(BK$6,Escalators!$I$43:$U$43,0)))</f>
        <v>0</v>
      </c>
      <c r="BL33" s="47">
        <f>IF($R33="",0,$M33*$AD33*INDEX(Act_Type_Repex_Splits,MATCH($I33,Act_Type_Repex,0),MATCH(BL$5,Mat_Type,0))*INDEX(Escalators!$I$44:$U$49,MATCH(BL$5,Escalators!$C$44:$C$49,0),MATCH(BL$6,Escalators!$I$43:$U$43,0)))</f>
        <v>0</v>
      </c>
      <c r="BM33" s="47">
        <f>IF($R33="",0,$M33*$AD33*INDEX(Act_Type_Repex_Splits,MATCH($I33,Act_Type_Repex,0),MATCH(BM$5,Mat_Type,0))*INDEX(Escalators!$I$44:$U$49,MATCH(BM$5,Escalators!$C$44:$C$49,0),MATCH(BM$6,Escalators!$I$43:$U$43,0)))</f>
        <v>0</v>
      </c>
      <c r="BN33" s="47">
        <f t="shared" si="20"/>
        <v>0</v>
      </c>
      <c r="BO33" s="47">
        <f>IF($R33="",0,$N33*$AD33*INDEX(Act_Type_Repex_Splits,MATCH($I33,Act_Type_Repex,0),MATCH(BO$5,Mat_Type,0))*INDEX(Escalators!$I$44:$U$49,MATCH(BO$5,Escalators!$C$44:$C$49,0),MATCH(BO$6,Escalators!$I$43:$U$43,0)))</f>
        <v>0</v>
      </c>
      <c r="BP33" s="47">
        <f>IF($R33="",0,$N33*$AD33*INDEX(Act_Type_Repex_Splits,MATCH($I33,Act_Type_Repex,0),MATCH(BP$5,Mat_Type,0))*INDEX(Escalators!$I$44:$U$49,MATCH(BP$5,Escalators!$C$44:$C$49,0),MATCH(BP$6,Escalators!$I$43:$U$43,0)))</f>
        <v>0</v>
      </c>
      <c r="BQ33" s="47">
        <f>IF($R33="",0,$N33*$AD33*INDEX(Act_Type_Repex_Splits,MATCH($I33,Act_Type_Repex,0),MATCH(BQ$5,Mat_Type,0))*INDEX(Escalators!$I$44:$U$49,MATCH(BQ$5,Escalators!$C$44:$C$49,0),MATCH(BQ$6,Escalators!$I$43:$U$43,0)))</f>
        <v>0</v>
      </c>
      <c r="BR33" s="47">
        <f>IF($R33="",0,$N33*$AD33*INDEX(Act_Type_Repex_Splits,MATCH($I33,Act_Type_Repex,0),MATCH(BR$5,Mat_Type,0))*INDEX(Escalators!$I$44:$U$49,MATCH(BR$5,Escalators!$C$44:$C$49,0),MATCH(BR$6,Escalators!$I$43:$U$43,0)))</f>
        <v>0</v>
      </c>
      <c r="BS33" s="47">
        <f>IF($R33="",0,$N33*$AD33*INDEX(Act_Type_Repex_Splits,MATCH($I33,Act_Type_Repex,0),MATCH(BS$5,Mat_Type,0))*INDEX(Escalators!$I$44:$U$49,MATCH(BS$5,Escalators!$C$44:$C$49,0),MATCH(BS$6,Escalators!$I$43:$U$43,0)))</f>
        <v>0</v>
      </c>
      <c r="BT33" s="47">
        <f t="shared" si="21"/>
        <v>0</v>
      </c>
      <c r="BU33" s="47">
        <f>IF($R33="",0,$O33*$AD33*INDEX(Act_Type_Repex_Splits,MATCH($I33,Act_Type_Repex,0),MATCH(BU$5,Mat_Type,0))*INDEX(Escalators!$I$44:$U$49,MATCH(BU$5,Escalators!$C$44:$C$49,0),MATCH(BU$6,Escalators!$I$43:$U$43,0)))</f>
        <v>0</v>
      </c>
      <c r="BV33" s="47">
        <f>IF($R33="",0,$O33*$AD33*INDEX(Act_Type_Repex_Splits,MATCH($I33,Act_Type_Repex,0),MATCH(BV$5,Mat_Type,0))*INDEX(Escalators!$I$44:$U$49,MATCH(BV$5,Escalators!$C$44:$C$49,0),MATCH(BV$6,Escalators!$I$43:$U$43,0)))</f>
        <v>0</v>
      </c>
      <c r="BW33" s="47">
        <f>IF($R33="",0,$O33*$AD33*INDEX(Act_Type_Repex_Splits,MATCH($I33,Act_Type_Repex,0),MATCH(BW$5,Mat_Type,0))*INDEX(Escalators!$I$44:$U$49,MATCH(BW$5,Escalators!$C$44:$C$49,0),MATCH(BW$6,Escalators!$I$43:$U$43,0)))</f>
        <v>0</v>
      </c>
      <c r="BX33" s="47">
        <f>IF($R33="",0,$O33*$AD33*INDEX(Act_Type_Repex_Splits,MATCH($I33,Act_Type_Repex,0),MATCH(BX$5,Mat_Type,0))*INDEX(Escalators!$I$44:$U$49,MATCH(BX$5,Escalators!$C$44:$C$49,0),MATCH(BX$6,Escalators!$I$43:$U$43,0)))</f>
        <v>0</v>
      </c>
      <c r="BY33" s="47">
        <f>IF($R33="",0,$O33*$AD33*INDEX(Act_Type_Repex_Splits,MATCH($I33,Act_Type_Repex,0),MATCH(BY$5,Mat_Type,0))*INDEX(Escalators!$I$44:$U$49,MATCH(BY$5,Escalators!$C$44:$C$49,0),MATCH(BY$6,Escalators!$I$43:$U$43,0)))</f>
        <v>0</v>
      </c>
      <c r="BZ33" s="47">
        <f t="shared" si="22"/>
        <v>0</v>
      </c>
      <c r="CA33" s="47">
        <f>IF($R33="",0,$P33*$AD33*INDEX(Act_Type_Repex_Splits,MATCH($I33,Act_Type_Repex,0),MATCH(CA$5,Mat_Type,0))*INDEX(Escalators!$I$44:$U$49,MATCH(CA$5,Escalators!$C$44:$C$49,0),MATCH(CA$6,Escalators!$I$43:$U$43,0)))</f>
        <v>0</v>
      </c>
      <c r="CB33" s="47">
        <f>IF($R33="",0,$P33*$AD33*INDEX(Act_Type_Repex_Splits,MATCH($I33,Act_Type_Repex,0),MATCH(CB$5,Mat_Type,0))*INDEX(Escalators!$I$44:$U$49,MATCH(CB$5,Escalators!$C$44:$C$49,0),MATCH(CB$6,Escalators!$I$43:$U$43,0)))</f>
        <v>0</v>
      </c>
      <c r="CC33" s="47">
        <f>IF($R33="",0,$P33*$AD33*INDEX(Act_Type_Repex_Splits,MATCH($I33,Act_Type_Repex,0),MATCH(CC$5,Mat_Type,0))*INDEX(Escalators!$I$44:$U$49,MATCH(CC$5,Escalators!$C$44:$C$49,0),MATCH(CC$6,Escalators!$I$43:$U$43,0)))</f>
        <v>0</v>
      </c>
      <c r="CD33" s="47">
        <f>IF($R33="",0,$P33*$AD33*INDEX(Act_Type_Repex_Splits,MATCH($I33,Act_Type_Repex,0),MATCH(CD$5,Mat_Type,0))*INDEX(Escalators!$I$44:$U$49,MATCH(CD$5,Escalators!$C$44:$C$49,0),MATCH(CD$6,Escalators!$I$43:$U$43,0)))</f>
        <v>0</v>
      </c>
      <c r="CE33" s="47">
        <f>IF($R33="",0,$P33*$AD33*INDEX(Act_Type_Repex_Splits,MATCH($I33,Act_Type_Repex,0),MATCH(CE$5,Mat_Type,0))*INDEX(Escalators!$I$44:$U$49,MATCH(CE$5,Escalators!$C$44:$C$49,0),MATCH(CE$6,Escalators!$I$43:$U$43,0)))</f>
        <v>0</v>
      </c>
      <c r="CF33" s="47">
        <f t="shared" si="23"/>
        <v>0</v>
      </c>
      <c r="CG33" s="47">
        <f>IF($R33="",0,$Q33*$AD33*INDEX(Act_Type_Repex_Splits,MATCH($I33,Act_Type_Repex,0),MATCH(CG$5,Mat_Type,0))*INDEX(Escalators!$I$44:$U$49,MATCH(CG$5,Escalators!$C$44:$C$49,0),MATCH(CG$6,Escalators!$I$43:$U$43,0)))</f>
        <v>0</v>
      </c>
      <c r="CH33" s="47">
        <f>IF($R33="",0,$Q33*$AD33*INDEX(Act_Type_Repex_Splits,MATCH($I33,Act_Type_Repex,0),MATCH(CH$5,Mat_Type,0))*INDEX(Escalators!$I$44:$U$49,MATCH(CH$5,Escalators!$C$44:$C$49,0),MATCH(CH$6,Escalators!$I$43:$U$43,0)))</f>
        <v>0</v>
      </c>
      <c r="CI33" s="47">
        <f>IF($R33="",0,$Q33*$AD33*INDEX(Act_Type_Repex_Splits,MATCH($I33,Act_Type_Repex,0),MATCH(CI$5,Mat_Type,0))*INDEX(Escalators!$I$44:$U$49,MATCH(CI$5,Escalators!$C$44:$C$49,0),MATCH(CI$6,Escalators!$I$43:$U$43,0)))</f>
        <v>0</v>
      </c>
      <c r="CJ33" s="47">
        <f>IF($R33="",0,$Q33*$AD33*INDEX(Act_Type_Repex_Splits,MATCH($I33,Act_Type_Repex,0),MATCH(CJ$5,Mat_Type,0))*INDEX(Escalators!$I$44:$U$49,MATCH(CJ$5,Escalators!$C$44:$C$49,0),MATCH(CJ$6,Escalators!$I$43:$U$43,0)))</f>
        <v>0</v>
      </c>
      <c r="CK33" s="47">
        <f>IF($R33="",0,$Q33*$AD33*INDEX(Act_Type_Repex_Splits,MATCH($I33,Act_Type_Repex,0),MATCH(CK$5,Mat_Type,0))*INDEX(Escalators!$I$44:$U$49,MATCH(CK$5,Escalators!$C$44:$C$49,0),MATCH(CK$6,Escalators!$I$43:$U$43,0)))</f>
        <v>0</v>
      </c>
      <c r="CL33" s="47">
        <f t="shared" si="24"/>
        <v>0</v>
      </c>
      <c r="CN33" s="47">
        <f>IF($R33="",0,J33*$AE33*HLOOKUP(CN$6,Escalators!$I$25:$U$30,6,FALSE))</f>
        <v>0</v>
      </c>
      <c r="CO33" s="47">
        <f>IF($R33="",0,K33*$AE33*HLOOKUP(CO$6,Escalators!$I$25:$U$30,6,FALSE))</f>
        <v>0</v>
      </c>
      <c r="CP33" s="47">
        <f>IF($R33="",0,L33*$AE33*HLOOKUP(CP$6,Escalators!$I$25:$U$30,6,FALSE))</f>
        <v>0</v>
      </c>
      <c r="CQ33" s="47">
        <f>IF($R33="",0,M33*$AE33*HLOOKUP(CQ$6,Escalators!$I$25:$U$30,6,FALSE))</f>
        <v>0</v>
      </c>
      <c r="CR33" s="47">
        <f>IF($R33="",0,N33*$AE33*HLOOKUP(CR$6,Escalators!$I$25:$U$30,6,FALSE))</f>
        <v>0</v>
      </c>
      <c r="CS33" s="47">
        <f>IF($R33="",0,O33*$AE33*HLOOKUP(CS$6,Escalators!$I$25:$U$30,6,FALSE))</f>
        <v>0</v>
      </c>
      <c r="CT33" s="47">
        <f>IF($R33="",0,P33*$AE33*HLOOKUP(CT$6,Escalators!$I$25:$U$30,6,FALSE))</f>
        <v>0</v>
      </c>
      <c r="CU33" s="47">
        <f>IF($R33="",0,Q33*$AE33*HLOOKUP(CU$6,Escalators!$I$25:$U$30,6,FALSE))</f>
        <v>0</v>
      </c>
      <c r="CW33" s="82">
        <f t="shared" si="25"/>
        <v>0</v>
      </c>
      <c r="CX33" s="82">
        <f t="shared" si="26"/>
        <v>0</v>
      </c>
      <c r="CY33" s="82">
        <f t="shared" si="27"/>
        <v>0</v>
      </c>
      <c r="CZ33" s="82">
        <f t="shared" si="28"/>
        <v>0</v>
      </c>
      <c r="DA33" s="82">
        <f t="shared" si="29"/>
        <v>0</v>
      </c>
      <c r="DB33" s="82">
        <f t="shared" si="30"/>
        <v>0</v>
      </c>
      <c r="DC33" s="82">
        <f t="shared" si="31"/>
        <v>0</v>
      </c>
      <c r="DD33" s="82">
        <f t="shared" si="32"/>
        <v>0</v>
      </c>
      <c r="DF33" s="47">
        <f t="shared" si="33"/>
        <v>0</v>
      </c>
      <c r="DG33" s="47">
        <f t="shared" si="34"/>
        <v>0</v>
      </c>
      <c r="DH33" s="47">
        <f t="shared" si="35"/>
        <v>0</v>
      </c>
      <c r="DI33" s="47">
        <f t="shared" si="36"/>
        <v>0</v>
      </c>
      <c r="DJ33" s="47">
        <f t="shared" si="37"/>
        <v>0</v>
      </c>
      <c r="DK33" s="47">
        <f t="shared" si="38"/>
        <v>0</v>
      </c>
      <c r="DL33" s="47">
        <f t="shared" si="39"/>
        <v>0</v>
      </c>
      <c r="DM33" s="47">
        <f t="shared" si="40"/>
        <v>0</v>
      </c>
      <c r="DO33" s="39"/>
    </row>
    <row r="34" spans="2:119" x14ac:dyDescent="0.25">
      <c r="B34" s="7"/>
      <c r="C34" s="7"/>
      <c r="D34" s="7"/>
      <c r="E34" s="7"/>
      <c r="F34" s="7"/>
      <c r="G34" s="7"/>
      <c r="H34" s="7"/>
      <c r="I34" s="7"/>
      <c r="J34" s="7"/>
      <c r="K34" s="7"/>
      <c r="L34" s="7"/>
      <c r="M34" s="7"/>
      <c r="N34" s="7"/>
      <c r="O34" s="7"/>
      <c r="P34" s="7"/>
      <c r="Q34" s="7"/>
      <c r="R34" s="46"/>
      <c r="T34" s="47">
        <f t="shared" si="8"/>
        <v>0</v>
      </c>
      <c r="U34" s="47">
        <f t="shared" si="9"/>
        <v>0</v>
      </c>
      <c r="V34" s="47">
        <f t="shared" si="10"/>
        <v>0</v>
      </c>
      <c r="W34" s="47">
        <f t="shared" si="11"/>
        <v>0</v>
      </c>
      <c r="X34" s="47">
        <f t="shared" si="12"/>
        <v>0</v>
      </c>
      <c r="Y34" s="47">
        <f t="shared" si="13"/>
        <v>0</v>
      </c>
      <c r="Z34" s="47">
        <f t="shared" si="14"/>
        <v>0</v>
      </c>
      <c r="AA34" s="47">
        <f t="shared" si="15"/>
        <v>0</v>
      </c>
      <c r="AC34" s="82">
        <f t="shared" si="16"/>
        <v>0</v>
      </c>
      <c r="AD34" s="82">
        <f t="shared" si="16"/>
        <v>0</v>
      </c>
      <c r="AE34" s="82">
        <f t="shared" si="16"/>
        <v>0</v>
      </c>
      <c r="AF34" s="82">
        <f t="shared" si="16"/>
        <v>0</v>
      </c>
      <c r="AH34" s="47">
        <f>IF($R34="",0,J34*$AC34*HLOOKUP(AH$6,Escalators!$I$25:$U$30,3,FALSE))</f>
        <v>0</v>
      </c>
      <c r="AI34" s="47">
        <f>IF($R34="",0,K34*$AC34*HLOOKUP(AI$6,Escalators!$I$25:$U$30,3,FALSE))</f>
        <v>0</v>
      </c>
      <c r="AJ34" s="47">
        <f>IF($R34="",0,L34*$AC34*HLOOKUP(AJ$6,Escalators!$I$25:$U$30,3,FALSE))</f>
        <v>0</v>
      </c>
      <c r="AK34" s="47">
        <f>IF($R34="",0,M34*$AC34*HLOOKUP(AK$6,Escalators!$I$25:$U$30,3,FALSE))</f>
        <v>0</v>
      </c>
      <c r="AL34" s="47">
        <f>IF($R34="",0,N34*$AC34*HLOOKUP(AL$6,Escalators!$I$25:$U$30,3,FALSE))</f>
        <v>0</v>
      </c>
      <c r="AM34" s="47">
        <f>IF($R34="",0,O34*$AC34*HLOOKUP(AM$6,Escalators!$I$25:$U$30,3,FALSE))</f>
        <v>0</v>
      </c>
      <c r="AN34" s="47">
        <f>IF($R34="",0,P34*$AC34*HLOOKUP(AN$6,Escalators!$I$25:$U$30,3,FALSE))</f>
        <v>0</v>
      </c>
      <c r="AO34" s="47">
        <f>IF($R34="",0,Q34*$AC34*HLOOKUP(AO$6,Escalators!$I$25:$U$30,3,FALSE))</f>
        <v>0</v>
      </c>
      <c r="AQ34" s="6">
        <f>IF($R34="",0,$J34*$AD34*INDEX(Act_Type_Repex_Splits,MATCH($I34,Act_Type_Repex,0),MATCH(AQ$5,Mat_Type,0))*INDEX(Escalators!$I$44:$U$49,MATCH(AQ$5,Escalators!$C$44:$C$49,0),MATCH(AQ$6,Escalators!$I$43:$U$43,0)))</f>
        <v>0</v>
      </c>
      <c r="AR34" s="6">
        <f>IF($R34="",0,$J34*$AD34*INDEX(Act_Type_Repex_Splits,MATCH($I34,Act_Type_Repex,0),MATCH(AR$5,Mat_Type,0))*INDEX(Escalators!$I$44:$U$49,MATCH(AR$5,Escalators!$C$44:$C$49,0),MATCH(AR$6,Escalators!$I$43:$U$43,0)))</f>
        <v>0</v>
      </c>
      <c r="AS34" s="6">
        <f>IF($R34="",0,$J34*$AD34*INDEX(Act_Type_Repex_Splits,MATCH($I34,Act_Type_Repex,0),MATCH(AS$5,Mat_Type,0))*INDEX(Escalators!$I$44:$U$49,MATCH(AS$5,Escalators!$C$44:$C$49,0),MATCH(AS$6,Escalators!$I$43:$U$43,0)))</f>
        <v>0</v>
      </c>
      <c r="AT34" s="6">
        <f>IF($R34="",0,$J34*$AD34*INDEX(Act_Type_Repex_Splits,MATCH($I34,Act_Type_Repex,0),MATCH(AT$5,Mat_Type,0))*INDEX(Escalators!$I$44:$U$49,MATCH(AT$5,Escalators!$C$44:$C$49,0),MATCH(AT$6,Escalators!$I$43:$U$43,0)))</f>
        <v>0</v>
      </c>
      <c r="AU34" s="6">
        <f>IF($R34="",0,$J34*$AD34*INDEX(Act_Type_Repex_Splits,MATCH($I34,Act_Type_Repex,0),MATCH(AU$5,Mat_Type,0))*INDEX(Escalators!$I$44:$U$49,MATCH(AU$5,Escalators!$C$44:$C$49,0),MATCH(AU$6,Escalators!$I$43:$U$43,0)))</f>
        <v>0</v>
      </c>
      <c r="AV34" s="47">
        <f t="shared" si="17"/>
        <v>0</v>
      </c>
      <c r="AW34" s="47">
        <f>IF($R34="",0,$K34*$AD34*INDEX(Act_Type_Repex_Splits,MATCH($I34,Act_Type_Repex,0),MATCH(AW$5,Mat_Type,0))*INDEX(Escalators!$I$44:$U$49,MATCH(AW$5,Escalators!$C$44:$C$49,0),MATCH(AW$6,Escalators!$I$43:$U$43,0)))</f>
        <v>0</v>
      </c>
      <c r="AX34" s="47">
        <f>IF($R34="",0,$K34*$AD34*INDEX(Act_Type_Repex_Splits,MATCH($I34,Act_Type_Repex,0),MATCH(AX$5,Mat_Type,0))*INDEX(Escalators!$I$44:$U$49,MATCH(AX$5,Escalators!$C$44:$C$49,0),MATCH(AX$6,Escalators!$I$43:$U$43,0)))</f>
        <v>0</v>
      </c>
      <c r="AY34" s="47">
        <f>IF($R34="",0,$K34*$AD34*INDEX(Act_Type_Repex_Splits,MATCH($I34,Act_Type_Repex,0),MATCH(AY$5,Mat_Type,0))*INDEX(Escalators!$I$44:$U$49,MATCH(AY$5,Escalators!$C$44:$C$49,0),MATCH(AY$6,Escalators!$I$43:$U$43,0)))</f>
        <v>0</v>
      </c>
      <c r="AZ34" s="47">
        <f>IF($R34="",0,$K34*$AD34*INDEX(Act_Type_Repex_Splits,MATCH($I34,Act_Type_Repex,0),MATCH(AZ$5,Mat_Type,0))*INDEX(Escalators!$I$44:$U$49,MATCH(AZ$5,Escalators!$C$44:$C$49,0),MATCH(AZ$6,Escalators!$I$43:$U$43,0)))</f>
        <v>0</v>
      </c>
      <c r="BA34" s="47">
        <f>IF($R34="",0,$K34*$AD34*INDEX(Act_Type_Repex_Splits,MATCH($I34,Act_Type_Repex,0),MATCH(BA$5,Mat_Type,0))*INDEX(Escalators!$I$44:$U$49,MATCH(BA$5,Escalators!$C$44:$C$49,0),MATCH(BA$6,Escalators!$I$43:$U$43,0)))</f>
        <v>0</v>
      </c>
      <c r="BB34" s="47">
        <f t="shared" si="18"/>
        <v>0</v>
      </c>
      <c r="BC34" s="47">
        <f>IF($R34="",0,$L34*$AD34*INDEX(Act_Type_Repex_Splits,MATCH($I34,Act_Type_Repex,0),MATCH(BC$5,Mat_Type,0))*INDEX(Escalators!$I$44:$U$49,MATCH(BC$5,Escalators!$C$44:$C$49,0),MATCH(BC$6,Escalators!$I$43:$U$43,0)))</f>
        <v>0</v>
      </c>
      <c r="BD34" s="47">
        <f>IF($R34="",0,$L34*$AD34*INDEX(Act_Type_Repex_Splits,MATCH($I34,Act_Type_Repex,0),MATCH(BD$5,Mat_Type,0))*INDEX(Escalators!$I$44:$U$49,MATCH(BD$5,Escalators!$C$44:$C$49,0),MATCH(BD$6,Escalators!$I$43:$U$43,0)))</f>
        <v>0</v>
      </c>
      <c r="BE34" s="47">
        <f>IF($R34="",0,$L34*$AD34*INDEX(Act_Type_Repex_Splits,MATCH($I34,Act_Type_Repex,0),MATCH(BE$5,Mat_Type,0))*INDEX(Escalators!$I$44:$U$49,MATCH(BE$5,Escalators!$C$44:$C$49,0),MATCH(BE$6,Escalators!$I$43:$U$43,0)))</f>
        <v>0</v>
      </c>
      <c r="BF34" s="47">
        <f>IF($R34="",0,$L34*$AD34*INDEX(Act_Type_Repex_Splits,MATCH($I34,Act_Type_Repex,0),MATCH(BF$5,Mat_Type,0))*INDEX(Escalators!$I$44:$U$49,MATCH(BF$5,Escalators!$C$44:$C$49,0),MATCH(BF$6,Escalators!$I$43:$U$43,0)))</f>
        <v>0</v>
      </c>
      <c r="BG34" s="47">
        <f>IF($R34="",0,$L34*$AD34*INDEX(Act_Type_Repex_Splits,MATCH($I34,Act_Type_Repex,0),MATCH(BG$5,Mat_Type,0))*INDEX(Escalators!$I$44:$U$49,MATCH(BG$5,Escalators!$C$44:$C$49,0),MATCH(BG$6,Escalators!$I$43:$U$43,0)))</f>
        <v>0</v>
      </c>
      <c r="BH34" s="47">
        <f t="shared" si="19"/>
        <v>0</v>
      </c>
      <c r="BI34" s="47">
        <f>IF($R34="",0,$M34*$AD34*INDEX(Act_Type_Repex_Splits,MATCH($I34,Act_Type_Repex,0),MATCH(BI$5,Mat_Type,0))*INDEX(Escalators!$I$44:$U$49,MATCH(BI$5,Escalators!$C$44:$C$49,0),MATCH(BI$6,Escalators!$I$43:$U$43,0)))</f>
        <v>0</v>
      </c>
      <c r="BJ34" s="47">
        <f>IF($R34="",0,$M34*$AD34*INDEX(Act_Type_Repex_Splits,MATCH($I34,Act_Type_Repex,0),MATCH(BJ$5,Mat_Type,0))*INDEX(Escalators!$I$44:$U$49,MATCH(BJ$5,Escalators!$C$44:$C$49,0),MATCH(BJ$6,Escalators!$I$43:$U$43,0)))</f>
        <v>0</v>
      </c>
      <c r="BK34" s="47">
        <f>IF($R34="",0,$M34*$AD34*INDEX(Act_Type_Repex_Splits,MATCH($I34,Act_Type_Repex,0),MATCH(BK$5,Mat_Type,0))*INDEX(Escalators!$I$44:$U$49,MATCH(BK$5,Escalators!$C$44:$C$49,0),MATCH(BK$6,Escalators!$I$43:$U$43,0)))</f>
        <v>0</v>
      </c>
      <c r="BL34" s="47">
        <f>IF($R34="",0,$M34*$AD34*INDEX(Act_Type_Repex_Splits,MATCH($I34,Act_Type_Repex,0),MATCH(BL$5,Mat_Type,0))*INDEX(Escalators!$I$44:$U$49,MATCH(BL$5,Escalators!$C$44:$C$49,0),MATCH(BL$6,Escalators!$I$43:$U$43,0)))</f>
        <v>0</v>
      </c>
      <c r="BM34" s="47">
        <f>IF($R34="",0,$M34*$AD34*INDEX(Act_Type_Repex_Splits,MATCH($I34,Act_Type_Repex,0),MATCH(BM$5,Mat_Type,0))*INDEX(Escalators!$I$44:$U$49,MATCH(BM$5,Escalators!$C$44:$C$49,0),MATCH(BM$6,Escalators!$I$43:$U$43,0)))</f>
        <v>0</v>
      </c>
      <c r="BN34" s="47">
        <f t="shared" si="20"/>
        <v>0</v>
      </c>
      <c r="BO34" s="47">
        <f>IF($R34="",0,$N34*$AD34*INDEX(Act_Type_Repex_Splits,MATCH($I34,Act_Type_Repex,0),MATCH(BO$5,Mat_Type,0))*INDEX(Escalators!$I$44:$U$49,MATCH(BO$5,Escalators!$C$44:$C$49,0),MATCH(BO$6,Escalators!$I$43:$U$43,0)))</f>
        <v>0</v>
      </c>
      <c r="BP34" s="47">
        <f>IF($R34="",0,$N34*$AD34*INDEX(Act_Type_Repex_Splits,MATCH($I34,Act_Type_Repex,0),MATCH(BP$5,Mat_Type,0))*INDEX(Escalators!$I$44:$U$49,MATCH(BP$5,Escalators!$C$44:$C$49,0),MATCH(BP$6,Escalators!$I$43:$U$43,0)))</f>
        <v>0</v>
      </c>
      <c r="BQ34" s="47">
        <f>IF($R34="",0,$N34*$AD34*INDEX(Act_Type_Repex_Splits,MATCH($I34,Act_Type_Repex,0),MATCH(BQ$5,Mat_Type,0))*INDEX(Escalators!$I$44:$U$49,MATCH(BQ$5,Escalators!$C$44:$C$49,0),MATCH(BQ$6,Escalators!$I$43:$U$43,0)))</f>
        <v>0</v>
      </c>
      <c r="BR34" s="47">
        <f>IF($R34="",0,$N34*$AD34*INDEX(Act_Type_Repex_Splits,MATCH($I34,Act_Type_Repex,0),MATCH(BR$5,Mat_Type,0))*INDEX(Escalators!$I$44:$U$49,MATCH(BR$5,Escalators!$C$44:$C$49,0),MATCH(BR$6,Escalators!$I$43:$U$43,0)))</f>
        <v>0</v>
      </c>
      <c r="BS34" s="47">
        <f>IF($R34="",0,$N34*$AD34*INDEX(Act_Type_Repex_Splits,MATCH($I34,Act_Type_Repex,0),MATCH(BS$5,Mat_Type,0))*INDEX(Escalators!$I$44:$U$49,MATCH(BS$5,Escalators!$C$44:$C$49,0),MATCH(BS$6,Escalators!$I$43:$U$43,0)))</f>
        <v>0</v>
      </c>
      <c r="BT34" s="47">
        <f t="shared" si="21"/>
        <v>0</v>
      </c>
      <c r="BU34" s="47">
        <f>IF($R34="",0,$O34*$AD34*INDEX(Act_Type_Repex_Splits,MATCH($I34,Act_Type_Repex,0),MATCH(BU$5,Mat_Type,0))*INDEX(Escalators!$I$44:$U$49,MATCH(BU$5,Escalators!$C$44:$C$49,0),MATCH(BU$6,Escalators!$I$43:$U$43,0)))</f>
        <v>0</v>
      </c>
      <c r="BV34" s="47">
        <f>IF($R34="",0,$O34*$AD34*INDEX(Act_Type_Repex_Splits,MATCH($I34,Act_Type_Repex,0),MATCH(BV$5,Mat_Type,0))*INDEX(Escalators!$I$44:$U$49,MATCH(BV$5,Escalators!$C$44:$C$49,0),MATCH(BV$6,Escalators!$I$43:$U$43,0)))</f>
        <v>0</v>
      </c>
      <c r="BW34" s="47">
        <f>IF($R34="",0,$O34*$AD34*INDEX(Act_Type_Repex_Splits,MATCH($I34,Act_Type_Repex,0),MATCH(BW$5,Mat_Type,0))*INDEX(Escalators!$I$44:$U$49,MATCH(BW$5,Escalators!$C$44:$C$49,0),MATCH(BW$6,Escalators!$I$43:$U$43,0)))</f>
        <v>0</v>
      </c>
      <c r="BX34" s="47">
        <f>IF($R34="",0,$O34*$AD34*INDEX(Act_Type_Repex_Splits,MATCH($I34,Act_Type_Repex,0),MATCH(BX$5,Mat_Type,0))*INDEX(Escalators!$I$44:$U$49,MATCH(BX$5,Escalators!$C$44:$C$49,0),MATCH(BX$6,Escalators!$I$43:$U$43,0)))</f>
        <v>0</v>
      </c>
      <c r="BY34" s="47">
        <f>IF($R34="",0,$O34*$AD34*INDEX(Act_Type_Repex_Splits,MATCH($I34,Act_Type_Repex,0),MATCH(BY$5,Mat_Type,0))*INDEX(Escalators!$I$44:$U$49,MATCH(BY$5,Escalators!$C$44:$C$49,0),MATCH(BY$6,Escalators!$I$43:$U$43,0)))</f>
        <v>0</v>
      </c>
      <c r="BZ34" s="47">
        <f t="shared" si="22"/>
        <v>0</v>
      </c>
      <c r="CA34" s="47">
        <f>IF($R34="",0,$P34*$AD34*INDEX(Act_Type_Repex_Splits,MATCH($I34,Act_Type_Repex,0),MATCH(CA$5,Mat_Type,0))*INDEX(Escalators!$I$44:$U$49,MATCH(CA$5,Escalators!$C$44:$C$49,0),MATCH(CA$6,Escalators!$I$43:$U$43,0)))</f>
        <v>0</v>
      </c>
      <c r="CB34" s="47">
        <f>IF($R34="",0,$P34*$AD34*INDEX(Act_Type_Repex_Splits,MATCH($I34,Act_Type_Repex,0),MATCH(CB$5,Mat_Type,0))*INDEX(Escalators!$I$44:$U$49,MATCH(CB$5,Escalators!$C$44:$C$49,0),MATCH(CB$6,Escalators!$I$43:$U$43,0)))</f>
        <v>0</v>
      </c>
      <c r="CC34" s="47">
        <f>IF($R34="",0,$P34*$AD34*INDEX(Act_Type_Repex_Splits,MATCH($I34,Act_Type_Repex,0),MATCH(CC$5,Mat_Type,0))*INDEX(Escalators!$I$44:$U$49,MATCH(CC$5,Escalators!$C$44:$C$49,0),MATCH(CC$6,Escalators!$I$43:$U$43,0)))</f>
        <v>0</v>
      </c>
      <c r="CD34" s="47">
        <f>IF($R34="",0,$P34*$AD34*INDEX(Act_Type_Repex_Splits,MATCH($I34,Act_Type_Repex,0),MATCH(CD$5,Mat_Type,0))*INDEX(Escalators!$I$44:$U$49,MATCH(CD$5,Escalators!$C$44:$C$49,0),MATCH(CD$6,Escalators!$I$43:$U$43,0)))</f>
        <v>0</v>
      </c>
      <c r="CE34" s="47">
        <f>IF($R34="",0,$P34*$AD34*INDEX(Act_Type_Repex_Splits,MATCH($I34,Act_Type_Repex,0),MATCH(CE$5,Mat_Type,0))*INDEX(Escalators!$I$44:$U$49,MATCH(CE$5,Escalators!$C$44:$C$49,0),MATCH(CE$6,Escalators!$I$43:$U$43,0)))</f>
        <v>0</v>
      </c>
      <c r="CF34" s="47">
        <f t="shared" si="23"/>
        <v>0</v>
      </c>
      <c r="CG34" s="47">
        <f>IF($R34="",0,$Q34*$AD34*INDEX(Act_Type_Repex_Splits,MATCH($I34,Act_Type_Repex,0),MATCH(CG$5,Mat_Type,0))*INDEX(Escalators!$I$44:$U$49,MATCH(CG$5,Escalators!$C$44:$C$49,0),MATCH(CG$6,Escalators!$I$43:$U$43,0)))</f>
        <v>0</v>
      </c>
      <c r="CH34" s="47">
        <f>IF($R34="",0,$Q34*$AD34*INDEX(Act_Type_Repex_Splits,MATCH($I34,Act_Type_Repex,0),MATCH(CH$5,Mat_Type,0))*INDEX(Escalators!$I$44:$U$49,MATCH(CH$5,Escalators!$C$44:$C$49,0),MATCH(CH$6,Escalators!$I$43:$U$43,0)))</f>
        <v>0</v>
      </c>
      <c r="CI34" s="47">
        <f>IF($R34="",0,$Q34*$AD34*INDEX(Act_Type_Repex_Splits,MATCH($I34,Act_Type_Repex,0),MATCH(CI$5,Mat_Type,0))*INDEX(Escalators!$I$44:$U$49,MATCH(CI$5,Escalators!$C$44:$C$49,0),MATCH(CI$6,Escalators!$I$43:$U$43,0)))</f>
        <v>0</v>
      </c>
      <c r="CJ34" s="47">
        <f>IF($R34="",0,$Q34*$AD34*INDEX(Act_Type_Repex_Splits,MATCH($I34,Act_Type_Repex,0),MATCH(CJ$5,Mat_Type,0))*INDEX(Escalators!$I$44:$U$49,MATCH(CJ$5,Escalators!$C$44:$C$49,0),MATCH(CJ$6,Escalators!$I$43:$U$43,0)))</f>
        <v>0</v>
      </c>
      <c r="CK34" s="47">
        <f>IF($R34="",0,$Q34*$AD34*INDEX(Act_Type_Repex_Splits,MATCH($I34,Act_Type_Repex,0),MATCH(CK$5,Mat_Type,0))*INDEX(Escalators!$I$44:$U$49,MATCH(CK$5,Escalators!$C$44:$C$49,0),MATCH(CK$6,Escalators!$I$43:$U$43,0)))</f>
        <v>0</v>
      </c>
      <c r="CL34" s="47">
        <f t="shared" si="24"/>
        <v>0</v>
      </c>
      <c r="CN34" s="47">
        <f>IF($R34="",0,J34*$AE34*HLOOKUP(CN$6,Escalators!$I$25:$U$30,6,FALSE))</f>
        <v>0</v>
      </c>
      <c r="CO34" s="47">
        <f>IF($R34="",0,K34*$AE34*HLOOKUP(CO$6,Escalators!$I$25:$U$30,6,FALSE))</f>
        <v>0</v>
      </c>
      <c r="CP34" s="47">
        <f>IF($R34="",0,L34*$AE34*HLOOKUP(CP$6,Escalators!$I$25:$U$30,6,FALSE))</f>
        <v>0</v>
      </c>
      <c r="CQ34" s="47">
        <f>IF($R34="",0,M34*$AE34*HLOOKUP(CQ$6,Escalators!$I$25:$U$30,6,FALSE))</f>
        <v>0</v>
      </c>
      <c r="CR34" s="47">
        <f>IF($R34="",0,N34*$AE34*HLOOKUP(CR$6,Escalators!$I$25:$U$30,6,FALSE))</f>
        <v>0</v>
      </c>
      <c r="CS34" s="47">
        <f>IF($R34="",0,O34*$AE34*HLOOKUP(CS$6,Escalators!$I$25:$U$30,6,FALSE))</f>
        <v>0</v>
      </c>
      <c r="CT34" s="47">
        <f>IF($R34="",0,P34*$AE34*HLOOKUP(CT$6,Escalators!$I$25:$U$30,6,FALSE))</f>
        <v>0</v>
      </c>
      <c r="CU34" s="47">
        <f>IF($R34="",0,Q34*$AE34*HLOOKUP(CU$6,Escalators!$I$25:$U$30,6,FALSE))</f>
        <v>0</v>
      </c>
      <c r="CW34" s="82">
        <f t="shared" si="25"/>
        <v>0</v>
      </c>
      <c r="CX34" s="82">
        <f t="shared" si="26"/>
        <v>0</v>
      </c>
      <c r="CY34" s="82">
        <f t="shared" si="27"/>
        <v>0</v>
      </c>
      <c r="CZ34" s="82">
        <f t="shared" si="28"/>
        <v>0</v>
      </c>
      <c r="DA34" s="82">
        <f t="shared" si="29"/>
        <v>0</v>
      </c>
      <c r="DB34" s="82">
        <f t="shared" si="30"/>
        <v>0</v>
      </c>
      <c r="DC34" s="82">
        <f t="shared" si="31"/>
        <v>0</v>
      </c>
      <c r="DD34" s="82">
        <f t="shared" si="32"/>
        <v>0</v>
      </c>
      <c r="DF34" s="47">
        <f t="shared" si="33"/>
        <v>0</v>
      </c>
      <c r="DG34" s="47">
        <f t="shared" si="34"/>
        <v>0</v>
      </c>
      <c r="DH34" s="47">
        <f t="shared" si="35"/>
        <v>0</v>
      </c>
      <c r="DI34" s="47">
        <f t="shared" si="36"/>
        <v>0</v>
      </c>
      <c r="DJ34" s="47">
        <f t="shared" si="37"/>
        <v>0</v>
      </c>
      <c r="DK34" s="47">
        <f t="shared" si="38"/>
        <v>0</v>
      </c>
      <c r="DL34" s="47">
        <f t="shared" si="39"/>
        <v>0</v>
      </c>
      <c r="DM34" s="47">
        <f t="shared" si="40"/>
        <v>0</v>
      </c>
      <c r="DO34" s="39"/>
    </row>
    <row r="35" spans="2:119" x14ac:dyDescent="0.25">
      <c r="B35" s="7"/>
      <c r="C35" s="7"/>
      <c r="D35" s="7"/>
      <c r="E35" s="7"/>
      <c r="F35" s="7"/>
      <c r="G35" s="7"/>
      <c r="H35" s="7"/>
      <c r="I35" s="7"/>
      <c r="J35" s="7"/>
      <c r="K35" s="7"/>
      <c r="L35" s="7"/>
      <c r="M35" s="7"/>
      <c r="N35" s="7"/>
      <c r="O35" s="7"/>
      <c r="P35" s="7"/>
      <c r="Q35" s="7"/>
      <c r="R35" s="46"/>
      <c r="T35" s="47">
        <f t="shared" si="8"/>
        <v>0</v>
      </c>
      <c r="U35" s="47">
        <f t="shared" si="9"/>
        <v>0</v>
      </c>
      <c r="V35" s="47">
        <f t="shared" si="10"/>
        <v>0</v>
      </c>
      <c r="W35" s="47">
        <f t="shared" si="11"/>
        <v>0</v>
      </c>
      <c r="X35" s="47">
        <f t="shared" si="12"/>
        <v>0</v>
      </c>
      <c r="Y35" s="47">
        <f t="shared" si="13"/>
        <v>0</v>
      </c>
      <c r="Z35" s="47">
        <f t="shared" si="14"/>
        <v>0</v>
      </c>
      <c r="AA35" s="47">
        <f t="shared" si="15"/>
        <v>0</v>
      </c>
      <c r="AC35" s="82">
        <f t="shared" si="16"/>
        <v>0</v>
      </c>
      <c r="AD35" s="82">
        <f t="shared" si="16"/>
        <v>0</v>
      </c>
      <c r="AE35" s="82">
        <f t="shared" si="16"/>
        <v>0</v>
      </c>
      <c r="AF35" s="82">
        <f t="shared" si="16"/>
        <v>0</v>
      </c>
      <c r="AH35" s="47">
        <f>IF($R35="",0,J35*$AC35*HLOOKUP(AH$6,Escalators!$I$25:$U$30,3,FALSE))</f>
        <v>0</v>
      </c>
      <c r="AI35" s="47">
        <f>IF($R35="",0,K35*$AC35*HLOOKUP(AI$6,Escalators!$I$25:$U$30,3,FALSE))</f>
        <v>0</v>
      </c>
      <c r="AJ35" s="47">
        <f>IF($R35="",0,L35*$AC35*HLOOKUP(AJ$6,Escalators!$I$25:$U$30,3,FALSE))</f>
        <v>0</v>
      </c>
      <c r="AK35" s="47">
        <f>IF($R35="",0,M35*$AC35*HLOOKUP(AK$6,Escalators!$I$25:$U$30,3,FALSE))</f>
        <v>0</v>
      </c>
      <c r="AL35" s="47">
        <f>IF($R35="",0,N35*$AC35*HLOOKUP(AL$6,Escalators!$I$25:$U$30,3,FALSE))</f>
        <v>0</v>
      </c>
      <c r="AM35" s="47">
        <f>IF($R35="",0,O35*$AC35*HLOOKUP(AM$6,Escalators!$I$25:$U$30,3,FALSE))</f>
        <v>0</v>
      </c>
      <c r="AN35" s="47">
        <f>IF($R35="",0,P35*$AC35*HLOOKUP(AN$6,Escalators!$I$25:$U$30,3,FALSE))</f>
        <v>0</v>
      </c>
      <c r="AO35" s="47">
        <f>IF($R35="",0,Q35*$AC35*HLOOKUP(AO$6,Escalators!$I$25:$U$30,3,FALSE))</f>
        <v>0</v>
      </c>
      <c r="AQ35" s="6">
        <f>IF($R35="",0,$J35*$AD35*INDEX(Act_Type_Repex_Splits,MATCH($I35,Act_Type_Repex,0),MATCH(AQ$5,Mat_Type,0))*INDEX(Escalators!$I$44:$U$49,MATCH(AQ$5,Escalators!$C$44:$C$49,0),MATCH(AQ$6,Escalators!$I$43:$U$43,0)))</f>
        <v>0</v>
      </c>
      <c r="AR35" s="6">
        <f>IF($R35="",0,$J35*$AD35*INDEX(Act_Type_Repex_Splits,MATCH($I35,Act_Type_Repex,0),MATCH(AR$5,Mat_Type,0))*INDEX(Escalators!$I$44:$U$49,MATCH(AR$5,Escalators!$C$44:$C$49,0),MATCH(AR$6,Escalators!$I$43:$U$43,0)))</f>
        <v>0</v>
      </c>
      <c r="AS35" s="6">
        <f>IF($R35="",0,$J35*$AD35*INDEX(Act_Type_Repex_Splits,MATCH($I35,Act_Type_Repex,0),MATCH(AS$5,Mat_Type,0))*INDEX(Escalators!$I$44:$U$49,MATCH(AS$5,Escalators!$C$44:$C$49,0),MATCH(AS$6,Escalators!$I$43:$U$43,0)))</f>
        <v>0</v>
      </c>
      <c r="AT35" s="6">
        <f>IF($R35="",0,$J35*$AD35*INDEX(Act_Type_Repex_Splits,MATCH($I35,Act_Type_Repex,0),MATCH(AT$5,Mat_Type,0))*INDEX(Escalators!$I$44:$U$49,MATCH(AT$5,Escalators!$C$44:$C$49,0),MATCH(AT$6,Escalators!$I$43:$U$43,0)))</f>
        <v>0</v>
      </c>
      <c r="AU35" s="6">
        <f>IF($R35="",0,$J35*$AD35*INDEX(Act_Type_Repex_Splits,MATCH($I35,Act_Type_Repex,0),MATCH(AU$5,Mat_Type,0))*INDEX(Escalators!$I$44:$U$49,MATCH(AU$5,Escalators!$C$44:$C$49,0),MATCH(AU$6,Escalators!$I$43:$U$43,0)))</f>
        <v>0</v>
      </c>
      <c r="AV35" s="47">
        <f t="shared" si="17"/>
        <v>0</v>
      </c>
      <c r="AW35" s="47">
        <f>IF($R35="",0,$K35*$AD35*INDEX(Act_Type_Repex_Splits,MATCH($I35,Act_Type_Repex,0),MATCH(AW$5,Mat_Type,0))*INDEX(Escalators!$I$44:$U$49,MATCH(AW$5,Escalators!$C$44:$C$49,0),MATCH(AW$6,Escalators!$I$43:$U$43,0)))</f>
        <v>0</v>
      </c>
      <c r="AX35" s="47">
        <f>IF($R35="",0,$K35*$AD35*INDEX(Act_Type_Repex_Splits,MATCH($I35,Act_Type_Repex,0),MATCH(AX$5,Mat_Type,0))*INDEX(Escalators!$I$44:$U$49,MATCH(AX$5,Escalators!$C$44:$C$49,0),MATCH(AX$6,Escalators!$I$43:$U$43,0)))</f>
        <v>0</v>
      </c>
      <c r="AY35" s="47">
        <f>IF($R35="",0,$K35*$AD35*INDEX(Act_Type_Repex_Splits,MATCH($I35,Act_Type_Repex,0),MATCH(AY$5,Mat_Type,0))*INDEX(Escalators!$I$44:$U$49,MATCH(AY$5,Escalators!$C$44:$C$49,0),MATCH(AY$6,Escalators!$I$43:$U$43,0)))</f>
        <v>0</v>
      </c>
      <c r="AZ35" s="47">
        <f>IF($R35="",0,$K35*$AD35*INDEX(Act_Type_Repex_Splits,MATCH($I35,Act_Type_Repex,0),MATCH(AZ$5,Mat_Type,0))*INDEX(Escalators!$I$44:$U$49,MATCH(AZ$5,Escalators!$C$44:$C$49,0),MATCH(AZ$6,Escalators!$I$43:$U$43,0)))</f>
        <v>0</v>
      </c>
      <c r="BA35" s="47">
        <f>IF($R35="",0,$K35*$AD35*INDEX(Act_Type_Repex_Splits,MATCH($I35,Act_Type_Repex,0),MATCH(BA$5,Mat_Type,0))*INDEX(Escalators!$I$44:$U$49,MATCH(BA$5,Escalators!$C$44:$C$49,0),MATCH(BA$6,Escalators!$I$43:$U$43,0)))</f>
        <v>0</v>
      </c>
      <c r="BB35" s="47">
        <f t="shared" si="18"/>
        <v>0</v>
      </c>
      <c r="BC35" s="47">
        <f>IF($R35="",0,$L35*$AD35*INDEX(Act_Type_Repex_Splits,MATCH($I35,Act_Type_Repex,0),MATCH(BC$5,Mat_Type,0))*INDEX(Escalators!$I$44:$U$49,MATCH(BC$5,Escalators!$C$44:$C$49,0),MATCH(BC$6,Escalators!$I$43:$U$43,0)))</f>
        <v>0</v>
      </c>
      <c r="BD35" s="47">
        <f>IF($R35="",0,$L35*$AD35*INDEX(Act_Type_Repex_Splits,MATCH($I35,Act_Type_Repex,0),MATCH(BD$5,Mat_Type,0))*INDEX(Escalators!$I$44:$U$49,MATCH(BD$5,Escalators!$C$44:$C$49,0),MATCH(BD$6,Escalators!$I$43:$U$43,0)))</f>
        <v>0</v>
      </c>
      <c r="BE35" s="47">
        <f>IF($R35="",0,$L35*$AD35*INDEX(Act_Type_Repex_Splits,MATCH($I35,Act_Type_Repex,0),MATCH(BE$5,Mat_Type,0))*INDEX(Escalators!$I$44:$U$49,MATCH(BE$5,Escalators!$C$44:$C$49,0),MATCH(BE$6,Escalators!$I$43:$U$43,0)))</f>
        <v>0</v>
      </c>
      <c r="BF35" s="47">
        <f>IF($R35="",0,$L35*$AD35*INDEX(Act_Type_Repex_Splits,MATCH($I35,Act_Type_Repex,0),MATCH(BF$5,Mat_Type,0))*INDEX(Escalators!$I$44:$U$49,MATCH(BF$5,Escalators!$C$44:$C$49,0),MATCH(BF$6,Escalators!$I$43:$U$43,0)))</f>
        <v>0</v>
      </c>
      <c r="BG35" s="47">
        <f>IF($R35="",0,$L35*$AD35*INDEX(Act_Type_Repex_Splits,MATCH($I35,Act_Type_Repex,0),MATCH(BG$5,Mat_Type,0))*INDEX(Escalators!$I$44:$U$49,MATCH(BG$5,Escalators!$C$44:$C$49,0),MATCH(BG$6,Escalators!$I$43:$U$43,0)))</f>
        <v>0</v>
      </c>
      <c r="BH35" s="47">
        <f t="shared" si="19"/>
        <v>0</v>
      </c>
      <c r="BI35" s="47">
        <f>IF($R35="",0,$M35*$AD35*INDEX(Act_Type_Repex_Splits,MATCH($I35,Act_Type_Repex,0),MATCH(BI$5,Mat_Type,0))*INDEX(Escalators!$I$44:$U$49,MATCH(BI$5,Escalators!$C$44:$C$49,0),MATCH(BI$6,Escalators!$I$43:$U$43,0)))</f>
        <v>0</v>
      </c>
      <c r="BJ35" s="47">
        <f>IF($R35="",0,$M35*$AD35*INDEX(Act_Type_Repex_Splits,MATCH($I35,Act_Type_Repex,0),MATCH(BJ$5,Mat_Type,0))*INDEX(Escalators!$I$44:$U$49,MATCH(BJ$5,Escalators!$C$44:$C$49,0),MATCH(BJ$6,Escalators!$I$43:$U$43,0)))</f>
        <v>0</v>
      </c>
      <c r="BK35" s="47">
        <f>IF($R35="",0,$M35*$AD35*INDEX(Act_Type_Repex_Splits,MATCH($I35,Act_Type_Repex,0),MATCH(BK$5,Mat_Type,0))*INDEX(Escalators!$I$44:$U$49,MATCH(BK$5,Escalators!$C$44:$C$49,0),MATCH(BK$6,Escalators!$I$43:$U$43,0)))</f>
        <v>0</v>
      </c>
      <c r="BL35" s="47">
        <f>IF($R35="",0,$M35*$AD35*INDEX(Act_Type_Repex_Splits,MATCH($I35,Act_Type_Repex,0),MATCH(BL$5,Mat_Type,0))*INDEX(Escalators!$I$44:$U$49,MATCH(BL$5,Escalators!$C$44:$C$49,0),MATCH(BL$6,Escalators!$I$43:$U$43,0)))</f>
        <v>0</v>
      </c>
      <c r="BM35" s="47">
        <f>IF($R35="",0,$M35*$AD35*INDEX(Act_Type_Repex_Splits,MATCH($I35,Act_Type_Repex,0),MATCH(BM$5,Mat_Type,0))*INDEX(Escalators!$I$44:$U$49,MATCH(BM$5,Escalators!$C$44:$C$49,0),MATCH(BM$6,Escalators!$I$43:$U$43,0)))</f>
        <v>0</v>
      </c>
      <c r="BN35" s="47">
        <f t="shared" si="20"/>
        <v>0</v>
      </c>
      <c r="BO35" s="47">
        <f>IF($R35="",0,$N35*$AD35*INDEX(Act_Type_Repex_Splits,MATCH($I35,Act_Type_Repex,0),MATCH(BO$5,Mat_Type,0))*INDEX(Escalators!$I$44:$U$49,MATCH(BO$5,Escalators!$C$44:$C$49,0),MATCH(BO$6,Escalators!$I$43:$U$43,0)))</f>
        <v>0</v>
      </c>
      <c r="BP35" s="47">
        <f>IF($R35="",0,$N35*$AD35*INDEX(Act_Type_Repex_Splits,MATCH($I35,Act_Type_Repex,0),MATCH(BP$5,Mat_Type,0))*INDEX(Escalators!$I$44:$U$49,MATCH(BP$5,Escalators!$C$44:$C$49,0),MATCH(BP$6,Escalators!$I$43:$U$43,0)))</f>
        <v>0</v>
      </c>
      <c r="BQ35" s="47">
        <f>IF($R35="",0,$N35*$AD35*INDEX(Act_Type_Repex_Splits,MATCH($I35,Act_Type_Repex,0),MATCH(BQ$5,Mat_Type,0))*INDEX(Escalators!$I$44:$U$49,MATCH(BQ$5,Escalators!$C$44:$C$49,0),MATCH(BQ$6,Escalators!$I$43:$U$43,0)))</f>
        <v>0</v>
      </c>
      <c r="BR35" s="47">
        <f>IF($R35="",0,$N35*$AD35*INDEX(Act_Type_Repex_Splits,MATCH($I35,Act_Type_Repex,0),MATCH(BR$5,Mat_Type,0))*INDEX(Escalators!$I$44:$U$49,MATCH(BR$5,Escalators!$C$44:$C$49,0),MATCH(BR$6,Escalators!$I$43:$U$43,0)))</f>
        <v>0</v>
      </c>
      <c r="BS35" s="47">
        <f>IF($R35="",0,$N35*$AD35*INDEX(Act_Type_Repex_Splits,MATCH($I35,Act_Type_Repex,0),MATCH(BS$5,Mat_Type,0))*INDEX(Escalators!$I$44:$U$49,MATCH(BS$5,Escalators!$C$44:$C$49,0),MATCH(BS$6,Escalators!$I$43:$U$43,0)))</f>
        <v>0</v>
      </c>
      <c r="BT35" s="47">
        <f t="shared" si="21"/>
        <v>0</v>
      </c>
      <c r="BU35" s="47">
        <f>IF($R35="",0,$O35*$AD35*INDEX(Act_Type_Repex_Splits,MATCH($I35,Act_Type_Repex,0),MATCH(BU$5,Mat_Type,0))*INDEX(Escalators!$I$44:$U$49,MATCH(BU$5,Escalators!$C$44:$C$49,0),MATCH(BU$6,Escalators!$I$43:$U$43,0)))</f>
        <v>0</v>
      </c>
      <c r="BV35" s="47">
        <f>IF($R35="",0,$O35*$AD35*INDEX(Act_Type_Repex_Splits,MATCH($I35,Act_Type_Repex,0),MATCH(BV$5,Mat_Type,0))*INDEX(Escalators!$I$44:$U$49,MATCH(BV$5,Escalators!$C$44:$C$49,0),MATCH(BV$6,Escalators!$I$43:$U$43,0)))</f>
        <v>0</v>
      </c>
      <c r="BW35" s="47">
        <f>IF($R35="",0,$O35*$AD35*INDEX(Act_Type_Repex_Splits,MATCH($I35,Act_Type_Repex,0),MATCH(BW$5,Mat_Type,0))*INDEX(Escalators!$I$44:$U$49,MATCH(BW$5,Escalators!$C$44:$C$49,0),MATCH(BW$6,Escalators!$I$43:$U$43,0)))</f>
        <v>0</v>
      </c>
      <c r="BX35" s="47">
        <f>IF($R35="",0,$O35*$AD35*INDEX(Act_Type_Repex_Splits,MATCH($I35,Act_Type_Repex,0),MATCH(BX$5,Mat_Type,0))*INDEX(Escalators!$I$44:$U$49,MATCH(BX$5,Escalators!$C$44:$C$49,0),MATCH(BX$6,Escalators!$I$43:$U$43,0)))</f>
        <v>0</v>
      </c>
      <c r="BY35" s="47">
        <f>IF($R35="",0,$O35*$AD35*INDEX(Act_Type_Repex_Splits,MATCH($I35,Act_Type_Repex,0),MATCH(BY$5,Mat_Type,0))*INDEX(Escalators!$I$44:$U$49,MATCH(BY$5,Escalators!$C$44:$C$49,0),MATCH(BY$6,Escalators!$I$43:$U$43,0)))</f>
        <v>0</v>
      </c>
      <c r="BZ35" s="47">
        <f t="shared" si="22"/>
        <v>0</v>
      </c>
      <c r="CA35" s="47">
        <f>IF($R35="",0,$P35*$AD35*INDEX(Act_Type_Repex_Splits,MATCH($I35,Act_Type_Repex,0),MATCH(CA$5,Mat_Type,0))*INDEX(Escalators!$I$44:$U$49,MATCH(CA$5,Escalators!$C$44:$C$49,0),MATCH(CA$6,Escalators!$I$43:$U$43,0)))</f>
        <v>0</v>
      </c>
      <c r="CB35" s="47">
        <f>IF($R35="",0,$P35*$AD35*INDEX(Act_Type_Repex_Splits,MATCH($I35,Act_Type_Repex,0),MATCH(CB$5,Mat_Type,0))*INDEX(Escalators!$I$44:$U$49,MATCH(CB$5,Escalators!$C$44:$C$49,0),MATCH(CB$6,Escalators!$I$43:$U$43,0)))</f>
        <v>0</v>
      </c>
      <c r="CC35" s="47">
        <f>IF($R35="",0,$P35*$AD35*INDEX(Act_Type_Repex_Splits,MATCH($I35,Act_Type_Repex,0),MATCH(CC$5,Mat_Type,0))*INDEX(Escalators!$I$44:$U$49,MATCH(CC$5,Escalators!$C$44:$C$49,0),MATCH(CC$6,Escalators!$I$43:$U$43,0)))</f>
        <v>0</v>
      </c>
      <c r="CD35" s="47">
        <f>IF($R35="",0,$P35*$AD35*INDEX(Act_Type_Repex_Splits,MATCH($I35,Act_Type_Repex,0),MATCH(CD$5,Mat_Type,0))*INDEX(Escalators!$I$44:$U$49,MATCH(CD$5,Escalators!$C$44:$C$49,0),MATCH(CD$6,Escalators!$I$43:$U$43,0)))</f>
        <v>0</v>
      </c>
      <c r="CE35" s="47">
        <f>IF($R35="",0,$P35*$AD35*INDEX(Act_Type_Repex_Splits,MATCH($I35,Act_Type_Repex,0),MATCH(CE$5,Mat_Type,0))*INDEX(Escalators!$I$44:$U$49,MATCH(CE$5,Escalators!$C$44:$C$49,0),MATCH(CE$6,Escalators!$I$43:$U$43,0)))</f>
        <v>0</v>
      </c>
      <c r="CF35" s="47">
        <f t="shared" si="23"/>
        <v>0</v>
      </c>
      <c r="CG35" s="47">
        <f>IF($R35="",0,$Q35*$AD35*INDEX(Act_Type_Repex_Splits,MATCH($I35,Act_Type_Repex,0),MATCH(CG$5,Mat_Type,0))*INDEX(Escalators!$I$44:$U$49,MATCH(CG$5,Escalators!$C$44:$C$49,0),MATCH(CG$6,Escalators!$I$43:$U$43,0)))</f>
        <v>0</v>
      </c>
      <c r="CH35" s="47">
        <f>IF($R35="",0,$Q35*$AD35*INDEX(Act_Type_Repex_Splits,MATCH($I35,Act_Type_Repex,0),MATCH(CH$5,Mat_Type,0))*INDEX(Escalators!$I$44:$U$49,MATCH(CH$5,Escalators!$C$44:$C$49,0),MATCH(CH$6,Escalators!$I$43:$U$43,0)))</f>
        <v>0</v>
      </c>
      <c r="CI35" s="47">
        <f>IF($R35="",0,$Q35*$AD35*INDEX(Act_Type_Repex_Splits,MATCH($I35,Act_Type_Repex,0),MATCH(CI$5,Mat_Type,0))*INDEX(Escalators!$I$44:$U$49,MATCH(CI$5,Escalators!$C$44:$C$49,0),MATCH(CI$6,Escalators!$I$43:$U$43,0)))</f>
        <v>0</v>
      </c>
      <c r="CJ35" s="47">
        <f>IF($R35="",0,$Q35*$AD35*INDEX(Act_Type_Repex_Splits,MATCH($I35,Act_Type_Repex,0),MATCH(CJ$5,Mat_Type,0))*INDEX(Escalators!$I$44:$U$49,MATCH(CJ$5,Escalators!$C$44:$C$49,0),MATCH(CJ$6,Escalators!$I$43:$U$43,0)))</f>
        <v>0</v>
      </c>
      <c r="CK35" s="47">
        <f>IF($R35="",0,$Q35*$AD35*INDEX(Act_Type_Repex_Splits,MATCH($I35,Act_Type_Repex,0),MATCH(CK$5,Mat_Type,0))*INDEX(Escalators!$I$44:$U$49,MATCH(CK$5,Escalators!$C$44:$C$49,0),MATCH(CK$6,Escalators!$I$43:$U$43,0)))</f>
        <v>0</v>
      </c>
      <c r="CL35" s="47">
        <f t="shared" si="24"/>
        <v>0</v>
      </c>
      <c r="CN35" s="47">
        <f>IF($R35="",0,J35*$AE35*HLOOKUP(CN$6,Escalators!$I$25:$U$30,6,FALSE))</f>
        <v>0</v>
      </c>
      <c r="CO35" s="47">
        <f>IF($R35="",0,K35*$AE35*HLOOKUP(CO$6,Escalators!$I$25:$U$30,6,FALSE))</f>
        <v>0</v>
      </c>
      <c r="CP35" s="47">
        <f>IF($R35="",0,L35*$AE35*HLOOKUP(CP$6,Escalators!$I$25:$U$30,6,FALSE))</f>
        <v>0</v>
      </c>
      <c r="CQ35" s="47">
        <f>IF($R35="",0,M35*$AE35*HLOOKUP(CQ$6,Escalators!$I$25:$U$30,6,FALSE))</f>
        <v>0</v>
      </c>
      <c r="CR35" s="47">
        <f>IF($R35="",0,N35*$AE35*HLOOKUP(CR$6,Escalators!$I$25:$U$30,6,FALSE))</f>
        <v>0</v>
      </c>
      <c r="CS35" s="47">
        <f>IF($R35="",0,O35*$AE35*HLOOKUP(CS$6,Escalators!$I$25:$U$30,6,FALSE))</f>
        <v>0</v>
      </c>
      <c r="CT35" s="47">
        <f>IF($R35="",0,P35*$AE35*HLOOKUP(CT$6,Escalators!$I$25:$U$30,6,FALSE))</f>
        <v>0</v>
      </c>
      <c r="CU35" s="47">
        <f>IF($R35="",0,Q35*$AE35*HLOOKUP(CU$6,Escalators!$I$25:$U$30,6,FALSE))</f>
        <v>0</v>
      </c>
      <c r="CW35" s="82">
        <f t="shared" si="25"/>
        <v>0</v>
      </c>
      <c r="CX35" s="82">
        <f t="shared" si="26"/>
        <v>0</v>
      </c>
      <c r="CY35" s="82">
        <f t="shared" si="27"/>
        <v>0</v>
      </c>
      <c r="CZ35" s="82">
        <f t="shared" si="28"/>
        <v>0</v>
      </c>
      <c r="DA35" s="82">
        <f t="shared" si="29"/>
        <v>0</v>
      </c>
      <c r="DB35" s="82">
        <f t="shared" si="30"/>
        <v>0</v>
      </c>
      <c r="DC35" s="82">
        <f t="shared" si="31"/>
        <v>0</v>
      </c>
      <c r="DD35" s="82">
        <f t="shared" si="32"/>
        <v>0</v>
      </c>
      <c r="DF35" s="47">
        <f t="shared" si="33"/>
        <v>0</v>
      </c>
      <c r="DG35" s="47">
        <f t="shared" si="34"/>
        <v>0</v>
      </c>
      <c r="DH35" s="47">
        <f t="shared" si="35"/>
        <v>0</v>
      </c>
      <c r="DI35" s="47">
        <f t="shared" si="36"/>
        <v>0</v>
      </c>
      <c r="DJ35" s="47">
        <f t="shared" si="37"/>
        <v>0</v>
      </c>
      <c r="DK35" s="47">
        <f t="shared" si="38"/>
        <v>0</v>
      </c>
      <c r="DL35" s="47">
        <f t="shared" si="39"/>
        <v>0</v>
      </c>
      <c r="DM35" s="47">
        <f t="shared" si="40"/>
        <v>0</v>
      </c>
      <c r="DO35" s="39"/>
    </row>
    <row r="36" spans="2:119" x14ac:dyDescent="0.25">
      <c r="B36" s="7"/>
      <c r="C36" s="7"/>
      <c r="D36" s="7"/>
      <c r="E36" s="7"/>
      <c r="F36" s="7"/>
      <c r="G36" s="7"/>
      <c r="H36" s="7"/>
      <c r="I36" s="7"/>
      <c r="J36" s="7"/>
      <c r="K36" s="7"/>
      <c r="L36" s="7"/>
      <c r="M36" s="7"/>
      <c r="N36" s="7"/>
      <c r="O36" s="7"/>
      <c r="P36" s="7"/>
      <c r="Q36" s="7"/>
      <c r="R36" s="46"/>
      <c r="T36" s="47">
        <f t="shared" si="8"/>
        <v>0</v>
      </c>
      <c r="U36" s="47">
        <f t="shared" si="9"/>
        <v>0</v>
      </c>
      <c r="V36" s="47">
        <f t="shared" si="10"/>
        <v>0</v>
      </c>
      <c r="W36" s="47">
        <f t="shared" si="11"/>
        <v>0</v>
      </c>
      <c r="X36" s="47">
        <f t="shared" si="12"/>
        <v>0</v>
      </c>
      <c r="Y36" s="47">
        <f t="shared" si="13"/>
        <v>0</v>
      </c>
      <c r="Z36" s="47">
        <f t="shared" si="14"/>
        <v>0</v>
      </c>
      <c r="AA36" s="47">
        <f t="shared" si="15"/>
        <v>0</v>
      </c>
      <c r="AC36" s="82">
        <f t="shared" si="16"/>
        <v>0</v>
      </c>
      <c r="AD36" s="82">
        <f t="shared" si="16"/>
        <v>0</v>
      </c>
      <c r="AE36" s="82">
        <f t="shared" si="16"/>
        <v>0</v>
      </c>
      <c r="AF36" s="82">
        <f t="shared" si="16"/>
        <v>0</v>
      </c>
      <c r="AH36" s="47">
        <f>IF($R36="",0,J36*$AC36*HLOOKUP(AH$6,Escalators!$I$25:$U$30,3,FALSE))</f>
        <v>0</v>
      </c>
      <c r="AI36" s="47">
        <f>IF($R36="",0,K36*$AC36*HLOOKUP(AI$6,Escalators!$I$25:$U$30,3,FALSE))</f>
        <v>0</v>
      </c>
      <c r="AJ36" s="47">
        <f>IF($R36="",0,L36*$AC36*HLOOKUP(AJ$6,Escalators!$I$25:$U$30,3,FALSE))</f>
        <v>0</v>
      </c>
      <c r="AK36" s="47">
        <f>IF($R36="",0,M36*$AC36*HLOOKUP(AK$6,Escalators!$I$25:$U$30,3,FALSE))</f>
        <v>0</v>
      </c>
      <c r="AL36" s="47">
        <f>IF($R36="",0,N36*$AC36*HLOOKUP(AL$6,Escalators!$I$25:$U$30,3,FALSE))</f>
        <v>0</v>
      </c>
      <c r="AM36" s="47">
        <f>IF($R36="",0,O36*$AC36*HLOOKUP(AM$6,Escalators!$I$25:$U$30,3,FALSE))</f>
        <v>0</v>
      </c>
      <c r="AN36" s="47">
        <f>IF($R36="",0,P36*$AC36*HLOOKUP(AN$6,Escalators!$I$25:$U$30,3,FALSE))</f>
        <v>0</v>
      </c>
      <c r="AO36" s="47">
        <f>IF($R36="",0,Q36*$AC36*HLOOKUP(AO$6,Escalators!$I$25:$U$30,3,FALSE))</f>
        <v>0</v>
      </c>
      <c r="AQ36" s="6">
        <f>IF($R36="",0,$J36*$AD36*INDEX(Act_Type_Repex_Splits,MATCH($I36,Act_Type_Repex,0),MATCH(AQ$5,Mat_Type,0))*INDEX(Escalators!$I$44:$U$49,MATCH(AQ$5,Escalators!$C$44:$C$49,0),MATCH(AQ$6,Escalators!$I$43:$U$43,0)))</f>
        <v>0</v>
      </c>
      <c r="AR36" s="6">
        <f>IF($R36="",0,$J36*$AD36*INDEX(Act_Type_Repex_Splits,MATCH($I36,Act_Type_Repex,0),MATCH(AR$5,Mat_Type,0))*INDEX(Escalators!$I$44:$U$49,MATCH(AR$5,Escalators!$C$44:$C$49,0),MATCH(AR$6,Escalators!$I$43:$U$43,0)))</f>
        <v>0</v>
      </c>
      <c r="AS36" s="6">
        <f>IF($R36="",0,$J36*$AD36*INDEX(Act_Type_Repex_Splits,MATCH($I36,Act_Type_Repex,0),MATCH(AS$5,Mat_Type,0))*INDEX(Escalators!$I$44:$U$49,MATCH(AS$5,Escalators!$C$44:$C$49,0),MATCH(AS$6,Escalators!$I$43:$U$43,0)))</f>
        <v>0</v>
      </c>
      <c r="AT36" s="6">
        <f>IF($R36="",0,$J36*$AD36*INDEX(Act_Type_Repex_Splits,MATCH($I36,Act_Type_Repex,0),MATCH(AT$5,Mat_Type,0))*INDEX(Escalators!$I$44:$U$49,MATCH(AT$5,Escalators!$C$44:$C$49,0),MATCH(AT$6,Escalators!$I$43:$U$43,0)))</f>
        <v>0</v>
      </c>
      <c r="AU36" s="6">
        <f>IF($R36="",0,$J36*$AD36*INDEX(Act_Type_Repex_Splits,MATCH($I36,Act_Type_Repex,0),MATCH(AU$5,Mat_Type,0))*INDEX(Escalators!$I$44:$U$49,MATCH(AU$5,Escalators!$C$44:$C$49,0),MATCH(AU$6,Escalators!$I$43:$U$43,0)))</f>
        <v>0</v>
      </c>
      <c r="AV36" s="47">
        <f t="shared" si="17"/>
        <v>0</v>
      </c>
      <c r="AW36" s="47">
        <f>IF($R36="",0,$K36*$AD36*INDEX(Act_Type_Repex_Splits,MATCH($I36,Act_Type_Repex,0),MATCH(AW$5,Mat_Type,0))*INDEX(Escalators!$I$44:$U$49,MATCH(AW$5,Escalators!$C$44:$C$49,0),MATCH(AW$6,Escalators!$I$43:$U$43,0)))</f>
        <v>0</v>
      </c>
      <c r="AX36" s="47">
        <f>IF($R36="",0,$K36*$AD36*INDEX(Act_Type_Repex_Splits,MATCH($I36,Act_Type_Repex,0),MATCH(AX$5,Mat_Type,0))*INDEX(Escalators!$I$44:$U$49,MATCH(AX$5,Escalators!$C$44:$C$49,0),MATCH(AX$6,Escalators!$I$43:$U$43,0)))</f>
        <v>0</v>
      </c>
      <c r="AY36" s="47">
        <f>IF($R36="",0,$K36*$AD36*INDEX(Act_Type_Repex_Splits,MATCH($I36,Act_Type_Repex,0),MATCH(AY$5,Mat_Type,0))*INDEX(Escalators!$I$44:$U$49,MATCH(AY$5,Escalators!$C$44:$C$49,0),MATCH(AY$6,Escalators!$I$43:$U$43,0)))</f>
        <v>0</v>
      </c>
      <c r="AZ36" s="47">
        <f>IF($R36="",0,$K36*$AD36*INDEX(Act_Type_Repex_Splits,MATCH($I36,Act_Type_Repex,0),MATCH(AZ$5,Mat_Type,0))*INDEX(Escalators!$I$44:$U$49,MATCH(AZ$5,Escalators!$C$44:$C$49,0),MATCH(AZ$6,Escalators!$I$43:$U$43,0)))</f>
        <v>0</v>
      </c>
      <c r="BA36" s="47">
        <f>IF($R36="",0,$K36*$AD36*INDEX(Act_Type_Repex_Splits,MATCH($I36,Act_Type_Repex,0),MATCH(BA$5,Mat_Type,0))*INDEX(Escalators!$I$44:$U$49,MATCH(BA$5,Escalators!$C$44:$C$49,0),MATCH(BA$6,Escalators!$I$43:$U$43,0)))</f>
        <v>0</v>
      </c>
      <c r="BB36" s="47">
        <f t="shared" si="18"/>
        <v>0</v>
      </c>
      <c r="BC36" s="47">
        <f>IF($R36="",0,$L36*$AD36*INDEX(Act_Type_Repex_Splits,MATCH($I36,Act_Type_Repex,0),MATCH(BC$5,Mat_Type,0))*INDEX(Escalators!$I$44:$U$49,MATCH(BC$5,Escalators!$C$44:$C$49,0),MATCH(BC$6,Escalators!$I$43:$U$43,0)))</f>
        <v>0</v>
      </c>
      <c r="BD36" s="47">
        <f>IF($R36="",0,$L36*$AD36*INDEX(Act_Type_Repex_Splits,MATCH($I36,Act_Type_Repex,0),MATCH(BD$5,Mat_Type,0))*INDEX(Escalators!$I$44:$U$49,MATCH(BD$5,Escalators!$C$44:$C$49,0),MATCH(BD$6,Escalators!$I$43:$U$43,0)))</f>
        <v>0</v>
      </c>
      <c r="BE36" s="47">
        <f>IF($R36="",0,$L36*$AD36*INDEX(Act_Type_Repex_Splits,MATCH($I36,Act_Type_Repex,0),MATCH(BE$5,Mat_Type,0))*INDEX(Escalators!$I$44:$U$49,MATCH(BE$5,Escalators!$C$44:$C$49,0),MATCH(BE$6,Escalators!$I$43:$U$43,0)))</f>
        <v>0</v>
      </c>
      <c r="BF36" s="47">
        <f>IF($R36="",0,$L36*$AD36*INDEX(Act_Type_Repex_Splits,MATCH($I36,Act_Type_Repex,0),MATCH(BF$5,Mat_Type,0))*INDEX(Escalators!$I$44:$U$49,MATCH(BF$5,Escalators!$C$44:$C$49,0),MATCH(BF$6,Escalators!$I$43:$U$43,0)))</f>
        <v>0</v>
      </c>
      <c r="BG36" s="47">
        <f>IF($R36="",0,$L36*$AD36*INDEX(Act_Type_Repex_Splits,MATCH($I36,Act_Type_Repex,0),MATCH(BG$5,Mat_Type,0))*INDEX(Escalators!$I$44:$U$49,MATCH(BG$5,Escalators!$C$44:$C$49,0),MATCH(BG$6,Escalators!$I$43:$U$43,0)))</f>
        <v>0</v>
      </c>
      <c r="BH36" s="47">
        <f t="shared" si="19"/>
        <v>0</v>
      </c>
      <c r="BI36" s="47">
        <f>IF($R36="",0,$M36*$AD36*INDEX(Act_Type_Repex_Splits,MATCH($I36,Act_Type_Repex,0),MATCH(BI$5,Mat_Type,0))*INDEX(Escalators!$I$44:$U$49,MATCH(BI$5,Escalators!$C$44:$C$49,0),MATCH(BI$6,Escalators!$I$43:$U$43,0)))</f>
        <v>0</v>
      </c>
      <c r="BJ36" s="47">
        <f>IF($R36="",0,$M36*$AD36*INDEX(Act_Type_Repex_Splits,MATCH($I36,Act_Type_Repex,0),MATCH(BJ$5,Mat_Type,0))*INDEX(Escalators!$I$44:$U$49,MATCH(BJ$5,Escalators!$C$44:$C$49,0),MATCH(BJ$6,Escalators!$I$43:$U$43,0)))</f>
        <v>0</v>
      </c>
      <c r="BK36" s="47">
        <f>IF($R36="",0,$M36*$AD36*INDEX(Act_Type_Repex_Splits,MATCH($I36,Act_Type_Repex,0),MATCH(BK$5,Mat_Type,0))*INDEX(Escalators!$I$44:$U$49,MATCH(BK$5,Escalators!$C$44:$C$49,0),MATCH(BK$6,Escalators!$I$43:$U$43,0)))</f>
        <v>0</v>
      </c>
      <c r="BL36" s="47">
        <f>IF($R36="",0,$M36*$AD36*INDEX(Act_Type_Repex_Splits,MATCH($I36,Act_Type_Repex,0),MATCH(BL$5,Mat_Type,0))*INDEX(Escalators!$I$44:$U$49,MATCH(BL$5,Escalators!$C$44:$C$49,0),MATCH(BL$6,Escalators!$I$43:$U$43,0)))</f>
        <v>0</v>
      </c>
      <c r="BM36" s="47">
        <f>IF($R36="",0,$M36*$AD36*INDEX(Act_Type_Repex_Splits,MATCH($I36,Act_Type_Repex,0),MATCH(BM$5,Mat_Type,0))*INDEX(Escalators!$I$44:$U$49,MATCH(BM$5,Escalators!$C$44:$C$49,0),MATCH(BM$6,Escalators!$I$43:$U$43,0)))</f>
        <v>0</v>
      </c>
      <c r="BN36" s="47">
        <f t="shared" si="20"/>
        <v>0</v>
      </c>
      <c r="BO36" s="47">
        <f>IF($R36="",0,$N36*$AD36*INDEX(Act_Type_Repex_Splits,MATCH($I36,Act_Type_Repex,0),MATCH(BO$5,Mat_Type,0))*INDEX(Escalators!$I$44:$U$49,MATCH(BO$5,Escalators!$C$44:$C$49,0),MATCH(BO$6,Escalators!$I$43:$U$43,0)))</f>
        <v>0</v>
      </c>
      <c r="BP36" s="47">
        <f>IF($R36="",0,$N36*$AD36*INDEX(Act_Type_Repex_Splits,MATCH($I36,Act_Type_Repex,0),MATCH(BP$5,Mat_Type,0))*INDEX(Escalators!$I$44:$U$49,MATCH(BP$5,Escalators!$C$44:$C$49,0),MATCH(BP$6,Escalators!$I$43:$U$43,0)))</f>
        <v>0</v>
      </c>
      <c r="BQ36" s="47">
        <f>IF($R36="",0,$N36*$AD36*INDEX(Act_Type_Repex_Splits,MATCH($I36,Act_Type_Repex,0),MATCH(BQ$5,Mat_Type,0))*INDEX(Escalators!$I$44:$U$49,MATCH(BQ$5,Escalators!$C$44:$C$49,0),MATCH(BQ$6,Escalators!$I$43:$U$43,0)))</f>
        <v>0</v>
      </c>
      <c r="BR36" s="47">
        <f>IF($R36="",0,$N36*$AD36*INDEX(Act_Type_Repex_Splits,MATCH($I36,Act_Type_Repex,0),MATCH(BR$5,Mat_Type,0))*INDEX(Escalators!$I$44:$U$49,MATCH(BR$5,Escalators!$C$44:$C$49,0),MATCH(BR$6,Escalators!$I$43:$U$43,0)))</f>
        <v>0</v>
      </c>
      <c r="BS36" s="47">
        <f>IF($R36="",0,$N36*$AD36*INDEX(Act_Type_Repex_Splits,MATCH($I36,Act_Type_Repex,0),MATCH(BS$5,Mat_Type,0))*INDEX(Escalators!$I$44:$U$49,MATCH(BS$5,Escalators!$C$44:$C$49,0),MATCH(BS$6,Escalators!$I$43:$U$43,0)))</f>
        <v>0</v>
      </c>
      <c r="BT36" s="47">
        <f t="shared" si="21"/>
        <v>0</v>
      </c>
      <c r="BU36" s="47">
        <f>IF($R36="",0,$O36*$AD36*INDEX(Act_Type_Repex_Splits,MATCH($I36,Act_Type_Repex,0),MATCH(BU$5,Mat_Type,0))*INDEX(Escalators!$I$44:$U$49,MATCH(BU$5,Escalators!$C$44:$C$49,0),MATCH(BU$6,Escalators!$I$43:$U$43,0)))</f>
        <v>0</v>
      </c>
      <c r="BV36" s="47">
        <f>IF($R36="",0,$O36*$AD36*INDEX(Act_Type_Repex_Splits,MATCH($I36,Act_Type_Repex,0),MATCH(BV$5,Mat_Type,0))*INDEX(Escalators!$I$44:$U$49,MATCH(BV$5,Escalators!$C$44:$C$49,0),MATCH(BV$6,Escalators!$I$43:$U$43,0)))</f>
        <v>0</v>
      </c>
      <c r="BW36" s="47">
        <f>IF($R36="",0,$O36*$AD36*INDEX(Act_Type_Repex_Splits,MATCH($I36,Act_Type_Repex,0),MATCH(BW$5,Mat_Type,0))*INDEX(Escalators!$I$44:$U$49,MATCH(BW$5,Escalators!$C$44:$C$49,0),MATCH(BW$6,Escalators!$I$43:$U$43,0)))</f>
        <v>0</v>
      </c>
      <c r="BX36" s="47">
        <f>IF($R36="",0,$O36*$AD36*INDEX(Act_Type_Repex_Splits,MATCH($I36,Act_Type_Repex,0),MATCH(BX$5,Mat_Type,0))*INDEX(Escalators!$I$44:$U$49,MATCH(BX$5,Escalators!$C$44:$C$49,0),MATCH(BX$6,Escalators!$I$43:$U$43,0)))</f>
        <v>0</v>
      </c>
      <c r="BY36" s="47">
        <f>IF($R36="",0,$O36*$AD36*INDEX(Act_Type_Repex_Splits,MATCH($I36,Act_Type_Repex,0),MATCH(BY$5,Mat_Type,0))*INDEX(Escalators!$I$44:$U$49,MATCH(BY$5,Escalators!$C$44:$C$49,0),MATCH(BY$6,Escalators!$I$43:$U$43,0)))</f>
        <v>0</v>
      </c>
      <c r="BZ36" s="47">
        <f t="shared" si="22"/>
        <v>0</v>
      </c>
      <c r="CA36" s="47">
        <f>IF($R36="",0,$P36*$AD36*INDEX(Act_Type_Repex_Splits,MATCH($I36,Act_Type_Repex,0),MATCH(CA$5,Mat_Type,0))*INDEX(Escalators!$I$44:$U$49,MATCH(CA$5,Escalators!$C$44:$C$49,0),MATCH(CA$6,Escalators!$I$43:$U$43,0)))</f>
        <v>0</v>
      </c>
      <c r="CB36" s="47">
        <f>IF($R36="",0,$P36*$AD36*INDEX(Act_Type_Repex_Splits,MATCH($I36,Act_Type_Repex,0),MATCH(CB$5,Mat_Type,0))*INDEX(Escalators!$I$44:$U$49,MATCH(CB$5,Escalators!$C$44:$C$49,0),MATCH(CB$6,Escalators!$I$43:$U$43,0)))</f>
        <v>0</v>
      </c>
      <c r="CC36" s="47">
        <f>IF($R36="",0,$P36*$AD36*INDEX(Act_Type_Repex_Splits,MATCH($I36,Act_Type_Repex,0),MATCH(CC$5,Mat_Type,0))*INDEX(Escalators!$I$44:$U$49,MATCH(CC$5,Escalators!$C$44:$C$49,0),MATCH(CC$6,Escalators!$I$43:$U$43,0)))</f>
        <v>0</v>
      </c>
      <c r="CD36" s="47">
        <f>IF($R36="",0,$P36*$AD36*INDEX(Act_Type_Repex_Splits,MATCH($I36,Act_Type_Repex,0),MATCH(CD$5,Mat_Type,0))*INDEX(Escalators!$I$44:$U$49,MATCH(CD$5,Escalators!$C$44:$C$49,0),MATCH(CD$6,Escalators!$I$43:$U$43,0)))</f>
        <v>0</v>
      </c>
      <c r="CE36" s="47">
        <f>IF($R36="",0,$P36*$AD36*INDEX(Act_Type_Repex_Splits,MATCH($I36,Act_Type_Repex,0),MATCH(CE$5,Mat_Type,0))*INDEX(Escalators!$I$44:$U$49,MATCH(CE$5,Escalators!$C$44:$C$49,0),MATCH(CE$6,Escalators!$I$43:$U$43,0)))</f>
        <v>0</v>
      </c>
      <c r="CF36" s="47">
        <f t="shared" si="23"/>
        <v>0</v>
      </c>
      <c r="CG36" s="47">
        <f>IF($R36="",0,$Q36*$AD36*INDEX(Act_Type_Repex_Splits,MATCH($I36,Act_Type_Repex,0),MATCH(CG$5,Mat_Type,0))*INDEX(Escalators!$I$44:$U$49,MATCH(CG$5,Escalators!$C$44:$C$49,0),MATCH(CG$6,Escalators!$I$43:$U$43,0)))</f>
        <v>0</v>
      </c>
      <c r="CH36" s="47">
        <f>IF($R36="",0,$Q36*$AD36*INDEX(Act_Type_Repex_Splits,MATCH($I36,Act_Type_Repex,0),MATCH(CH$5,Mat_Type,0))*INDEX(Escalators!$I$44:$U$49,MATCH(CH$5,Escalators!$C$44:$C$49,0),MATCH(CH$6,Escalators!$I$43:$U$43,0)))</f>
        <v>0</v>
      </c>
      <c r="CI36" s="47">
        <f>IF($R36="",0,$Q36*$AD36*INDEX(Act_Type_Repex_Splits,MATCH($I36,Act_Type_Repex,0),MATCH(CI$5,Mat_Type,0))*INDEX(Escalators!$I$44:$U$49,MATCH(CI$5,Escalators!$C$44:$C$49,0),MATCH(CI$6,Escalators!$I$43:$U$43,0)))</f>
        <v>0</v>
      </c>
      <c r="CJ36" s="47">
        <f>IF($R36="",0,$Q36*$AD36*INDEX(Act_Type_Repex_Splits,MATCH($I36,Act_Type_Repex,0),MATCH(CJ$5,Mat_Type,0))*INDEX(Escalators!$I$44:$U$49,MATCH(CJ$5,Escalators!$C$44:$C$49,0),MATCH(CJ$6,Escalators!$I$43:$U$43,0)))</f>
        <v>0</v>
      </c>
      <c r="CK36" s="47">
        <f>IF($R36="",0,$Q36*$AD36*INDEX(Act_Type_Repex_Splits,MATCH($I36,Act_Type_Repex,0),MATCH(CK$5,Mat_Type,0))*INDEX(Escalators!$I$44:$U$49,MATCH(CK$5,Escalators!$C$44:$C$49,0),MATCH(CK$6,Escalators!$I$43:$U$43,0)))</f>
        <v>0</v>
      </c>
      <c r="CL36" s="47">
        <f t="shared" si="24"/>
        <v>0</v>
      </c>
      <c r="CN36" s="47">
        <f>IF($R36="",0,J36*$AE36*HLOOKUP(CN$6,Escalators!$I$25:$U$30,6,FALSE))</f>
        <v>0</v>
      </c>
      <c r="CO36" s="47">
        <f>IF($R36="",0,K36*$AE36*HLOOKUP(CO$6,Escalators!$I$25:$U$30,6,FALSE))</f>
        <v>0</v>
      </c>
      <c r="CP36" s="47">
        <f>IF($R36="",0,L36*$AE36*HLOOKUP(CP$6,Escalators!$I$25:$U$30,6,FALSE))</f>
        <v>0</v>
      </c>
      <c r="CQ36" s="47">
        <f>IF($R36="",0,M36*$AE36*HLOOKUP(CQ$6,Escalators!$I$25:$U$30,6,FALSE))</f>
        <v>0</v>
      </c>
      <c r="CR36" s="47">
        <f>IF($R36="",0,N36*$AE36*HLOOKUP(CR$6,Escalators!$I$25:$U$30,6,FALSE))</f>
        <v>0</v>
      </c>
      <c r="CS36" s="47">
        <f>IF($R36="",0,O36*$AE36*HLOOKUP(CS$6,Escalators!$I$25:$U$30,6,FALSE))</f>
        <v>0</v>
      </c>
      <c r="CT36" s="47">
        <f>IF($R36="",0,P36*$AE36*HLOOKUP(CT$6,Escalators!$I$25:$U$30,6,FALSE))</f>
        <v>0</v>
      </c>
      <c r="CU36" s="47">
        <f>IF($R36="",0,Q36*$AE36*HLOOKUP(CU$6,Escalators!$I$25:$U$30,6,FALSE))</f>
        <v>0</v>
      </c>
      <c r="CW36" s="82">
        <f t="shared" si="25"/>
        <v>0</v>
      </c>
      <c r="CX36" s="82">
        <f t="shared" si="26"/>
        <v>0</v>
      </c>
      <c r="CY36" s="82">
        <f t="shared" si="27"/>
        <v>0</v>
      </c>
      <c r="CZ36" s="82">
        <f t="shared" si="28"/>
        <v>0</v>
      </c>
      <c r="DA36" s="82">
        <f t="shared" si="29"/>
        <v>0</v>
      </c>
      <c r="DB36" s="82">
        <f t="shared" si="30"/>
        <v>0</v>
      </c>
      <c r="DC36" s="82">
        <f t="shared" si="31"/>
        <v>0</v>
      </c>
      <c r="DD36" s="82">
        <f t="shared" si="32"/>
        <v>0</v>
      </c>
      <c r="DF36" s="47">
        <f t="shared" si="33"/>
        <v>0</v>
      </c>
      <c r="DG36" s="47">
        <f t="shared" si="34"/>
        <v>0</v>
      </c>
      <c r="DH36" s="47">
        <f t="shared" si="35"/>
        <v>0</v>
      </c>
      <c r="DI36" s="47">
        <f t="shared" si="36"/>
        <v>0</v>
      </c>
      <c r="DJ36" s="47">
        <f t="shared" si="37"/>
        <v>0</v>
      </c>
      <c r="DK36" s="47">
        <f t="shared" si="38"/>
        <v>0</v>
      </c>
      <c r="DL36" s="47">
        <f t="shared" si="39"/>
        <v>0</v>
      </c>
      <c r="DM36" s="47">
        <f t="shared" si="40"/>
        <v>0</v>
      </c>
      <c r="DO36" s="39"/>
    </row>
    <row r="37" spans="2:119" x14ac:dyDescent="0.25">
      <c r="B37" s="7"/>
      <c r="C37" s="7"/>
      <c r="D37" s="7"/>
      <c r="E37" s="7"/>
      <c r="F37" s="7"/>
      <c r="G37" s="7"/>
      <c r="H37" s="7"/>
      <c r="I37" s="7"/>
      <c r="J37" s="7"/>
      <c r="K37" s="7"/>
      <c r="L37" s="7"/>
      <c r="M37" s="7"/>
      <c r="N37" s="7"/>
      <c r="O37" s="7"/>
      <c r="P37" s="7"/>
      <c r="Q37" s="7"/>
      <c r="R37" s="46"/>
      <c r="T37" s="47">
        <f t="shared" si="8"/>
        <v>0</v>
      </c>
      <c r="U37" s="47">
        <f t="shared" si="9"/>
        <v>0</v>
      </c>
      <c r="V37" s="47">
        <f t="shared" si="10"/>
        <v>0</v>
      </c>
      <c r="W37" s="47">
        <f t="shared" si="11"/>
        <v>0</v>
      </c>
      <c r="X37" s="47">
        <f t="shared" si="12"/>
        <v>0</v>
      </c>
      <c r="Y37" s="47">
        <f t="shared" si="13"/>
        <v>0</v>
      </c>
      <c r="Z37" s="47">
        <f t="shared" si="14"/>
        <v>0</v>
      </c>
      <c r="AA37" s="47">
        <f t="shared" si="15"/>
        <v>0</v>
      </c>
      <c r="AC37" s="82">
        <f t="shared" si="16"/>
        <v>0</v>
      </c>
      <c r="AD37" s="82">
        <f t="shared" si="16"/>
        <v>0</v>
      </c>
      <c r="AE37" s="82">
        <f t="shared" si="16"/>
        <v>0</v>
      </c>
      <c r="AF37" s="82">
        <f t="shared" si="16"/>
        <v>0</v>
      </c>
      <c r="AH37" s="47">
        <f>IF($R37="",0,J37*$AC37*HLOOKUP(AH$6,Escalators!$I$25:$U$30,3,FALSE))</f>
        <v>0</v>
      </c>
      <c r="AI37" s="47">
        <f>IF($R37="",0,K37*$AC37*HLOOKUP(AI$6,Escalators!$I$25:$U$30,3,FALSE))</f>
        <v>0</v>
      </c>
      <c r="AJ37" s="47">
        <f>IF($R37="",0,L37*$AC37*HLOOKUP(AJ$6,Escalators!$I$25:$U$30,3,FALSE))</f>
        <v>0</v>
      </c>
      <c r="AK37" s="47">
        <f>IF($R37="",0,M37*$AC37*HLOOKUP(AK$6,Escalators!$I$25:$U$30,3,FALSE))</f>
        <v>0</v>
      </c>
      <c r="AL37" s="47">
        <f>IF($R37="",0,N37*$AC37*HLOOKUP(AL$6,Escalators!$I$25:$U$30,3,FALSE))</f>
        <v>0</v>
      </c>
      <c r="AM37" s="47">
        <f>IF($R37="",0,O37*$AC37*HLOOKUP(AM$6,Escalators!$I$25:$U$30,3,FALSE))</f>
        <v>0</v>
      </c>
      <c r="AN37" s="47">
        <f>IF($R37="",0,P37*$AC37*HLOOKUP(AN$6,Escalators!$I$25:$U$30,3,FALSE))</f>
        <v>0</v>
      </c>
      <c r="AO37" s="47">
        <f>IF($R37="",0,Q37*$AC37*HLOOKUP(AO$6,Escalators!$I$25:$U$30,3,FALSE))</f>
        <v>0</v>
      </c>
      <c r="AQ37" s="6">
        <f>IF($R37="",0,$J37*$AD37*INDEX(Act_Type_Repex_Splits,MATCH($I37,Act_Type_Repex,0),MATCH(AQ$5,Mat_Type,0))*INDEX(Escalators!$I$44:$U$49,MATCH(AQ$5,Escalators!$C$44:$C$49,0),MATCH(AQ$6,Escalators!$I$43:$U$43,0)))</f>
        <v>0</v>
      </c>
      <c r="AR37" s="6">
        <f>IF($R37="",0,$J37*$AD37*INDEX(Act_Type_Repex_Splits,MATCH($I37,Act_Type_Repex,0),MATCH(AR$5,Mat_Type,0))*INDEX(Escalators!$I$44:$U$49,MATCH(AR$5,Escalators!$C$44:$C$49,0),MATCH(AR$6,Escalators!$I$43:$U$43,0)))</f>
        <v>0</v>
      </c>
      <c r="AS37" s="6">
        <f>IF($R37="",0,$J37*$AD37*INDEX(Act_Type_Repex_Splits,MATCH($I37,Act_Type_Repex,0),MATCH(AS$5,Mat_Type,0))*INDEX(Escalators!$I$44:$U$49,MATCH(AS$5,Escalators!$C$44:$C$49,0),MATCH(AS$6,Escalators!$I$43:$U$43,0)))</f>
        <v>0</v>
      </c>
      <c r="AT37" s="6">
        <f>IF($R37="",0,$J37*$AD37*INDEX(Act_Type_Repex_Splits,MATCH($I37,Act_Type_Repex,0),MATCH(AT$5,Mat_Type,0))*INDEX(Escalators!$I$44:$U$49,MATCH(AT$5,Escalators!$C$44:$C$49,0),MATCH(AT$6,Escalators!$I$43:$U$43,0)))</f>
        <v>0</v>
      </c>
      <c r="AU37" s="6">
        <f>IF($R37="",0,$J37*$AD37*INDEX(Act_Type_Repex_Splits,MATCH($I37,Act_Type_Repex,0),MATCH(AU$5,Mat_Type,0))*INDEX(Escalators!$I$44:$U$49,MATCH(AU$5,Escalators!$C$44:$C$49,0),MATCH(AU$6,Escalators!$I$43:$U$43,0)))</f>
        <v>0</v>
      </c>
      <c r="AV37" s="47">
        <f t="shared" si="17"/>
        <v>0</v>
      </c>
      <c r="AW37" s="47">
        <f>IF($R37="",0,$K37*$AD37*INDEX(Act_Type_Repex_Splits,MATCH($I37,Act_Type_Repex,0),MATCH(AW$5,Mat_Type,0))*INDEX(Escalators!$I$44:$U$49,MATCH(AW$5,Escalators!$C$44:$C$49,0),MATCH(AW$6,Escalators!$I$43:$U$43,0)))</f>
        <v>0</v>
      </c>
      <c r="AX37" s="47">
        <f>IF($R37="",0,$K37*$AD37*INDEX(Act_Type_Repex_Splits,MATCH($I37,Act_Type_Repex,0),MATCH(AX$5,Mat_Type,0))*INDEX(Escalators!$I$44:$U$49,MATCH(AX$5,Escalators!$C$44:$C$49,0),MATCH(AX$6,Escalators!$I$43:$U$43,0)))</f>
        <v>0</v>
      </c>
      <c r="AY37" s="47">
        <f>IF($R37="",0,$K37*$AD37*INDEX(Act_Type_Repex_Splits,MATCH($I37,Act_Type_Repex,0),MATCH(AY$5,Mat_Type,0))*INDEX(Escalators!$I$44:$U$49,MATCH(AY$5,Escalators!$C$44:$C$49,0),MATCH(AY$6,Escalators!$I$43:$U$43,0)))</f>
        <v>0</v>
      </c>
      <c r="AZ37" s="47">
        <f>IF($R37="",0,$K37*$AD37*INDEX(Act_Type_Repex_Splits,MATCH($I37,Act_Type_Repex,0),MATCH(AZ$5,Mat_Type,0))*INDEX(Escalators!$I$44:$U$49,MATCH(AZ$5,Escalators!$C$44:$C$49,0),MATCH(AZ$6,Escalators!$I$43:$U$43,0)))</f>
        <v>0</v>
      </c>
      <c r="BA37" s="47">
        <f>IF($R37="",0,$K37*$AD37*INDEX(Act_Type_Repex_Splits,MATCH($I37,Act_Type_Repex,0),MATCH(BA$5,Mat_Type,0))*INDEX(Escalators!$I$44:$U$49,MATCH(BA$5,Escalators!$C$44:$C$49,0),MATCH(BA$6,Escalators!$I$43:$U$43,0)))</f>
        <v>0</v>
      </c>
      <c r="BB37" s="47">
        <f t="shared" si="18"/>
        <v>0</v>
      </c>
      <c r="BC37" s="47">
        <f>IF($R37="",0,$L37*$AD37*INDEX(Act_Type_Repex_Splits,MATCH($I37,Act_Type_Repex,0),MATCH(BC$5,Mat_Type,0))*INDEX(Escalators!$I$44:$U$49,MATCH(BC$5,Escalators!$C$44:$C$49,0),MATCH(BC$6,Escalators!$I$43:$U$43,0)))</f>
        <v>0</v>
      </c>
      <c r="BD37" s="47">
        <f>IF($R37="",0,$L37*$AD37*INDEX(Act_Type_Repex_Splits,MATCH($I37,Act_Type_Repex,0),MATCH(BD$5,Mat_Type,0))*INDEX(Escalators!$I$44:$U$49,MATCH(BD$5,Escalators!$C$44:$C$49,0),MATCH(BD$6,Escalators!$I$43:$U$43,0)))</f>
        <v>0</v>
      </c>
      <c r="BE37" s="47">
        <f>IF($R37="",0,$L37*$AD37*INDEX(Act_Type_Repex_Splits,MATCH($I37,Act_Type_Repex,0),MATCH(BE$5,Mat_Type,0))*INDEX(Escalators!$I$44:$U$49,MATCH(BE$5,Escalators!$C$44:$C$49,0),MATCH(BE$6,Escalators!$I$43:$U$43,0)))</f>
        <v>0</v>
      </c>
      <c r="BF37" s="47">
        <f>IF($R37="",0,$L37*$AD37*INDEX(Act_Type_Repex_Splits,MATCH($I37,Act_Type_Repex,0),MATCH(BF$5,Mat_Type,0))*INDEX(Escalators!$I$44:$U$49,MATCH(BF$5,Escalators!$C$44:$C$49,0),MATCH(BF$6,Escalators!$I$43:$U$43,0)))</f>
        <v>0</v>
      </c>
      <c r="BG37" s="47">
        <f>IF($R37="",0,$L37*$AD37*INDEX(Act_Type_Repex_Splits,MATCH($I37,Act_Type_Repex,0),MATCH(BG$5,Mat_Type,0))*INDEX(Escalators!$I$44:$U$49,MATCH(BG$5,Escalators!$C$44:$C$49,0),MATCH(BG$6,Escalators!$I$43:$U$43,0)))</f>
        <v>0</v>
      </c>
      <c r="BH37" s="47">
        <f t="shared" si="19"/>
        <v>0</v>
      </c>
      <c r="BI37" s="47">
        <f>IF($R37="",0,$M37*$AD37*INDEX(Act_Type_Repex_Splits,MATCH($I37,Act_Type_Repex,0),MATCH(BI$5,Mat_Type,0))*INDEX(Escalators!$I$44:$U$49,MATCH(BI$5,Escalators!$C$44:$C$49,0),MATCH(BI$6,Escalators!$I$43:$U$43,0)))</f>
        <v>0</v>
      </c>
      <c r="BJ37" s="47">
        <f>IF($R37="",0,$M37*$AD37*INDEX(Act_Type_Repex_Splits,MATCH($I37,Act_Type_Repex,0),MATCH(BJ$5,Mat_Type,0))*INDEX(Escalators!$I$44:$U$49,MATCH(BJ$5,Escalators!$C$44:$C$49,0),MATCH(BJ$6,Escalators!$I$43:$U$43,0)))</f>
        <v>0</v>
      </c>
      <c r="BK37" s="47">
        <f>IF($R37="",0,$M37*$AD37*INDEX(Act_Type_Repex_Splits,MATCH($I37,Act_Type_Repex,0),MATCH(BK$5,Mat_Type,0))*INDEX(Escalators!$I$44:$U$49,MATCH(BK$5,Escalators!$C$44:$C$49,0),MATCH(BK$6,Escalators!$I$43:$U$43,0)))</f>
        <v>0</v>
      </c>
      <c r="BL37" s="47">
        <f>IF($R37="",0,$M37*$AD37*INDEX(Act_Type_Repex_Splits,MATCH($I37,Act_Type_Repex,0),MATCH(BL$5,Mat_Type,0))*INDEX(Escalators!$I$44:$U$49,MATCH(BL$5,Escalators!$C$44:$C$49,0),MATCH(BL$6,Escalators!$I$43:$U$43,0)))</f>
        <v>0</v>
      </c>
      <c r="BM37" s="47">
        <f>IF($R37="",0,$M37*$AD37*INDEX(Act_Type_Repex_Splits,MATCH($I37,Act_Type_Repex,0),MATCH(BM$5,Mat_Type,0))*INDEX(Escalators!$I$44:$U$49,MATCH(BM$5,Escalators!$C$44:$C$49,0),MATCH(BM$6,Escalators!$I$43:$U$43,0)))</f>
        <v>0</v>
      </c>
      <c r="BN37" s="47">
        <f t="shared" si="20"/>
        <v>0</v>
      </c>
      <c r="BO37" s="47">
        <f>IF($R37="",0,$N37*$AD37*INDEX(Act_Type_Repex_Splits,MATCH($I37,Act_Type_Repex,0),MATCH(BO$5,Mat_Type,0))*INDEX(Escalators!$I$44:$U$49,MATCH(BO$5,Escalators!$C$44:$C$49,0),MATCH(BO$6,Escalators!$I$43:$U$43,0)))</f>
        <v>0</v>
      </c>
      <c r="BP37" s="47">
        <f>IF($R37="",0,$N37*$AD37*INDEX(Act_Type_Repex_Splits,MATCH($I37,Act_Type_Repex,0),MATCH(BP$5,Mat_Type,0))*INDEX(Escalators!$I$44:$U$49,MATCH(BP$5,Escalators!$C$44:$C$49,0),MATCH(BP$6,Escalators!$I$43:$U$43,0)))</f>
        <v>0</v>
      </c>
      <c r="BQ37" s="47">
        <f>IF($R37="",0,$N37*$AD37*INDEX(Act_Type_Repex_Splits,MATCH($I37,Act_Type_Repex,0),MATCH(BQ$5,Mat_Type,0))*INDEX(Escalators!$I$44:$U$49,MATCH(BQ$5,Escalators!$C$44:$C$49,0),MATCH(BQ$6,Escalators!$I$43:$U$43,0)))</f>
        <v>0</v>
      </c>
      <c r="BR37" s="47">
        <f>IF($R37="",0,$N37*$AD37*INDEX(Act_Type_Repex_Splits,MATCH($I37,Act_Type_Repex,0),MATCH(BR$5,Mat_Type,0))*INDEX(Escalators!$I$44:$U$49,MATCH(BR$5,Escalators!$C$44:$C$49,0),MATCH(BR$6,Escalators!$I$43:$U$43,0)))</f>
        <v>0</v>
      </c>
      <c r="BS37" s="47">
        <f>IF($R37="",0,$N37*$AD37*INDEX(Act_Type_Repex_Splits,MATCH($I37,Act_Type_Repex,0),MATCH(BS$5,Mat_Type,0))*INDEX(Escalators!$I$44:$U$49,MATCH(BS$5,Escalators!$C$44:$C$49,0),MATCH(BS$6,Escalators!$I$43:$U$43,0)))</f>
        <v>0</v>
      </c>
      <c r="BT37" s="47">
        <f t="shared" si="21"/>
        <v>0</v>
      </c>
      <c r="BU37" s="47">
        <f>IF($R37="",0,$O37*$AD37*INDEX(Act_Type_Repex_Splits,MATCH($I37,Act_Type_Repex,0),MATCH(BU$5,Mat_Type,0))*INDEX(Escalators!$I$44:$U$49,MATCH(BU$5,Escalators!$C$44:$C$49,0),MATCH(BU$6,Escalators!$I$43:$U$43,0)))</f>
        <v>0</v>
      </c>
      <c r="BV37" s="47">
        <f>IF($R37="",0,$O37*$AD37*INDEX(Act_Type_Repex_Splits,MATCH($I37,Act_Type_Repex,0),MATCH(BV$5,Mat_Type,0))*INDEX(Escalators!$I$44:$U$49,MATCH(BV$5,Escalators!$C$44:$C$49,0),MATCH(BV$6,Escalators!$I$43:$U$43,0)))</f>
        <v>0</v>
      </c>
      <c r="BW37" s="47">
        <f>IF($R37="",0,$O37*$AD37*INDEX(Act_Type_Repex_Splits,MATCH($I37,Act_Type_Repex,0),MATCH(BW$5,Mat_Type,0))*INDEX(Escalators!$I$44:$U$49,MATCH(BW$5,Escalators!$C$44:$C$49,0),MATCH(BW$6,Escalators!$I$43:$U$43,0)))</f>
        <v>0</v>
      </c>
      <c r="BX37" s="47">
        <f>IF($R37="",0,$O37*$AD37*INDEX(Act_Type_Repex_Splits,MATCH($I37,Act_Type_Repex,0),MATCH(BX$5,Mat_Type,0))*INDEX(Escalators!$I$44:$U$49,MATCH(BX$5,Escalators!$C$44:$C$49,0),MATCH(BX$6,Escalators!$I$43:$U$43,0)))</f>
        <v>0</v>
      </c>
      <c r="BY37" s="47">
        <f>IF($R37="",0,$O37*$AD37*INDEX(Act_Type_Repex_Splits,MATCH($I37,Act_Type_Repex,0),MATCH(BY$5,Mat_Type,0))*INDEX(Escalators!$I$44:$U$49,MATCH(BY$5,Escalators!$C$44:$C$49,0),MATCH(BY$6,Escalators!$I$43:$U$43,0)))</f>
        <v>0</v>
      </c>
      <c r="BZ37" s="47">
        <f t="shared" si="22"/>
        <v>0</v>
      </c>
      <c r="CA37" s="47">
        <f>IF($R37="",0,$P37*$AD37*INDEX(Act_Type_Repex_Splits,MATCH($I37,Act_Type_Repex,0),MATCH(CA$5,Mat_Type,0))*INDEX(Escalators!$I$44:$U$49,MATCH(CA$5,Escalators!$C$44:$C$49,0),MATCH(CA$6,Escalators!$I$43:$U$43,0)))</f>
        <v>0</v>
      </c>
      <c r="CB37" s="47">
        <f>IF($R37="",0,$P37*$AD37*INDEX(Act_Type_Repex_Splits,MATCH($I37,Act_Type_Repex,0),MATCH(CB$5,Mat_Type,0))*INDEX(Escalators!$I$44:$U$49,MATCH(CB$5,Escalators!$C$44:$C$49,0),MATCH(CB$6,Escalators!$I$43:$U$43,0)))</f>
        <v>0</v>
      </c>
      <c r="CC37" s="47">
        <f>IF($R37="",0,$P37*$AD37*INDEX(Act_Type_Repex_Splits,MATCH($I37,Act_Type_Repex,0),MATCH(CC$5,Mat_Type,0))*INDEX(Escalators!$I$44:$U$49,MATCH(CC$5,Escalators!$C$44:$C$49,0),MATCH(CC$6,Escalators!$I$43:$U$43,0)))</f>
        <v>0</v>
      </c>
      <c r="CD37" s="47">
        <f>IF($R37="",0,$P37*$AD37*INDEX(Act_Type_Repex_Splits,MATCH($I37,Act_Type_Repex,0),MATCH(CD$5,Mat_Type,0))*INDEX(Escalators!$I$44:$U$49,MATCH(CD$5,Escalators!$C$44:$C$49,0),MATCH(CD$6,Escalators!$I$43:$U$43,0)))</f>
        <v>0</v>
      </c>
      <c r="CE37" s="47">
        <f>IF($R37="",0,$P37*$AD37*INDEX(Act_Type_Repex_Splits,MATCH($I37,Act_Type_Repex,0),MATCH(CE$5,Mat_Type,0))*INDEX(Escalators!$I$44:$U$49,MATCH(CE$5,Escalators!$C$44:$C$49,0),MATCH(CE$6,Escalators!$I$43:$U$43,0)))</f>
        <v>0</v>
      </c>
      <c r="CF37" s="47">
        <f t="shared" si="23"/>
        <v>0</v>
      </c>
      <c r="CG37" s="47">
        <f>IF($R37="",0,$Q37*$AD37*INDEX(Act_Type_Repex_Splits,MATCH($I37,Act_Type_Repex,0),MATCH(CG$5,Mat_Type,0))*INDEX(Escalators!$I$44:$U$49,MATCH(CG$5,Escalators!$C$44:$C$49,0),MATCH(CG$6,Escalators!$I$43:$U$43,0)))</f>
        <v>0</v>
      </c>
      <c r="CH37" s="47">
        <f>IF($R37="",0,$Q37*$AD37*INDEX(Act_Type_Repex_Splits,MATCH($I37,Act_Type_Repex,0),MATCH(CH$5,Mat_Type,0))*INDEX(Escalators!$I$44:$U$49,MATCH(CH$5,Escalators!$C$44:$C$49,0),MATCH(CH$6,Escalators!$I$43:$U$43,0)))</f>
        <v>0</v>
      </c>
      <c r="CI37" s="47">
        <f>IF($R37="",0,$Q37*$AD37*INDEX(Act_Type_Repex_Splits,MATCH($I37,Act_Type_Repex,0),MATCH(CI$5,Mat_Type,0))*INDEX(Escalators!$I$44:$U$49,MATCH(CI$5,Escalators!$C$44:$C$49,0),MATCH(CI$6,Escalators!$I$43:$U$43,0)))</f>
        <v>0</v>
      </c>
      <c r="CJ37" s="47">
        <f>IF($R37="",0,$Q37*$AD37*INDEX(Act_Type_Repex_Splits,MATCH($I37,Act_Type_Repex,0),MATCH(CJ$5,Mat_Type,0))*INDEX(Escalators!$I$44:$U$49,MATCH(CJ$5,Escalators!$C$44:$C$49,0),MATCH(CJ$6,Escalators!$I$43:$U$43,0)))</f>
        <v>0</v>
      </c>
      <c r="CK37" s="47">
        <f>IF($R37="",0,$Q37*$AD37*INDEX(Act_Type_Repex_Splits,MATCH($I37,Act_Type_Repex,0),MATCH(CK$5,Mat_Type,0))*INDEX(Escalators!$I$44:$U$49,MATCH(CK$5,Escalators!$C$44:$C$49,0),MATCH(CK$6,Escalators!$I$43:$U$43,0)))</f>
        <v>0</v>
      </c>
      <c r="CL37" s="47">
        <f t="shared" si="24"/>
        <v>0</v>
      </c>
      <c r="CN37" s="47">
        <f>IF($R37="",0,J37*$AE37*HLOOKUP(CN$6,Escalators!$I$25:$U$30,6,FALSE))</f>
        <v>0</v>
      </c>
      <c r="CO37" s="47">
        <f>IF($R37="",0,K37*$AE37*HLOOKUP(CO$6,Escalators!$I$25:$U$30,6,FALSE))</f>
        <v>0</v>
      </c>
      <c r="CP37" s="47">
        <f>IF($R37="",0,L37*$AE37*HLOOKUP(CP$6,Escalators!$I$25:$U$30,6,FALSE))</f>
        <v>0</v>
      </c>
      <c r="CQ37" s="47">
        <f>IF($R37="",0,M37*$AE37*HLOOKUP(CQ$6,Escalators!$I$25:$U$30,6,FALSE))</f>
        <v>0</v>
      </c>
      <c r="CR37" s="47">
        <f>IF($R37="",0,N37*$AE37*HLOOKUP(CR$6,Escalators!$I$25:$U$30,6,FALSE))</f>
        <v>0</v>
      </c>
      <c r="CS37" s="47">
        <f>IF($R37="",0,O37*$AE37*HLOOKUP(CS$6,Escalators!$I$25:$U$30,6,FALSE))</f>
        <v>0</v>
      </c>
      <c r="CT37" s="47">
        <f>IF($R37="",0,P37*$AE37*HLOOKUP(CT$6,Escalators!$I$25:$U$30,6,FALSE))</f>
        <v>0</v>
      </c>
      <c r="CU37" s="47">
        <f>IF($R37="",0,Q37*$AE37*HLOOKUP(CU$6,Escalators!$I$25:$U$30,6,FALSE))</f>
        <v>0</v>
      </c>
      <c r="CW37" s="82">
        <f t="shared" si="25"/>
        <v>0</v>
      </c>
      <c r="CX37" s="82">
        <f t="shared" si="26"/>
        <v>0</v>
      </c>
      <c r="CY37" s="82">
        <f t="shared" si="27"/>
        <v>0</v>
      </c>
      <c r="CZ37" s="82">
        <f t="shared" si="28"/>
        <v>0</v>
      </c>
      <c r="DA37" s="82">
        <f t="shared" si="29"/>
        <v>0</v>
      </c>
      <c r="DB37" s="82">
        <f t="shared" si="30"/>
        <v>0</v>
      </c>
      <c r="DC37" s="82">
        <f t="shared" si="31"/>
        <v>0</v>
      </c>
      <c r="DD37" s="82">
        <f t="shared" si="32"/>
        <v>0</v>
      </c>
      <c r="DF37" s="47">
        <f t="shared" si="33"/>
        <v>0</v>
      </c>
      <c r="DG37" s="47">
        <f t="shared" si="34"/>
        <v>0</v>
      </c>
      <c r="DH37" s="47">
        <f t="shared" si="35"/>
        <v>0</v>
      </c>
      <c r="DI37" s="47">
        <f t="shared" si="36"/>
        <v>0</v>
      </c>
      <c r="DJ37" s="47">
        <f t="shared" si="37"/>
        <v>0</v>
      </c>
      <c r="DK37" s="47">
        <f t="shared" si="38"/>
        <v>0</v>
      </c>
      <c r="DL37" s="47">
        <f t="shared" si="39"/>
        <v>0</v>
      </c>
      <c r="DM37" s="47">
        <f t="shared" si="40"/>
        <v>0</v>
      </c>
      <c r="DO37" s="39"/>
    </row>
    <row r="38" spans="2:119" x14ac:dyDescent="0.25">
      <c r="B38" s="7"/>
      <c r="C38" s="7"/>
      <c r="D38" s="7"/>
      <c r="E38" s="7"/>
      <c r="F38" s="7"/>
      <c r="G38" s="7"/>
      <c r="H38" s="7"/>
      <c r="I38" s="7"/>
      <c r="J38" s="7"/>
      <c r="K38" s="7"/>
      <c r="L38" s="7"/>
      <c r="M38" s="7"/>
      <c r="N38" s="7"/>
      <c r="O38" s="7"/>
      <c r="P38" s="7"/>
      <c r="Q38" s="7"/>
      <c r="R38" s="46"/>
      <c r="T38" s="47">
        <f t="shared" si="8"/>
        <v>0</v>
      </c>
      <c r="U38" s="47">
        <f t="shared" si="9"/>
        <v>0</v>
      </c>
      <c r="V38" s="47">
        <f t="shared" si="10"/>
        <v>0</v>
      </c>
      <c r="W38" s="47">
        <f t="shared" si="11"/>
        <v>0</v>
      </c>
      <c r="X38" s="47">
        <f t="shared" si="12"/>
        <v>0</v>
      </c>
      <c r="Y38" s="47">
        <f t="shared" si="13"/>
        <v>0</v>
      </c>
      <c r="Z38" s="47">
        <f t="shared" si="14"/>
        <v>0</v>
      </c>
      <c r="AA38" s="47">
        <f t="shared" si="15"/>
        <v>0</v>
      </c>
      <c r="AC38" s="82">
        <f t="shared" si="16"/>
        <v>0</v>
      </c>
      <c r="AD38" s="82">
        <f t="shared" si="16"/>
        <v>0</v>
      </c>
      <c r="AE38" s="82">
        <f t="shared" si="16"/>
        <v>0</v>
      </c>
      <c r="AF38" s="82">
        <f t="shared" si="16"/>
        <v>0</v>
      </c>
      <c r="AH38" s="47">
        <f>IF($R38="",0,J38*$AC38*HLOOKUP(AH$6,Escalators!$I$25:$U$30,3,FALSE))</f>
        <v>0</v>
      </c>
      <c r="AI38" s="47">
        <f>IF($R38="",0,K38*$AC38*HLOOKUP(AI$6,Escalators!$I$25:$U$30,3,FALSE))</f>
        <v>0</v>
      </c>
      <c r="AJ38" s="47">
        <f>IF($R38="",0,L38*$AC38*HLOOKUP(AJ$6,Escalators!$I$25:$U$30,3,FALSE))</f>
        <v>0</v>
      </c>
      <c r="AK38" s="47">
        <f>IF($R38="",0,M38*$AC38*HLOOKUP(AK$6,Escalators!$I$25:$U$30,3,FALSE))</f>
        <v>0</v>
      </c>
      <c r="AL38" s="47">
        <f>IF($R38="",0,N38*$AC38*HLOOKUP(AL$6,Escalators!$I$25:$U$30,3,FALSE))</f>
        <v>0</v>
      </c>
      <c r="AM38" s="47">
        <f>IF($R38="",0,O38*$AC38*HLOOKUP(AM$6,Escalators!$I$25:$U$30,3,FALSE))</f>
        <v>0</v>
      </c>
      <c r="AN38" s="47">
        <f>IF($R38="",0,P38*$AC38*HLOOKUP(AN$6,Escalators!$I$25:$U$30,3,FALSE))</f>
        <v>0</v>
      </c>
      <c r="AO38" s="47">
        <f>IF($R38="",0,Q38*$AC38*HLOOKUP(AO$6,Escalators!$I$25:$U$30,3,FALSE))</f>
        <v>0</v>
      </c>
      <c r="AQ38" s="6">
        <f>IF($R38="",0,$J38*$AD38*INDEX(Act_Type_Repex_Splits,MATCH($I38,Act_Type_Repex,0),MATCH(AQ$5,Mat_Type,0))*INDEX(Escalators!$I$44:$U$49,MATCH(AQ$5,Escalators!$C$44:$C$49,0),MATCH(AQ$6,Escalators!$I$43:$U$43,0)))</f>
        <v>0</v>
      </c>
      <c r="AR38" s="6">
        <f>IF($R38="",0,$J38*$AD38*INDEX(Act_Type_Repex_Splits,MATCH($I38,Act_Type_Repex,0),MATCH(AR$5,Mat_Type,0))*INDEX(Escalators!$I$44:$U$49,MATCH(AR$5,Escalators!$C$44:$C$49,0),MATCH(AR$6,Escalators!$I$43:$U$43,0)))</f>
        <v>0</v>
      </c>
      <c r="AS38" s="6">
        <f>IF($R38="",0,$J38*$AD38*INDEX(Act_Type_Repex_Splits,MATCH($I38,Act_Type_Repex,0),MATCH(AS$5,Mat_Type,0))*INDEX(Escalators!$I$44:$U$49,MATCH(AS$5,Escalators!$C$44:$C$49,0),MATCH(AS$6,Escalators!$I$43:$U$43,0)))</f>
        <v>0</v>
      </c>
      <c r="AT38" s="6">
        <f>IF($R38="",0,$J38*$AD38*INDEX(Act_Type_Repex_Splits,MATCH($I38,Act_Type_Repex,0),MATCH(AT$5,Mat_Type,0))*INDEX(Escalators!$I$44:$U$49,MATCH(AT$5,Escalators!$C$44:$C$49,0),MATCH(AT$6,Escalators!$I$43:$U$43,0)))</f>
        <v>0</v>
      </c>
      <c r="AU38" s="6">
        <f>IF($R38="",0,$J38*$AD38*INDEX(Act_Type_Repex_Splits,MATCH($I38,Act_Type_Repex,0),MATCH(AU$5,Mat_Type,0))*INDEX(Escalators!$I$44:$U$49,MATCH(AU$5,Escalators!$C$44:$C$49,0),MATCH(AU$6,Escalators!$I$43:$U$43,0)))</f>
        <v>0</v>
      </c>
      <c r="AV38" s="47">
        <f t="shared" si="17"/>
        <v>0</v>
      </c>
      <c r="AW38" s="47">
        <f>IF($R38="",0,$K38*$AD38*INDEX(Act_Type_Repex_Splits,MATCH($I38,Act_Type_Repex,0),MATCH(AW$5,Mat_Type,0))*INDEX(Escalators!$I$44:$U$49,MATCH(AW$5,Escalators!$C$44:$C$49,0),MATCH(AW$6,Escalators!$I$43:$U$43,0)))</f>
        <v>0</v>
      </c>
      <c r="AX38" s="47">
        <f>IF($R38="",0,$K38*$AD38*INDEX(Act_Type_Repex_Splits,MATCH($I38,Act_Type_Repex,0),MATCH(AX$5,Mat_Type,0))*INDEX(Escalators!$I$44:$U$49,MATCH(AX$5,Escalators!$C$44:$C$49,0),MATCH(AX$6,Escalators!$I$43:$U$43,0)))</f>
        <v>0</v>
      </c>
      <c r="AY38" s="47">
        <f>IF($R38="",0,$K38*$AD38*INDEX(Act_Type_Repex_Splits,MATCH($I38,Act_Type_Repex,0),MATCH(AY$5,Mat_Type,0))*INDEX(Escalators!$I$44:$U$49,MATCH(AY$5,Escalators!$C$44:$C$49,0),MATCH(AY$6,Escalators!$I$43:$U$43,0)))</f>
        <v>0</v>
      </c>
      <c r="AZ38" s="47">
        <f>IF($R38="",0,$K38*$AD38*INDEX(Act_Type_Repex_Splits,MATCH($I38,Act_Type_Repex,0),MATCH(AZ$5,Mat_Type,0))*INDEX(Escalators!$I$44:$U$49,MATCH(AZ$5,Escalators!$C$44:$C$49,0),MATCH(AZ$6,Escalators!$I$43:$U$43,0)))</f>
        <v>0</v>
      </c>
      <c r="BA38" s="47">
        <f>IF($R38="",0,$K38*$AD38*INDEX(Act_Type_Repex_Splits,MATCH($I38,Act_Type_Repex,0),MATCH(BA$5,Mat_Type,0))*INDEX(Escalators!$I$44:$U$49,MATCH(BA$5,Escalators!$C$44:$C$49,0),MATCH(BA$6,Escalators!$I$43:$U$43,0)))</f>
        <v>0</v>
      </c>
      <c r="BB38" s="47">
        <f t="shared" si="18"/>
        <v>0</v>
      </c>
      <c r="BC38" s="47">
        <f>IF($R38="",0,$L38*$AD38*INDEX(Act_Type_Repex_Splits,MATCH($I38,Act_Type_Repex,0),MATCH(BC$5,Mat_Type,0))*INDEX(Escalators!$I$44:$U$49,MATCH(BC$5,Escalators!$C$44:$C$49,0),MATCH(BC$6,Escalators!$I$43:$U$43,0)))</f>
        <v>0</v>
      </c>
      <c r="BD38" s="47">
        <f>IF($R38="",0,$L38*$AD38*INDEX(Act_Type_Repex_Splits,MATCH($I38,Act_Type_Repex,0),MATCH(BD$5,Mat_Type,0))*INDEX(Escalators!$I$44:$U$49,MATCH(BD$5,Escalators!$C$44:$C$49,0),MATCH(BD$6,Escalators!$I$43:$U$43,0)))</f>
        <v>0</v>
      </c>
      <c r="BE38" s="47">
        <f>IF($R38="",0,$L38*$AD38*INDEX(Act_Type_Repex_Splits,MATCH($I38,Act_Type_Repex,0),MATCH(BE$5,Mat_Type,0))*INDEX(Escalators!$I$44:$U$49,MATCH(BE$5,Escalators!$C$44:$C$49,0),MATCH(BE$6,Escalators!$I$43:$U$43,0)))</f>
        <v>0</v>
      </c>
      <c r="BF38" s="47">
        <f>IF($R38="",0,$L38*$AD38*INDEX(Act_Type_Repex_Splits,MATCH($I38,Act_Type_Repex,0),MATCH(BF$5,Mat_Type,0))*INDEX(Escalators!$I$44:$U$49,MATCH(BF$5,Escalators!$C$44:$C$49,0),MATCH(BF$6,Escalators!$I$43:$U$43,0)))</f>
        <v>0</v>
      </c>
      <c r="BG38" s="47">
        <f>IF($R38="",0,$L38*$AD38*INDEX(Act_Type_Repex_Splits,MATCH($I38,Act_Type_Repex,0),MATCH(BG$5,Mat_Type,0))*INDEX(Escalators!$I$44:$U$49,MATCH(BG$5,Escalators!$C$44:$C$49,0),MATCH(BG$6,Escalators!$I$43:$U$43,0)))</f>
        <v>0</v>
      </c>
      <c r="BH38" s="47">
        <f t="shared" si="19"/>
        <v>0</v>
      </c>
      <c r="BI38" s="47">
        <f>IF($R38="",0,$M38*$AD38*INDEX(Act_Type_Repex_Splits,MATCH($I38,Act_Type_Repex,0),MATCH(BI$5,Mat_Type,0))*INDEX(Escalators!$I$44:$U$49,MATCH(BI$5,Escalators!$C$44:$C$49,0),MATCH(BI$6,Escalators!$I$43:$U$43,0)))</f>
        <v>0</v>
      </c>
      <c r="BJ38" s="47">
        <f>IF($R38="",0,$M38*$AD38*INDEX(Act_Type_Repex_Splits,MATCH($I38,Act_Type_Repex,0),MATCH(BJ$5,Mat_Type,0))*INDEX(Escalators!$I$44:$U$49,MATCH(BJ$5,Escalators!$C$44:$C$49,0),MATCH(BJ$6,Escalators!$I$43:$U$43,0)))</f>
        <v>0</v>
      </c>
      <c r="BK38" s="47">
        <f>IF($R38="",0,$M38*$AD38*INDEX(Act_Type_Repex_Splits,MATCH($I38,Act_Type_Repex,0),MATCH(BK$5,Mat_Type,0))*INDEX(Escalators!$I$44:$U$49,MATCH(BK$5,Escalators!$C$44:$C$49,0),MATCH(BK$6,Escalators!$I$43:$U$43,0)))</f>
        <v>0</v>
      </c>
      <c r="BL38" s="47">
        <f>IF($R38="",0,$M38*$AD38*INDEX(Act_Type_Repex_Splits,MATCH($I38,Act_Type_Repex,0),MATCH(BL$5,Mat_Type,0))*INDEX(Escalators!$I$44:$U$49,MATCH(BL$5,Escalators!$C$44:$C$49,0),MATCH(BL$6,Escalators!$I$43:$U$43,0)))</f>
        <v>0</v>
      </c>
      <c r="BM38" s="47">
        <f>IF($R38="",0,$M38*$AD38*INDEX(Act_Type_Repex_Splits,MATCH($I38,Act_Type_Repex,0),MATCH(BM$5,Mat_Type,0))*INDEX(Escalators!$I$44:$U$49,MATCH(BM$5,Escalators!$C$44:$C$49,0),MATCH(BM$6,Escalators!$I$43:$U$43,0)))</f>
        <v>0</v>
      </c>
      <c r="BN38" s="47">
        <f t="shared" si="20"/>
        <v>0</v>
      </c>
      <c r="BO38" s="47">
        <f>IF($R38="",0,$N38*$AD38*INDEX(Act_Type_Repex_Splits,MATCH($I38,Act_Type_Repex,0),MATCH(BO$5,Mat_Type,0))*INDEX(Escalators!$I$44:$U$49,MATCH(BO$5,Escalators!$C$44:$C$49,0),MATCH(BO$6,Escalators!$I$43:$U$43,0)))</f>
        <v>0</v>
      </c>
      <c r="BP38" s="47">
        <f>IF($R38="",0,$N38*$AD38*INDEX(Act_Type_Repex_Splits,MATCH($I38,Act_Type_Repex,0),MATCH(BP$5,Mat_Type,0))*INDEX(Escalators!$I$44:$U$49,MATCH(BP$5,Escalators!$C$44:$C$49,0),MATCH(BP$6,Escalators!$I$43:$U$43,0)))</f>
        <v>0</v>
      </c>
      <c r="BQ38" s="47">
        <f>IF($R38="",0,$N38*$AD38*INDEX(Act_Type_Repex_Splits,MATCH($I38,Act_Type_Repex,0),MATCH(BQ$5,Mat_Type,0))*INDEX(Escalators!$I$44:$U$49,MATCH(BQ$5,Escalators!$C$44:$C$49,0),MATCH(BQ$6,Escalators!$I$43:$U$43,0)))</f>
        <v>0</v>
      </c>
      <c r="BR38" s="47">
        <f>IF($R38="",0,$N38*$AD38*INDEX(Act_Type_Repex_Splits,MATCH($I38,Act_Type_Repex,0),MATCH(BR$5,Mat_Type,0))*INDEX(Escalators!$I$44:$U$49,MATCH(BR$5,Escalators!$C$44:$C$49,0),MATCH(BR$6,Escalators!$I$43:$U$43,0)))</f>
        <v>0</v>
      </c>
      <c r="BS38" s="47">
        <f>IF($R38="",0,$N38*$AD38*INDEX(Act_Type_Repex_Splits,MATCH($I38,Act_Type_Repex,0),MATCH(BS$5,Mat_Type,0))*INDEX(Escalators!$I$44:$U$49,MATCH(BS$5,Escalators!$C$44:$C$49,0),MATCH(BS$6,Escalators!$I$43:$U$43,0)))</f>
        <v>0</v>
      </c>
      <c r="BT38" s="47">
        <f t="shared" si="21"/>
        <v>0</v>
      </c>
      <c r="BU38" s="47">
        <f>IF($R38="",0,$O38*$AD38*INDEX(Act_Type_Repex_Splits,MATCH($I38,Act_Type_Repex,0),MATCH(BU$5,Mat_Type,0))*INDEX(Escalators!$I$44:$U$49,MATCH(BU$5,Escalators!$C$44:$C$49,0),MATCH(BU$6,Escalators!$I$43:$U$43,0)))</f>
        <v>0</v>
      </c>
      <c r="BV38" s="47">
        <f>IF($R38="",0,$O38*$AD38*INDEX(Act_Type_Repex_Splits,MATCH($I38,Act_Type_Repex,0),MATCH(BV$5,Mat_Type,0))*INDEX(Escalators!$I$44:$U$49,MATCH(BV$5,Escalators!$C$44:$C$49,0),MATCH(BV$6,Escalators!$I$43:$U$43,0)))</f>
        <v>0</v>
      </c>
      <c r="BW38" s="47">
        <f>IF($R38="",0,$O38*$AD38*INDEX(Act_Type_Repex_Splits,MATCH($I38,Act_Type_Repex,0),MATCH(BW$5,Mat_Type,0))*INDEX(Escalators!$I$44:$U$49,MATCH(BW$5,Escalators!$C$44:$C$49,0),MATCH(BW$6,Escalators!$I$43:$U$43,0)))</f>
        <v>0</v>
      </c>
      <c r="BX38" s="47">
        <f>IF($R38="",0,$O38*$AD38*INDEX(Act_Type_Repex_Splits,MATCH($I38,Act_Type_Repex,0),MATCH(BX$5,Mat_Type,0))*INDEX(Escalators!$I$44:$U$49,MATCH(BX$5,Escalators!$C$44:$C$49,0),MATCH(BX$6,Escalators!$I$43:$U$43,0)))</f>
        <v>0</v>
      </c>
      <c r="BY38" s="47">
        <f>IF($R38="",0,$O38*$AD38*INDEX(Act_Type_Repex_Splits,MATCH($I38,Act_Type_Repex,0),MATCH(BY$5,Mat_Type,0))*INDEX(Escalators!$I$44:$U$49,MATCH(BY$5,Escalators!$C$44:$C$49,0),MATCH(BY$6,Escalators!$I$43:$U$43,0)))</f>
        <v>0</v>
      </c>
      <c r="BZ38" s="47">
        <f t="shared" si="22"/>
        <v>0</v>
      </c>
      <c r="CA38" s="47">
        <f>IF($R38="",0,$P38*$AD38*INDEX(Act_Type_Repex_Splits,MATCH($I38,Act_Type_Repex,0),MATCH(CA$5,Mat_Type,0))*INDEX(Escalators!$I$44:$U$49,MATCH(CA$5,Escalators!$C$44:$C$49,0),MATCH(CA$6,Escalators!$I$43:$U$43,0)))</f>
        <v>0</v>
      </c>
      <c r="CB38" s="47">
        <f>IF($R38="",0,$P38*$AD38*INDEX(Act_Type_Repex_Splits,MATCH($I38,Act_Type_Repex,0),MATCH(CB$5,Mat_Type,0))*INDEX(Escalators!$I$44:$U$49,MATCH(CB$5,Escalators!$C$44:$C$49,0),MATCH(CB$6,Escalators!$I$43:$U$43,0)))</f>
        <v>0</v>
      </c>
      <c r="CC38" s="47">
        <f>IF($R38="",0,$P38*$AD38*INDEX(Act_Type_Repex_Splits,MATCH($I38,Act_Type_Repex,0),MATCH(CC$5,Mat_Type,0))*INDEX(Escalators!$I$44:$U$49,MATCH(CC$5,Escalators!$C$44:$C$49,0),MATCH(CC$6,Escalators!$I$43:$U$43,0)))</f>
        <v>0</v>
      </c>
      <c r="CD38" s="47">
        <f>IF($R38="",0,$P38*$AD38*INDEX(Act_Type_Repex_Splits,MATCH($I38,Act_Type_Repex,0),MATCH(CD$5,Mat_Type,0))*INDEX(Escalators!$I$44:$U$49,MATCH(CD$5,Escalators!$C$44:$C$49,0),MATCH(CD$6,Escalators!$I$43:$U$43,0)))</f>
        <v>0</v>
      </c>
      <c r="CE38" s="47">
        <f>IF($R38="",0,$P38*$AD38*INDEX(Act_Type_Repex_Splits,MATCH($I38,Act_Type_Repex,0),MATCH(CE$5,Mat_Type,0))*INDEX(Escalators!$I$44:$U$49,MATCH(CE$5,Escalators!$C$44:$C$49,0),MATCH(CE$6,Escalators!$I$43:$U$43,0)))</f>
        <v>0</v>
      </c>
      <c r="CF38" s="47">
        <f t="shared" si="23"/>
        <v>0</v>
      </c>
      <c r="CG38" s="47">
        <f>IF($R38="",0,$Q38*$AD38*INDEX(Act_Type_Repex_Splits,MATCH($I38,Act_Type_Repex,0),MATCH(CG$5,Mat_Type,0))*INDEX(Escalators!$I$44:$U$49,MATCH(CG$5,Escalators!$C$44:$C$49,0),MATCH(CG$6,Escalators!$I$43:$U$43,0)))</f>
        <v>0</v>
      </c>
      <c r="CH38" s="47">
        <f>IF($R38="",0,$Q38*$AD38*INDEX(Act_Type_Repex_Splits,MATCH($I38,Act_Type_Repex,0),MATCH(CH$5,Mat_Type,0))*INDEX(Escalators!$I$44:$U$49,MATCH(CH$5,Escalators!$C$44:$C$49,0),MATCH(CH$6,Escalators!$I$43:$U$43,0)))</f>
        <v>0</v>
      </c>
      <c r="CI38" s="47">
        <f>IF($R38="",0,$Q38*$AD38*INDEX(Act_Type_Repex_Splits,MATCH($I38,Act_Type_Repex,0),MATCH(CI$5,Mat_Type,0))*INDEX(Escalators!$I$44:$U$49,MATCH(CI$5,Escalators!$C$44:$C$49,0),MATCH(CI$6,Escalators!$I$43:$U$43,0)))</f>
        <v>0</v>
      </c>
      <c r="CJ38" s="47">
        <f>IF($R38="",0,$Q38*$AD38*INDEX(Act_Type_Repex_Splits,MATCH($I38,Act_Type_Repex,0),MATCH(CJ$5,Mat_Type,0))*INDEX(Escalators!$I$44:$U$49,MATCH(CJ$5,Escalators!$C$44:$C$49,0),MATCH(CJ$6,Escalators!$I$43:$U$43,0)))</f>
        <v>0</v>
      </c>
      <c r="CK38" s="47">
        <f>IF($R38="",0,$Q38*$AD38*INDEX(Act_Type_Repex_Splits,MATCH($I38,Act_Type_Repex,0),MATCH(CK$5,Mat_Type,0))*INDEX(Escalators!$I$44:$U$49,MATCH(CK$5,Escalators!$C$44:$C$49,0),MATCH(CK$6,Escalators!$I$43:$U$43,0)))</f>
        <v>0</v>
      </c>
      <c r="CL38" s="47">
        <f t="shared" si="24"/>
        <v>0</v>
      </c>
      <c r="CN38" s="47">
        <f>IF($R38="",0,J38*$AE38*HLOOKUP(CN$6,Escalators!$I$25:$U$30,6,FALSE))</f>
        <v>0</v>
      </c>
      <c r="CO38" s="47">
        <f>IF($R38="",0,K38*$AE38*HLOOKUP(CO$6,Escalators!$I$25:$U$30,6,FALSE))</f>
        <v>0</v>
      </c>
      <c r="CP38" s="47">
        <f>IF($R38="",0,L38*$AE38*HLOOKUP(CP$6,Escalators!$I$25:$U$30,6,FALSE))</f>
        <v>0</v>
      </c>
      <c r="CQ38" s="47">
        <f>IF($R38="",0,M38*$AE38*HLOOKUP(CQ$6,Escalators!$I$25:$U$30,6,FALSE))</f>
        <v>0</v>
      </c>
      <c r="CR38" s="47">
        <f>IF($R38="",0,N38*$AE38*HLOOKUP(CR$6,Escalators!$I$25:$U$30,6,FALSE))</f>
        <v>0</v>
      </c>
      <c r="CS38" s="47">
        <f>IF($R38="",0,O38*$AE38*HLOOKUP(CS$6,Escalators!$I$25:$U$30,6,FALSE))</f>
        <v>0</v>
      </c>
      <c r="CT38" s="47">
        <f>IF($R38="",0,P38*$AE38*HLOOKUP(CT$6,Escalators!$I$25:$U$30,6,FALSE))</f>
        <v>0</v>
      </c>
      <c r="CU38" s="47">
        <f>IF($R38="",0,Q38*$AE38*HLOOKUP(CU$6,Escalators!$I$25:$U$30,6,FALSE))</f>
        <v>0</v>
      </c>
      <c r="CW38" s="82">
        <f t="shared" si="25"/>
        <v>0</v>
      </c>
      <c r="CX38" s="82">
        <f t="shared" si="26"/>
        <v>0</v>
      </c>
      <c r="CY38" s="82">
        <f t="shared" si="27"/>
        <v>0</v>
      </c>
      <c r="CZ38" s="82">
        <f t="shared" si="28"/>
        <v>0</v>
      </c>
      <c r="DA38" s="82">
        <f t="shared" si="29"/>
        <v>0</v>
      </c>
      <c r="DB38" s="82">
        <f t="shared" si="30"/>
        <v>0</v>
      </c>
      <c r="DC38" s="82">
        <f t="shared" si="31"/>
        <v>0</v>
      </c>
      <c r="DD38" s="82">
        <f t="shared" si="32"/>
        <v>0</v>
      </c>
      <c r="DF38" s="47">
        <f t="shared" si="33"/>
        <v>0</v>
      </c>
      <c r="DG38" s="47">
        <f t="shared" si="34"/>
        <v>0</v>
      </c>
      <c r="DH38" s="47">
        <f t="shared" si="35"/>
        <v>0</v>
      </c>
      <c r="DI38" s="47">
        <f t="shared" si="36"/>
        <v>0</v>
      </c>
      <c r="DJ38" s="47">
        <f t="shared" si="37"/>
        <v>0</v>
      </c>
      <c r="DK38" s="47">
        <f t="shared" si="38"/>
        <v>0</v>
      </c>
      <c r="DL38" s="47">
        <f t="shared" si="39"/>
        <v>0</v>
      </c>
      <c r="DM38" s="47">
        <f t="shared" si="40"/>
        <v>0</v>
      </c>
      <c r="DO38" s="39"/>
    </row>
    <row r="39" spans="2:119" x14ac:dyDescent="0.25">
      <c r="T39" s="573">
        <f t="shared" ref="T39:AA39" si="41">SUM(T7:T38)</f>
        <v>0</v>
      </c>
      <c r="U39" s="573">
        <f t="shared" ref="U39:V39" si="42">SUM(U7:U38)</f>
        <v>0</v>
      </c>
      <c r="V39" s="573">
        <f t="shared" si="42"/>
        <v>0</v>
      </c>
      <c r="W39" s="573">
        <f t="shared" si="41"/>
        <v>0</v>
      </c>
      <c r="X39" s="573">
        <f t="shared" si="41"/>
        <v>0</v>
      </c>
      <c r="Y39" s="573">
        <f t="shared" si="41"/>
        <v>0</v>
      </c>
      <c r="Z39" s="573">
        <f t="shared" si="41"/>
        <v>0</v>
      </c>
      <c r="AA39" s="573">
        <f t="shared" si="41"/>
        <v>0</v>
      </c>
      <c r="AB39" s="241"/>
      <c r="AC39" s="241"/>
      <c r="AD39" s="241"/>
      <c r="AE39" s="241"/>
      <c r="AF39" s="241"/>
      <c r="AG39" s="241"/>
      <c r="AH39" s="573">
        <f t="shared" ref="AH39:AO39" si="43">SUM(AH7:AH38)</f>
        <v>0</v>
      </c>
      <c r="AI39" s="573">
        <f t="shared" ref="AI39:AJ39" si="44">SUM(AI7:AI38)</f>
        <v>0</v>
      </c>
      <c r="AJ39" s="573">
        <f t="shared" si="44"/>
        <v>0</v>
      </c>
      <c r="AK39" s="573">
        <f t="shared" si="43"/>
        <v>0</v>
      </c>
      <c r="AL39" s="573">
        <f t="shared" si="43"/>
        <v>0</v>
      </c>
      <c r="AM39" s="573">
        <f t="shared" si="43"/>
        <v>0</v>
      </c>
      <c r="AN39" s="573">
        <f t="shared" si="43"/>
        <v>0</v>
      </c>
      <c r="AO39" s="573">
        <f t="shared" si="43"/>
        <v>0</v>
      </c>
      <c r="AP39" s="241"/>
      <c r="AQ39" s="573">
        <f t="shared" ref="AQ39:CL39" si="45">SUM(AQ7:AQ38)</f>
        <v>0</v>
      </c>
      <c r="AR39" s="573">
        <f t="shared" si="45"/>
        <v>0</v>
      </c>
      <c r="AS39" s="573">
        <f t="shared" si="45"/>
        <v>0</v>
      </c>
      <c r="AT39" s="573">
        <f t="shared" si="45"/>
        <v>0</v>
      </c>
      <c r="AU39" s="573">
        <f t="shared" si="45"/>
        <v>0</v>
      </c>
      <c r="AV39" s="573">
        <f t="shared" si="45"/>
        <v>0</v>
      </c>
      <c r="AW39" s="573">
        <f t="shared" ref="AW39:BG39" si="46">SUM(AW7:AW38)</f>
        <v>0</v>
      </c>
      <c r="AX39" s="573">
        <f t="shared" si="46"/>
        <v>0</v>
      </c>
      <c r="AY39" s="573">
        <f t="shared" si="46"/>
        <v>0</v>
      </c>
      <c r="AZ39" s="573">
        <f t="shared" si="46"/>
        <v>0</v>
      </c>
      <c r="BA39" s="573">
        <f t="shared" si="46"/>
        <v>0</v>
      </c>
      <c r="BB39" s="573">
        <f t="shared" si="46"/>
        <v>0</v>
      </c>
      <c r="BC39" s="573">
        <f t="shared" si="46"/>
        <v>0</v>
      </c>
      <c r="BD39" s="573">
        <f t="shared" si="46"/>
        <v>0</v>
      </c>
      <c r="BE39" s="573">
        <f t="shared" si="46"/>
        <v>0</v>
      </c>
      <c r="BF39" s="573">
        <f t="shared" si="46"/>
        <v>0</v>
      </c>
      <c r="BG39" s="573">
        <f t="shared" si="46"/>
        <v>0</v>
      </c>
      <c r="BH39" s="573">
        <f t="shared" ref="BH39" si="47">SUM(BH7:BH38)</f>
        <v>0</v>
      </c>
      <c r="BI39" s="573">
        <f t="shared" si="45"/>
        <v>0</v>
      </c>
      <c r="BJ39" s="573">
        <f t="shared" si="45"/>
        <v>0</v>
      </c>
      <c r="BK39" s="573">
        <f t="shared" si="45"/>
        <v>0</v>
      </c>
      <c r="BL39" s="573">
        <f t="shared" si="45"/>
        <v>0</v>
      </c>
      <c r="BM39" s="573">
        <f t="shared" si="45"/>
        <v>0</v>
      </c>
      <c r="BN39" s="573">
        <f t="shared" si="45"/>
        <v>0</v>
      </c>
      <c r="BO39" s="573">
        <f t="shared" si="45"/>
        <v>0</v>
      </c>
      <c r="BP39" s="573">
        <f t="shared" si="45"/>
        <v>0</v>
      </c>
      <c r="BQ39" s="573">
        <f t="shared" si="45"/>
        <v>0</v>
      </c>
      <c r="BR39" s="573">
        <f t="shared" si="45"/>
        <v>0</v>
      </c>
      <c r="BS39" s="573">
        <f t="shared" si="45"/>
        <v>0</v>
      </c>
      <c r="BT39" s="573">
        <f t="shared" si="45"/>
        <v>0</v>
      </c>
      <c r="BU39" s="573">
        <f t="shared" si="45"/>
        <v>0</v>
      </c>
      <c r="BV39" s="573">
        <f t="shared" si="45"/>
        <v>0</v>
      </c>
      <c r="BW39" s="573">
        <f t="shared" si="45"/>
        <v>0</v>
      </c>
      <c r="BX39" s="573">
        <f t="shared" si="45"/>
        <v>0</v>
      </c>
      <c r="BY39" s="573">
        <f t="shared" si="45"/>
        <v>0</v>
      </c>
      <c r="BZ39" s="573">
        <f t="shared" si="45"/>
        <v>0</v>
      </c>
      <c r="CA39" s="573">
        <f t="shared" si="45"/>
        <v>0</v>
      </c>
      <c r="CB39" s="573">
        <f t="shared" si="45"/>
        <v>0</v>
      </c>
      <c r="CC39" s="573">
        <f t="shared" si="45"/>
        <v>0</v>
      </c>
      <c r="CD39" s="573">
        <f t="shared" si="45"/>
        <v>0</v>
      </c>
      <c r="CE39" s="573">
        <f t="shared" si="45"/>
        <v>0</v>
      </c>
      <c r="CF39" s="573">
        <f t="shared" si="45"/>
        <v>0</v>
      </c>
      <c r="CG39" s="573">
        <f t="shared" si="45"/>
        <v>0</v>
      </c>
      <c r="CH39" s="573">
        <f t="shared" si="45"/>
        <v>0</v>
      </c>
      <c r="CI39" s="573">
        <f t="shared" si="45"/>
        <v>0</v>
      </c>
      <c r="CJ39" s="573">
        <f t="shared" si="45"/>
        <v>0</v>
      </c>
      <c r="CK39" s="573">
        <f t="shared" si="45"/>
        <v>0</v>
      </c>
      <c r="CL39" s="573">
        <f t="shared" si="45"/>
        <v>0</v>
      </c>
      <c r="CM39" s="241"/>
      <c r="CN39" s="573">
        <f t="shared" ref="CN39:CU39" si="48">SUM(CN7:CN38)</f>
        <v>0</v>
      </c>
      <c r="CO39" s="573">
        <f t="shared" ref="CO39:CP39" si="49">SUM(CO7:CO38)</f>
        <v>0</v>
      </c>
      <c r="CP39" s="573">
        <f t="shared" si="49"/>
        <v>0</v>
      </c>
      <c r="CQ39" s="573">
        <f t="shared" si="48"/>
        <v>0</v>
      </c>
      <c r="CR39" s="573">
        <f t="shared" si="48"/>
        <v>0</v>
      </c>
      <c r="CS39" s="573">
        <f t="shared" si="48"/>
        <v>0</v>
      </c>
      <c r="CT39" s="573">
        <f t="shared" si="48"/>
        <v>0</v>
      </c>
      <c r="CU39" s="573">
        <f t="shared" si="48"/>
        <v>0</v>
      </c>
      <c r="CV39" s="241"/>
      <c r="CW39" s="573">
        <f t="shared" ref="CW39:DD39" si="50">SUM(CW7:CW38)</f>
        <v>0</v>
      </c>
      <c r="CX39" s="573">
        <f t="shared" ref="CX39:CY39" si="51">SUM(CX7:CX38)</f>
        <v>0</v>
      </c>
      <c r="CY39" s="573">
        <f t="shared" si="51"/>
        <v>0</v>
      </c>
      <c r="CZ39" s="573">
        <f t="shared" si="50"/>
        <v>0</v>
      </c>
      <c r="DA39" s="573">
        <f t="shared" si="50"/>
        <v>0</v>
      </c>
      <c r="DB39" s="573">
        <f t="shared" si="50"/>
        <v>0</v>
      </c>
      <c r="DC39" s="573">
        <f t="shared" si="50"/>
        <v>0</v>
      </c>
      <c r="DD39" s="573">
        <f t="shared" si="50"/>
        <v>0</v>
      </c>
      <c r="DE39" s="241"/>
      <c r="DF39" s="573">
        <f t="shared" ref="DF39:DM39" si="52">SUM(DF7:DF38)</f>
        <v>0</v>
      </c>
      <c r="DG39" s="573">
        <f t="shared" ref="DG39:DH39" si="53">SUM(DG7:DG38)</f>
        <v>0</v>
      </c>
      <c r="DH39" s="573">
        <f t="shared" si="53"/>
        <v>0</v>
      </c>
      <c r="DI39" s="573">
        <f t="shared" si="52"/>
        <v>0</v>
      </c>
      <c r="DJ39" s="573">
        <f t="shared" si="52"/>
        <v>0</v>
      </c>
      <c r="DK39" s="573">
        <f t="shared" si="52"/>
        <v>0</v>
      </c>
      <c r="DL39" s="573">
        <f t="shared" si="52"/>
        <v>0</v>
      </c>
      <c r="DM39" s="573">
        <f t="shared" si="52"/>
        <v>0</v>
      </c>
    </row>
    <row r="40" spans="2:119" x14ac:dyDescent="0.25">
      <c r="DF40" s="84">
        <f t="shared" ref="DF40:DM40" si="54">IF(ISERROR((DF39-T39)/T39),0,(DF39-T39)/T39)</f>
        <v>0</v>
      </c>
      <c r="DG40" s="84">
        <f t="shared" si="54"/>
        <v>0</v>
      </c>
      <c r="DH40" s="84">
        <f t="shared" si="54"/>
        <v>0</v>
      </c>
      <c r="DI40" s="84">
        <f t="shared" si="54"/>
        <v>0</v>
      </c>
      <c r="DJ40" s="84">
        <f t="shared" si="54"/>
        <v>0</v>
      </c>
      <c r="DK40" s="84">
        <f t="shared" si="54"/>
        <v>0</v>
      </c>
      <c r="DL40" s="84">
        <f t="shared" si="54"/>
        <v>0</v>
      </c>
      <c r="DM40" s="84">
        <f t="shared" si="54"/>
        <v>0</v>
      </c>
    </row>
    <row r="41" spans="2:119" x14ac:dyDescent="0.25">
      <c r="R41" s="1" t="s">
        <v>133</v>
      </c>
      <c r="AA41" s="39">
        <f>SUM(W39:AA39)</f>
        <v>0</v>
      </c>
    </row>
    <row r="42" spans="2:119" x14ac:dyDescent="0.25">
      <c r="W42" s="39"/>
      <c r="X42" s="39"/>
      <c r="Y42" s="39"/>
      <c r="Z42" s="39"/>
      <c r="AA42" s="39"/>
    </row>
  </sheetData>
  <mergeCells count="12">
    <mergeCell ref="DF5:DM5"/>
    <mergeCell ref="J5:Q5"/>
    <mergeCell ref="T5:AA5"/>
    <mergeCell ref="AH5:AO5"/>
    <mergeCell ref="CN5:CU5"/>
    <mergeCell ref="CW5:DD5"/>
    <mergeCell ref="M1:N1"/>
    <mergeCell ref="T3:AA3"/>
    <mergeCell ref="AH3:AO3"/>
    <mergeCell ref="CN3:CU3"/>
    <mergeCell ref="DF3:DM3"/>
    <mergeCell ref="CW3:DD3"/>
  </mergeCells>
  <hyperlinks>
    <hyperlink ref="B2" location="Contents!A1" display="Table of Contents"/>
  </hyperlink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5">
        <x14:dataValidation type="list" errorStyle="warning" showInputMessage="1" showErrorMessage="1" error="Invalid data entered" prompt="Select from drop down list">
          <x14:formula1>
            <xm:f>Lookups!$C$16:$C$27</xm:f>
          </x14:formula1>
          <xm:sqref>F7:F38</xm:sqref>
        </x14:dataValidation>
        <x14:dataValidation type="list" errorStyle="warning" showInputMessage="1" showErrorMessage="1" error="Invalid data entered" prompt="Select from drop down list">
          <x14:formula1>
            <xm:f>Lookups!$C$5:$C$13</xm:f>
          </x14:formula1>
          <xm:sqref>E7:E38</xm:sqref>
        </x14:dataValidation>
        <x14:dataValidation type="list" errorStyle="warning" allowBlank="1" showInputMessage="1" showErrorMessage="1" prompt="Select from drop down list">
          <x14:formula1>
            <xm:f>Lab_Mat!$C$62:$C$98</xm:f>
          </x14:formula1>
          <xm:sqref>I7:I38</xm:sqref>
        </x14:dataValidation>
        <x14:dataValidation type="list" errorStyle="warning" showInputMessage="1" showErrorMessage="1" error="Invalid data entered" prompt="Select from drop down list">
          <x14:formula1>
            <xm:f>Lookups!$I$5:$I$10</xm:f>
          </x14:formula1>
          <xm:sqref>G7:G38</xm:sqref>
        </x14:dataValidation>
        <x14:dataValidation type="list" errorStyle="warning" allowBlank="1" showInputMessage="1" showErrorMessage="1" prompt="Select from drop down list">
          <x14:formula1>
            <xm:f>Lab_Mat!$C$13:$C$22</xm:f>
          </x14:formula1>
          <xm:sqref>H7:H38</xm:sqref>
        </x14:dataValidation>
      </x14:dataValidations>
    </ex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DT44"/>
  <sheetViews>
    <sheetView topLeftCell="A5" zoomScale="85" zoomScaleNormal="85" zoomScalePageLayoutView="125" workbookViewId="0">
      <pane xSplit="4" topLeftCell="H1" activePane="topRight" state="frozen"/>
      <selection activeCell="V33" sqref="V33"/>
      <selection pane="topRight" activeCell="L17" sqref="L17"/>
    </sheetView>
  </sheetViews>
  <sheetFormatPr defaultColWidth="8.85546875" defaultRowHeight="15" outlineLevelRow="1" outlineLevelCol="1" x14ac:dyDescent="0.25"/>
  <cols>
    <col min="1" max="1" width="4" style="1" customWidth="1"/>
    <col min="2" max="2" width="12" style="1" customWidth="1"/>
    <col min="3" max="3" width="41.28515625" style="1" customWidth="1"/>
    <col min="4" max="4" width="22.28515625" style="1" customWidth="1"/>
    <col min="5" max="5" width="27.28515625" style="1" customWidth="1" outlineLevel="1"/>
    <col min="6" max="6" width="33.42578125" style="1" customWidth="1" outlineLevel="1"/>
    <col min="7" max="7" width="28" style="1" customWidth="1" outlineLevel="1"/>
    <col min="8" max="8" width="20.42578125" style="1" customWidth="1" outlineLevel="1"/>
    <col min="9" max="9" width="28.28515625" style="1" customWidth="1" outlineLevel="1"/>
    <col min="10" max="18" width="8.85546875" style="1"/>
    <col min="19" max="19" width="3.7109375" style="1" customWidth="1"/>
    <col min="20" max="27" width="9.7109375" style="1" customWidth="1"/>
    <col min="28" max="28" width="3.42578125" style="1" customWidth="1"/>
    <col min="29" max="30" width="8.85546875" style="1"/>
    <col min="31" max="32" width="9.140625" style="1" customWidth="1"/>
    <col min="33" max="33" width="3" style="1" customWidth="1"/>
    <col min="34" max="41" width="8.85546875" style="1"/>
    <col min="42" max="42" width="2.7109375" style="1" customWidth="1"/>
    <col min="43" max="47" width="10.42578125" style="1" hidden="1" customWidth="1" outlineLevel="1"/>
    <col min="48" max="48" width="8.85546875" style="1" collapsed="1"/>
    <col min="49" max="53" width="10.42578125" style="1" hidden="1" customWidth="1" outlineLevel="1"/>
    <col min="54" max="54" width="8.85546875" style="1" collapsed="1"/>
    <col min="55" max="59" width="0" style="1" hidden="1" customWidth="1" outlineLevel="1"/>
    <col min="60" max="60" width="8.85546875" style="1" collapsed="1"/>
    <col min="61" max="65" width="10.42578125" style="1" hidden="1" customWidth="1" outlineLevel="1"/>
    <col min="66" max="66" width="8.85546875" style="1" collapsed="1"/>
    <col min="67" max="71" width="9.140625" style="1" hidden="1" customWidth="1" outlineLevel="1"/>
    <col min="72" max="72" width="8.85546875" style="1" collapsed="1"/>
    <col min="73" max="77" width="9.140625" style="1" hidden="1" customWidth="1" outlineLevel="1"/>
    <col min="78" max="78" width="8.85546875" style="1" collapsed="1"/>
    <col min="79" max="83" width="9.140625" style="1" hidden="1" customWidth="1" outlineLevel="1"/>
    <col min="84" max="84" width="8.85546875" style="1" collapsed="1"/>
    <col min="85" max="89" width="9.140625" style="1" hidden="1" customWidth="1" outlineLevel="1"/>
    <col min="90" max="90" width="8.85546875" style="1" collapsed="1"/>
    <col min="91" max="91" width="2.7109375" style="1" customWidth="1"/>
    <col min="92" max="99" width="8.85546875" style="1"/>
    <col min="100" max="100" width="2.85546875" style="1" customWidth="1"/>
    <col min="101" max="108" width="8.85546875" style="1"/>
    <col min="109" max="109" width="2.85546875" style="1" customWidth="1"/>
    <col min="110" max="16384" width="8.85546875" style="1"/>
  </cols>
  <sheetData>
    <row r="1" spans="2:124" ht="18.75" x14ac:dyDescent="0.3">
      <c r="B1" s="10" t="s">
        <v>2</v>
      </c>
      <c r="M1" s="825" t="s">
        <v>749</v>
      </c>
      <c r="N1" s="825"/>
    </row>
    <row r="2" spans="2:124" x14ac:dyDescent="0.25">
      <c r="B2" s="25" t="s">
        <v>6</v>
      </c>
    </row>
    <row r="3" spans="2:124" x14ac:dyDescent="0.25">
      <c r="R3" s="66"/>
      <c r="T3" s="829"/>
      <c r="U3" s="829"/>
      <c r="V3" s="829"/>
      <c r="W3" s="829"/>
      <c r="X3" s="829"/>
      <c r="Y3" s="829"/>
      <c r="Z3" s="829"/>
      <c r="AA3" s="829"/>
      <c r="AH3" s="829"/>
      <c r="AI3" s="829"/>
      <c r="AJ3" s="829"/>
      <c r="AK3" s="829"/>
      <c r="AL3" s="829"/>
      <c r="AM3" s="829"/>
      <c r="AN3" s="829"/>
      <c r="AO3" s="829"/>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N3" s="829"/>
      <c r="CO3" s="829"/>
      <c r="CP3" s="829"/>
      <c r="CQ3" s="829"/>
      <c r="CR3" s="829"/>
      <c r="CS3" s="829"/>
      <c r="CT3" s="829"/>
      <c r="CU3" s="829"/>
      <c r="CW3" s="829"/>
      <c r="CX3" s="829"/>
      <c r="CY3" s="829"/>
      <c r="CZ3" s="829"/>
      <c r="DA3" s="829"/>
      <c r="DB3" s="829"/>
      <c r="DC3" s="829"/>
      <c r="DD3" s="829"/>
      <c r="DF3" s="829"/>
      <c r="DG3" s="829"/>
      <c r="DH3" s="829"/>
      <c r="DI3" s="829"/>
      <c r="DJ3" s="829"/>
      <c r="DK3" s="829"/>
      <c r="DL3" s="829"/>
      <c r="DM3" s="829"/>
    </row>
    <row r="4" spans="2:124" hidden="1" outlineLevel="1" x14ac:dyDescent="0.25">
      <c r="R4" s="66"/>
      <c r="T4" s="80"/>
      <c r="U4" s="221"/>
      <c r="V4" s="333"/>
      <c r="W4" s="80"/>
      <c r="X4" s="80"/>
      <c r="Y4" s="80"/>
      <c r="Z4" s="80"/>
      <c r="AA4" s="80"/>
      <c r="AC4" s="1" t="s">
        <v>174</v>
      </c>
      <c r="AD4" s="1" t="s">
        <v>173</v>
      </c>
      <c r="AE4" s="1" t="s">
        <v>299</v>
      </c>
      <c r="AF4" s="1" t="s">
        <v>175</v>
      </c>
      <c r="AH4" s="80"/>
      <c r="AI4" s="221"/>
      <c r="AJ4" s="333"/>
      <c r="AK4" s="80"/>
      <c r="AL4" s="80"/>
      <c r="AM4" s="80"/>
      <c r="AN4" s="80"/>
      <c r="AO4" s="80"/>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N4" s="80"/>
      <c r="CO4" s="221"/>
      <c r="CP4" s="333"/>
      <c r="CQ4" s="80"/>
      <c r="CR4" s="80"/>
      <c r="CS4" s="80"/>
      <c r="CT4" s="80"/>
      <c r="CU4" s="80"/>
      <c r="CW4" s="93"/>
      <c r="CX4" s="221"/>
      <c r="CY4" s="333"/>
      <c r="CZ4" s="93"/>
      <c r="DA4" s="93"/>
      <c r="DB4" s="93"/>
      <c r="DC4" s="93"/>
      <c r="DD4" s="93"/>
      <c r="DF4" s="80"/>
      <c r="DG4" s="221"/>
      <c r="DH4" s="333"/>
      <c r="DI4" s="80"/>
      <c r="DJ4" s="80"/>
      <c r="DK4" s="80"/>
      <c r="DL4" s="80"/>
      <c r="DM4" s="80"/>
    </row>
    <row r="5" spans="2:124" ht="75" collapsed="1" x14ac:dyDescent="0.25">
      <c r="J5" s="826" t="s">
        <v>387</v>
      </c>
      <c r="K5" s="827"/>
      <c r="L5" s="827"/>
      <c r="M5" s="827"/>
      <c r="N5" s="827"/>
      <c r="O5" s="827"/>
      <c r="P5" s="827"/>
      <c r="Q5" s="828"/>
      <c r="R5" s="9" t="s">
        <v>379</v>
      </c>
      <c r="T5" s="826" t="s">
        <v>388</v>
      </c>
      <c r="U5" s="827"/>
      <c r="V5" s="827"/>
      <c r="W5" s="827"/>
      <c r="X5" s="827"/>
      <c r="Y5" s="827"/>
      <c r="Z5" s="827"/>
      <c r="AA5" s="828"/>
      <c r="AC5" s="9" t="s">
        <v>383</v>
      </c>
      <c r="AD5" s="9" t="s">
        <v>384</v>
      </c>
      <c r="AE5" s="9" t="s">
        <v>385</v>
      </c>
      <c r="AF5" s="9" t="s">
        <v>386</v>
      </c>
      <c r="AG5" s="57"/>
      <c r="AH5" s="826" t="s">
        <v>174</v>
      </c>
      <c r="AI5" s="827"/>
      <c r="AJ5" s="827"/>
      <c r="AK5" s="827"/>
      <c r="AL5" s="827"/>
      <c r="AM5" s="827"/>
      <c r="AN5" s="827"/>
      <c r="AO5" s="828"/>
      <c r="AP5" s="57"/>
      <c r="AQ5" s="9" t="s">
        <v>180</v>
      </c>
      <c r="AR5" s="9" t="s">
        <v>181</v>
      </c>
      <c r="AS5" s="9" t="s">
        <v>182</v>
      </c>
      <c r="AT5" s="9" t="s">
        <v>183</v>
      </c>
      <c r="AU5" s="9" t="s">
        <v>5</v>
      </c>
      <c r="AV5" s="9" t="s">
        <v>173</v>
      </c>
      <c r="AW5" s="9" t="s">
        <v>180</v>
      </c>
      <c r="AX5" s="9" t="s">
        <v>181</v>
      </c>
      <c r="AY5" s="9" t="s">
        <v>182</v>
      </c>
      <c r="AZ5" s="9" t="s">
        <v>183</v>
      </c>
      <c r="BA5" s="9" t="s">
        <v>5</v>
      </c>
      <c r="BB5" s="9" t="s">
        <v>173</v>
      </c>
      <c r="BC5" s="9" t="s">
        <v>180</v>
      </c>
      <c r="BD5" s="9" t="s">
        <v>181</v>
      </c>
      <c r="BE5" s="9" t="s">
        <v>182</v>
      </c>
      <c r="BF5" s="9" t="s">
        <v>183</v>
      </c>
      <c r="BG5" s="9" t="s">
        <v>5</v>
      </c>
      <c r="BH5" s="9" t="s">
        <v>173</v>
      </c>
      <c r="BI5" s="9" t="s">
        <v>180</v>
      </c>
      <c r="BJ5" s="9" t="s">
        <v>181</v>
      </c>
      <c r="BK5" s="9" t="s">
        <v>182</v>
      </c>
      <c r="BL5" s="9" t="s">
        <v>183</v>
      </c>
      <c r="BM5" s="9" t="s">
        <v>5</v>
      </c>
      <c r="BN5" s="9" t="s">
        <v>173</v>
      </c>
      <c r="BO5" s="9" t="s">
        <v>180</v>
      </c>
      <c r="BP5" s="9" t="s">
        <v>181</v>
      </c>
      <c r="BQ5" s="9" t="s">
        <v>182</v>
      </c>
      <c r="BR5" s="9" t="s">
        <v>183</v>
      </c>
      <c r="BS5" s="9" t="s">
        <v>5</v>
      </c>
      <c r="BT5" s="9" t="s">
        <v>173</v>
      </c>
      <c r="BU5" s="9" t="s">
        <v>180</v>
      </c>
      <c r="BV5" s="9" t="s">
        <v>181</v>
      </c>
      <c r="BW5" s="9" t="s">
        <v>182</v>
      </c>
      <c r="BX5" s="9" t="s">
        <v>183</v>
      </c>
      <c r="BY5" s="9" t="s">
        <v>5</v>
      </c>
      <c r="BZ5" s="9" t="s">
        <v>173</v>
      </c>
      <c r="CA5" s="9" t="s">
        <v>180</v>
      </c>
      <c r="CB5" s="9" t="s">
        <v>181</v>
      </c>
      <c r="CC5" s="9" t="s">
        <v>182</v>
      </c>
      <c r="CD5" s="9" t="s">
        <v>183</v>
      </c>
      <c r="CE5" s="9" t="s">
        <v>5</v>
      </c>
      <c r="CF5" s="9" t="s">
        <v>173</v>
      </c>
      <c r="CG5" s="9" t="s">
        <v>180</v>
      </c>
      <c r="CH5" s="9" t="s">
        <v>181</v>
      </c>
      <c r="CI5" s="9" t="s">
        <v>182</v>
      </c>
      <c r="CJ5" s="9" t="s">
        <v>183</v>
      </c>
      <c r="CK5" s="9" t="s">
        <v>5</v>
      </c>
      <c r="CL5" s="9" t="s">
        <v>173</v>
      </c>
      <c r="CM5" s="57"/>
      <c r="CN5" s="826" t="s">
        <v>299</v>
      </c>
      <c r="CO5" s="827"/>
      <c r="CP5" s="827"/>
      <c r="CQ5" s="827"/>
      <c r="CR5" s="827"/>
      <c r="CS5" s="827"/>
      <c r="CT5" s="827"/>
      <c r="CU5" s="828"/>
      <c r="CV5" s="57"/>
      <c r="CW5" s="826" t="s">
        <v>175</v>
      </c>
      <c r="CX5" s="827"/>
      <c r="CY5" s="827"/>
      <c r="CZ5" s="827"/>
      <c r="DA5" s="827"/>
      <c r="DB5" s="827"/>
      <c r="DC5" s="827"/>
      <c r="DD5" s="828"/>
      <c r="DE5" s="57"/>
      <c r="DF5" s="826" t="s">
        <v>381</v>
      </c>
      <c r="DG5" s="827"/>
      <c r="DH5" s="827"/>
      <c r="DI5" s="827"/>
      <c r="DJ5" s="827"/>
      <c r="DK5" s="827"/>
      <c r="DL5" s="827"/>
      <c r="DM5" s="828"/>
    </row>
    <row r="6" spans="2:124" x14ac:dyDescent="0.25">
      <c r="B6" s="8" t="s">
        <v>23</v>
      </c>
      <c r="C6" s="8" t="s">
        <v>24</v>
      </c>
      <c r="D6" s="17" t="s">
        <v>98</v>
      </c>
      <c r="E6" s="17" t="s">
        <v>76</v>
      </c>
      <c r="F6" s="17" t="s">
        <v>77</v>
      </c>
      <c r="G6" s="17" t="s">
        <v>324</v>
      </c>
      <c r="H6" s="17" t="s">
        <v>212</v>
      </c>
      <c r="I6" s="17" t="s">
        <v>177</v>
      </c>
      <c r="J6" s="335">
        <f>CP_Yr_4</f>
        <v>43800</v>
      </c>
      <c r="K6" s="335">
        <f>CP_Yr_5</f>
        <v>44166</v>
      </c>
      <c r="L6" s="335">
        <f>Stub</f>
        <v>44377</v>
      </c>
      <c r="M6" s="335">
        <f>Yr_1</f>
        <v>44742</v>
      </c>
      <c r="N6" s="335">
        <f>Yr_2</f>
        <v>45107</v>
      </c>
      <c r="O6" s="335">
        <f>Yr_3</f>
        <v>45473</v>
      </c>
      <c r="P6" s="335">
        <f>Yr_4</f>
        <v>45838</v>
      </c>
      <c r="Q6" s="335">
        <f>Yr_5</f>
        <v>46203</v>
      </c>
      <c r="R6" s="17"/>
      <c r="T6" s="335">
        <f>CP_Yr_4</f>
        <v>43800</v>
      </c>
      <c r="U6" s="335">
        <f>CP_Yr_5</f>
        <v>44166</v>
      </c>
      <c r="V6" s="335">
        <f>Stub</f>
        <v>44377</v>
      </c>
      <c r="W6" s="335">
        <f>Yr_1</f>
        <v>44742</v>
      </c>
      <c r="X6" s="335">
        <f>Yr_2</f>
        <v>45107</v>
      </c>
      <c r="Y6" s="335">
        <f>Yr_3</f>
        <v>45473</v>
      </c>
      <c r="Z6" s="335">
        <f>Yr_4</f>
        <v>45838</v>
      </c>
      <c r="AA6" s="335">
        <f>Yr_5</f>
        <v>46203</v>
      </c>
      <c r="AB6" s="336"/>
      <c r="AC6" s="335"/>
      <c r="AD6" s="335"/>
      <c r="AE6" s="335"/>
      <c r="AF6" s="335"/>
      <c r="AG6" s="223"/>
      <c r="AH6" s="335">
        <f>CP_Yr_4</f>
        <v>43800</v>
      </c>
      <c r="AI6" s="335">
        <f>CP_Yr_5</f>
        <v>44166</v>
      </c>
      <c r="AJ6" s="335">
        <f>Stub</f>
        <v>44377</v>
      </c>
      <c r="AK6" s="335">
        <f>Yr_1</f>
        <v>44742</v>
      </c>
      <c r="AL6" s="335">
        <f>Yr_2</f>
        <v>45107</v>
      </c>
      <c r="AM6" s="335">
        <f>Yr_3</f>
        <v>45473</v>
      </c>
      <c r="AN6" s="335">
        <f>Yr_4</f>
        <v>45838</v>
      </c>
      <c r="AO6" s="335">
        <f>Yr_5</f>
        <v>46203</v>
      </c>
      <c r="AP6" s="336"/>
      <c r="AQ6" s="335">
        <f t="shared" ref="AQ6:AV6" si="0">CP_Yr_4</f>
        <v>43800</v>
      </c>
      <c r="AR6" s="335">
        <f t="shared" si="0"/>
        <v>43800</v>
      </c>
      <c r="AS6" s="335">
        <f t="shared" si="0"/>
        <v>43800</v>
      </c>
      <c r="AT6" s="335">
        <f t="shared" si="0"/>
        <v>43800</v>
      </c>
      <c r="AU6" s="335">
        <f t="shared" si="0"/>
        <v>43800</v>
      </c>
      <c r="AV6" s="335">
        <f t="shared" si="0"/>
        <v>43800</v>
      </c>
      <c r="AW6" s="335">
        <f t="shared" ref="AW6:BB6" si="1">CP_Yr_5</f>
        <v>44166</v>
      </c>
      <c r="AX6" s="335">
        <f t="shared" si="1"/>
        <v>44166</v>
      </c>
      <c r="AY6" s="335">
        <f t="shared" si="1"/>
        <v>44166</v>
      </c>
      <c r="AZ6" s="335">
        <f t="shared" si="1"/>
        <v>44166</v>
      </c>
      <c r="BA6" s="335">
        <f t="shared" si="1"/>
        <v>44166</v>
      </c>
      <c r="BB6" s="335">
        <f t="shared" si="1"/>
        <v>44166</v>
      </c>
      <c r="BC6" s="335">
        <f t="shared" ref="BC6:BH6" si="2">Stub</f>
        <v>44377</v>
      </c>
      <c r="BD6" s="335">
        <f t="shared" si="2"/>
        <v>44377</v>
      </c>
      <c r="BE6" s="335">
        <f t="shared" si="2"/>
        <v>44377</v>
      </c>
      <c r="BF6" s="335">
        <f t="shared" si="2"/>
        <v>44377</v>
      </c>
      <c r="BG6" s="335">
        <f t="shared" si="2"/>
        <v>44377</v>
      </c>
      <c r="BH6" s="335">
        <f t="shared" si="2"/>
        <v>44377</v>
      </c>
      <c r="BI6" s="335">
        <f t="shared" ref="BI6:BN6" si="3">Yr_1</f>
        <v>44742</v>
      </c>
      <c r="BJ6" s="335">
        <f t="shared" si="3"/>
        <v>44742</v>
      </c>
      <c r="BK6" s="335">
        <f t="shared" si="3"/>
        <v>44742</v>
      </c>
      <c r="BL6" s="335">
        <f t="shared" si="3"/>
        <v>44742</v>
      </c>
      <c r="BM6" s="335">
        <f t="shared" si="3"/>
        <v>44742</v>
      </c>
      <c r="BN6" s="335">
        <f t="shared" si="3"/>
        <v>44742</v>
      </c>
      <c r="BO6" s="335">
        <f t="shared" ref="BO6:BT6" si="4">Yr_2</f>
        <v>45107</v>
      </c>
      <c r="BP6" s="335">
        <f t="shared" si="4"/>
        <v>45107</v>
      </c>
      <c r="BQ6" s="335">
        <f t="shared" si="4"/>
        <v>45107</v>
      </c>
      <c r="BR6" s="335">
        <f t="shared" si="4"/>
        <v>45107</v>
      </c>
      <c r="BS6" s="335">
        <f t="shared" si="4"/>
        <v>45107</v>
      </c>
      <c r="BT6" s="335">
        <f t="shared" si="4"/>
        <v>45107</v>
      </c>
      <c r="BU6" s="335">
        <f t="shared" ref="BU6:BZ6" si="5">Yr_3</f>
        <v>45473</v>
      </c>
      <c r="BV6" s="335">
        <f t="shared" si="5"/>
        <v>45473</v>
      </c>
      <c r="BW6" s="335">
        <f t="shared" si="5"/>
        <v>45473</v>
      </c>
      <c r="BX6" s="335">
        <f t="shared" si="5"/>
        <v>45473</v>
      </c>
      <c r="BY6" s="335">
        <f t="shared" si="5"/>
        <v>45473</v>
      </c>
      <c r="BZ6" s="335">
        <f t="shared" si="5"/>
        <v>45473</v>
      </c>
      <c r="CA6" s="335">
        <f t="shared" ref="CA6:CF6" si="6">Yr_4</f>
        <v>45838</v>
      </c>
      <c r="CB6" s="335">
        <f t="shared" si="6"/>
        <v>45838</v>
      </c>
      <c r="CC6" s="335">
        <f t="shared" si="6"/>
        <v>45838</v>
      </c>
      <c r="CD6" s="335">
        <f t="shared" si="6"/>
        <v>45838</v>
      </c>
      <c r="CE6" s="335">
        <f t="shared" si="6"/>
        <v>45838</v>
      </c>
      <c r="CF6" s="335">
        <f t="shared" si="6"/>
        <v>45838</v>
      </c>
      <c r="CG6" s="335">
        <f t="shared" ref="CG6:CL6" si="7">Yr_5</f>
        <v>46203</v>
      </c>
      <c r="CH6" s="335">
        <f t="shared" si="7"/>
        <v>46203</v>
      </c>
      <c r="CI6" s="335">
        <f t="shared" si="7"/>
        <v>46203</v>
      </c>
      <c r="CJ6" s="335">
        <f t="shared" si="7"/>
        <v>46203</v>
      </c>
      <c r="CK6" s="335">
        <f t="shared" si="7"/>
        <v>46203</v>
      </c>
      <c r="CL6" s="335">
        <f t="shared" si="7"/>
        <v>46203</v>
      </c>
      <c r="CM6" s="336"/>
      <c r="CN6" s="335">
        <f>CP_Yr_4</f>
        <v>43800</v>
      </c>
      <c r="CO6" s="335">
        <f>CP_Yr_5</f>
        <v>44166</v>
      </c>
      <c r="CP6" s="335">
        <f>Stub</f>
        <v>44377</v>
      </c>
      <c r="CQ6" s="335">
        <f>Yr_1</f>
        <v>44742</v>
      </c>
      <c r="CR6" s="335">
        <f>Yr_2</f>
        <v>45107</v>
      </c>
      <c r="CS6" s="335">
        <f>Yr_3</f>
        <v>45473</v>
      </c>
      <c r="CT6" s="335">
        <f>Yr_4</f>
        <v>45838</v>
      </c>
      <c r="CU6" s="335">
        <f>Yr_5</f>
        <v>46203</v>
      </c>
      <c r="CV6" s="336"/>
      <c r="CW6" s="335">
        <f>CP_Yr_4</f>
        <v>43800</v>
      </c>
      <c r="CX6" s="335">
        <f>CP_Yr_5</f>
        <v>44166</v>
      </c>
      <c r="CY6" s="335">
        <f>Stub</f>
        <v>44377</v>
      </c>
      <c r="CZ6" s="335">
        <f>Yr_1</f>
        <v>44742</v>
      </c>
      <c r="DA6" s="335">
        <f>Yr_2</f>
        <v>45107</v>
      </c>
      <c r="DB6" s="335">
        <f>Yr_3</f>
        <v>45473</v>
      </c>
      <c r="DC6" s="335">
        <f>Yr_4</f>
        <v>45838</v>
      </c>
      <c r="DD6" s="335">
        <f>Yr_5</f>
        <v>46203</v>
      </c>
      <c r="DE6" s="336"/>
      <c r="DF6" s="335">
        <f>CP_Yr_4</f>
        <v>43800</v>
      </c>
      <c r="DG6" s="335">
        <f>CP_Yr_5</f>
        <v>44166</v>
      </c>
      <c r="DH6" s="335">
        <f>Stub</f>
        <v>44377</v>
      </c>
      <c r="DI6" s="335">
        <f>Yr_1</f>
        <v>44742</v>
      </c>
      <c r="DJ6" s="335">
        <f>Yr_2</f>
        <v>45107</v>
      </c>
      <c r="DK6" s="335">
        <f>Yr_3</f>
        <v>45473</v>
      </c>
      <c r="DL6" s="335">
        <f>Yr_4</f>
        <v>45838</v>
      </c>
      <c r="DM6" s="335">
        <f>Yr_5</f>
        <v>46203</v>
      </c>
    </row>
    <row r="7" spans="2:124" x14ac:dyDescent="0.25">
      <c r="B7" s="7"/>
      <c r="C7" s="7" t="s">
        <v>260</v>
      </c>
      <c r="D7" s="7" t="s">
        <v>102</v>
      </c>
      <c r="E7" s="7" t="s">
        <v>44</v>
      </c>
      <c r="F7" s="7" t="s">
        <v>52</v>
      </c>
      <c r="G7" s="7" t="s">
        <v>150</v>
      </c>
      <c r="H7" s="7" t="s">
        <v>102</v>
      </c>
      <c r="I7" s="7" t="s">
        <v>190</v>
      </c>
      <c r="J7" s="45"/>
      <c r="K7" s="45"/>
      <c r="L7" s="45"/>
      <c r="M7" s="762"/>
      <c r="N7" s="762"/>
      <c r="O7" s="762"/>
      <c r="P7" s="762"/>
      <c r="Q7" s="762"/>
      <c r="R7" s="540"/>
      <c r="S7" s="241"/>
      <c r="T7" s="539"/>
      <c r="U7" s="539"/>
      <c r="V7" s="539"/>
      <c r="W7" s="539"/>
      <c r="X7" s="539"/>
      <c r="Y7" s="539"/>
      <c r="Z7" s="539"/>
      <c r="AA7" s="539"/>
      <c r="AB7" s="241"/>
      <c r="AC7" s="540"/>
      <c r="AD7" s="540"/>
      <c r="AE7" s="540"/>
      <c r="AF7" s="540"/>
      <c r="AG7" s="241"/>
      <c r="AH7" s="539"/>
      <c r="AI7" s="539"/>
      <c r="AJ7" s="539"/>
      <c r="AK7" s="539"/>
      <c r="AL7" s="539"/>
      <c r="AM7" s="539"/>
      <c r="AN7" s="539"/>
      <c r="AO7" s="539"/>
      <c r="AP7" s="241"/>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241"/>
      <c r="CN7" s="539"/>
      <c r="CO7" s="539"/>
      <c r="CP7" s="539"/>
      <c r="CQ7" s="539"/>
      <c r="CR7" s="539"/>
      <c r="CS7" s="539"/>
      <c r="CT7" s="539"/>
      <c r="CU7" s="539"/>
      <c r="CV7" s="241"/>
      <c r="CW7" s="539"/>
      <c r="CX7" s="539"/>
      <c r="CY7" s="539"/>
      <c r="CZ7" s="539"/>
      <c r="DA7" s="539"/>
      <c r="DB7" s="539"/>
      <c r="DC7" s="539"/>
      <c r="DD7" s="539"/>
      <c r="DE7" s="241"/>
      <c r="DF7" s="539"/>
      <c r="DG7" s="539"/>
      <c r="DH7" s="539"/>
      <c r="DI7" s="539"/>
      <c r="DJ7" s="539"/>
      <c r="DK7" s="539"/>
      <c r="DL7" s="539"/>
      <c r="DM7" s="539"/>
      <c r="DO7" s="39"/>
      <c r="DP7" s="39"/>
      <c r="DQ7" s="39"/>
      <c r="DR7" s="39"/>
      <c r="DS7" s="39"/>
      <c r="DT7" s="39"/>
    </row>
    <row r="8" spans="2:124" x14ac:dyDescent="0.25">
      <c r="B8" s="7"/>
      <c r="C8" s="7" t="s">
        <v>261</v>
      </c>
      <c r="D8" s="7" t="s">
        <v>102</v>
      </c>
      <c r="E8" s="7" t="s">
        <v>44</v>
      </c>
      <c r="F8" s="7" t="s">
        <v>52</v>
      </c>
      <c r="G8" s="7" t="s">
        <v>150</v>
      </c>
      <c r="H8" s="7" t="s">
        <v>102</v>
      </c>
      <c r="I8" s="7" t="s">
        <v>190</v>
      </c>
      <c r="J8" s="45"/>
      <c r="K8" s="45"/>
      <c r="L8" s="45"/>
      <c r="M8" s="762"/>
      <c r="N8" s="762"/>
      <c r="O8" s="762"/>
      <c r="P8" s="762"/>
      <c r="Q8" s="762"/>
      <c r="R8" s="540"/>
      <c r="S8" s="241"/>
      <c r="T8" s="539"/>
      <c r="U8" s="539"/>
      <c r="V8" s="539"/>
      <c r="W8" s="539"/>
      <c r="X8" s="539"/>
      <c r="Y8" s="539"/>
      <c r="Z8" s="539"/>
      <c r="AA8" s="539"/>
      <c r="AB8" s="241"/>
      <c r="AC8" s="540"/>
      <c r="AD8" s="540"/>
      <c r="AE8" s="540"/>
      <c r="AF8" s="540"/>
      <c r="AG8" s="241"/>
      <c r="AH8" s="539"/>
      <c r="AI8" s="539"/>
      <c r="AJ8" s="539"/>
      <c r="AK8" s="539"/>
      <c r="AL8" s="539"/>
      <c r="AM8" s="539"/>
      <c r="AN8" s="539"/>
      <c r="AO8" s="539"/>
      <c r="AP8" s="241"/>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241"/>
      <c r="CN8" s="539"/>
      <c r="CO8" s="539"/>
      <c r="CP8" s="539"/>
      <c r="CQ8" s="539"/>
      <c r="CR8" s="539"/>
      <c r="CS8" s="539"/>
      <c r="CT8" s="539"/>
      <c r="CU8" s="539"/>
      <c r="CV8" s="241"/>
      <c r="CW8" s="539"/>
      <c r="CX8" s="539"/>
      <c r="CY8" s="539"/>
      <c r="CZ8" s="539"/>
      <c r="DA8" s="539"/>
      <c r="DB8" s="539"/>
      <c r="DC8" s="539"/>
      <c r="DD8" s="539"/>
      <c r="DE8" s="241"/>
      <c r="DF8" s="539"/>
      <c r="DG8" s="539"/>
      <c r="DH8" s="539"/>
      <c r="DI8" s="539"/>
      <c r="DJ8" s="539"/>
      <c r="DK8" s="539"/>
      <c r="DL8" s="539"/>
      <c r="DM8" s="539"/>
      <c r="DO8" s="39"/>
      <c r="DP8" s="39"/>
      <c r="DQ8" s="39"/>
      <c r="DR8" s="39"/>
      <c r="DS8" s="39"/>
      <c r="DT8" s="39"/>
    </row>
    <row r="9" spans="2:124" x14ac:dyDescent="0.25">
      <c r="B9" s="7"/>
      <c r="C9" s="7" t="s">
        <v>262</v>
      </c>
      <c r="D9" s="7" t="s">
        <v>102</v>
      </c>
      <c r="E9" s="7" t="s">
        <v>45</v>
      </c>
      <c r="F9" s="7" t="s">
        <v>52</v>
      </c>
      <c r="G9" s="7" t="s">
        <v>150</v>
      </c>
      <c r="H9" s="7" t="s">
        <v>102</v>
      </c>
      <c r="I9" s="7" t="s">
        <v>190</v>
      </c>
      <c r="J9" s="45"/>
      <c r="K9" s="45"/>
      <c r="L9" s="45"/>
      <c r="M9" s="762"/>
      <c r="N9" s="762"/>
      <c r="O9" s="762"/>
      <c r="P9" s="762"/>
      <c r="Q9" s="762"/>
      <c r="R9" s="540"/>
      <c r="S9" s="241"/>
      <c r="T9" s="539"/>
      <c r="U9" s="539"/>
      <c r="V9" s="539"/>
      <c r="W9" s="539"/>
      <c r="X9" s="539"/>
      <c r="Y9" s="539"/>
      <c r="Z9" s="539"/>
      <c r="AA9" s="539"/>
      <c r="AB9" s="241"/>
      <c r="AC9" s="540"/>
      <c r="AD9" s="540"/>
      <c r="AE9" s="540"/>
      <c r="AF9" s="540"/>
      <c r="AG9" s="241"/>
      <c r="AH9" s="539"/>
      <c r="AI9" s="539"/>
      <c r="AJ9" s="539"/>
      <c r="AK9" s="539"/>
      <c r="AL9" s="539"/>
      <c r="AM9" s="539"/>
      <c r="AN9" s="539"/>
      <c r="AO9" s="539"/>
      <c r="AP9" s="241"/>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241"/>
      <c r="CN9" s="539"/>
      <c r="CO9" s="539"/>
      <c r="CP9" s="539"/>
      <c r="CQ9" s="539"/>
      <c r="CR9" s="539"/>
      <c r="CS9" s="539"/>
      <c r="CT9" s="539"/>
      <c r="CU9" s="539"/>
      <c r="CV9" s="241"/>
      <c r="CW9" s="539"/>
      <c r="CX9" s="539"/>
      <c r="CY9" s="539"/>
      <c r="CZ9" s="539"/>
      <c r="DA9" s="539"/>
      <c r="DB9" s="539"/>
      <c r="DC9" s="539"/>
      <c r="DD9" s="539"/>
      <c r="DE9" s="241"/>
      <c r="DF9" s="539"/>
      <c r="DG9" s="539"/>
      <c r="DH9" s="539"/>
      <c r="DI9" s="539"/>
      <c r="DJ9" s="539"/>
      <c r="DK9" s="539"/>
      <c r="DL9" s="539"/>
      <c r="DM9" s="539"/>
      <c r="DO9" s="39"/>
      <c r="DP9" s="39"/>
      <c r="DQ9" s="39"/>
      <c r="DR9" s="39"/>
      <c r="DS9" s="39"/>
      <c r="DT9" s="39"/>
    </row>
    <row r="10" spans="2:124" x14ac:dyDescent="0.25">
      <c r="B10" s="7"/>
      <c r="C10" s="7" t="s">
        <v>263</v>
      </c>
      <c r="D10" s="7" t="s">
        <v>102</v>
      </c>
      <c r="E10" s="7" t="s">
        <v>45</v>
      </c>
      <c r="F10" s="7" t="s">
        <v>52</v>
      </c>
      <c r="G10" s="7" t="s">
        <v>150</v>
      </c>
      <c r="H10" s="7" t="s">
        <v>102</v>
      </c>
      <c r="I10" s="7" t="s">
        <v>190</v>
      </c>
      <c r="J10" s="45"/>
      <c r="K10" s="45"/>
      <c r="L10" s="45"/>
      <c r="M10" s="762"/>
      <c r="N10" s="762"/>
      <c r="O10" s="762"/>
      <c r="P10" s="762"/>
      <c r="Q10" s="762"/>
      <c r="R10" s="540"/>
      <c r="S10" s="241"/>
      <c r="T10" s="539"/>
      <c r="U10" s="539"/>
      <c r="V10" s="539"/>
      <c r="W10" s="539"/>
      <c r="X10" s="539"/>
      <c r="Y10" s="539"/>
      <c r="Z10" s="539"/>
      <c r="AA10" s="539"/>
      <c r="AB10" s="241"/>
      <c r="AC10" s="540"/>
      <c r="AD10" s="540"/>
      <c r="AE10" s="540"/>
      <c r="AF10" s="540"/>
      <c r="AG10" s="241"/>
      <c r="AH10" s="539"/>
      <c r="AI10" s="539"/>
      <c r="AJ10" s="539"/>
      <c r="AK10" s="539"/>
      <c r="AL10" s="539"/>
      <c r="AM10" s="539"/>
      <c r="AN10" s="539"/>
      <c r="AO10" s="539"/>
      <c r="AP10" s="241"/>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241"/>
      <c r="CN10" s="539"/>
      <c r="CO10" s="539"/>
      <c r="CP10" s="539"/>
      <c r="CQ10" s="539"/>
      <c r="CR10" s="539"/>
      <c r="CS10" s="539"/>
      <c r="CT10" s="539"/>
      <c r="CU10" s="539"/>
      <c r="CV10" s="241"/>
      <c r="CW10" s="539"/>
      <c r="CX10" s="539"/>
      <c r="CY10" s="539"/>
      <c r="CZ10" s="539"/>
      <c r="DA10" s="539"/>
      <c r="DB10" s="539"/>
      <c r="DC10" s="539"/>
      <c r="DD10" s="539"/>
      <c r="DE10" s="241"/>
      <c r="DF10" s="539"/>
      <c r="DG10" s="539"/>
      <c r="DH10" s="539"/>
      <c r="DI10" s="539"/>
      <c r="DJ10" s="539"/>
      <c r="DK10" s="539"/>
      <c r="DL10" s="539"/>
      <c r="DM10" s="539"/>
      <c r="DO10" s="39"/>
      <c r="DP10" s="39"/>
      <c r="DQ10" s="39"/>
      <c r="DR10" s="39"/>
      <c r="DS10" s="39"/>
      <c r="DT10" s="39"/>
    </row>
    <row r="11" spans="2:124" x14ac:dyDescent="0.25">
      <c r="B11" s="7"/>
      <c r="C11" s="7" t="s">
        <v>264</v>
      </c>
      <c r="D11" s="7" t="s">
        <v>102</v>
      </c>
      <c r="E11" s="7" t="s">
        <v>45</v>
      </c>
      <c r="F11" s="7" t="s">
        <v>52</v>
      </c>
      <c r="G11" s="7" t="s">
        <v>150</v>
      </c>
      <c r="H11" s="7" t="s">
        <v>102</v>
      </c>
      <c r="I11" s="7" t="s">
        <v>190</v>
      </c>
      <c r="J11" s="45"/>
      <c r="K11" s="45"/>
      <c r="L11" s="45"/>
      <c r="M11" s="762"/>
      <c r="N11" s="762"/>
      <c r="O11" s="762"/>
      <c r="P11" s="762"/>
      <c r="Q11" s="762"/>
      <c r="R11" s="540"/>
      <c r="S11" s="241"/>
      <c r="T11" s="539"/>
      <c r="U11" s="539"/>
      <c r="V11" s="539"/>
      <c r="W11" s="539"/>
      <c r="X11" s="539"/>
      <c r="Y11" s="539"/>
      <c r="Z11" s="539"/>
      <c r="AA11" s="539"/>
      <c r="AB11" s="241"/>
      <c r="AC11" s="540"/>
      <c r="AD11" s="540"/>
      <c r="AE11" s="540"/>
      <c r="AF11" s="540"/>
      <c r="AG11" s="241"/>
      <c r="AH11" s="539"/>
      <c r="AI11" s="539"/>
      <c r="AJ11" s="539"/>
      <c r="AK11" s="539"/>
      <c r="AL11" s="539"/>
      <c r="AM11" s="539"/>
      <c r="AN11" s="539"/>
      <c r="AO11" s="539"/>
      <c r="AP11" s="241"/>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241"/>
      <c r="CN11" s="539"/>
      <c r="CO11" s="539"/>
      <c r="CP11" s="539"/>
      <c r="CQ11" s="539"/>
      <c r="CR11" s="539"/>
      <c r="CS11" s="539"/>
      <c r="CT11" s="539"/>
      <c r="CU11" s="539"/>
      <c r="CV11" s="241"/>
      <c r="CW11" s="539"/>
      <c r="CX11" s="539"/>
      <c r="CY11" s="539"/>
      <c r="CZ11" s="539"/>
      <c r="DA11" s="539"/>
      <c r="DB11" s="539"/>
      <c r="DC11" s="539"/>
      <c r="DD11" s="539"/>
      <c r="DE11" s="241"/>
      <c r="DF11" s="539"/>
      <c r="DG11" s="539"/>
      <c r="DH11" s="539"/>
      <c r="DI11" s="539"/>
      <c r="DJ11" s="539"/>
      <c r="DK11" s="539"/>
      <c r="DL11" s="539"/>
      <c r="DM11" s="539"/>
      <c r="DO11" s="39"/>
      <c r="DP11" s="39"/>
      <c r="DQ11" s="39"/>
      <c r="DR11" s="39"/>
      <c r="DS11" s="39"/>
      <c r="DT11" s="39"/>
    </row>
    <row r="12" spans="2:124" x14ac:dyDescent="0.25">
      <c r="B12" s="7"/>
      <c r="C12" s="7" t="s">
        <v>265</v>
      </c>
      <c r="D12" s="7" t="s">
        <v>102</v>
      </c>
      <c r="E12" s="7" t="s">
        <v>45</v>
      </c>
      <c r="F12" s="7" t="s">
        <v>52</v>
      </c>
      <c r="G12" s="7" t="s">
        <v>150</v>
      </c>
      <c r="H12" s="7" t="s">
        <v>102</v>
      </c>
      <c r="I12" s="7" t="s">
        <v>190</v>
      </c>
      <c r="J12" s="45"/>
      <c r="K12" s="45"/>
      <c r="L12" s="45"/>
      <c r="M12" s="762"/>
      <c r="N12" s="762"/>
      <c r="O12" s="762"/>
      <c r="P12" s="762"/>
      <c r="Q12" s="762"/>
      <c r="R12" s="540"/>
      <c r="S12" s="241"/>
      <c r="T12" s="539"/>
      <c r="U12" s="539"/>
      <c r="V12" s="539"/>
      <c r="W12" s="539"/>
      <c r="X12" s="539"/>
      <c r="Y12" s="539"/>
      <c r="Z12" s="539"/>
      <c r="AA12" s="539"/>
      <c r="AB12" s="241"/>
      <c r="AC12" s="540"/>
      <c r="AD12" s="540"/>
      <c r="AE12" s="540"/>
      <c r="AF12" s="540"/>
      <c r="AG12" s="241"/>
      <c r="AH12" s="539"/>
      <c r="AI12" s="539"/>
      <c r="AJ12" s="539"/>
      <c r="AK12" s="539"/>
      <c r="AL12" s="539"/>
      <c r="AM12" s="539"/>
      <c r="AN12" s="539"/>
      <c r="AO12" s="539"/>
      <c r="AP12" s="241"/>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241"/>
      <c r="CN12" s="539"/>
      <c r="CO12" s="539"/>
      <c r="CP12" s="539"/>
      <c r="CQ12" s="539"/>
      <c r="CR12" s="539"/>
      <c r="CS12" s="539"/>
      <c r="CT12" s="539"/>
      <c r="CU12" s="539"/>
      <c r="CV12" s="241"/>
      <c r="CW12" s="539"/>
      <c r="CX12" s="539"/>
      <c r="CY12" s="539"/>
      <c r="CZ12" s="539"/>
      <c r="DA12" s="539"/>
      <c r="DB12" s="539"/>
      <c r="DC12" s="539"/>
      <c r="DD12" s="539"/>
      <c r="DE12" s="241"/>
      <c r="DF12" s="539"/>
      <c r="DG12" s="539"/>
      <c r="DH12" s="539"/>
      <c r="DI12" s="539"/>
      <c r="DJ12" s="539"/>
      <c r="DK12" s="539"/>
      <c r="DL12" s="539"/>
      <c r="DM12" s="539"/>
      <c r="DO12" s="39"/>
      <c r="DP12" s="39"/>
      <c r="DQ12" s="39"/>
      <c r="DR12" s="39"/>
      <c r="DS12" s="39"/>
      <c r="DT12" s="39"/>
    </row>
    <row r="13" spans="2:124" x14ac:dyDescent="0.25">
      <c r="B13" s="7"/>
      <c r="C13" s="7" t="s">
        <v>266</v>
      </c>
      <c r="D13" s="7" t="s">
        <v>102</v>
      </c>
      <c r="E13" s="7" t="s">
        <v>45</v>
      </c>
      <c r="F13" s="7" t="s">
        <v>52</v>
      </c>
      <c r="G13" s="7" t="s">
        <v>150</v>
      </c>
      <c r="H13" s="7" t="s">
        <v>102</v>
      </c>
      <c r="I13" s="7" t="s">
        <v>191</v>
      </c>
      <c r="J13" s="45"/>
      <c r="K13" s="45"/>
      <c r="L13" s="45"/>
      <c r="M13" s="762"/>
      <c r="N13" s="762"/>
      <c r="O13" s="762"/>
      <c r="P13" s="762"/>
      <c r="Q13" s="762"/>
      <c r="R13" s="540"/>
      <c r="S13" s="241"/>
      <c r="T13" s="539"/>
      <c r="U13" s="539"/>
      <c r="V13" s="539"/>
      <c r="W13" s="539"/>
      <c r="X13" s="539"/>
      <c r="Y13" s="539"/>
      <c r="Z13" s="539"/>
      <c r="AA13" s="539"/>
      <c r="AB13" s="241"/>
      <c r="AC13" s="540"/>
      <c r="AD13" s="540"/>
      <c r="AE13" s="540"/>
      <c r="AF13" s="540"/>
      <c r="AG13" s="241"/>
      <c r="AH13" s="539"/>
      <c r="AI13" s="539"/>
      <c r="AJ13" s="539"/>
      <c r="AK13" s="539"/>
      <c r="AL13" s="539"/>
      <c r="AM13" s="539"/>
      <c r="AN13" s="539"/>
      <c r="AO13" s="539"/>
      <c r="AP13" s="241"/>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241"/>
      <c r="CN13" s="539"/>
      <c r="CO13" s="539"/>
      <c r="CP13" s="539"/>
      <c r="CQ13" s="539"/>
      <c r="CR13" s="539"/>
      <c r="CS13" s="539"/>
      <c r="CT13" s="539"/>
      <c r="CU13" s="539"/>
      <c r="CV13" s="241"/>
      <c r="CW13" s="539"/>
      <c r="CX13" s="539"/>
      <c r="CY13" s="539"/>
      <c r="CZ13" s="539"/>
      <c r="DA13" s="539"/>
      <c r="DB13" s="539"/>
      <c r="DC13" s="539"/>
      <c r="DD13" s="539"/>
      <c r="DE13" s="241"/>
      <c r="DF13" s="539"/>
      <c r="DG13" s="539"/>
      <c r="DH13" s="539"/>
      <c r="DI13" s="539"/>
      <c r="DJ13" s="539"/>
      <c r="DK13" s="539"/>
      <c r="DL13" s="539"/>
      <c r="DM13" s="539"/>
      <c r="DO13" s="39"/>
      <c r="DP13" s="39"/>
      <c r="DQ13" s="39"/>
      <c r="DR13" s="39"/>
      <c r="DS13" s="39"/>
      <c r="DT13" s="39"/>
    </row>
    <row r="14" spans="2:124" x14ac:dyDescent="0.25">
      <c r="B14" s="7"/>
      <c r="C14" s="7" t="s">
        <v>540</v>
      </c>
      <c r="D14" s="7" t="s">
        <v>105</v>
      </c>
      <c r="E14" s="7" t="s">
        <v>45</v>
      </c>
      <c r="F14" s="7" t="s">
        <v>52</v>
      </c>
      <c r="G14" s="7" t="s">
        <v>150</v>
      </c>
      <c r="H14" s="7" t="s">
        <v>5</v>
      </c>
      <c r="I14" s="7" t="s">
        <v>202</v>
      </c>
      <c r="J14" s="45"/>
      <c r="K14" s="45"/>
      <c r="L14" s="45"/>
      <c r="M14" s="539"/>
      <c r="N14" s="539"/>
      <c r="O14" s="539"/>
      <c r="P14" s="539"/>
      <c r="Q14" s="539"/>
      <c r="R14" s="540"/>
      <c r="S14" s="241"/>
      <c r="T14" s="539"/>
      <c r="U14" s="539"/>
      <c r="V14" s="539"/>
      <c r="W14" s="539"/>
      <c r="X14" s="539"/>
      <c r="Y14" s="539"/>
      <c r="Z14" s="539"/>
      <c r="AA14" s="539"/>
      <c r="AB14" s="241"/>
      <c r="AC14" s="540"/>
      <c r="AD14" s="540"/>
      <c r="AE14" s="540"/>
      <c r="AF14" s="540"/>
      <c r="AG14" s="241"/>
      <c r="AH14" s="539"/>
      <c r="AI14" s="539"/>
      <c r="AJ14" s="539"/>
      <c r="AK14" s="539"/>
      <c r="AL14" s="539"/>
      <c r="AM14" s="539"/>
      <c r="AN14" s="539"/>
      <c r="AO14" s="539"/>
      <c r="AP14" s="241"/>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241"/>
      <c r="CN14" s="539"/>
      <c r="CO14" s="539"/>
      <c r="CP14" s="539"/>
      <c r="CQ14" s="539"/>
      <c r="CR14" s="539"/>
      <c r="CS14" s="539"/>
      <c r="CT14" s="539"/>
      <c r="CU14" s="539"/>
      <c r="CV14" s="241"/>
      <c r="CW14" s="539"/>
      <c r="CX14" s="539"/>
      <c r="CY14" s="539"/>
      <c r="CZ14" s="539"/>
      <c r="DA14" s="539"/>
      <c r="DB14" s="539"/>
      <c r="DC14" s="539"/>
      <c r="DD14" s="539"/>
      <c r="DE14" s="241"/>
      <c r="DF14" s="539"/>
      <c r="DG14" s="539"/>
      <c r="DH14" s="539"/>
      <c r="DI14" s="539"/>
      <c r="DJ14" s="539"/>
      <c r="DK14" s="539"/>
      <c r="DL14" s="539"/>
      <c r="DM14" s="539"/>
      <c r="DO14" s="39"/>
      <c r="DP14" s="39"/>
      <c r="DQ14" s="39"/>
      <c r="DR14" s="39"/>
      <c r="DS14" s="39"/>
      <c r="DT14" s="39"/>
    </row>
    <row r="15" spans="2:124" x14ac:dyDescent="0.25">
      <c r="B15" s="7"/>
      <c r="C15" s="7" t="s">
        <v>90</v>
      </c>
      <c r="D15" s="7" t="s">
        <v>103</v>
      </c>
      <c r="E15" s="7" t="s">
        <v>45</v>
      </c>
      <c r="F15" s="7" t="s">
        <v>52</v>
      </c>
      <c r="G15" s="7" t="s">
        <v>150</v>
      </c>
      <c r="H15" s="7" t="s">
        <v>156</v>
      </c>
      <c r="I15" s="7" t="s">
        <v>103</v>
      </c>
      <c r="J15" s="45"/>
      <c r="K15" s="45"/>
      <c r="L15" s="45"/>
      <c r="M15" s="539"/>
      <c r="N15" s="539"/>
      <c r="O15" s="539"/>
      <c r="P15" s="539"/>
      <c r="Q15" s="539"/>
      <c r="R15" s="540"/>
      <c r="S15" s="241"/>
      <c r="T15" s="539"/>
      <c r="U15" s="539"/>
      <c r="V15" s="539"/>
      <c r="W15" s="539"/>
      <c r="X15" s="539"/>
      <c r="Y15" s="539"/>
      <c r="Z15" s="539"/>
      <c r="AA15" s="539"/>
      <c r="AB15" s="241"/>
      <c r="AC15" s="540"/>
      <c r="AD15" s="540"/>
      <c r="AE15" s="540"/>
      <c r="AF15" s="540"/>
      <c r="AG15" s="241"/>
      <c r="AH15" s="539"/>
      <c r="AI15" s="539"/>
      <c r="AJ15" s="539"/>
      <c r="AK15" s="539"/>
      <c r="AL15" s="539"/>
      <c r="AM15" s="539"/>
      <c r="AN15" s="539"/>
      <c r="AO15" s="539"/>
      <c r="AP15" s="241"/>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241"/>
      <c r="CN15" s="539"/>
      <c r="CO15" s="539"/>
      <c r="CP15" s="539"/>
      <c r="CQ15" s="539"/>
      <c r="CR15" s="539"/>
      <c r="CS15" s="539"/>
      <c r="CT15" s="539"/>
      <c r="CU15" s="539"/>
      <c r="CV15" s="241"/>
      <c r="CW15" s="539"/>
      <c r="CX15" s="539"/>
      <c r="CY15" s="539"/>
      <c r="CZ15" s="539"/>
      <c r="DA15" s="539"/>
      <c r="DB15" s="539"/>
      <c r="DC15" s="539"/>
      <c r="DD15" s="539"/>
      <c r="DE15" s="241"/>
      <c r="DF15" s="539"/>
      <c r="DG15" s="539"/>
      <c r="DH15" s="539"/>
      <c r="DI15" s="539"/>
      <c r="DJ15" s="539"/>
      <c r="DK15" s="539"/>
      <c r="DL15" s="539"/>
      <c r="DM15" s="539"/>
      <c r="DO15" s="39"/>
      <c r="DP15" s="39"/>
      <c r="DQ15" s="39"/>
      <c r="DR15" s="39"/>
      <c r="DS15" s="39"/>
      <c r="DT15" s="39"/>
    </row>
    <row r="16" spans="2:124" x14ac:dyDescent="0.25">
      <c r="B16" s="7"/>
      <c r="C16" s="7" t="s">
        <v>91</v>
      </c>
      <c r="D16" s="7" t="s">
        <v>103</v>
      </c>
      <c r="E16" s="7" t="s">
        <v>45</v>
      </c>
      <c r="F16" s="7" t="s">
        <v>52</v>
      </c>
      <c r="G16" s="7" t="s">
        <v>150</v>
      </c>
      <c r="H16" s="7" t="s">
        <v>156</v>
      </c>
      <c r="I16" s="7" t="s">
        <v>103</v>
      </c>
      <c r="J16" s="45"/>
      <c r="K16" s="45"/>
      <c r="L16" s="45"/>
      <c r="M16" s="539"/>
      <c r="N16" s="539"/>
      <c r="O16" s="539"/>
      <c r="P16" s="539"/>
      <c r="Q16" s="539"/>
      <c r="R16" s="540"/>
      <c r="S16" s="241"/>
      <c r="T16" s="539"/>
      <c r="U16" s="539"/>
      <c r="V16" s="539"/>
      <c r="W16" s="539"/>
      <c r="X16" s="539"/>
      <c r="Y16" s="539"/>
      <c r="Z16" s="539"/>
      <c r="AA16" s="539"/>
      <c r="AB16" s="241"/>
      <c r="AC16" s="540"/>
      <c r="AD16" s="540"/>
      <c r="AE16" s="540"/>
      <c r="AF16" s="540"/>
      <c r="AG16" s="241"/>
      <c r="AH16" s="539"/>
      <c r="AI16" s="539"/>
      <c r="AJ16" s="539"/>
      <c r="AK16" s="539"/>
      <c r="AL16" s="539"/>
      <c r="AM16" s="539"/>
      <c r="AN16" s="539"/>
      <c r="AO16" s="539"/>
      <c r="AP16" s="241"/>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241"/>
      <c r="CN16" s="539"/>
      <c r="CO16" s="539"/>
      <c r="CP16" s="539"/>
      <c r="CQ16" s="539"/>
      <c r="CR16" s="539"/>
      <c r="CS16" s="539"/>
      <c r="CT16" s="539"/>
      <c r="CU16" s="539"/>
      <c r="CV16" s="241"/>
      <c r="CW16" s="539"/>
      <c r="CX16" s="539"/>
      <c r="CY16" s="539"/>
      <c r="CZ16" s="539"/>
      <c r="DA16" s="539"/>
      <c r="DB16" s="539"/>
      <c r="DC16" s="539"/>
      <c r="DD16" s="539"/>
      <c r="DE16" s="241"/>
      <c r="DF16" s="539"/>
      <c r="DG16" s="539"/>
      <c r="DH16" s="539"/>
      <c r="DI16" s="539"/>
      <c r="DJ16" s="539"/>
      <c r="DK16" s="539"/>
      <c r="DL16" s="539"/>
      <c r="DM16" s="539"/>
      <c r="DO16" s="39"/>
      <c r="DP16" s="39"/>
      <c r="DQ16" s="39"/>
      <c r="DR16" s="39"/>
      <c r="DS16" s="39"/>
      <c r="DT16" s="39"/>
    </row>
    <row r="17" spans="2:124" x14ac:dyDescent="0.25">
      <c r="B17" s="7"/>
      <c r="C17" s="7" t="s">
        <v>92</v>
      </c>
      <c r="D17" s="7" t="s">
        <v>103</v>
      </c>
      <c r="E17" s="7" t="s">
        <v>44</v>
      </c>
      <c r="F17" s="7" t="s">
        <v>52</v>
      </c>
      <c r="G17" s="7" t="s">
        <v>150</v>
      </c>
      <c r="H17" s="7" t="s">
        <v>156</v>
      </c>
      <c r="I17" s="7" t="s">
        <v>103</v>
      </c>
      <c r="J17" s="45"/>
      <c r="K17" s="45"/>
      <c r="L17" s="45"/>
      <c r="M17" s="539"/>
      <c r="N17" s="539"/>
      <c r="O17" s="539"/>
      <c r="P17" s="539"/>
      <c r="Q17" s="539"/>
      <c r="R17" s="540"/>
      <c r="S17" s="241"/>
      <c r="T17" s="539"/>
      <c r="U17" s="539"/>
      <c r="V17" s="539"/>
      <c r="W17" s="539"/>
      <c r="X17" s="539"/>
      <c r="Y17" s="539"/>
      <c r="Z17" s="539"/>
      <c r="AA17" s="539"/>
      <c r="AB17" s="241"/>
      <c r="AC17" s="540"/>
      <c r="AD17" s="540"/>
      <c r="AE17" s="540"/>
      <c r="AF17" s="540"/>
      <c r="AG17" s="241"/>
      <c r="AH17" s="539"/>
      <c r="AI17" s="539"/>
      <c r="AJ17" s="539"/>
      <c r="AK17" s="539"/>
      <c r="AL17" s="539"/>
      <c r="AM17" s="539"/>
      <c r="AN17" s="539"/>
      <c r="AO17" s="539"/>
      <c r="AP17" s="241"/>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241"/>
      <c r="CN17" s="539"/>
      <c r="CO17" s="539"/>
      <c r="CP17" s="539"/>
      <c r="CQ17" s="539"/>
      <c r="CR17" s="539"/>
      <c r="CS17" s="539"/>
      <c r="CT17" s="539"/>
      <c r="CU17" s="539"/>
      <c r="CV17" s="241"/>
      <c r="CW17" s="539"/>
      <c r="CX17" s="539"/>
      <c r="CY17" s="539"/>
      <c r="CZ17" s="539"/>
      <c r="DA17" s="539"/>
      <c r="DB17" s="539"/>
      <c r="DC17" s="539"/>
      <c r="DD17" s="539"/>
      <c r="DE17" s="241"/>
      <c r="DF17" s="539"/>
      <c r="DG17" s="539"/>
      <c r="DH17" s="539"/>
      <c r="DI17" s="539"/>
      <c r="DJ17" s="539"/>
      <c r="DK17" s="539"/>
      <c r="DL17" s="539"/>
      <c r="DM17" s="539"/>
      <c r="DO17" s="39"/>
      <c r="DP17" s="39"/>
      <c r="DQ17" s="39"/>
      <c r="DR17" s="39"/>
      <c r="DS17" s="39"/>
      <c r="DT17" s="39"/>
    </row>
    <row r="18" spans="2:124" x14ac:dyDescent="0.25">
      <c r="B18" s="7"/>
      <c r="C18" s="7" t="s">
        <v>450</v>
      </c>
      <c r="D18" s="7" t="s">
        <v>104</v>
      </c>
      <c r="E18" s="7" t="s">
        <v>45</v>
      </c>
      <c r="F18" s="7" t="s">
        <v>52</v>
      </c>
      <c r="G18" s="7" t="s">
        <v>150</v>
      </c>
      <c r="H18" s="7" t="s">
        <v>157</v>
      </c>
      <c r="I18" s="7" t="s">
        <v>193</v>
      </c>
      <c r="J18" s="45"/>
      <c r="K18" s="45"/>
      <c r="L18" s="45"/>
      <c r="M18" s="539"/>
      <c r="N18" s="539"/>
      <c r="O18" s="539"/>
      <c r="P18" s="539"/>
      <c r="Q18" s="539"/>
      <c r="R18" s="540"/>
      <c r="S18" s="241"/>
      <c r="T18" s="539"/>
      <c r="U18" s="539"/>
      <c r="V18" s="539"/>
      <c r="W18" s="539"/>
      <c r="X18" s="539"/>
      <c r="Y18" s="539"/>
      <c r="Z18" s="539"/>
      <c r="AA18" s="539"/>
      <c r="AB18" s="241"/>
      <c r="AC18" s="540"/>
      <c r="AD18" s="540"/>
      <c r="AE18" s="540"/>
      <c r="AF18" s="540"/>
      <c r="AG18" s="241"/>
      <c r="AH18" s="539"/>
      <c r="AI18" s="539"/>
      <c r="AJ18" s="539"/>
      <c r="AK18" s="539"/>
      <c r="AL18" s="539"/>
      <c r="AM18" s="539"/>
      <c r="AN18" s="539"/>
      <c r="AO18" s="539"/>
      <c r="AP18" s="241"/>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241"/>
      <c r="CN18" s="539"/>
      <c r="CO18" s="539"/>
      <c r="CP18" s="539"/>
      <c r="CQ18" s="539"/>
      <c r="CR18" s="539"/>
      <c r="CS18" s="539"/>
      <c r="CT18" s="539"/>
      <c r="CU18" s="539"/>
      <c r="CV18" s="241"/>
      <c r="CW18" s="539"/>
      <c r="CX18" s="539"/>
      <c r="CY18" s="539"/>
      <c r="CZ18" s="539"/>
      <c r="DA18" s="539"/>
      <c r="DB18" s="539"/>
      <c r="DC18" s="539"/>
      <c r="DD18" s="539"/>
      <c r="DE18" s="241"/>
      <c r="DF18" s="539"/>
      <c r="DG18" s="539"/>
      <c r="DH18" s="539"/>
      <c r="DI18" s="539"/>
      <c r="DJ18" s="539"/>
      <c r="DK18" s="539"/>
      <c r="DL18" s="539"/>
      <c r="DM18" s="539"/>
      <c r="DO18" s="39"/>
      <c r="DP18" s="39"/>
      <c r="DQ18" s="39"/>
      <c r="DR18" s="39"/>
      <c r="DS18" s="39"/>
      <c r="DT18" s="39"/>
    </row>
    <row r="19" spans="2:124" x14ac:dyDescent="0.25">
      <c r="B19" s="7"/>
      <c r="C19" s="7" t="s">
        <v>538</v>
      </c>
      <c r="D19" s="7" t="s">
        <v>104</v>
      </c>
      <c r="E19" s="7" t="s">
        <v>45</v>
      </c>
      <c r="F19" s="7" t="s">
        <v>52</v>
      </c>
      <c r="G19" s="7" t="s">
        <v>150</v>
      </c>
      <c r="H19" s="7" t="s">
        <v>157</v>
      </c>
      <c r="I19" s="7" t="s">
        <v>274</v>
      </c>
      <c r="J19" s="45"/>
      <c r="K19" s="45"/>
      <c r="L19" s="45"/>
      <c r="M19" s="539"/>
      <c r="N19" s="539"/>
      <c r="O19" s="539"/>
      <c r="P19" s="539"/>
      <c r="Q19" s="539"/>
      <c r="R19" s="540"/>
      <c r="S19" s="241"/>
      <c r="T19" s="539"/>
      <c r="U19" s="539"/>
      <c r="V19" s="539"/>
      <c r="W19" s="539"/>
      <c r="X19" s="539"/>
      <c r="Y19" s="539"/>
      <c r="Z19" s="539"/>
      <c r="AA19" s="539"/>
      <c r="AB19" s="241"/>
      <c r="AC19" s="540"/>
      <c r="AD19" s="540"/>
      <c r="AE19" s="540"/>
      <c r="AF19" s="540"/>
      <c r="AG19" s="241"/>
      <c r="AH19" s="539"/>
      <c r="AI19" s="539"/>
      <c r="AJ19" s="539"/>
      <c r="AK19" s="539"/>
      <c r="AL19" s="539"/>
      <c r="AM19" s="539"/>
      <c r="AN19" s="539"/>
      <c r="AO19" s="539"/>
      <c r="AP19" s="241"/>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241"/>
      <c r="CN19" s="539"/>
      <c r="CO19" s="539"/>
      <c r="CP19" s="539"/>
      <c r="CQ19" s="539"/>
      <c r="CR19" s="539"/>
      <c r="CS19" s="539"/>
      <c r="CT19" s="539"/>
      <c r="CU19" s="539"/>
      <c r="CV19" s="241"/>
      <c r="CW19" s="539"/>
      <c r="CX19" s="539"/>
      <c r="CY19" s="539"/>
      <c r="CZ19" s="539"/>
      <c r="DA19" s="539"/>
      <c r="DB19" s="539"/>
      <c r="DC19" s="539"/>
      <c r="DD19" s="539"/>
      <c r="DE19" s="241"/>
      <c r="DF19" s="539"/>
      <c r="DG19" s="539"/>
      <c r="DH19" s="539"/>
      <c r="DI19" s="539"/>
      <c r="DJ19" s="539"/>
      <c r="DK19" s="539"/>
      <c r="DL19" s="539"/>
      <c r="DM19" s="539"/>
      <c r="DO19" s="39"/>
      <c r="DP19" s="39"/>
      <c r="DQ19" s="39"/>
      <c r="DR19" s="39"/>
      <c r="DS19" s="39"/>
      <c r="DT19" s="39"/>
    </row>
    <row r="20" spans="2:124" x14ac:dyDescent="0.25">
      <c r="B20" s="7"/>
      <c r="C20" s="7" t="s">
        <v>275</v>
      </c>
      <c r="D20" s="7" t="s">
        <v>104</v>
      </c>
      <c r="E20" s="7" t="s">
        <v>44</v>
      </c>
      <c r="F20" s="7" t="s">
        <v>52</v>
      </c>
      <c r="G20" s="7" t="s">
        <v>150</v>
      </c>
      <c r="H20" s="7" t="s">
        <v>157</v>
      </c>
      <c r="I20" s="7" t="s">
        <v>274</v>
      </c>
      <c r="J20" s="45"/>
      <c r="K20" s="45"/>
      <c r="L20" s="45"/>
      <c r="M20" s="539"/>
      <c r="N20" s="539"/>
      <c r="O20" s="539"/>
      <c r="P20" s="539"/>
      <c r="Q20" s="539"/>
      <c r="R20" s="540"/>
      <c r="S20" s="241"/>
      <c r="T20" s="539"/>
      <c r="U20" s="539"/>
      <c r="V20" s="539"/>
      <c r="W20" s="539"/>
      <c r="X20" s="539"/>
      <c r="Y20" s="539"/>
      <c r="Z20" s="539"/>
      <c r="AA20" s="539"/>
      <c r="AB20" s="241"/>
      <c r="AC20" s="540"/>
      <c r="AD20" s="540"/>
      <c r="AE20" s="540"/>
      <c r="AF20" s="540"/>
      <c r="AG20" s="241"/>
      <c r="AH20" s="539"/>
      <c r="AI20" s="539"/>
      <c r="AJ20" s="539"/>
      <c r="AK20" s="539"/>
      <c r="AL20" s="539"/>
      <c r="AM20" s="539"/>
      <c r="AN20" s="539"/>
      <c r="AO20" s="539"/>
      <c r="AP20" s="241"/>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241"/>
      <c r="CN20" s="539"/>
      <c r="CO20" s="539"/>
      <c r="CP20" s="539"/>
      <c r="CQ20" s="539"/>
      <c r="CR20" s="539"/>
      <c r="CS20" s="539"/>
      <c r="CT20" s="539"/>
      <c r="CU20" s="539"/>
      <c r="CV20" s="241"/>
      <c r="CW20" s="539"/>
      <c r="CX20" s="539"/>
      <c r="CY20" s="539"/>
      <c r="CZ20" s="539"/>
      <c r="DA20" s="539"/>
      <c r="DB20" s="539"/>
      <c r="DC20" s="539"/>
      <c r="DD20" s="539"/>
      <c r="DE20" s="241"/>
      <c r="DF20" s="539"/>
      <c r="DG20" s="539"/>
      <c r="DH20" s="539"/>
      <c r="DI20" s="539"/>
      <c r="DJ20" s="539"/>
      <c r="DK20" s="539"/>
      <c r="DL20" s="539"/>
      <c r="DM20" s="539"/>
      <c r="DO20" s="39"/>
      <c r="DP20" s="39"/>
      <c r="DQ20" s="39"/>
      <c r="DR20" s="39"/>
      <c r="DS20" s="39"/>
      <c r="DT20" s="39"/>
    </row>
    <row r="21" spans="2:124" x14ac:dyDescent="0.25">
      <c r="B21" s="7"/>
      <c r="C21" s="7" t="s">
        <v>267</v>
      </c>
      <c r="D21" s="7" t="s">
        <v>104</v>
      </c>
      <c r="E21" s="7" t="s">
        <v>45</v>
      </c>
      <c r="F21" s="7" t="s">
        <v>52</v>
      </c>
      <c r="G21" s="7" t="s">
        <v>150</v>
      </c>
      <c r="H21" s="7" t="s">
        <v>157</v>
      </c>
      <c r="I21" s="7" t="s">
        <v>272</v>
      </c>
      <c r="J21" s="45"/>
      <c r="K21" s="45"/>
      <c r="L21" s="45"/>
      <c r="M21" s="540"/>
      <c r="N21" s="540"/>
      <c r="O21" s="540"/>
      <c r="P21" s="540"/>
      <c r="Q21" s="540"/>
      <c r="R21" s="540"/>
      <c r="S21" s="241"/>
      <c r="T21" s="539"/>
      <c r="U21" s="539"/>
      <c r="V21" s="539"/>
      <c r="W21" s="539"/>
      <c r="X21" s="539"/>
      <c r="Y21" s="539"/>
      <c r="Z21" s="539"/>
      <c r="AA21" s="539"/>
      <c r="AB21" s="241"/>
      <c r="AC21" s="540"/>
      <c r="AD21" s="540"/>
      <c r="AE21" s="540"/>
      <c r="AF21" s="540"/>
      <c r="AG21" s="241"/>
      <c r="AH21" s="539"/>
      <c r="AI21" s="539"/>
      <c r="AJ21" s="539"/>
      <c r="AK21" s="539"/>
      <c r="AL21" s="539"/>
      <c r="AM21" s="539"/>
      <c r="AN21" s="539"/>
      <c r="AO21" s="539"/>
      <c r="AP21" s="241"/>
      <c r="AQ21" s="255"/>
      <c r="AR21" s="255"/>
      <c r="AS21" s="255"/>
      <c r="AT21" s="255"/>
      <c r="AU21" s="255"/>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241"/>
      <c r="CN21" s="539"/>
      <c r="CO21" s="539"/>
      <c r="CP21" s="539"/>
      <c r="CQ21" s="539"/>
      <c r="CR21" s="539"/>
      <c r="CS21" s="539"/>
      <c r="CT21" s="539"/>
      <c r="CU21" s="539"/>
      <c r="CV21" s="241"/>
      <c r="CW21" s="539"/>
      <c r="CX21" s="539"/>
      <c r="CY21" s="539"/>
      <c r="CZ21" s="539"/>
      <c r="DA21" s="539"/>
      <c r="DB21" s="539"/>
      <c r="DC21" s="539"/>
      <c r="DD21" s="539"/>
      <c r="DE21" s="241"/>
      <c r="DF21" s="539"/>
      <c r="DG21" s="539"/>
      <c r="DH21" s="539"/>
      <c r="DI21" s="539"/>
      <c r="DJ21" s="539"/>
      <c r="DK21" s="539"/>
      <c r="DL21" s="539"/>
      <c r="DM21" s="539"/>
      <c r="DO21" s="39"/>
      <c r="DP21" s="39"/>
      <c r="DQ21" s="39"/>
      <c r="DR21" s="39"/>
      <c r="DS21" s="39"/>
      <c r="DT21" s="39"/>
    </row>
    <row r="22" spans="2:124" x14ac:dyDescent="0.25">
      <c r="B22" s="7"/>
      <c r="C22" s="7" t="s">
        <v>276</v>
      </c>
      <c r="D22" s="7" t="s">
        <v>104</v>
      </c>
      <c r="E22" s="7" t="s">
        <v>44</v>
      </c>
      <c r="F22" s="7" t="s">
        <v>52</v>
      </c>
      <c r="G22" s="7" t="s">
        <v>150</v>
      </c>
      <c r="H22" s="7" t="s">
        <v>157</v>
      </c>
      <c r="I22" s="7" t="s">
        <v>272</v>
      </c>
      <c r="J22" s="45"/>
      <c r="K22" s="45"/>
      <c r="L22" s="45"/>
      <c r="M22" s="540"/>
      <c r="N22" s="540"/>
      <c r="O22" s="540"/>
      <c r="P22" s="540"/>
      <c r="Q22" s="540"/>
      <c r="R22" s="540"/>
      <c r="S22" s="241"/>
      <c r="T22" s="539"/>
      <c r="U22" s="539"/>
      <c r="V22" s="539"/>
      <c r="W22" s="539"/>
      <c r="X22" s="539"/>
      <c r="Y22" s="539"/>
      <c r="Z22" s="539"/>
      <c r="AA22" s="539"/>
      <c r="AB22" s="241"/>
      <c r="AC22" s="540"/>
      <c r="AD22" s="540"/>
      <c r="AE22" s="540"/>
      <c r="AF22" s="540"/>
      <c r="AG22" s="241"/>
      <c r="AH22" s="539"/>
      <c r="AI22" s="539"/>
      <c r="AJ22" s="539"/>
      <c r="AK22" s="539"/>
      <c r="AL22" s="539"/>
      <c r="AM22" s="539"/>
      <c r="AN22" s="539"/>
      <c r="AO22" s="539"/>
      <c r="AP22" s="241"/>
      <c r="AQ22" s="255"/>
      <c r="AR22" s="255"/>
      <c r="AS22" s="255"/>
      <c r="AT22" s="255"/>
      <c r="AU22" s="255"/>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241"/>
      <c r="CN22" s="539"/>
      <c r="CO22" s="539"/>
      <c r="CP22" s="539"/>
      <c r="CQ22" s="539"/>
      <c r="CR22" s="539"/>
      <c r="CS22" s="539"/>
      <c r="CT22" s="539"/>
      <c r="CU22" s="539"/>
      <c r="CV22" s="241"/>
      <c r="CW22" s="539"/>
      <c r="CX22" s="539"/>
      <c r="CY22" s="539"/>
      <c r="CZ22" s="539"/>
      <c r="DA22" s="539"/>
      <c r="DB22" s="539"/>
      <c r="DC22" s="539"/>
      <c r="DD22" s="539"/>
      <c r="DE22" s="241"/>
      <c r="DF22" s="539"/>
      <c r="DG22" s="539"/>
      <c r="DH22" s="539"/>
      <c r="DI22" s="539"/>
      <c r="DJ22" s="539"/>
      <c r="DK22" s="539"/>
      <c r="DL22" s="539"/>
      <c r="DM22" s="539"/>
      <c r="DO22" s="39"/>
      <c r="DP22" s="39"/>
      <c r="DQ22" s="39"/>
      <c r="DR22" s="39"/>
      <c r="DS22" s="39"/>
      <c r="DT22" s="39"/>
    </row>
    <row r="23" spans="2:124" x14ac:dyDescent="0.25">
      <c r="B23" s="7"/>
      <c r="C23" s="7" t="s">
        <v>268</v>
      </c>
      <c r="D23" s="7" t="s">
        <v>104</v>
      </c>
      <c r="E23" s="7" t="s">
        <v>45</v>
      </c>
      <c r="F23" s="7" t="s">
        <v>52</v>
      </c>
      <c r="G23" s="7" t="s">
        <v>150</v>
      </c>
      <c r="H23" s="7" t="s">
        <v>157</v>
      </c>
      <c r="I23" s="7" t="s">
        <v>274</v>
      </c>
      <c r="J23" s="45"/>
      <c r="K23" s="45"/>
      <c r="L23" s="45"/>
      <c r="M23" s="540"/>
      <c r="N23" s="540"/>
      <c r="O23" s="540"/>
      <c r="P23" s="540"/>
      <c r="Q23" s="540"/>
      <c r="R23" s="540"/>
      <c r="S23" s="241"/>
      <c r="T23" s="539"/>
      <c r="U23" s="539"/>
      <c r="V23" s="539"/>
      <c r="W23" s="539"/>
      <c r="X23" s="539"/>
      <c r="Y23" s="539"/>
      <c r="Z23" s="539"/>
      <c r="AA23" s="539"/>
      <c r="AB23" s="241"/>
      <c r="AC23" s="540"/>
      <c r="AD23" s="540"/>
      <c r="AE23" s="540"/>
      <c r="AF23" s="540"/>
      <c r="AG23" s="241"/>
      <c r="AH23" s="539"/>
      <c r="AI23" s="539"/>
      <c r="AJ23" s="539"/>
      <c r="AK23" s="539"/>
      <c r="AL23" s="539"/>
      <c r="AM23" s="539"/>
      <c r="AN23" s="539"/>
      <c r="AO23" s="539"/>
      <c r="AP23" s="241"/>
      <c r="AQ23" s="255"/>
      <c r="AR23" s="255"/>
      <c r="AS23" s="255"/>
      <c r="AT23" s="255"/>
      <c r="AU23" s="255"/>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241"/>
      <c r="CN23" s="539"/>
      <c r="CO23" s="539"/>
      <c r="CP23" s="539"/>
      <c r="CQ23" s="539"/>
      <c r="CR23" s="539"/>
      <c r="CS23" s="539"/>
      <c r="CT23" s="539"/>
      <c r="CU23" s="539"/>
      <c r="CV23" s="241"/>
      <c r="CW23" s="539"/>
      <c r="CX23" s="539"/>
      <c r="CY23" s="539"/>
      <c r="CZ23" s="539"/>
      <c r="DA23" s="539"/>
      <c r="DB23" s="539"/>
      <c r="DC23" s="539"/>
      <c r="DD23" s="539"/>
      <c r="DE23" s="241"/>
      <c r="DF23" s="539"/>
      <c r="DG23" s="539"/>
      <c r="DH23" s="539"/>
      <c r="DI23" s="539"/>
      <c r="DJ23" s="539"/>
      <c r="DK23" s="539"/>
      <c r="DL23" s="539"/>
      <c r="DM23" s="539"/>
      <c r="DO23" s="39"/>
      <c r="DP23" s="39"/>
      <c r="DQ23" s="39"/>
      <c r="DR23" s="39"/>
      <c r="DS23" s="39"/>
      <c r="DT23" s="39"/>
    </row>
    <row r="24" spans="2:124" x14ac:dyDescent="0.25">
      <c r="B24" s="7"/>
      <c r="C24" s="7" t="s">
        <v>277</v>
      </c>
      <c r="D24" s="7" t="s">
        <v>104</v>
      </c>
      <c r="E24" s="7" t="s">
        <v>44</v>
      </c>
      <c r="F24" s="7" t="s">
        <v>52</v>
      </c>
      <c r="G24" s="7" t="s">
        <v>150</v>
      </c>
      <c r="H24" s="7" t="s">
        <v>157</v>
      </c>
      <c r="I24" s="7" t="s">
        <v>274</v>
      </c>
      <c r="J24" s="45"/>
      <c r="K24" s="45"/>
      <c r="L24" s="45"/>
      <c r="M24" s="540"/>
      <c r="N24" s="540"/>
      <c r="O24" s="540"/>
      <c r="P24" s="540"/>
      <c r="Q24" s="540"/>
      <c r="R24" s="540"/>
      <c r="S24" s="241"/>
      <c r="T24" s="539"/>
      <c r="U24" s="539"/>
      <c r="V24" s="539"/>
      <c r="W24" s="539"/>
      <c r="X24" s="539"/>
      <c r="Y24" s="539"/>
      <c r="Z24" s="539"/>
      <c r="AA24" s="539"/>
      <c r="AB24" s="241"/>
      <c r="AC24" s="540"/>
      <c r="AD24" s="540"/>
      <c r="AE24" s="540"/>
      <c r="AF24" s="540"/>
      <c r="AG24" s="241"/>
      <c r="AH24" s="539"/>
      <c r="AI24" s="539"/>
      <c r="AJ24" s="539"/>
      <c r="AK24" s="539"/>
      <c r="AL24" s="539"/>
      <c r="AM24" s="539"/>
      <c r="AN24" s="539"/>
      <c r="AO24" s="539"/>
      <c r="AP24" s="241"/>
      <c r="AQ24" s="255"/>
      <c r="AR24" s="255"/>
      <c r="AS24" s="255"/>
      <c r="AT24" s="255"/>
      <c r="AU24" s="255"/>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241"/>
      <c r="CN24" s="539"/>
      <c r="CO24" s="539"/>
      <c r="CP24" s="539"/>
      <c r="CQ24" s="539"/>
      <c r="CR24" s="539"/>
      <c r="CS24" s="539"/>
      <c r="CT24" s="539"/>
      <c r="CU24" s="539"/>
      <c r="CV24" s="241"/>
      <c r="CW24" s="539"/>
      <c r="CX24" s="539"/>
      <c r="CY24" s="539"/>
      <c r="CZ24" s="539"/>
      <c r="DA24" s="539"/>
      <c r="DB24" s="539"/>
      <c r="DC24" s="539"/>
      <c r="DD24" s="539"/>
      <c r="DE24" s="241"/>
      <c r="DF24" s="539"/>
      <c r="DG24" s="539"/>
      <c r="DH24" s="539"/>
      <c r="DI24" s="539"/>
      <c r="DJ24" s="539"/>
      <c r="DK24" s="539"/>
      <c r="DL24" s="539"/>
      <c r="DM24" s="539"/>
      <c r="DO24" s="39"/>
      <c r="DP24" s="39"/>
      <c r="DQ24" s="39"/>
      <c r="DR24" s="39"/>
      <c r="DS24" s="39"/>
      <c r="DT24" s="39"/>
    </row>
    <row r="25" spans="2:124" x14ac:dyDescent="0.25">
      <c r="B25" s="7"/>
      <c r="C25" s="7" t="s">
        <v>269</v>
      </c>
      <c r="D25" s="7" t="s">
        <v>104</v>
      </c>
      <c r="E25" s="7" t="s">
        <v>45</v>
      </c>
      <c r="F25" s="7" t="s">
        <v>52</v>
      </c>
      <c r="G25" s="7" t="s">
        <v>150</v>
      </c>
      <c r="H25" s="7" t="s">
        <v>157</v>
      </c>
      <c r="I25" s="7" t="s">
        <v>192</v>
      </c>
      <c r="J25" s="45"/>
      <c r="K25" s="45"/>
      <c r="L25" s="45"/>
      <c r="M25" s="539"/>
      <c r="N25" s="539"/>
      <c r="O25" s="539"/>
      <c r="P25" s="539"/>
      <c r="Q25" s="539"/>
      <c r="R25" s="540"/>
      <c r="S25" s="241"/>
      <c r="T25" s="539"/>
      <c r="U25" s="539"/>
      <c r="V25" s="539"/>
      <c r="W25" s="539"/>
      <c r="X25" s="539"/>
      <c r="Y25" s="539"/>
      <c r="Z25" s="539"/>
      <c r="AA25" s="539"/>
      <c r="AB25" s="241"/>
      <c r="AC25" s="540"/>
      <c r="AD25" s="540"/>
      <c r="AE25" s="540"/>
      <c r="AF25" s="540"/>
      <c r="AG25" s="241"/>
      <c r="AH25" s="539"/>
      <c r="AI25" s="539"/>
      <c r="AJ25" s="539"/>
      <c r="AK25" s="539"/>
      <c r="AL25" s="539"/>
      <c r="AM25" s="539"/>
      <c r="AN25" s="539"/>
      <c r="AO25" s="539"/>
      <c r="AP25" s="241"/>
      <c r="AQ25" s="255"/>
      <c r="AR25" s="255"/>
      <c r="AS25" s="255"/>
      <c r="AT25" s="255"/>
      <c r="AU25" s="255"/>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241"/>
      <c r="CN25" s="539"/>
      <c r="CO25" s="539"/>
      <c r="CP25" s="539"/>
      <c r="CQ25" s="539"/>
      <c r="CR25" s="539"/>
      <c r="CS25" s="539"/>
      <c r="CT25" s="539"/>
      <c r="CU25" s="539"/>
      <c r="CV25" s="241"/>
      <c r="CW25" s="539"/>
      <c r="CX25" s="539"/>
      <c r="CY25" s="539"/>
      <c r="CZ25" s="539"/>
      <c r="DA25" s="539"/>
      <c r="DB25" s="539"/>
      <c r="DC25" s="539"/>
      <c r="DD25" s="539"/>
      <c r="DE25" s="241"/>
      <c r="DF25" s="539"/>
      <c r="DG25" s="539"/>
      <c r="DH25" s="539"/>
      <c r="DI25" s="539"/>
      <c r="DJ25" s="539"/>
      <c r="DK25" s="539"/>
      <c r="DL25" s="539"/>
      <c r="DM25" s="539"/>
      <c r="DO25" s="39"/>
      <c r="DP25" s="39"/>
      <c r="DQ25" s="39"/>
      <c r="DR25" s="39"/>
      <c r="DS25" s="39"/>
      <c r="DT25" s="39"/>
    </row>
    <row r="26" spans="2:124" x14ac:dyDescent="0.25">
      <c r="B26" s="7"/>
      <c r="C26" s="7" t="s">
        <v>539</v>
      </c>
      <c r="D26" s="7" t="s">
        <v>104</v>
      </c>
      <c r="E26" s="7" t="s">
        <v>45</v>
      </c>
      <c r="F26" s="7" t="s">
        <v>52</v>
      </c>
      <c r="G26" s="7" t="s">
        <v>150</v>
      </c>
      <c r="H26" s="7" t="s">
        <v>157</v>
      </c>
      <c r="I26" s="7" t="s">
        <v>475</v>
      </c>
      <c r="J26" s="45"/>
      <c r="K26" s="45"/>
      <c r="L26" s="45"/>
      <c r="M26" s="539"/>
      <c r="N26" s="539"/>
      <c r="O26" s="539"/>
      <c r="P26" s="539"/>
      <c r="Q26" s="539"/>
      <c r="R26" s="540"/>
      <c r="S26" s="241"/>
      <c r="T26" s="539"/>
      <c r="U26" s="539"/>
      <c r="V26" s="539"/>
      <c r="W26" s="539"/>
      <c r="X26" s="539"/>
      <c r="Y26" s="539"/>
      <c r="Z26" s="539"/>
      <c r="AA26" s="539"/>
      <c r="AB26" s="241"/>
      <c r="AC26" s="540"/>
      <c r="AD26" s="540"/>
      <c r="AE26" s="540"/>
      <c r="AF26" s="540"/>
      <c r="AG26" s="241"/>
      <c r="AH26" s="539"/>
      <c r="AI26" s="539"/>
      <c r="AJ26" s="539"/>
      <c r="AK26" s="539"/>
      <c r="AL26" s="539"/>
      <c r="AM26" s="539"/>
      <c r="AN26" s="539"/>
      <c r="AO26" s="539"/>
      <c r="AP26" s="241"/>
      <c r="AQ26" s="255"/>
      <c r="AR26" s="255"/>
      <c r="AS26" s="255"/>
      <c r="AT26" s="255"/>
      <c r="AU26" s="255"/>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241"/>
      <c r="CN26" s="539"/>
      <c r="CO26" s="539"/>
      <c r="CP26" s="539"/>
      <c r="CQ26" s="539"/>
      <c r="CR26" s="539"/>
      <c r="CS26" s="539"/>
      <c r="CT26" s="539"/>
      <c r="CU26" s="539"/>
      <c r="CV26" s="241"/>
      <c r="CW26" s="539"/>
      <c r="CX26" s="539"/>
      <c r="CY26" s="539"/>
      <c r="CZ26" s="539"/>
      <c r="DA26" s="539"/>
      <c r="DB26" s="539"/>
      <c r="DC26" s="539"/>
      <c r="DD26" s="539"/>
      <c r="DE26" s="241"/>
      <c r="DF26" s="539"/>
      <c r="DG26" s="539"/>
      <c r="DH26" s="539"/>
      <c r="DI26" s="539"/>
      <c r="DJ26" s="539"/>
      <c r="DK26" s="539"/>
      <c r="DL26" s="539"/>
      <c r="DM26" s="539"/>
      <c r="DO26" s="39"/>
    </row>
    <row r="27" spans="2:124" x14ac:dyDescent="0.25">
      <c r="B27" s="7"/>
      <c r="C27" s="7" t="s">
        <v>93</v>
      </c>
      <c r="D27" s="7" t="s">
        <v>105</v>
      </c>
      <c r="E27" s="7" t="s">
        <v>45</v>
      </c>
      <c r="F27" s="7" t="s">
        <v>52</v>
      </c>
      <c r="G27" s="7" t="s">
        <v>150</v>
      </c>
      <c r="H27" s="7" t="s">
        <v>158</v>
      </c>
      <c r="I27" s="7" t="s">
        <v>197</v>
      </c>
      <c r="J27" s="45"/>
      <c r="K27" s="45"/>
      <c r="L27" s="45"/>
      <c r="M27" s="539"/>
      <c r="N27" s="539"/>
      <c r="O27" s="539"/>
      <c r="P27" s="539"/>
      <c r="Q27" s="539"/>
      <c r="R27" s="540"/>
      <c r="S27" s="241"/>
      <c r="T27" s="539"/>
      <c r="U27" s="539"/>
      <c r="V27" s="539"/>
      <c r="W27" s="539"/>
      <c r="X27" s="539"/>
      <c r="Y27" s="539"/>
      <c r="Z27" s="539"/>
      <c r="AA27" s="539"/>
      <c r="AB27" s="241"/>
      <c r="AC27" s="540"/>
      <c r="AD27" s="540"/>
      <c r="AE27" s="540"/>
      <c r="AF27" s="540"/>
      <c r="AG27" s="241"/>
      <c r="AH27" s="539"/>
      <c r="AI27" s="539"/>
      <c r="AJ27" s="539"/>
      <c r="AK27" s="539"/>
      <c r="AL27" s="539"/>
      <c r="AM27" s="539"/>
      <c r="AN27" s="539"/>
      <c r="AO27" s="539"/>
      <c r="AP27" s="241"/>
      <c r="AQ27" s="255"/>
      <c r="AR27" s="255"/>
      <c r="AS27" s="255"/>
      <c r="AT27" s="255"/>
      <c r="AU27" s="255"/>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241"/>
      <c r="CN27" s="539"/>
      <c r="CO27" s="539"/>
      <c r="CP27" s="539"/>
      <c r="CQ27" s="539"/>
      <c r="CR27" s="539"/>
      <c r="CS27" s="539"/>
      <c r="CT27" s="539"/>
      <c r="CU27" s="539"/>
      <c r="CV27" s="241"/>
      <c r="CW27" s="539"/>
      <c r="CX27" s="539"/>
      <c r="CY27" s="539"/>
      <c r="CZ27" s="539"/>
      <c r="DA27" s="539"/>
      <c r="DB27" s="539"/>
      <c r="DC27" s="539"/>
      <c r="DD27" s="539"/>
      <c r="DE27" s="241"/>
      <c r="DF27" s="539"/>
      <c r="DG27" s="539"/>
      <c r="DH27" s="539"/>
      <c r="DI27" s="539"/>
      <c r="DJ27" s="539"/>
      <c r="DK27" s="539"/>
      <c r="DL27" s="539"/>
      <c r="DM27" s="539"/>
      <c r="DO27" s="39"/>
    </row>
    <row r="28" spans="2:124" x14ac:dyDescent="0.25">
      <c r="B28" s="7"/>
      <c r="C28" s="7" t="s">
        <v>469</v>
      </c>
      <c r="D28" s="7" t="s">
        <v>105</v>
      </c>
      <c r="E28" s="7" t="s">
        <v>45</v>
      </c>
      <c r="F28" s="7" t="s">
        <v>54</v>
      </c>
      <c r="G28" s="7" t="s">
        <v>150</v>
      </c>
      <c r="H28" s="7" t="s">
        <v>160</v>
      </c>
      <c r="I28" s="7" t="s">
        <v>187</v>
      </c>
      <c r="J28" s="45"/>
      <c r="K28" s="45"/>
      <c r="L28" s="45"/>
      <c r="M28" s="539"/>
      <c r="N28" s="539"/>
      <c r="O28" s="539"/>
      <c r="P28" s="539"/>
      <c r="Q28" s="539"/>
      <c r="R28" s="540"/>
      <c r="S28" s="241"/>
      <c r="T28" s="539"/>
      <c r="U28" s="539"/>
      <c r="V28" s="539"/>
      <c r="W28" s="539"/>
      <c r="X28" s="539"/>
      <c r="Y28" s="539"/>
      <c r="Z28" s="539"/>
      <c r="AA28" s="539"/>
      <c r="AB28" s="241"/>
      <c r="AC28" s="540"/>
      <c r="AD28" s="540"/>
      <c r="AE28" s="540"/>
      <c r="AF28" s="540"/>
      <c r="AG28" s="241"/>
      <c r="AH28" s="539"/>
      <c r="AI28" s="539"/>
      <c r="AJ28" s="539"/>
      <c r="AK28" s="539"/>
      <c r="AL28" s="539"/>
      <c r="AM28" s="539"/>
      <c r="AN28" s="539"/>
      <c r="AO28" s="539"/>
      <c r="AP28" s="241"/>
      <c r="AQ28" s="255"/>
      <c r="AR28" s="255"/>
      <c r="AS28" s="255"/>
      <c r="AT28" s="255"/>
      <c r="AU28" s="255"/>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241"/>
      <c r="CN28" s="539"/>
      <c r="CO28" s="539"/>
      <c r="CP28" s="539"/>
      <c r="CQ28" s="539"/>
      <c r="CR28" s="539"/>
      <c r="CS28" s="539"/>
      <c r="CT28" s="539"/>
      <c r="CU28" s="539"/>
      <c r="CV28" s="241"/>
      <c r="CW28" s="539"/>
      <c r="CX28" s="539"/>
      <c r="CY28" s="539"/>
      <c r="CZ28" s="539"/>
      <c r="DA28" s="539"/>
      <c r="DB28" s="539"/>
      <c r="DC28" s="539"/>
      <c r="DD28" s="539"/>
      <c r="DE28" s="241"/>
      <c r="DF28" s="539"/>
      <c r="DG28" s="539"/>
      <c r="DH28" s="539"/>
      <c r="DI28" s="539"/>
      <c r="DJ28" s="539"/>
      <c r="DK28" s="539"/>
      <c r="DL28" s="539"/>
      <c r="DM28" s="539"/>
      <c r="DO28" s="39"/>
    </row>
    <row r="29" spans="2:124" x14ac:dyDescent="0.25">
      <c r="B29" s="7"/>
      <c r="C29" s="7" t="s">
        <v>468</v>
      </c>
      <c r="D29" s="7" t="s">
        <v>105</v>
      </c>
      <c r="E29" s="7" t="s">
        <v>45</v>
      </c>
      <c r="F29" s="7" t="s">
        <v>54</v>
      </c>
      <c r="G29" s="7" t="s">
        <v>150</v>
      </c>
      <c r="H29" s="7" t="s">
        <v>160</v>
      </c>
      <c r="I29" s="7" t="s">
        <v>187</v>
      </c>
      <c r="J29" s="45"/>
      <c r="K29" s="45"/>
      <c r="L29" s="45"/>
      <c r="M29" s="539"/>
      <c r="N29" s="539"/>
      <c r="O29" s="539"/>
      <c r="P29" s="539"/>
      <c r="Q29" s="539"/>
      <c r="R29" s="540"/>
      <c r="S29" s="241"/>
      <c r="T29" s="539"/>
      <c r="U29" s="539"/>
      <c r="V29" s="539"/>
      <c r="W29" s="539"/>
      <c r="X29" s="539"/>
      <c r="Y29" s="539"/>
      <c r="Z29" s="539"/>
      <c r="AA29" s="539"/>
      <c r="AB29" s="241"/>
      <c r="AC29" s="540"/>
      <c r="AD29" s="540"/>
      <c r="AE29" s="540"/>
      <c r="AF29" s="540"/>
      <c r="AG29" s="241"/>
      <c r="AH29" s="539"/>
      <c r="AI29" s="539"/>
      <c r="AJ29" s="539"/>
      <c r="AK29" s="539"/>
      <c r="AL29" s="539"/>
      <c r="AM29" s="539"/>
      <c r="AN29" s="539"/>
      <c r="AO29" s="539"/>
      <c r="AP29" s="241"/>
      <c r="AQ29" s="255"/>
      <c r="AR29" s="255"/>
      <c r="AS29" s="255"/>
      <c r="AT29" s="255"/>
      <c r="AU29" s="255"/>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241"/>
      <c r="CN29" s="539"/>
      <c r="CO29" s="539"/>
      <c r="CP29" s="539"/>
      <c r="CQ29" s="539"/>
      <c r="CR29" s="539"/>
      <c r="CS29" s="539"/>
      <c r="CT29" s="539"/>
      <c r="CU29" s="539"/>
      <c r="CV29" s="241"/>
      <c r="CW29" s="539"/>
      <c r="CX29" s="539"/>
      <c r="CY29" s="539"/>
      <c r="CZ29" s="539"/>
      <c r="DA29" s="539"/>
      <c r="DB29" s="539"/>
      <c r="DC29" s="539"/>
      <c r="DD29" s="539"/>
      <c r="DE29" s="241"/>
      <c r="DF29" s="539"/>
      <c r="DG29" s="539"/>
      <c r="DH29" s="539"/>
      <c r="DI29" s="539"/>
      <c r="DJ29" s="539"/>
      <c r="DK29" s="539"/>
      <c r="DL29" s="539"/>
      <c r="DM29" s="539"/>
      <c r="DO29" s="39"/>
    </row>
    <row r="30" spans="2:124" x14ac:dyDescent="0.25">
      <c r="B30" s="7"/>
      <c r="C30" s="7" t="s">
        <v>94</v>
      </c>
      <c r="D30" s="7" t="s">
        <v>105</v>
      </c>
      <c r="E30" s="7" t="s">
        <v>45</v>
      </c>
      <c r="F30" s="7" t="s">
        <v>52</v>
      </c>
      <c r="G30" s="7" t="s">
        <v>150</v>
      </c>
      <c r="H30" s="7" t="s">
        <v>159</v>
      </c>
      <c r="I30" s="7" t="s">
        <v>196</v>
      </c>
      <c r="J30" s="45"/>
      <c r="K30" s="45"/>
      <c r="L30" s="45"/>
      <c r="M30" s="539"/>
      <c r="N30" s="539"/>
      <c r="O30" s="539"/>
      <c r="P30" s="539"/>
      <c r="Q30" s="539"/>
      <c r="R30" s="540"/>
      <c r="S30" s="241"/>
      <c r="T30" s="539"/>
      <c r="U30" s="539"/>
      <c r="V30" s="539"/>
      <c r="W30" s="539"/>
      <c r="X30" s="539"/>
      <c r="Y30" s="539"/>
      <c r="Z30" s="539"/>
      <c r="AA30" s="539"/>
      <c r="AB30" s="241"/>
      <c r="AC30" s="540"/>
      <c r="AD30" s="540"/>
      <c r="AE30" s="540"/>
      <c r="AF30" s="540"/>
      <c r="AG30" s="241"/>
      <c r="AH30" s="539"/>
      <c r="AI30" s="539"/>
      <c r="AJ30" s="539"/>
      <c r="AK30" s="539"/>
      <c r="AL30" s="539"/>
      <c r="AM30" s="539"/>
      <c r="AN30" s="539"/>
      <c r="AO30" s="539"/>
      <c r="AP30" s="241"/>
      <c r="AQ30" s="255"/>
      <c r="AR30" s="255"/>
      <c r="AS30" s="255"/>
      <c r="AT30" s="255"/>
      <c r="AU30" s="255"/>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241"/>
      <c r="CN30" s="539"/>
      <c r="CO30" s="539"/>
      <c r="CP30" s="539"/>
      <c r="CQ30" s="539"/>
      <c r="CR30" s="539"/>
      <c r="CS30" s="539"/>
      <c r="CT30" s="539"/>
      <c r="CU30" s="539"/>
      <c r="CV30" s="241"/>
      <c r="CW30" s="539"/>
      <c r="CX30" s="539"/>
      <c r="CY30" s="539"/>
      <c r="CZ30" s="539"/>
      <c r="DA30" s="539"/>
      <c r="DB30" s="539"/>
      <c r="DC30" s="539"/>
      <c r="DD30" s="539"/>
      <c r="DE30" s="241"/>
      <c r="DF30" s="539"/>
      <c r="DG30" s="539"/>
      <c r="DH30" s="539"/>
      <c r="DI30" s="539"/>
      <c r="DJ30" s="539"/>
      <c r="DK30" s="539"/>
      <c r="DL30" s="539"/>
      <c r="DM30" s="539"/>
      <c r="DO30" s="39"/>
    </row>
    <row r="31" spans="2:124" x14ac:dyDescent="0.25">
      <c r="B31" s="7"/>
      <c r="C31" s="7" t="s">
        <v>86</v>
      </c>
      <c r="D31" s="7" t="s">
        <v>105</v>
      </c>
      <c r="E31" s="7" t="s">
        <v>45</v>
      </c>
      <c r="F31" s="7" t="s">
        <v>52</v>
      </c>
      <c r="G31" s="7" t="s">
        <v>150</v>
      </c>
      <c r="H31" s="7" t="s">
        <v>5</v>
      </c>
      <c r="I31" s="7" t="s">
        <v>203</v>
      </c>
      <c r="J31" s="45"/>
      <c r="K31" s="45"/>
      <c r="L31" s="45"/>
      <c r="M31" s="539"/>
      <c r="N31" s="539"/>
      <c r="O31" s="539"/>
      <c r="P31" s="539"/>
      <c r="Q31" s="539"/>
      <c r="R31" s="540"/>
      <c r="S31" s="241"/>
      <c r="T31" s="539"/>
      <c r="U31" s="539"/>
      <c r="V31" s="539"/>
      <c r="W31" s="539"/>
      <c r="X31" s="539"/>
      <c r="Y31" s="539"/>
      <c r="Z31" s="539"/>
      <c r="AA31" s="539"/>
      <c r="AB31" s="241"/>
      <c r="AC31" s="540"/>
      <c r="AD31" s="540"/>
      <c r="AE31" s="540"/>
      <c r="AF31" s="540"/>
      <c r="AG31" s="241"/>
      <c r="AH31" s="539"/>
      <c r="AI31" s="539"/>
      <c r="AJ31" s="539"/>
      <c r="AK31" s="539"/>
      <c r="AL31" s="539"/>
      <c r="AM31" s="539"/>
      <c r="AN31" s="539"/>
      <c r="AO31" s="539"/>
      <c r="AP31" s="241"/>
      <c r="AQ31" s="255"/>
      <c r="AR31" s="255"/>
      <c r="AS31" s="255"/>
      <c r="AT31" s="255"/>
      <c r="AU31" s="255"/>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241"/>
      <c r="CN31" s="539"/>
      <c r="CO31" s="539"/>
      <c r="CP31" s="539"/>
      <c r="CQ31" s="539"/>
      <c r="CR31" s="539"/>
      <c r="CS31" s="539"/>
      <c r="CT31" s="539"/>
      <c r="CU31" s="539"/>
      <c r="CV31" s="241"/>
      <c r="CW31" s="539"/>
      <c r="CX31" s="539"/>
      <c r="CY31" s="539"/>
      <c r="CZ31" s="539"/>
      <c r="DA31" s="539"/>
      <c r="DB31" s="539"/>
      <c r="DC31" s="539"/>
      <c r="DD31" s="539"/>
      <c r="DE31" s="241"/>
      <c r="DF31" s="539"/>
      <c r="DG31" s="539"/>
      <c r="DH31" s="539"/>
      <c r="DI31" s="539"/>
      <c r="DJ31" s="539"/>
      <c r="DK31" s="539"/>
      <c r="DL31" s="539"/>
      <c r="DM31" s="539"/>
      <c r="DO31" s="39"/>
    </row>
    <row r="32" spans="2:124" x14ac:dyDescent="0.25">
      <c r="B32" s="7"/>
      <c r="C32" s="7" t="s">
        <v>95</v>
      </c>
      <c r="D32" s="7" t="s">
        <v>105</v>
      </c>
      <c r="E32" s="7" t="s">
        <v>45</v>
      </c>
      <c r="F32" s="7" t="s">
        <v>52</v>
      </c>
      <c r="G32" s="7" t="s">
        <v>150</v>
      </c>
      <c r="H32" s="7" t="s">
        <v>5</v>
      </c>
      <c r="I32" s="7" t="s">
        <v>198</v>
      </c>
      <c r="J32" s="45"/>
      <c r="K32" s="45"/>
      <c r="L32" s="45"/>
      <c r="M32" s="539"/>
      <c r="N32" s="539"/>
      <c r="O32" s="539"/>
      <c r="P32" s="539"/>
      <c r="Q32" s="539"/>
      <c r="R32" s="540"/>
      <c r="S32" s="241"/>
      <c r="T32" s="539"/>
      <c r="U32" s="539"/>
      <c r="V32" s="539"/>
      <c r="W32" s="539"/>
      <c r="X32" s="539"/>
      <c r="Y32" s="539"/>
      <c r="Z32" s="539"/>
      <c r="AA32" s="539"/>
      <c r="AB32" s="241"/>
      <c r="AC32" s="540"/>
      <c r="AD32" s="540"/>
      <c r="AE32" s="540"/>
      <c r="AF32" s="540"/>
      <c r="AG32" s="241"/>
      <c r="AH32" s="539"/>
      <c r="AI32" s="539"/>
      <c r="AJ32" s="539"/>
      <c r="AK32" s="539"/>
      <c r="AL32" s="539"/>
      <c r="AM32" s="539"/>
      <c r="AN32" s="539"/>
      <c r="AO32" s="539"/>
      <c r="AP32" s="241"/>
      <c r="AQ32" s="255"/>
      <c r="AR32" s="255"/>
      <c r="AS32" s="255"/>
      <c r="AT32" s="255"/>
      <c r="AU32" s="255"/>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241"/>
      <c r="CN32" s="539"/>
      <c r="CO32" s="539"/>
      <c r="CP32" s="539"/>
      <c r="CQ32" s="539"/>
      <c r="CR32" s="539"/>
      <c r="CS32" s="539"/>
      <c r="CT32" s="539"/>
      <c r="CU32" s="539"/>
      <c r="CV32" s="241"/>
      <c r="CW32" s="539"/>
      <c r="CX32" s="539"/>
      <c r="CY32" s="539"/>
      <c r="CZ32" s="539"/>
      <c r="DA32" s="539"/>
      <c r="DB32" s="539"/>
      <c r="DC32" s="539"/>
      <c r="DD32" s="539"/>
      <c r="DE32" s="241"/>
      <c r="DF32" s="539"/>
      <c r="DG32" s="539"/>
      <c r="DH32" s="539"/>
      <c r="DI32" s="539"/>
      <c r="DJ32" s="539"/>
      <c r="DK32" s="539"/>
      <c r="DL32" s="539"/>
      <c r="DM32" s="539"/>
      <c r="DO32" s="39"/>
    </row>
    <row r="33" spans="2:119" x14ac:dyDescent="0.25">
      <c r="B33" s="7"/>
      <c r="C33" s="7" t="s">
        <v>270</v>
      </c>
      <c r="D33" s="7" t="s">
        <v>105</v>
      </c>
      <c r="E33" s="7" t="s">
        <v>45</v>
      </c>
      <c r="F33" s="7" t="s">
        <v>52</v>
      </c>
      <c r="G33" s="7" t="s">
        <v>150</v>
      </c>
      <c r="H33" s="7" t="s">
        <v>5</v>
      </c>
      <c r="I33" s="7" t="s">
        <v>202</v>
      </c>
      <c r="J33" s="7"/>
      <c r="K33" s="7"/>
      <c r="L33" s="7"/>
      <c r="M33" s="255"/>
      <c r="N33" s="255"/>
      <c r="O33" s="255"/>
      <c r="P33" s="255"/>
      <c r="Q33" s="255"/>
      <c r="R33" s="540"/>
      <c r="S33" s="241"/>
      <c r="T33" s="539"/>
      <c r="U33" s="539"/>
      <c r="V33" s="539"/>
      <c r="W33" s="539"/>
      <c r="X33" s="539"/>
      <c r="Y33" s="539"/>
      <c r="Z33" s="539"/>
      <c r="AA33" s="539"/>
      <c r="AB33" s="241"/>
      <c r="AC33" s="540"/>
      <c r="AD33" s="540"/>
      <c r="AE33" s="540"/>
      <c r="AF33" s="540"/>
      <c r="AG33" s="241"/>
      <c r="AH33" s="539"/>
      <c r="AI33" s="539"/>
      <c r="AJ33" s="539"/>
      <c r="AK33" s="539"/>
      <c r="AL33" s="539"/>
      <c r="AM33" s="539"/>
      <c r="AN33" s="539"/>
      <c r="AO33" s="539"/>
      <c r="AP33" s="241"/>
      <c r="AQ33" s="255"/>
      <c r="AR33" s="255"/>
      <c r="AS33" s="255"/>
      <c r="AT33" s="255"/>
      <c r="AU33" s="255"/>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241"/>
      <c r="CN33" s="539"/>
      <c r="CO33" s="539"/>
      <c r="CP33" s="539"/>
      <c r="CQ33" s="539"/>
      <c r="CR33" s="539"/>
      <c r="CS33" s="539"/>
      <c r="CT33" s="539"/>
      <c r="CU33" s="539"/>
      <c r="CV33" s="241"/>
      <c r="CW33" s="539"/>
      <c r="CX33" s="539"/>
      <c r="CY33" s="539"/>
      <c r="CZ33" s="539"/>
      <c r="DA33" s="539"/>
      <c r="DB33" s="539"/>
      <c r="DC33" s="539"/>
      <c r="DD33" s="539"/>
      <c r="DE33" s="241"/>
      <c r="DF33" s="539"/>
      <c r="DG33" s="539"/>
      <c r="DH33" s="539"/>
      <c r="DI33" s="539"/>
      <c r="DJ33" s="539"/>
      <c r="DK33" s="539"/>
      <c r="DL33" s="539"/>
      <c r="DM33" s="539"/>
      <c r="DO33" s="39"/>
    </row>
    <row r="34" spans="2:119" x14ac:dyDescent="0.25">
      <c r="B34" s="7"/>
      <c r="C34" s="7" t="s">
        <v>271</v>
      </c>
      <c r="D34" s="7" t="s">
        <v>105</v>
      </c>
      <c r="E34" s="7" t="s">
        <v>45</v>
      </c>
      <c r="F34" s="7" t="s">
        <v>52</v>
      </c>
      <c r="G34" s="7" t="s">
        <v>150</v>
      </c>
      <c r="H34" s="7" t="s">
        <v>5</v>
      </c>
      <c r="I34" s="7" t="s">
        <v>199</v>
      </c>
      <c r="J34" s="7"/>
      <c r="K34" s="7"/>
      <c r="L34" s="7"/>
      <c r="M34" s="255"/>
      <c r="N34" s="255"/>
      <c r="O34" s="255"/>
      <c r="P34" s="255"/>
      <c r="Q34" s="255"/>
      <c r="R34" s="540"/>
      <c r="S34" s="241"/>
      <c r="T34" s="539"/>
      <c r="U34" s="539"/>
      <c r="V34" s="539"/>
      <c r="W34" s="539"/>
      <c r="X34" s="539"/>
      <c r="Y34" s="539"/>
      <c r="Z34" s="539"/>
      <c r="AA34" s="539"/>
      <c r="AB34" s="241"/>
      <c r="AC34" s="540"/>
      <c r="AD34" s="540"/>
      <c r="AE34" s="540"/>
      <c r="AF34" s="540"/>
      <c r="AG34" s="241"/>
      <c r="AH34" s="539"/>
      <c r="AI34" s="539"/>
      <c r="AJ34" s="539"/>
      <c r="AK34" s="539"/>
      <c r="AL34" s="539"/>
      <c r="AM34" s="539"/>
      <c r="AN34" s="539"/>
      <c r="AO34" s="539"/>
      <c r="AP34" s="241"/>
      <c r="AQ34" s="255"/>
      <c r="AR34" s="255"/>
      <c r="AS34" s="255"/>
      <c r="AT34" s="255"/>
      <c r="AU34" s="255"/>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241"/>
      <c r="CN34" s="539"/>
      <c r="CO34" s="539"/>
      <c r="CP34" s="539"/>
      <c r="CQ34" s="539"/>
      <c r="CR34" s="539"/>
      <c r="CS34" s="539"/>
      <c r="CT34" s="539"/>
      <c r="CU34" s="539"/>
      <c r="CV34" s="241"/>
      <c r="CW34" s="539"/>
      <c r="CX34" s="539"/>
      <c r="CY34" s="539"/>
      <c r="CZ34" s="539"/>
      <c r="DA34" s="539"/>
      <c r="DB34" s="539"/>
      <c r="DC34" s="539"/>
      <c r="DD34" s="539"/>
      <c r="DE34" s="241"/>
      <c r="DF34" s="539"/>
      <c r="DG34" s="539"/>
      <c r="DH34" s="539"/>
      <c r="DI34" s="539"/>
      <c r="DJ34" s="539"/>
      <c r="DK34" s="539"/>
      <c r="DL34" s="539"/>
      <c r="DM34" s="539"/>
      <c r="DO34" s="39"/>
    </row>
    <row r="35" spans="2:119" x14ac:dyDescent="0.25">
      <c r="B35" s="7"/>
      <c r="C35" s="7" t="s">
        <v>569</v>
      </c>
      <c r="D35" s="7" t="s">
        <v>105</v>
      </c>
      <c r="E35" s="7" t="s">
        <v>45</v>
      </c>
      <c r="F35" s="7" t="s">
        <v>52</v>
      </c>
      <c r="G35" s="7" t="s">
        <v>150</v>
      </c>
      <c r="H35" s="7" t="s">
        <v>5</v>
      </c>
      <c r="I35" s="7" t="s">
        <v>200</v>
      </c>
      <c r="J35" s="7"/>
      <c r="K35" s="7"/>
      <c r="L35" s="7"/>
      <c r="M35" s="255"/>
      <c r="N35" s="255"/>
      <c r="O35" s="255"/>
      <c r="P35" s="255"/>
      <c r="Q35" s="255"/>
      <c r="R35" s="540"/>
      <c r="S35" s="241"/>
      <c r="T35" s="539"/>
      <c r="U35" s="539"/>
      <c r="V35" s="539"/>
      <c r="W35" s="539"/>
      <c r="X35" s="539"/>
      <c r="Y35" s="539"/>
      <c r="Z35" s="539"/>
      <c r="AA35" s="539"/>
      <c r="AB35" s="241"/>
      <c r="AC35" s="540"/>
      <c r="AD35" s="540"/>
      <c r="AE35" s="540"/>
      <c r="AF35" s="540"/>
      <c r="AG35" s="241"/>
      <c r="AH35" s="539"/>
      <c r="AI35" s="539"/>
      <c r="AJ35" s="539"/>
      <c r="AK35" s="539"/>
      <c r="AL35" s="539"/>
      <c r="AM35" s="539"/>
      <c r="AN35" s="539"/>
      <c r="AO35" s="539"/>
      <c r="AP35" s="241"/>
      <c r="AQ35" s="255"/>
      <c r="AR35" s="255"/>
      <c r="AS35" s="255"/>
      <c r="AT35" s="255"/>
      <c r="AU35" s="255"/>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241"/>
      <c r="CN35" s="539"/>
      <c r="CO35" s="539"/>
      <c r="CP35" s="539"/>
      <c r="CQ35" s="539"/>
      <c r="CR35" s="539"/>
      <c r="CS35" s="539"/>
      <c r="CT35" s="539"/>
      <c r="CU35" s="539"/>
      <c r="CV35" s="241"/>
      <c r="CW35" s="539"/>
      <c r="CX35" s="539"/>
      <c r="CY35" s="539"/>
      <c r="CZ35" s="539"/>
      <c r="DA35" s="539"/>
      <c r="DB35" s="539"/>
      <c r="DC35" s="539"/>
      <c r="DD35" s="539"/>
      <c r="DE35" s="241"/>
      <c r="DF35" s="539"/>
      <c r="DG35" s="539"/>
      <c r="DH35" s="539"/>
      <c r="DI35" s="539"/>
      <c r="DJ35" s="539"/>
      <c r="DK35" s="539"/>
      <c r="DL35" s="539"/>
      <c r="DM35" s="539"/>
      <c r="DO35" s="39"/>
    </row>
    <row r="36" spans="2:119" x14ac:dyDescent="0.25">
      <c r="B36" s="7"/>
      <c r="C36" s="7" t="s">
        <v>570</v>
      </c>
      <c r="D36" s="7" t="s">
        <v>105</v>
      </c>
      <c r="E36" s="7" t="s">
        <v>45</v>
      </c>
      <c r="F36" s="7" t="s">
        <v>52</v>
      </c>
      <c r="G36" s="7" t="s">
        <v>150</v>
      </c>
      <c r="H36" s="7" t="s">
        <v>5</v>
      </c>
      <c r="I36" s="7" t="s">
        <v>199</v>
      </c>
      <c r="J36" s="7"/>
      <c r="K36" s="7"/>
      <c r="L36" s="7"/>
      <c r="M36" s="255"/>
      <c r="N36" s="255"/>
      <c r="O36" s="255"/>
      <c r="P36" s="255"/>
      <c r="Q36" s="255"/>
      <c r="R36" s="540"/>
      <c r="S36" s="241"/>
      <c r="T36" s="539"/>
      <c r="U36" s="539"/>
      <c r="V36" s="539"/>
      <c r="W36" s="539"/>
      <c r="X36" s="539"/>
      <c r="Y36" s="539"/>
      <c r="Z36" s="539"/>
      <c r="AA36" s="539"/>
      <c r="AB36" s="241"/>
      <c r="AC36" s="540"/>
      <c r="AD36" s="540"/>
      <c r="AE36" s="540"/>
      <c r="AF36" s="540"/>
      <c r="AG36" s="241"/>
      <c r="AH36" s="539"/>
      <c r="AI36" s="539"/>
      <c r="AJ36" s="539"/>
      <c r="AK36" s="539"/>
      <c r="AL36" s="539"/>
      <c r="AM36" s="539"/>
      <c r="AN36" s="539"/>
      <c r="AO36" s="539"/>
      <c r="AP36" s="241"/>
      <c r="AQ36" s="255"/>
      <c r="AR36" s="255"/>
      <c r="AS36" s="255"/>
      <c r="AT36" s="255"/>
      <c r="AU36" s="255"/>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241"/>
      <c r="CN36" s="539"/>
      <c r="CO36" s="539"/>
      <c r="CP36" s="539"/>
      <c r="CQ36" s="539"/>
      <c r="CR36" s="539"/>
      <c r="CS36" s="539"/>
      <c r="CT36" s="539"/>
      <c r="CU36" s="539"/>
      <c r="CV36" s="241"/>
      <c r="CW36" s="539"/>
      <c r="CX36" s="539"/>
      <c r="CY36" s="539"/>
      <c r="CZ36" s="539"/>
      <c r="DA36" s="539"/>
      <c r="DB36" s="539"/>
      <c r="DC36" s="539"/>
      <c r="DD36" s="539"/>
      <c r="DE36" s="241"/>
      <c r="DF36" s="539"/>
      <c r="DG36" s="539"/>
      <c r="DH36" s="539"/>
      <c r="DI36" s="539"/>
      <c r="DJ36" s="539"/>
      <c r="DK36" s="539"/>
      <c r="DL36" s="539"/>
      <c r="DM36" s="539"/>
      <c r="DO36" s="39"/>
    </row>
    <row r="37" spans="2:119" x14ac:dyDescent="0.25">
      <c r="B37" s="7"/>
      <c r="C37" s="7" t="s">
        <v>194</v>
      </c>
      <c r="D37" s="7" t="s">
        <v>105</v>
      </c>
      <c r="E37" s="7" t="s">
        <v>45</v>
      </c>
      <c r="F37" s="7" t="s">
        <v>52</v>
      </c>
      <c r="G37" s="7" t="s">
        <v>150</v>
      </c>
      <c r="H37" s="7" t="s">
        <v>5</v>
      </c>
      <c r="I37" s="7" t="s">
        <v>194</v>
      </c>
      <c r="J37" s="7"/>
      <c r="K37" s="7"/>
      <c r="L37" s="7"/>
      <c r="M37" s="255"/>
      <c r="N37" s="255"/>
      <c r="O37" s="255"/>
      <c r="P37" s="255"/>
      <c r="Q37" s="255"/>
      <c r="R37" s="540"/>
      <c r="S37" s="241"/>
      <c r="T37" s="539"/>
      <c r="U37" s="539"/>
      <c r="V37" s="539"/>
      <c r="W37" s="539"/>
      <c r="X37" s="539"/>
      <c r="Y37" s="539"/>
      <c r="Z37" s="539"/>
      <c r="AA37" s="539"/>
      <c r="AB37" s="241"/>
      <c r="AC37" s="540"/>
      <c r="AD37" s="540"/>
      <c r="AE37" s="540"/>
      <c r="AF37" s="540"/>
      <c r="AG37" s="241"/>
      <c r="AH37" s="539"/>
      <c r="AI37" s="539"/>
      <c r="AJ37" s="539"/>
      <c r="AK37" s="539"/>
      <c r="AL37" s="539"/>
      <c r="AM37" s="539"/>
      <c r="AN37" s="539"/>
      <c r="AO37" s="539"/>
      <c r="AP37" s="241"/>
      <c r="AQ37" s="255"/>
      <c r="AR37" s="255"/>
      <c r="AS37" s="255"/>
      <c r="AT37" s="255"/>
      <c r="AU37" s="255"/>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241"/>
      <c r="CN37" s="539"/>
      <c r="CO37" s="539"/>
      <c r="CP37" s="539"/>
      <c r="CQ37" s="539"/>
      <c r="CR37" s="539"/>
      <c r="CS37" s="539"/>
      <c r="CT37" s="539"/>
      <c r="CU37" s="539"/>
      <c r="CV37" s="241"/>
      <c r="CW37" s="539"/>
      <c r="CX37" s="539"/>
      <c r="CY37" s="539"/>
      <c r="CZ37" s="539"/>
      <c r="DA37" s="539"/>
      <c r="DB37" s="539"/>
      <c r="DC37" s="539"/>
      <c r="DD37" s="539"/>
      <c r="DE37" s="241"/>
      <c r="DF37" s="539"/>
      <c r="DG37" s="539"/>
      <c r="DH37" s="539"/>
      <c r="DI37" s="539"/>
      <c r="DJ37" s="539"/>
      <c r="DK37" s="539"/>
      <c r="DL37" s="539"/>
      <c r="DM37" s="539"/>
      <c r="DO37" s="39"/>
    </row>
    <row r="38" spans="2:119" x14ac:dyDescent="0.25">
      <c r="T38" s="573"/>
      <c r="U38" s="573"/>
      <c r="V38" s="573"/>
      <c r="W38" s="573"/>
      <c r="X38" s="573"/>
      <c r="Y38" s="573"/>
      <c r="Z38" s="573"/>
      <c r="AA38" s="573"/>
      <c r="AB38" s="241"/>
      <c r="AC38" s="241"/>
      <c r="AD38" s="241"/>
      <c r="AE38" s="241"/>
      <c r="AF38" s="241"/>
      <c r="AG38" s="241"/>
      <c r="AH38" s="573"/>
      <c r="AI38" s="573"/>
      <c r="AJ38" s="573"/>
      <c r="AK38" s="573"/>
      <c r="AL38" s="573"/>
      <c r="AM38" s="573"/>
      <c r="AN38" s="573"/>
      <c r="AO38" s="573"/>
      <c r="AP38" s="241"/>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c r="BV38" s="573"/>
      <c r="BW38" s="573"/>
      <c r="BX38" s="573"/>
      <c r="BY38" s="573"/>
      <c r="BZ38" s="573"/>
      <c r="CA38" s="573"/>
      <c r="CB38" s="573"/>
      <c r="CC38" s="573"/>
      <c r="CD38" s="573"/>
      <c r="CE38" s="573"/>
      <c r="CF38" s="573"/>
      <c r="CG38" s="573"/>
      <c r="CH38" s="573"/>
      <c r="CI38" s="573"/>
      <c r="CJ38" s="573"/>
      <c r="CK38" s="573"/>
      <c r="CL38" s="573"/>
      <c r="CM38" s="241"/>
      <c r="CN38" s="573"/>
      <c r="CO38" s="573"/>
      <c r="CP38" s="573"/>
      <c r="CQ38" s="573"/>
      <c r="CR38" s="573"/>
      <c r="CS38" s="573"/>
      <c r="CT38" s="573"/>
      <c r="CU38" s="573"/>
      <c r="CV38" s="241"/>
      <c r="CW38" s="573"/>
      <c r="CX38" s="573"/>
      <c r="CY38" s="573"/>
      <c r="CZ38" s="573"/>
      <c r="DA38" s="573"/>
      <c r="DB38" s="573"/>
      <c r="DC38" s="573"/>
      <c r="DD38" s="573"/>
      <c r="DE38" s="241"/>
      <c r="DF38" s="573"/>
      <c r="DG38" s="573"/>
      <c r="DH38" s="573"/>
      <c r="DI38" s="573"/>
      <c r="DJ38" s="573"/>
      <c r="DK38" s="573"/>
      <c r="DL38" s="573"/>
      <c r="DM38" s="573"/>
    </row>
    <row r="39" spans="2:119" x14ac:dyDescent="0.25">
      <c r="L39" s="39"/>
      <c r="M39" s="39"/>
      <c r="N39" s="39"/>
      <c r="O39" s="39"/>
      <c r="P39" s="39"/>
      <c r="DF39" s="84">
        <f t="shared" ref="DF39:DM39" si="8">IF(ISERROR((DF38-T38)/T38),0,(DF38-T38)/T38)</f>
        <v>0</v>
      </c>
      <c r="DG39" s="84">
        <f t="shared" si="8"/>
        <v>0</v>
      </c>
      <c r="DH39" s="84">
        <f t="shared" si="8"/>
        <v>0</v>
      </c>
      <c r="DI39" s="84">
        <f t="shared" si="8"/>
        <v>0</v>
      </c>
      <c r="DJ39" s="84">
        <f t="shared" si="8"/>
        <v>0</v>
      </c>
      <c r="DK39" s="84">
        <f t="shared" si="8"/>
        <v>0</v>
      </c>
      <c r="DL39" s="84">
        <f t="shared" si="8"/>
        <v>0</v>
      </c>
      <c r="DM39" s="84">
        <f t="shared" si="8"/>
        <v>0</v>
      </c>
    </row>
    <row r="40" spans="2:119" x14ac:dyDescent="0.25">
      <c r="W40" s="39"/>
      <c r="X40" s="39"/>
      <c r="Y40" s="39"/>
      <c r="Z40" s="39"/>
      <c r="AA40" s="39"/>
    </row>
    <row r="41" spans="2:119" x14ac:dyDescent="0.25">
      <c r="W41" s="39"/>
      <c r="X41" s="39"/>
      <c r="Y41" s="39"/>
      <c r="Z41" s="39"/>
      <c r="AA41" s="39"/>
      <c r="AB41" s="52"/>
      <c r="DF41" s="39"/>
      <c r="DG41" s="39"/>
      <c r="DH41" s="39"/>
      <c r="DI41" s="39"/>
      <c r="DJ41" s="39"/>
      <c r="DK41" s="39"/>
      <c r="DL41" s="39"/>
      <c r="DM41" s="39"/>
    </row>
    <row r="42" spans="2:119" x14ac:dyDescent="0.25">
      <c r="DF42" s="39"/>
      <c r="DG42" s="39"/>
      <c r="DH42" s="39"/>
      <c r="DI42" s="39"/>
      <c r="DJ42" s="39"/>
      <c r="DK42" s="39"/>
      <c r="DL42" s="39"/>
      <c r="DM42" s="39"/>
    </row>
    <row r="43" spans="2:119" x14ac:dyDescent="0.25">
      <c r="W43" s="39"/>
      <c r="X43" s="39"/>
      <c r="Y43" s="39"/>
      <c r="Z43" s="39"/>
      <c r="AA43" s="39"/>
      <c r="DF43" s="39"/>
      <c r="DG43" s="39"/>
      <c r="DH43" s="39"/>
      <c r="DI43" s="39"/>
      <c r="DJ43" s="39"/>
      <c r="DK43" s="39"/>
      <c r="DL43" s="39"/>
      <c r="DM43" s="39"/>
    </row>
    <row r="44" spans="2:119" x14ac:dyDescent="0.25">
      <c r="DF44" s="39"/>
      <c r="DG44" s="39"/>
      <c r="DH44" s="39"/>
      <c r="DI44" s="39"/>
      <c r="DJ44" s="39"/>
      <c r="DK44" s="39"/>
      <c r="DL44" s="39"/>
      <c r="DM44" s="39"/>
    </row>
  </sheetData>
  <mergeCells count="12">
    <mergeCell ref="J5:Q5"/>
    <mergeCell ref="T5:AA5"/>
    <mergeCell ref="AH5:AO5"/>
    <mergeCell ref="DF5:DM5"/>
    <mergeCell ref="CW5:DD5"/>
    <mergeCell ref="CN5:CU5"/>
    <mergeCell ref="M1:N1"/>
    <mergeCell ref="T3:AA3"/>
    <mergeCell ref="AH3:AO3"/>
    <mergeCell ref="CN3:CU3"/>
    <mergeCell ref="DF3:DM3"/>
    <mergeCell ref="CW3:DD3"/>
  </mergeCells>
  <hyperlinks>
    <hyperlink ref="B2" location="Contents!A1" display="Table of Contents"/>
  </hyperlink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xWindow="1186" yWindow="742" count="5">
        <x14:dataValidation type="list" errorStyle="warning" showInputMessage="1" showErrorMessage="1" error="Invalid data entered" prompt="Select from drop down list">
          <x14:formula1>
            <xm:f>Lookups!$C$5:$C$13</xm:f>
          </x14:formula1>
          <xm:sqref>E7:E37</xm:sqref>
        </x14:dataValidation>
        <x14:dataValidation type="list" errorStyle="warning" showInputMessage="1" showErrorMessage="1" error="Invalid data entered" prompt="Select from drop down list">
          <x14:formula1>
            <xm:f>Lookups!$C$16:$C$27</xm:f>
          </x14:formula1>
          <xm:sqref>F7:F37</xm:sqref>
        </x14:dataValidation>
        <x14:dataValidation type="list" errorStyle="warning" allowBlank="1" showInputMessage="1" showErrorMessage="1" prompt="Select from drop down list">
          <x14:formula1>
            <xm:f>Lab_Mat!$C$62:$C$98</xm:f>
          </x14:formula1>
          <xm:sqref>I7:I37</xm:sqref>
        </x14:dataValidation>
        <x14:dataValidation type="list" errorStyle="warning" showInputMessage="1" showErrorMessage="1" error="Invalid data entered" prompt="Select from drop down list">
          <x14:formula1>
            <xm:f>Lookups!$I$5:$I$10</xm:f>
          </x14:formula1>
          <xm:sqref>G7:G37</xm:sqref>
        </x14:dataValidation>
        <x14:dataValidation type="list" errorStyle="warning" allowBlank="1" showInputMessage="1" showErrorMessage="1" prompt="Select from drop down list">
          <x14:formula1>
            <xm:f>Lab_Mat!$C$13:$C$22</xm:f>
          </x14:formula1>
          <xm:sqref>H7:H37</xm:sqref>
        </x14:dataValidation>
      </x14:dataValidation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CX41"/>
  <sheetViews>
    <sheetView zoomScale="85" zoomScaleNormal="85" zoomScalePageLayoutView="125" workbookViewId="0">
      <pane xSplit="9" topLeftCell="AS1" activePane="topRight" state="frozen"/>
      <selection activeCell="V33" sqref="V33"/>
      <selection pane="topRight" activeCell="M37" sqref="M37"/>
    </sheetView>
  </sheetViews>
  <sheetFormatPr defaultColWidth="8.85546875" defaultRowHeight="15" outlineLevelCol="1" x14ac:dyDescent="0.25"/>
  <cols>
    <col min="1" max="1" width="4" style="1" customWidth="1"/>
    <col min="2" max="2" width="12.42578125" style="1" customWidth="1"/>
    <col min="3" max="3" width="62" style="1" customWidth="1"/>
    <col min="4" max="4" width="29" style="1" bestFit="1" customWidth="1"/>
    <col min="5" max="5" width="21.42578125" style="1" customWidth="1" outlineLevel="1"/>
    <col min="6" max="7" width="28.42578125" style="1" customWidth="1" outlineLevel="1"/>
    <col min="8" max="8" width="17.140625" style="1" customWidth="1" outlineLevel="1"/>
    <col min="9" max="9" width="19.42578125" style="1" customWidth="1" outlineLevel="1"/>
    <col min="10" max="17" width="9.7109375" style="1" customWidth="1"/>
    <col min="18" max="18" width="3.28515625" style="1" customWidth="1"/>
    <col min="19" max="26" width="8.85546875" style="1"/>
    <col min="27" max="27" width="2.7109375" style="1" customWidth="1"/>
    <col min="28" max="32" width="10.42578125" style="1" hidden="1" customWidth="1" outlineLevel="1"/>
    <col min="33" max="33" width="8.85546875" style="1" collapsed="1"/>
    <col min="34" max="38" width="10.42578125" style="1" hidden="1" customWidth="1" outlineLevel="1"/>
    <col min="39" max="39" width="8.85546875" style="1" collapsed="1"/>
    <col min="40" max="44" width="0" style="1" hidden="1" customWidth="1" outlineLevel="1"/>
    <col min="45" max="45" width="8.85546875" style="1" collapsed="1"/>
    <col min="46" max="50" width="10.42578125" style="1" hidden="1" customWidth="1" outlineLevel="1"/>
    <col min="51" max="51" width="8.85546875" style="1" collapsed="1"/>
    <col min="52" max="56" width="9.140625" style="1" hidden="1" customWidth="1" outlineLevel="1"/>
    <col min="57" max="57" width="8.85546875" style="1" collapsed="1"/>
    <col min="58" max="62" width="9.140625" style="1" hidden="1" customWidth="1" outlineLevel="1"/>
    <col min="63" max="63" width="8.85546875" style="1" collapsed="1"/>
    <col min="64" max="68" width="9.140625" style="1" hidden="1" customWidth="1" outlineLevel="1"/>
    <col min="69" max="69" width="8.85546875" style="1" collapsed="1"/>
    <col min="70" max="74" width="9.140625" style="1" hidden="1" customWidth="1" outlineLevel="1"/>
    <col min="75" max="75" width="8.85546875" style="1" collapsed="1"/>
    <col min="76" max="76" width="2.7109375" style="1" customWidth="1"/>
    <col min="77" max="84" width="8.85546875" style="1"/>
    <col min="85" max="85" width="2.85546875" style="1" customWidth="1"/>
    <col min="86" max="93" width="8.85546875" style="1"/>
    <col min="94" max="94" width="2.85546875" style="1" customWidth="1"/>
    <col min="95" max="16384" width="8.85546875" style="1"/>
  </cols>
  <sheetData>
    <row r="1" spans="2:102" ht="18.75" x14ac:dyDescent="0.3">
      <c r="B1" s="10" t="s">
        <v>3</v>
      </c>
      <c r="M1" s="825" t="s">
        <v>749</v>
      </c>
      <c r="N1" s="825"/>
    </row>
    <row r="2" spans="2:102" x14ac:dyDescent="0.25">
      <c r="B2" s="25" t="s">
        <v>6</v>
      </c>
    </row>
    <row r="3" spans="2:102" x14ac:dyDescent="0.25">
      <c r="J3" s="829"/>
      <c r="K3" s="829"/>
      <c r="L3" s="829"/>
      <c r="M3" s="829"/>
      <c r="N3" s="829"/>
      <c r="O3" s="829"/>
      <c r="P3" s="829"/>
      <c r="Q3" s="829"/>
      <c r="S3" s="829"/>
      <c r="T3" s="829"/>
      <c r="U3" s="829"/>
      <c r="V3" s="829"/>
      <c r="W3" s="829"/>
      <c r="X3" s="829"/>
      <c r="Y3" s="829"/>
      <c r="Z3" s="829"/>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Y3" s="829"/>
      <c r="BZ3" s="829"/>
      <c r="CA3" s="829"/>
      <c r="CB3" s="829"/>
      <c r="CC3" s="829"/>
      <c r="CD3" s="829"/>
      <c r="CE3" s="829"/>
      <c r="CF3" s="829"/>
      <c r="CH3" s="829"/>
      <c r="CI3" s="829"/>
      <c r="CJ3" s="829"/>
      <c r="CK3" s="829"/>
      <c r="CL3" s="829"/>
      <c r="CM3" s="829"/>
      <c r="CN3" s="829"/>
      <c r="CO3" s="829"/>
      <c r="CQ3" s="829"/>
      <c r="CR3" s="829"/>
      <c r="CS3" s="829"/>
      <c r="CT3" s="829"/>
      <c r="CU3" s="829"/>
      <c r="CV3" s="829"/>
      <c r="CW3" s="829"/>
      <c r="CX3" s="829"/>
    </row>
    <row r="4" spans="2:102" ht="45" x14ac:dyDescent="0.25">
      <c r="C4" s="310"/>
      <c r="E4" s="34"/>
      <c r="J4" s="826" t="s">
        <v>380</v>
      </c>
      <c r="K4" s="827"/>
      <c r="L4" s="827"/>
      <c r="M4" s="827"/>
      <c r="N4" s="827"/>
      <c r="O4" s="827"/>
      <c r="P4" s="827"/>
      <c r="Q4" s="828"/>
      <c r="S4" s="826" t="s">
        <v>174</v>
      </c>
      <c r="T4" s="827"/>
      <c r="U4" s="827"/>
      <c r="V4" s="827"/>
      <c r="W4" s="827"/>
      <c r="X4" s="827"/>
      <c r="Y4" s="827"/>
      <c r="Z4" s="828"/>
      <c r="AA4" s="57"/>
      <c r="AB4" s="9" t="s">
        <v>180</v>
      </c>
      <c r="AC4" s="9" t="s">
        <v>181</v>
      </c>
      <c r="AD4" s="9" t="s">
        <v>182</v>
      </c>
      <c r="AE4" s="9" t="s">
        <v>183</v>
      </c>
      <c r="AF4" s="9" t="s">
        <v>5</v>
      </c>
      <c r="AG4" s="9" t="s">
        <v>173</v>
      </c>
      <c r="AH4" s="9" t="s">
        <v>180</v>
      </c>
      <c r="AI4" s="9" t="s">
        <v>181</v>
      </c>
      <c r="AJ4" s="9" t="s">
        <v>182</v>
      </c>
      <c r="AK4" s="9" t="s">
        <v>183</v>
      </c>
      <c r="AL4" s="9" t="s">
        <v>5</v>
      </c>
      <c r="AM4" s="9" t="s">
        <v>173</v>
      </c>
      <c r="AN4" s="9" t="s">
        <v>180</v>
      </c>
      <c r="AO4" s="9" t="s">
        <v>181</v>
      </c>
      <c r="AP4" s="9" t="s">
        <v>182</v>
      </c>
      <c r="AQ4" s="9" t="s">
        <v>183</v>
      </c>
      <c r="AR4" s="9" t="s">
        <v>5</v>
      </c>
      <c r="AS4" s="9" t="s">
        <v>173</v>
      </c>
      <c r="AT4" s="9" t="s">
        <v>180</v>
      </c>
      <c r="AU4" s="9" t="s">
        <v>181</v>
      </c>
      <c r="AV4" s="9" t="s">
        <v>182</v>
      </c>
      <c r="AW4" s="9" t="s">
        <v>183</v>
      </c>
      <c r="AX4" s="9" t="s">
        <v>5</v>
      </c>
      <c r="AY4" s="9" t="s">
        <v>173</v>
      </c>
      <c r="AZ4" s="9" t="s">
        <v>180</v>
      </c>
      <c r="BA4" s="9" t="s">
        <v>181</v>
      </c>
      <c r="BB4" s="9" t="s">
        <v>182</v>
      </c>
      <c r="BC4" s="9" t="s">
        <v>183</v>
      </c>
      <c r="BD4" s="9" t="s">
        <v>5</v>
      </c>
      <c r="BE4" s="9" t="s">
        <v>173</v>
      </c>
      <c r="BF4" s="9" t="s">
        <v>180</v>
      </c>
      <c r="BG4" s="9" t="s">
        <v>181</v>
      </c>
      <c r="BH4" s="9" t="s">
        <v>182</v>
      </c>
      <c r="BI4" s="9" t="s">
        <v>183</v>
      </c>
      <c r="BJ4" s="9" t="s">
        <v>5</v>
      </c>
      <c r="BK4" s="9" t="s">
        <v>173</v>
      </c>
      <c r="BL4" s="9" t="s">
        <v>180</v>
      </c>
      <c r="BM4" s="9" t="s">
        <v>181</v>
      </c>
      <c r="BN4" s="9" t="s">
        <v>182</v>
      </c>
      <c r="BO4" s="9" t="s">
        <v>183</v>
      </c>
      <c r="BP4" s="9" t="s">
        <v>5</v>
      </c>
      <c r="BQ4" s="9" t="s">
        <v>173</v>
      </c>
      <c r="BR4" s="9" t="s">
        <v>180</v>
      </c>
      <c r="BS4" s="9" t="s">
        <v>181</v>
      </c>
      <c r="BT4" s="9" t="s">
        <v>182</v>
      </c>
      <c r="BU4" s="9" t="s">
        <v>183</v>
      </c>
      <c r="BV4" s="9" t="s">
        <v>5</v>
      </c>
      <c r="BW4" s="9" t="s">
        <v>173</v>
      </c>
      <c r="BX4" s="57"/>
      <c r="BY4" s="826" t="s">
        <v>299</v>
      </c>
      <c r="BZ4" s="827"/>
      <c r="CA4" s="827"/>
      <c r="CB4" s="827"/>
      <c r="CC4" s="827"/>
      <c r="CD4" s="827"/>
      <c r="CE4" s="827"/>
      <c r="CF4" s="828"/>
      <c r="CG4" s="57"/>
      <c r="CH4" s="826" t="s">
        <v>175</v>
      </c>
      <c r="CI4" s="827"/>
      <c r="CJ4" s="827"/>
      <c r="CK4" s="827"/>
      <c r="CL4" s="827"/>
      <c r="CM4" s="827"/>
      <c r="CN4" s="827"/>
      <c r="CO4" s="828"/>
      <c r="CP4" s="57"/>
      <c r="CQ4" s="826" t="s">
        <v>381</v>
      </c>
      <c r="CR4" s="827"/>
      <c r="CS4" s="827"/>
      <c r="CT4" s="827"/>
      <c r="CU4" s="827"/>
      <c r="CV4" s="827"/>
      <c r="CW4" s="827"/>
      <c r="CX4" s="828"/>
    </row>
    <row r="5" spans="2:102" x14ac:dyDescent="0.25">
      <c r="B5" s="8" t="s">
        <v>23</v>
      </c>
      <c r="C5" s="8" t="s">
        <v>24</v>
      </c>
      <c r="D5" s="17" t="s">
        <v>98</v>
      </c>
      <c r="E5" s="17" t="s">
        <v>76</v>
      </c>
      <c r="F5" s="17" t="s">
        <v>77</v>
      </c>
      <c r="G5" s="17" t="s">
        <v>324</v>
      </c>
      <c r="H5" s="17" t="s">
        <v>212</v>
      </c>
      <c r="I5" s="17" t="s">
        <v>177</v>
      </c>
      <c r="J5" s="335">
        <f>CP_Yr_4</f>
        <v>43800</v>
      </c>
      <c r="K5" s="335">
        <f>CP_Yr_5</f>
        <v>44166</v>
      </c>
      <c r="L5" s="335">
        <f>Stub</f>
        <v>44377</v>
      </c>
      <c r="M5" s="335">
        <f>Yr_1</f>
        <v>44742</v>
      </c>
      <c r="N5" s="335">
        <f>Yr_2</f>
        <v>45107</v>
      </c>
      <c r="O5" s="335">
        <f>Yr_3</f>
        <v>45473</v>
      </c>
      <c r="P5" s="335">
        <f>Yr_4</f>
        <v>45838</v>
      </c>
      <c r="Q5" s="335">
        <f>Yr_5</f>
        <v>46203</v>
      </c>
      <c r="R5" s="336"/>
      <c r="S5" s="335">
        <f>CP_Yr_4</f>
        <v>43800</v>
      </c>
      <c r="T5" s="335">
        <f>CP_Yr_5</f>
        <v>44166</v>
      </c>
      <c r="U5" s="335">
        <f>Stub</f>
        <v>44377</v>
      </c>
      <c r="V5" s="335">
        <f>Yr_1</f>
        <v>44742</v>
      </c>
      <c r="W5" s="335">
        <f>Yr_2</f>
        <v>45107</v>
      </c>
      <c r="X5" s="335">
        <f>Yr_3</f>
        <v>45473</v>
      </c>
      <c r="Y5" s="335">
        <f>Yr_4</f>
        <v>45838</v>
      </c>
      <c r="Z5" s="335">
        <f>Yr_5</f>
        <v>46203</v>
      </c>
      <c r="AA5" s="336"/>
      <c r="AB5" s="335">
        <f t="shared" ref="AB5:AG5" si="0">CP_Yr_4</f>
        <v>43800</v>
      </c>
      <c r="AC5" s="335">
        <f t="shared" si="0"/>
        <v>43800</v>
      </c>
      <c r="AD5" s="335">
        <f t="shared" si="0"/>
        <v>43800</v>
      </c>
      <c r="AE5" s="335">
        <f t="shared" si="0"/>
        <v>43800</v>
      </c>
      <c r="AF5" s="335">
        <f t="shared" si="0"/>
        <v>43800</v>
      </c>
      <c r="AG5" s="335">
        <f t="shared" si="0"/>
        <v>43800</v>
      </c>
      <c r="AH5" s="335">
        <f t="shared" ref="AH5:AM5" si="1">CP_Yr_5</f>
        <v>44166</v>
      </c>
      <c r="AI5" s="335">
        <f t="shared" si="1"/>
        <v>44166</v>
      </c>
      <c r="AJ5" s="335">
        <f t="shared" si="1"/>
        <v>44166</v>
      </c>
      <c r="AK5" s="335">
        <f t="shared" si="1"/>
        <v>44166</v>
      </c>
      <c r="AL5" s="335">
        <f t="shared" si="1"/>
        <v>44166</v>
      </c>
      <c r="AM5" s="335">
        <f t="shared" si="1"/>
        <v>44166</v>
      </c>
      <c r="AN5" s="335">
        <f t="shared" ref="AN5:AS5" si="2">Stub</f>
        <v>44377</v>
      </c>
      <c r="AO5" s="335">
        <f t="shared" si="2"/>
        <v>44377</v>
      </c>
      <c r="AP5" s="335">
        <f t="shared" si="2"/>
        <v>44377</v>
      </c>
      <c r="AQ5" s="335">
        <f t="shared" si="2"/>
        <v>44377</v>
      </c>
      <c r="AR5" s="335">
        <f t="shared" si="2"/>
        <v>44377</v>
      </c>
      <c r="AS5" s="335">
        <f t="shared" si="2"/>
        <v>44377</v>
      </c>
      <c r="AT5" s="335">
        <f t="shared" ref="AT5:AY5" si="3">Yr_1</f>
        <v>44742</v>
      </c>
      <c r="AU5" s="335">
        <f t="shared" si="3"/>
        <v>44742</v>
      </c>
      <c r="AV5" s="335">
        <f t="shared" si="3"/>
        <v>44742</v>
      </c>
      <c r="AW5" s="335">
        <f t="shared" si="3"/>
        <v>44742</v>
      </c>
      <c r="AX5" s="335">
        <f t="shared" si="3"/>
        <v>44742</v>
      </c>
      <c r="AY5" s="335">
        <f t="shared" si="3"/>
        <v>44742</v>
      </c>
      <c r="AZ5" s="335">
        <f t="shared" ref="AZ5:BE5" si="4">Yr_2</f>
        <v>45107</v>
      </c>
      <c r="BA5" s="335">
        <f t="shared" si="4"/>
        <v>45107</v>
      </c>
      <c r="BB5" s="335">
        <f t="shared" si="4"/>
        <v>45107</v>
      </c>
      <c r="BC5" s="335">
        <f t="shared" si="4"/>
        <v>45107</v>
      </c>
      <c r="BD5" s="335">
        <f t="shared" si="4"/>
        <v>45107</v>
      </c>
      <c r="BE5" s="335">
        <f t="shared" si="4"/>
        <v>45107</v>
      </c>
      <c r="BF5" s="335">
        <f t="shared" ref="BF5:BK5" si="5">Yr_3</f>
        <v>45473</v>
      </c>
      <c r="BG5" s="335">
        <f t="shared" si="5"/>
        <v>45473</v>
      </c>
      <c r="BH5" s="335">
        <f t="shared" si="5"/>
        <v>45473</v>
      </c>
      <c r="BI5" s="335">
        <f t="shared" si="5"/>
        <v>45473</v>
      </c>
      <c r="BJ5" s="335">
        <f t="shared" si="5"/>
        <v>45473</v>
      </c>
      <c r="BK5" s="335">
        <f t="shared" si="5"/>
        <v>45473</v>
      </c>
      <c r="BL5" s="335">
        <f t="shared" ref="BL5:BQ5" si="6">Yr_4</f>
        <v>45838</v>
      </c>
      <c r="BM5" s="335">
        <f t="shared" si="6"/>
        <v>45838</v>
      </c>
      <c r="BN5" s="335">
        <f t="shared" si="6"/>
        <v>45838</v>
      </c>
      <c r="BO5" s="335">
        <f t="shared" si="6"/>
        <v>45838</v>
      </c>
      <c r="BP5" s="335">
        <f t="shared" si="6"/>
        <v>45838</v>
      </c>
      <c r="BQ5" s="335">
        <f t="shared" si="6"/>
        <v>45838</v>
      </c>
      <c r="BR5" s="335">
        <f t="shared" ref="BR5:BW5" si="7">Yr_5</f>
        <v>46203</v>
      </c>
      <c r="BS5" s="335">
        <f t="shared" si="7"/>
        <v>46203</v>
      </c>
      <c r="BT5" s="335">
        <f t="shared" si="7"/>
        <v>46203</v>
      </c>
      <c r="BU5" s="335">
        <f t="shared" si="7"/>
        <v>46203</v>
      </c>
      <c r="BV5" s="335">
        <f t="shared" si="7"/>
        <v>46203</v>
      </c>
      <c r="BW5" s="335">
        <f t="shared" si="7"/>
        <v>46203</v>
      </c>
      <c r="BX5" s="336"/>
      <c r="BY5" s="335">
        <f>CP_Yr_4</f>
        <v>43800</v>
      </c>
      <c r="BZ5" s="335">
        <f>CP_Yr_5</f>
        <v>44166</v>
      </c>
      <c r="CA5" s="335">
        <f>Stub</f>
        <v>44377</v>
      </c>
      <c r="CB5" s="335">
        <f>Yr_1</f>
        <v>44742</v>
      </c>
      <c r="CC5" s="335">
        <f>Yr_2</f>
        <v>45107</v>
      </c>
      <c r="CD5" s="335">
        <f>Yr_3</f>
        <v>45473</v>
      </c>
      <c r="CE5" s="335">
        <f>Yr_4</f>
        <v>45838</v>
      </c>
      <c r="CF5" s="335">
        <f>Yr_5</f>
        <v>46203</v>
      </c>
      <c r="CG5" s="336"/>
      <c r="CH5" s="335">
        <f>CP_Yr_4</f>
        <v>43800</v>
      </c>
      <c r="CI5" s="335">
        <f>CP_Yr_5</f>
        <v>44166</v>
      </c>
      <c r="CJ5" s="335">
        <f>Stub</f>
        <v>44377</v>
      </c>
      <c r="CK5" s="335">
        <f>Yr_1</f>
        <v>44742</v>
      </c>
      <c r="CL5" s="335">
        <f>Yr_2</f>
        <v>45107</v>
      </c>
      <c r="CM5" s="335">
        <f>Yr_3</f>
        <v>45473</v>
      </c>
      <c r="CN5" s="335">
        <f>Yr_4</f>
        <v>45838</v>
      </c>
      <c r="CO5" s="335">
        <f>Yr_5</f>
        <v>46203</v>
      </c>
      <c r="CP5" s="336"/>
      <c r="CQ5" s="335">
        <f>CP_Yr_4</f>
        <v>43800</v>
      </c>
      <c r="CR5" s="335">
        <f>CP_Yr_5</f>
        <v>44166</v>
      </c>
      <c r="CS5" s="335">
        <v>44348</v>
      </c>
      <c r="CT5" s="335">
        <f>Yr_1</f>
        <v>44742</v>
      </c>
      <c r="CU5" s="335">
        <f>Yr_2</f>
        <v>45107</v>
      </c>
      <c r="CV5" s="335">
        <f>Yr_3</f>
        <v>45473</v>
      </c>
      <c r="CW5" s="335">
        <f>Yr_4</f>
        <v>45838</v>
      </c>
      <c r="CX5" s="335">
        <f>Yr_5</f>
        <v>46203</v>
      </c>
    </row>
    <row r="6" spans="2:102" x14ac:dyDescent="0.25">
      <c r="B6" s="7"/>
      <c r="C6" s="7" t="s">
        <v>542</v>
      </c>
      <c r="D6" s="7" t="s">
        <v>541</v>
      </c>
      <c r="E6" s="7" t="s">
        <v>48</v>
      </c>
      <c r="F6" s="7" t="s">
        <v>130</v>
      </c>
      <c r="G6" s="7" t="s">
        <v>150</v>
      </c>
      <c r="H6" s="7" t="s">
        <v>5</v>
      </c>
      <c r="I6" s="7" t="s">
        <v>204</v>
      </c>
      <c r="J6" s="45"/>
      <c r="K6" s="45"/>
      <c r="L6" s="45"/>
      <c r="M6" s="128">
        <v>549.5</v>
      </c>
      <c r="N6" s="128">
        <v>549.5</v>
      </c>
      <c r="O6" s="128">
        <v>549.5</v>
      </c>
      <c r="P6" s="128">
        <v>549.5</v>
      </c>
      <c r="Q6" s="128">
        <v>0</v>
      </c>
      <c r="R6" s="129"/>
      <c r="S6" s="128">
        <f>INDEX(Direct_Cost_Splits_Network,MATCH($H6,RIN_Asset_Cat_Network,0),MATCH($S$4,Direct_Cost_Type,0))*J6*HLOOKUP(S$5,Escalators!$I$25:$U$30,3,FALSE)</f>
        <v>0</v>
      </c>
      <c r="T6" s="128">
        <f>INDEX(Direct_Cost_Splits_Network,MATCH($H6,RIN_Asset_Cat_Network,0),MATCH($S$4,Direct_Cost_Type,0))*K6*HLOOKUP(T$5,Escalators!$I$25:$U$30,3,FALSE)</f>
        <v>0</v>
      </c>
      <c r="U6" s="128">
        <f>INDEX(Direct_Cost_Splits_Network,MATCH($H6,RIN_Asset_Cat_Network,0),MATCH($S$4,Direct_Cost_Type,0))*L6*HLOOKUP(U$5,Escalators!$I$25:$U$30,3,FALSE)</f>
        <v>0</v>
      </c>
      <c r="V6" s="128">
        <f>INDEX(Direct_Cost_Splits_Network,MATCH($H6,RIN_Asset_Cat_Network,0),MATCH($S$4,Direct_Cost_Type,0))*M6*HLOOKUP(V$5,Escalators!$I$25:$U$30,3,FALSE)</f>
        <v>55.862425019183213</v>
      </c>
      <c r="W6" s="128">
        <f>INDEX(Direct_Cost_Splits_Network,MATCH($H6,RIN_Asset_Cat_Network,0),MATCH($S$4,Direct_Cost_Type,0))*N6*HLOOKUP(W$5,Escalators!$I$25:$U$30,3,FALSE)</f>
        <v>55.722895405143049</v>
      </c>
      <c r="X6" s="128">
        <f>INDEX(Direct_Cost_Splits_Network,MATCH($H6,RIN_Asset_Cat_Network,0),MATCH($S$4,Direct_Cost_Type,0))*O6*HLOOKUP(X$5,Escalators!$I$25:$U$30,3,FALSE)</f>
        <v>55.682423500496888</v>
      </c>
      <c r="Y6" s="128">
        <f>INDEX(Direct_Cost_Splits_Network,MATCH($H6,RIN_Asset_Cat_Network,0),MATCH($S$4,Direct_Cost_Type,0))*P6*HLOOKUP(Y$5,Escalators!$I$25:$U$30,3,FALSE)</f>
        <v>55.886931023929364</v>
      </c>
      <c r="Z6" s="128">
        <f>INDEX(Direct_Cost_Splits_Network,MATCH($H6,RIN_Asset_Cat_Network,0),MATCH($S$4,Direct_Cost_Type,0))*Q6*HLOOKUP(Z$5,Escalators!$I$25:$U$30,3,FALSE)</f>
        <v>0</v>
      </c>
      <c r="AA6" s="129"/>
      <c r="AB6" s="128">
        <f>INDEX(Direct_Cost_Splits_Network,MATCH($H6,RIN_Asset_Cat_Network,0),MATCH($AG$4,Direct_Cost_Type,0))*$J6*INDEX(Act_Type_Repex_Splits,MATCH($I6,Act_Type_Repex,0),MATCH(AB$4,Mat_Type,0))*INDEX(Escalators!$I$44:$Q$49,MATCH(AB$4,Escalators!$C$44:$C$49,0),MATCH(AB$5,Escalators!$I$43:$Q$43,0))</f>
        <v>0</v>
      </c>
      <c r="AC6" s="128">
        <f>INDEX(Direct_Cost_Splits_Network,MATCH($H6,RIN_Asset_Cat_Network,0),MATCH($AG$4,Direct_Cost_Type,0))*$J6*INDEX(Act_Type_Repex_Splits,MATCH($I6,Act_Type_Repex,0),MATCH(AC$4,Mat_Type,0))*INDEX(Escalators!$I$44:$Q$49,MATCH(AC$4,Escalators!$C$44:$C$49,0),MATCH(AC$5,Escalators!$I$43:$Q$43,0))</f>
        <v>0</v>
      </c>
      <c r="AD6" s="128">
        <f>INDEX(Direct_Cost_Splits_Network,MATCH($H6,RIN_Asset_Cat_Network,0),MATCH($AG$4,Direct_Cost_Type,0))*$J6*INDEX(Act_Type_Repex_Splits,MATCH($I6,Act_Type_Repex,0),MATCH(AD$4,Mat_Type,0))*INDEX(Escalators!$I$44:$Q$49,MATCH(AD$4,Escalators!$C$44:$C$49,0),MATCH(AD$5,Escalators!$I$43:$Q$43,0))</f>
        <v>0</v>
      </c>
      <c r="AE6" s="128">
        <f>INDEX(Direct_Cost_Splits_Network,MATCH($H6,RIN_Asset_Cat_Network,0),MATCH($AG$4,Direct_Cost_Type,0))*$J6*INDEX(Act_Type_Repex_Splits,MATCH($I6,Act_Type_Repex,0),MATCH(AE$4,Mat_Type,0))*INDEX(Escalators!$I$44:$Q$49,MATCH(AE$4,Escalators!$C$44:$C$49,0),MATCH(AE$5,Escalators!$I$43:$Q$43,0))</f>
        <v>0</v>
      </c>
      <c r="AF6" s="128">
        <f>INDEX(Direct_Cost_Splits_Network,MATCH($H6,RIN_Asset_Cat_Network,0),MATCH($AG$4,Direct_Cost_Type,0))*$J6*INDEX(Act_Type_Repex_Splits,MATCH($I6,Act_Type_Repex,0),MATCH(AF$4,Mat_Type,0))*INDEX(Escalators!$I$44:$Q$49,MATCH(AF$4,Escalators!$C$44:$C$49,0),MATCH(AF$5,Escalators!$I$43:$Q$43,0))</f>
        <v>0</v>
      </c>
      <c r="AG6" s="128">
        <f>SUM(AB6:AF6)</f>
        <v>0</v>
      </c>
      <c r="AH6" s="128">
        <f>INDEX(Direct_Cost_Splits_Network,MATCH($H6,RIN_Asset_Cat_Network,0),MATCH($AY$4,Direct_Cost_Type,0))*$K6*INDEX(Act_Type_Repex_Splits,MATCH($I6,Act_Type_Repex,0),MATCH(AH$4,Mat_Type,0))*INDEX(Escalators!$I$44:$U$49,MATCH(AH$4,Escalators!$C$44:$C$49,0),MATCH(AH$5,Escalators!$I$43:$U$43,0))</f>
        <v>0</v>
      </c>
      <c r="AI6" s="128">
        <f>INDEX(Direct_Cost_Splits_Network,MATCH($H6,RIN_Asset_Cat_Network,0),MATCH($AY$4,Direct_Cost_Type,0))*$K6*INDEX(Act_Type_Repex_Splits,MATCH($I6,Act_Type_Repex,0),MATCH(AI$4,Mat_Type,0))*INDEX(Escalators!$I$44:$U$49,MATCH(AI$4,Escalators!$C$44:$C$49,0),MATCH(AI$5,Escalators!$I$43:$U$43,0))</f>
        <v>0</v>
      </c>
      <c r="AJ6" s="128">
        <f>INDEX(Direct_Cost_Splits_Network,MATCH($H6,RIN_Asset_Cat_Network,0),MATCH($AY$4,Direct_Cost_Type,0))*$K6*INDEX(Act_Type_Repex_Splits,MATCH($I6,Act_Type_Repex,0),MATCH(AJ$4,Mat_Type,0))*INDEX(Escalators!$I$44:$U$49,MATCH(AJ$4,Escalators!$C$44:$C$49,0),MATCH(AJ$5,Escalators!$I$43:$U$43,0))</f>
        <v>0</v>
      </c>
      <c r="AK6" s="128">
        <f>INDEX(Direct_Cost_Splits_Network,MATCH($H6,RIN_Asset_Cat_Network,0),MATCH($AY$4,Direct_Cost_Type,0))*$K6*INDEX(Act_Type_Repex_Splits,MATCH($I6,Act_Type_Repex,0),MATCH(AK$4,Mat_Type,0))*INDEX(Escalators!$I$44:$U$49,MATCH(AK$4,Escalators!$C$44:$C$49,0),MATCH(AK$5,Escalators!$I$43:$U$43,0))</f>
        <v>0</v>
      </c>
      <c r="AL6" s="128">
        <f>INDEX(Direct_Cost_Splits_Network,MATCH($H6,RIN_Asset_Cat_Network,0),MATCH($AY$4,Direct_Cost_Type,0))*$K6*INDEX(Act_Type_Repex_Splits,MATCH($I6,Act_Type_Repex,0),MATCH(AL$4,Mat_Type,0))*INDEX(Escalators!$I$44:$U$49,MATCH(AL$4,Escalators!$C$44:$C$49,0),MATCH(AL$5,Escalators!$I$43:$U$43,0))</f>
        <v>0</v>
      </c>
      <c r="AM6" s="128">
        <f>SUM(AH6:AL6)</f>
        <v>0</v>
      </c>
      <c r="AN6" s="128">
        <f>INDEX(Direct_Cost_Splits_Network,MATCH($H6,RIN_Asset_Cat_Network,0),MATCH($AY$4,Direct_Cost_Type,0))*$L6*INDEX(Act_Type_Repex_Splits,MATCH($I6,Act_Type_Repex,0),MATCH(AN$4,Mat_Type,0))*INDEX(Escalators!$I$44:$U$49,MATCH(AN$4,Escalators!$C$44:$C$49,0),MATCH(AN$5,Escalators!$I$43:$U$43,0))</f>
        <v>0</v>
      </c>
      <c r="AO6" s="128">
        <f>INDEX(Direct_Cost_Splits_Network,MATCH($H6,RIN_Asset_Cat_Network,0),MATCH($AY$4,Direct_Cost_Type,0))*$L6*INDEX(Act_Type_Repex_Splits,MATCH($I6,Act_Type_Repex,0),MATCH(AO$4,Mat_Type,0))*INDEX(Escalators!$I$44:$U$49,MATCH(AO$4,Escalators!$C$44:$C$49,0),MATCH(AO$5,Escalators!$I$43:$U$43,0))</f>
        <v>0</v>
      </c>
      <c r="AP6" s="128">
        <f>INDEX(Direct_Cost_Splits_Network,MATCH($H6,RIN_Asset_Cat_Network,0),MATCH($AY$4,Direct_Cost_Type,0))*$L6*INDEX(Act_Type_Repex_Splits,MATCH($I6,Act_Type_Repex,0),MATCH(AP$4,Mat_Type,0))*INDEX(Escalators!$I$44:$U$49,MATCH(AP$4,Escalators!$C$44:$C$49,0),MATCH(AP$5,Escalators!$I$43:$U$43,0))</f>
        <v>0</v>
      </c>
      <c r="AQ6" s="128">
        <f>INDEX(Direct_Cost_Splits_Network,MATCH($H6,RIN_Asset_Cat_Network,0),MATCH($AY$4,Direct_Cost_Type,0))*$L6*INDEX(Act_Type_Repex_Splits,MATCH($I6,Act_Type_Repex,0),MATCH(AQ$4,Mat_Type,0))*INDEX(Escalators!$I$44:$U$49,MATCH(AQ$4,Escalators!$C$44:$C$49,0),MATCH(AQ$5,Escalators!$I$43:$U$43,0))</f>
        <v>0</v>
      </c>
      <c r="AR6" s="128">
        <f>INDEX(Direct_Cost_Splits_Network,MATCH($H6,RIN_Asset_Cat_Network,0),MATCH($AY$4,Direct_Cost_Type,0))*$L6*INDEX(Act_Type_Repex_Splits,MATCH($I6,Act_Type_Repex,0),MATCH(AR$4,Mat_Type,0))*INDEX(Escalators!$I$44:$U$49,MATCH(AR$4,Escalators!$C$44:$C$49,0),MATCH(AR$5,Escalators!$I$43:$U$43,0))</f>
        <v>0</v>
      </c>
      <c r="AS6" s="128">
        <f>SUM(AN6:AR6)</f>
        <v>0</v>
      </c>
      <c r="AT6" s="128">
        <f>INDEX(Direct_Cost_Splits_Network,MATCH($H6,RIN_Asset_Cat_Network,0),MATCH($AY$4,Direct_Cost_Type,0))*$M6*INDEX(Act_Type_Repex_Splits,MATCH($I6,Act_Type_Repex,0),MATCH(AT$4,Mat_Type,0))*INDEX(Escalators!$I$44:$U$49,MATCH(AT$4,Escalators!$C$44:$C$49,0),MATCH(AT$5,Escalators!$I$43:$U$43,0))</f>
        <v>0</v>
      </c>
      <c r="AU6" s="128">
        <f>INDEX(Direct_Cost_Splits_Network,MATCH($H6,RIN_Asset_Cat_Network,0),MATCH($AY$4,Direct_Cost_Type,0))*$M6*INDEX(Act_Type_Repex_Splits,MATCH($I6,Act_Type_Repex,0),MATCH(AU$4,Mat_Type,0))*INDEX(Escalators!$I$44:$U$49,MATCH(AU$4,Escalators!$C$44:$C$49,0),MATCH(AU$5,Escalators!$I$43:$U$43,0))</f>
        <v>0</v>
      </c>
      <c r="AV6" s="128">
        <f>INDEX(Direct_Cost_Splits_Network,MATCH($H6,RIN_Asset_Cat_Network,0),MATCH($AY$4,Direct_Cost_Type,0))*$M6*INDEX(Act_Type_Repex_Splits,MATCH($I6,Act_Type_Repex,0),MATCH(AV$4,Mat_Type,0))*INDEX(Escalators!$I$44:$U$49,MATCH(AV$4,Escalators!$C$44:$C$49,0),MATCH(AV$5,Escalators!$I$43:$U$43,0))</f>
        <v>24.166913468912824</v>
      </c>
      <c r="AW6" s="128">
        <f>INDEX(Direct_Cost_Splits_Network,MATCH($H6,RIN_Asset_Cat_Network,0),MATCH($AY$4,Direct_Cost_Type,0))*$M6*INDEX(Act_Type_Repex_Splits,MATCH($I6,Act_Type_Repex,0),MATCH(AW$4,Mat_Type,0))*INDEX(Escalators!$I$44:$U$49,MATCH(AW$4,Escalators!$C$44:$C$49,0),MATCH(AW$5,Escalators!$I$43:$U$43,0))</f>
        <v>0</v>
      </c>
      <c r="AX6" s="128">
        <f>INDEX(Direct_Cost_Splits_Network,MATCH($H6,RIN_Asset_Cat_Network,0),MATCH($AY$4,Direct_Cost_Type,0))*$M6*INDEX(Act_Type_Repex_Splits,MATCH($I6,Act_Type_Repex,0),MATCH(AX$4,Mat_Type,0))*INDEX(Escalators!$I$44:$U$49,MATCH(AX$4,Escalators!$C$44:$C$49,0),MATCH(AX$5,Escalators!$I$43:$U$43,0))</f>
        <v>96.667653875651297</v>
      </c>
      <c r="AY6" s="128">
        <f>SUM(AT6:AX6)</f>
        <v>120.83456734456412</v>
      </c>
      <c r="AZ6" s="128">
        <f>INDEX(Direct_Cost_Splits_Network,MATCH($H6,RIN_Asset_Cat_Network,0),MATCH($BE$4,Direct_Cost_Type,0))*$N6*INDEX(Act_Type_Repex_Splits,MATCH($I6,Act_Type_Repex,0),MATCH(AZ$4,Mat_Type,0))*INDEX(Escalators!$I$44:$U$49,MATCH(AZ$4,Escalators!$C$44:$C$49,0),MATCH(AZ$5,Escalators!$I$43:$U$43,0))</f>
        <v>0</v>
      </c>
      <c r="BA6" s="128">
        <f>INDEX(Direct_Cost_Splits_Network,MATCH($H6,RIN_Asset_Cat_Network,0),MATCH($BE$4,Direct_Cost_Type,0))*$N6*INDEX(Act_Type_Repex_Splits,MATCH($I6,Act_Type_Repex,0),MATCH(BA$4,Mat_Type,0))*INDEX(Escalators!$I$44:$U$49,MATCH(BA$4,Escalators!$C$44:$C$49,0),MATCH(BA$5,Escalators!$I$43:$U$43,0))</f>
        <v>0</v>
      </c>
      <c r="BB6" s="128">
        <f>INDEX(Direct_Cost_Splits_Network,MATCH($H6,RIN_Asset_Cat_Network,0),MATCH($BE$4,Direct_Cost_Type,0))*$N6*INDEX(Act_Type_Repex_Splits,MATCH($I6,Act_Type_Repex,0),MATCH(BB$4,Mat_Type,0))*INDEX(Escalators!$I$44:$U$49,MATCH(BB$4,Escalators!$C$44:$C$49,0),MATCH(BB$5,Escalators!$I$43:$U$43,0))</f>
        <v>24.166913468912824</v>
      </c>
      <c r="BC6" s="128">
        <f>INDEX(Direct_Cost_Splits_Network,MATCH($H6,RIN_Asset_Cat_Network,0),MATCH($BE$4,Direct_Cost_Type,0))*$N6*INDEX(Act_Type_Repex_Splits,MATCH($I6,Act_Type_Repex,0),MATCH(BC$4,Mat_Type,0))*INDEX(Escalators!$I$44:$U$49,MATCH(BC$4,Escalators!$C$44:$C$49,0),MATCH(BC$5,Escalators!$I$43:$U$43,0))</f>
        <v>0</v>
      </c>
      <c r="BD6" s="128">
        <f>INDEX(Direct_Cost_Splits_Network,MATCH($H6,RIN_Asset_Cat_Network,0),MATCH($BE$4,Direct_Cost_Type,0))*$N6*INDEX(Act_Type_Repex_Splits,MATCH($I6,Act_Type_Repex,0),MATCH(BD$4,Mat_Type,0))*INDEX(Escalators!$I$44:$U$49,MATCH(BD$4,Escalators!$C$44:$C$49,0),MATCH(BD$5,Escalators!$I$43:$U$43,0))</f>
        <v>96.667653875651297</v>
      </c>
      <c r="BE6" s="128">
        <f>SUM(AZ6:BD6)</f>
        <v>120.83456734456412</v>
      </c>
      <c r="BF6" s="128">
        <f>INDEX(Direct_Cost_Splits_Network,MATCH($H6,RIN_Asset_Cat_Network,0),MATCH($BK$4,Direct_Cost_Type,0))*$O6*INDEX(Act_Type_Repex_Splits,MATCH($I6,Act_Type_Repex,0),MATCH(BF$4,Mat_Type,0))*INDEX(Escalators!$I$44:$U$49,MATCH(BF$4,Escalators!$C$44:$C$49,0),MATCH(BF$5,Escalators!$I$43:$U$43,0))</f>
        <v>0</v>
      </c>
      <c r="BG6" s="128">
        <f>INDEX(Direct_Cost_Splits_Network,MATCH($H6,RIN_Asset_Cat_Network,0),MATCH($BK$4,Direct_Cost_Type,0))*$O6*INDEX(Act_Type_Repex_Splits,MATCH($I6,Act_Type_Repex,0),MATCH(BG$4,Mat_Type,0))*INDEX(Escalators!$I$44:$U$49,MATCH(BG$4,Escalators!$C$44:$C$49,0),MATCH(BG$5,Escalators!$I$43:$U$43,0))</f>
        <v>0</v>
      </c>
      <c r="BH6" s="128">
        <f>INDEX(Direct_Cost_Splits_Network,MATCH($H6,RIN_Asset_Cat_Network,0),MATCH($BK$4,Direct_Cost_Type,0))*$O6*INDEX(Act_Type_Repex_Splits,MATCH($I6,Act_Type_Repex,0),MATCH(BH$4,Mat_Type,0))*INDEX(Escalators!$I$44:$U$49,MATCH(BH$4,Escalators!$C$44:$C$49,0),MATCH(BH$5,Escalators!$I$43:$U$43,0))</f>
        <v>24.166913468912824</v>
      </c>
      <c r="BI6" s="128">
        <f>INDEX(Direct_Cost_Splits_Network,MATCH($H6,RIN_Asset_Cat_Network,0),MATCH($BK$4,Direct_Cost_Type,0))*$O6*INDEX(Act_Type_Repex_Splits,MATCH($I6,Act_Type_Repex,0),MATCH(BI$4,Mat_Type,0))*INDEX(Escalators!$I$44:$U$49,MATCH(BI$4,Escalators!$C$44:$C$49,0),MATCH(BI$5,Escalators!$I$43:$U$43,0))</f>
        <v>0</v>
      </c>
      <c r="BJ6" s="128">
        <f>INDEX(Direct_Cost_Splits_Network,MATCH($H6,RIN_Asset_Cat_Network,0),MATCH($BK$4,Direct_Cost_Type,0))*$O6*INDEX(Act_Type_Repex_Splits,MATCH($I6,Act_Type_Repex,0),MATCH(BJ$4,Mat_Type,0))*INDEX(Escalators!$I$44:$U$49,MATCH(BJ$4,Escalators!$C$44:$C$49,0),MATCH(BJ$5,Escalators!$I$43:$U$43,0))</f>
        <v>96.667653875651297</v>
      </c>
      <c r="BK6" s="128">
        <f>SUM(BF6:BJ6)</f>
        <v>120.83456734456412</v>
      </c>
      <c r="BL6" s="128">
        <f>INDEX(Direct_Cost_Splits_Network,MATCH($H6,RIN_Asset_Cat_Network,0),MATCH($BQ$4,Direct_Cost_Type,0))*$P6*INDEX(Act_Type_Repex_Splits,MATCH($I6,Act_Type_Repex,0),MATCH(BL$4,Mat_Type,0))*INDEX(Escalators!$I$44:$U$49,MATCH(BL$4,Escalators!$C$44:$C$49,0),MATCH(BL$5,Escalators!$I$43:$U$43,0))</f>
        <v>0</v>
      </c>
      <c r="BM6" s="128">
        <f>INDEX(Direct_Cost_Splits_Network,MATCH($H6,RIN_Asset_Cat_Network,0),MATCH($BQ$4,Direct_Cost_Type,0))*$P6*INDEX(Act_Type_Repex_Splits,MATCH($I6,Act_Type_Repex,0),MATCH(BM$4,Mat_Type,0))*INDEX(Escalators!$I$44:$U$49,MATCH(BM$4,Escalators!$C$44:$C$49,0),MATCH(BM$5,Escalators!$I$43:$U$43,0))</f>
        <v>0</v>
      </c>
      <c r="BN6" s="128">
        <f>INDEX(Direct_Cost_Splits_Network,MATCH($H6,RIN_Asset_Cat_Network,0),MATCH($BQ$4,Direct_Cost_Type,0))*$P6*INDEX(Act_Type_Repex_Splits,MATCH($I6,Act_Type_Repex,0),MATCH(BN$4,Mat_Type,0))*INDEX(Escalators!$I$44:$U$49,MATCH(BN$4,Escalators!$C$44:$C$49,0),MATCH(BN$5,Escalators!$I$43:$U$43,0))</f>
        <v>24.166913468912824</v>
      </c>
      <c r="BO6" s="128">
        <f>INDEX(Direct_Cost_Splits_Network,MATCH($H6,RIN_Asset_Cat_Network,0),MATCH($BQ$4,Direct_Cost_Type,0))*$P6*INDEX(Act_Type_Repex_Splits,MATCH($I6,Act_Type_Repex,0),MATCH(BO$4,Mat_Type,0))*INDEX(Escalators!$I$44:$U$49,MATCH(BO$4,Escalators!$C$44:$C$49,0),MATCH(BO$5,Escalators!$I$43:$U$43,0))</f>
        <v>0</v>
      </c>
      <c r="BP6" s="128">
        <f>INDEX(Direct_Cost_Splits_Network,MATCH($H6,RIN_Asset_Cat_Network,0),MATCH($BQ$4,Direct_Cost_Type,0))*$P6*INDEX(Act_Type_Repex_Splits,MATCH($I6,Act_Type_Repex,0),MATCH(BP$4,Mat_Type,0))*INDEX(Escalators!$I$44:$U$49,MATCH(BP$4,Escalators!$C$44:$C$49,0),MATCH(BP$5,Escalators!$I$43:$U$43,0))</f>
        <v>96.667653875651297</v>
      </c>
      <c r="BQ6" s="128">
        <f>SUM(BL6:BP6)</f>
        <v>120.83456734456412</v>
      </c>
      <c r="BR6" s="128">
        <f>INDEX(Direct_Cost_Splits_Network,MATCH($H6,RIN_Asset_Cat_Network,0),MATCH($BW$4,Direct_Cost_Type,0))*$Q6*INDEX(Act_Type_Repex_Splits,MATCH($I6,Act_Type_Repex,0),MATCH(BR$4,Mat_Type,0))*INDEX(Escalators!$I$44:$U$49,MATCH(BR$4,Escalators!$C$44:$C$49,0),MATCH(BR$5,Escalators!$I$43:$U$43,0))</f>
        <v>0</v>
      </c>
      <c r="BS6" s="128">
        <f>INDEX(Direct_Cost_Splits_Network,MATCH($H6,RIN_Asset_Cat_Network,0),MATCH($BW$4,Direct_Cost_Type,0))*$Q6*INDEX(Act_Type_Repex_Splits,MATCH($I6,Act_Type_Repex,0),MATCH(BS$4,Mat_Type,0))*INDEX(Escalators!$I$44:$U$49,MATCH(BS$4,Escalators!$C$44:$C$49,0),MATCH(BS$5,Escalators!$I$43:$U$43,0))</f>
        <v>0</v>
      </c>
      <c r="BT6" s="128">
        <f>INDEX(Direct_Cost_Splits_Network,MATCH($H6,RIN_Asset_Cat_Network,0),MATCH($BW$4,Direct_Cost_Type,0))*$Q6*INDEX(Act_Type_Repex_Splits,MATCH($I6,Act_Type_Repex,0),MATCH(BT$4,Mat_Type,0))*INDEX(Escalators!$I$44:$U$49,MATCH(BT$4,Escalators!$C$44:$C$49,0),MATCH(BT$5,Escalators!$I$43:$U$43,0))</f>
        <v>0</v>
      </c>
      <c r="BU6" s="128">
        <f>INDEX(Direct_Cost_Splits_Network,MATCH($H6,RIN_Asset_Cat_Network,0),MATCH($BW$4,Direct_Cost_Type,0))*$Q6*INDEX(Act_Type_Repex_Splits,MATCH($I6,Act_Type_Repex,0),MATCH(BU$4,Mat_Type,0))*INDEX(Escalators!$I$44:$U$49,MATCH(BU$4,Escalators!$C$44:$C$49,0),MATCH(BU$5,Escalators!$I$43:$U$43,0))</f>
        <v>0</v>
      </c>
      <c r="BV6" s="128">
        <f>INDEX(Direct_Cost_Splits_Network,MATCH($H6,RIN_Asset_Cat_Network,0),MATCH($BW$4,Direct_Cost_Type,0))*$Q6*INDEX(Act_Type_Repex_Splits,MATCH($I6,Act_Type_Repex,0),MATCH(BV$4,Mat_Type,0))*INDEX(Escalators!$I$44:$U$49,MATCH(BV$4,Escalators!$C$44:$C$49,0),MATCH(BV$5,Escalators!$I$43:$U$43,0))</f>
        <v>0</v>
      </c>
      <c r="BW6" s="128">
        <f>SUM(BR6:BV6)</f>
        <v>0</v>
      </c>
      <c r="BX6" s="129"/>
      <c r="BY6" s="128">
        <f>INDEX(Direct_Cost_Splits_Network,MATCH($H6,RIN_Asset_Cat_Network,0),MATCH($BY$4,Direct_Cost_Type,0))*J6*HLOOKUP(BY$5,Escalators!$I$25:$U$30,6,FALSE)</f>
        <v>0</v>
      </c>
      <c r="BZ6" s="128">
        <f>INDEX(Direct_Cost_Splits_Network,MATCH($H6,RIN_Asset_Cat_Network,0),MATCH($BY$4,Direct_Cost_Type,0))*K6*HLOOKUP(BZ$5,Escalators!$I$25:$U$30,6,FALSE)</f>
        <v>0</v>
      </c>
      <c r="CA6" s="128">
        <f>INDEX(Direct_Cost_Splits_Network,MATCH($H6,RIN_Asset_Cat_Network,0),MATCH($BY$4,Direct_Cost_Type,0))*L6*HLOOKUP(CA$5,Escalators!$I$25:$U$30,6,FALSE)</f>
        <v>0</v>
      </c>
      <c r="CB6" s="128">
        <f>INDEX(Direct_Cost_Splits_Network,MATCH($H6,RIN_Asset_Cat_Network,0),MATCH($BY$4,Direct_Cost_Type,0))*M6*HLOOKUP(CB$5,Escalators!$I$25:$U$30,6,FALSE)</f>
        <v>323.69975823630296</v>
      </c>
      <c r="CC6" s="128">
        <f>INDEX(Direct_Cost_Splits_Network,MATCH($H6,RIN_Asset_Cat_Network,0),MATCH($BY$4,Direct_Cost_Type,0))*N6*HLOOKUP(CC$5,Escalators!$I$25:$U$30,6,FALSE)</f>
        <v>323.69975823630296</v>
      </c>
      <c r="CD6" s="128">
        <f>INDEX(Direct_Cost_Splits_Network,MATCH($H6,RIN_Asset_Cat_Network,0),MATCH($BY$4,Direct_Cost_Type,0))*O6*HLOOKUP(CD$5,Escalators!$I$25:$U$30,6,FALSE)</f>
        <v>323.69975823630296</v>
      </c>
      <c r="CE6" s="128">
        <f>INDEX(Direct_Cost_Splits_Network,MATCH($H6,RIN_Asset_Cat_Network,0),MATCH($BY$4,Direct_Cost_Type,0))*P6*HLOOKUP(CE$5,Escalators!$I$25:$U$30,6,FALSE)</f>
        <v>323.69975823630296</v>
      </c>
      <c r="CF6" s="128">
        <f>INDEX(Direct_Cost_Splits_Network,MATCH($H6,RIN_Asset_Cat_Network,0),MATCH($BY$4,Direct_Cost_Type,0))*Q6*HLOOKUP(CF$5,Escalators!$I$25:$U$30,6,FALSE)</f>
        <v>0</v>
      </c>
      <c r="CG6" s="129"/>
      <c r="CH6" s="763">
        <f t="shared" ref="CH6:CH15" si="8">INDEX(Direct_Cost_Splits_Network,MATCH($H6,RIN_Asset_Cat_Network,0),MATCH($CH$4,Direct_Cost_Type,0))*J6</f>
        <v>0</v>
      </c>
      <c r="CI6" s="763">
        <f t="shared" ref="CI6:CI15" si="9">INDEX(Direct_Cost_Splits_Network,MATCH($H6,RIN_Asset_Cat_Network,0),MATCH($CH$4,Direct_Cost_Type,0))*K6</f>
        <v>0</v>
      </c>
      <c r="CJ6" s="763">
        <f t="shared" ref="CJ6:CJ15" si="10">INDEX(Direct_Cost_Splits_Network,MATCH($H6,RIN_Asset_Cat_Network,0),MATCH($CH$4,Direct_Cost_Type,0))*L6</f>
        <v>0</v>
      </c>
      <c r="CK6" s="763">
        <f t="shared" ref="CK6:CK15" si="11">INDEX(Direct_Cost_Splits_Network,MATCH($H6,RIN_Asset_Cat_Network,0),MATCH($CH$4,Direct_Cost_Type,0))*M6</f>
        <v>50.094151940237111</v>
      </c>
      <c r="CL6" s="763">
        <f t="shared" ref="CL6:CL15" si="12">INDEX(Direct_Cost_Splits_Network,MATCH($H6,RIN_Asset_Cat_Network,0),MATCH($CH$4,Direct_Cost_Type,0))*N6</f>
        <v>50.094151940237111</v>
      </c>
      <c r="CM6" s="763">
        <f t="shared" ref="CM6:CM15" si="13">INDEX(Direct_Cost_Splits_Network,MATCH($H6,RIN_Asset_Cat_Network,0),MATCH($CH$4,Direct_Cost_Type,0))*O6</f>
        <v>50.094151940237111</v>
      </c>
      <c r="CN6" s="763">
        <f t="shared" ref="CN6:CN15" si="14">INDEX(Direct_Cost_Splits_Network,MATCH($H6,RIN_Asset_Cat_Network,0),MATCH($CH$4,Direct_Cost_Type,0))*P6</f>
        <v>50.094151940237111</v>
      </c>
      <c r="CO6" s="763">
        <f t="shared" ref="CO6:CO15" si="15">INDEX(Direct_Cost_Splits_Network,MATCH($H6,RIN_Asset_Cat_Network,0),MATCH($CH$4,Direct_Cost_Type,0))*Q6</f>
        <v>0</v>
      </c>
      <c r="CP6" s="129"/>
      <c r="CQ6" s="128">
        <f>S6+AG6+BY6+CH6</f>
        <v>0</v>
      </c>
      <c r="CR6" s="128">
        <f>T6+AM6+BZ6+CI6</f>
        <v>0</v>
      </c>
      <c r="CS6" s="128">
        <f>U6+AS6+CA6+CJ6</f>
        <v>0</v>
      </c>
      <c r="CT6" s="128">
        <f>V6+AY6+CB6+CK6</f>
        <v>550.49090254028738</v>
      </c>
      <c r="CU6" s="128">
        <f>W6+BE6+CC6+CL6</f>
        <v>550.35137292624722</v>
      </c>
      <c r="CV6" s="128">
        <f>X6+BK6+CD6+CM6</f>
        <v>550.31090102160101</v>
      </c>
      <c r="CW6" s="128">
        <f>Y6+BQ6+CE6+CN6</f>
        <v>550.51540854503355</v>
      </c>
      <c r="CX6" s="128">
        <f>Z6+BW6+CF6+CO6</f>
        <v>0</v>
      </c>
    </row>
    <row r="7" spans="2:102" x14ac:dyDescent="0.25">
      <c r="B7" s="7"/>
      <c r="C7" s="7" t="s">
        <v>481</v>
      </c>
      <c r="D7" s="7" t="s">
        <v>99</v>
      </c>
      <c r="E7" s="7" t="s">
        <v>48</v>
      </c>
      <c r="F7" s="7" t="s">
        <v>130</v>
      </c>
      <c r="G7" s="7" t="s">
        <v>150</v>
      </c>
      <c r="H7" s="7" t="s">
        <v>5</v>
      </c>
      <c r="I7" s="7" t="s">
        <v>204</v>
      </c>
      <c r="J7" s="45"/>
      <c r="K7" s="45"/>
      <c r="L7" s="45"/>
      <c r="M7" s="128">
        <v>333.6</v>
      </c>
      <c r="N7" s="128">
        <v>333.6</v>
      </c>
      <c r="O7" s="128">
        <v>333.6</v>
      </c>
      <c r="P7" s="128">
        <v>333.6</v>
      </c>
      <c r="Q7" s="128">
        <v>0</v>
      </c>
      <c r="R7" s="129"/>
      <c r="S7" s="128">
        <f>INDEX(Direct_Cost_Splits_Network,MATCH($H7,RIN_Asset_Cat_Network,0),MATCH($S$4,Direct_Cost_Type,0))*J7*HLOOKUP(S$5,Escalators!$I$25:$U$30,3,FALSE)</f>
        <v>0</v>
      </c>
      <c r="T7" s="128">
        <f>INDEX(Direct_Cost_Splits_Network,MATCH($H7,RIN_Asset_Cat_Network,0),MATCH($S$4,Direct_Cost_Type,0))*K7*HLOOKUP(T$5,Escalators!$I$25:$U$30,3,FALSE)</f>
        <v>0</v>
      </c>
      <c r="U7" s="128">
        <f>INDEX(Direct_Cost_Splits_Network,MATCH($H7,RIN_Asset_Cat_Network,0),MATCH($S$4,Direct_Cost_Type,0))*L7*HLOOKUP(U$5,Escalators!$I$25:$U$30,3,FALSE)</f>
        <v>0</v>
      </c>
      <c r="V7" s="128">
        <f>INDEX(Direct_Cost_Splits_Network,MATCH($H7,RIN_Asset_Cat_Network,0),MATCH($S$4,Direct_Cost_Type,0))*M7*HLOOKUP(V$5,Escalators!$I$25:$U$30,3,FALSE)</f>
        <v>33.913930821473194</v>
      </c>
      <c r="W7" s="128">
        <f>INDEX(Direct_Cost_Splits_Network,MATCH($H7,RIN_Asset_Cat_Network,0),MATCH($S$4,Direct_Cost_Type,0))*N7*HLOOKUP(W$5,Escalators!$I$25:$U$30,3,FALSE)</f>
        <v>33.829222760974929</v>
      </c>
      <c r="X7" s="128">
        <f>INDEX(Direct_Cost_Splits_Network,MATCH($H7,RIN_Asset_Cat_Network,0),MATCH($S$4,Direct_Cost_Type,0))*O7*HLOOKUP(X$5,Escalators!$I$25:$U$30,3,FALSE)</f>
        <v>33.804652374459991</v>
      </c>
      <c r="Y7" s="128">
        <f>INDEX(Direct_Cost_Splits_Network,MATCH($H7,RIN_Asset_Cat_Network,0),MATCH($S$4,Direct_Cost_Type,0))*P7*HLOOKUP(Y$5,Escalators!$I$25:$U$30,3,FALSE)</f>
        <v>33.92880835228906</v>
      </c>
      <c r="Z7" s="128">
        <f>INDEX(Direct_Cost_Splits_Network,MATCH($H7,RIN_Asset_Cat_Network,0),MATCH($S$4,Direct_Cost_Type,0))*Q7*HLOOKUP(Z$5,Escalators!$I$25:$U$30,3,FALSE)</f>
        <v>0</v>
      </c>
      <c r="AA7" s="129"/>
      <c r="AB7" s="128">
        <f>INDEX(Direct_Cost_Splits_Network,MATCH($H7,RIN_Asset_Cat_Network,0),MATCH($AG$4,Direct_Cost_Type,0))*$J7*INDEX(Act_Type_Repex_Splits,MATCH($I7,Act_Type_Repex,0),MATCH(AB$4,Mat_Type,0))*INDEX(Escalators!$I$44:$Q$49,MATCH(AB$4,Escalators!$C$44:$C$49,0),MATCH(AB$5,Escalators!$I$43:$Q$43,0))</f>
        <v>0</v>
      </c>
      <c r="AC7" s="128">
        <f>INDEX(Direct_Cost_Splits_Network,MATCH($H7,RIN_Asset_Cat_Network,0),MATCH($AG$4,Direct_Cost_Type,0))*$J7*INDEX(Act_Type_Repex_Splits,MATCH($I7,Act_Type_Repex,0),MATCH(AC$4,Mat_Type,0))*INDEX(Escalators!$I$44:$Q$49,MATCH(AC$4,Escalators!$C$44:$C$49,0),MATCH(AC$5,Escalators!$I$43:$Q$43,0))</f>
        <v>0</v>
      </c>
      <c r="AD7" s="128">
        <f>INDEX(Direct_Cost_Splits_Network,MATCH($H7,RIN_Asset_Cat_Network,0),MATCH($AG$4,Direct_Cost_Type,0))*$J7*INDEX(Act_Type_Repex_Splits,MATCH($I7,Act_Type_Repex,0),MATCH(AD$4,Mat_Type,0))*INDEX(Escalators!$I$44:$Q$49,MATCH(AD$4,Escalators!$C$44:$C$49,0),MATCH(AD$5,Escalators!$I$43:$Q$43,0))</f>
        <v>0</v>
      </c>
      <c r="AE7" s="128">
        <f>INDEX(Direct_Cost_Splits_Network,MATCH($H7,RIN_Asset_Cat_Network,0),MATCH($AG$4,Direct_Cost_Type,0))*$J7*INDEX(Act_Type_Repex_Splits,MATCH($I7,Act_Type_Repex,0),MATCH(AE$4,Mat_Type,0))*INDEX(Escalators!$I$44:$Q$49,MATCH(AE$4,Escalators!$C$44:$C$49,0),MATCH(AE$5,Escalators!$I$43:$Q$43,0))</f>
        <v>0</v>
      </c>
      <c r="AF7" s="128">
        <f>INDEX(Direct_Cost_Splits_Network,MATCH($H7,RIN_Asset_Cat_Network,0),MATCH($AG$4,Direct_Cost_Type,0))*$J7*INDEX(Act_Type_Repex_Splits,MATCH($I7,Act_Type_Repex,0),MATCH(AF$4,Mat_Type,0))*INDEX(Escalators!$I$44:$Q$49,MATCH(AF$4,Escalators!$C$44:$C$49,0),MATCH(AF$5,Escalators!$I$43:$Q$43,0))</f>
        <v>0</v>
      </c>
      <c r="AG7" s="128">
        <f t="shared" ref="AG7:AG15" si="16">SUM(AB7:AF7)</f>
        <v>0</v>
      </c>
      <c r="AH7" s="128">
        <f>INDEX(Direct_Cost_Splits_Network,MATCH($H7,RIN_Asset_Cat_Network,0),MATCH($AY$4,Direct_Cost_Type,0))*$K7*INDEX(Act_Type_Repex_Splits,MATCH($I7,Act_Type_Repex,0),MATCH(AH$4,Mat_Type,0))*INDEX(Escalators!$I$44:$U$49,MATCH(AH$4,Escalators!$C$44:$C$49,0),MATCH(AH$5,Escalators!$I$43:$U$43,0))</f>
        <v>0</v>
      </c>
      <c r="AI7" s="128">
        <f>INDEX(Direct_Cost_Splits_Network,MATCH($H7,RIN_Asset_Cat_Network,0),MATCH($AY$4,Direct_Cost_Type,0))*$K7*INDEX(Act_Type_Repex_Splits,MATCH($I7,Act_Type_Repex,0),MATCH(AI$4,Mat_Type,0))*INDEX(Escalators!$I$44:$U$49,MATCH(AI$4,Escalators!$C$44:$C$49,0),MATCH(AI$5,Escalators!$I$43:$U$43,0))</f>
        <v>0</v>
      </c>
      <c r="AJ7" s="128">
        <f>INDEX(Direct_Cost_Splits_Network,MATCH($H7,RIN_Asset_Cat_Network,0),MATCH($AY$4,Direct_Cost_Type,0))*$K7*INDEX(Act_Type_Repex_Splits,MATCH($I7,Act_Type_Repex,0),MATCH(AJ$4,Mat_Type,0))*INDEX(Escalators!$I$44:$U$49,MATCH(AJ$4,Escalators!$C$44:$C$49,0),MATCH(AJ$5,Escalators!$I$43:$U$43,0))</f>
        <v>0</v>
      </c>
      <c r="AK7" s="128">
        <f>INDEX(Direct_Cost_Splits_Network,MATCH($H7,RIN_Asset_Cat_Network,0),MATCH($AY$4,Direct_Cost_Type,0))*$K7*INDEX(Act_Type_Repex_Splits,MATCH($I7,Act_Type_Repex,0),MATCH(AK$4,Mat_Type,0))*INDEX(Escalators!$I$44:$U$49,MATCH(AK$4,Escalators!$C$44:$C$49,0),MATCH(AK$5,Escalators!$I$43:$U$43,0))</f>
        <v>0</v>
      </c>
      <c r="AL7" s="128">
        <f>INDEX(Direct_Cost_Splits_Network,MATCH($H7,RIN_Asset_Cat_Network,0),MATCH($AY$4,Direct_Cost_Type,0))*$K7*INDEX(Act_Type_Repex_Splits,MATCH($I7,Act_Type_Repex,0),MATCH(AL$4,Mat_Type,0))*INDEX(Escalators!$I$44:$U$49,MATCH(AL$4,Escalators!$C$44:$C$49,0),MATCH(AL$5,Escalators!$I$43:$U$43,0))</f>
        <v>0</v>
      </c>
      <c r="AM7" s="128">
        <f t="shared" ref="AM7:AM15" si="17">SUM(AH7:AL7)</f>
        <v>0</v>
      </c>
      <c r="AN7" s="128">
        <f>INDEX(Direct_Cost_Splits_Network,MATCH($H7,RIN_Asset_Cat_Network,0),MATCH($AY$4,Direct_Cost_Type,0))*$L7*INDEX(Act_Type_Repex_Splits,MATCH($I7,Act_Type_Repex,0),MATCH(AN$4,Mat_Type,0))*INDEX(Escalators!$I$44:$U$49,MATCH(AN$4,Escalators!$C$44:$C$49,0),MATCH(AN$5,Escalators!$I$43:$U$43,0))</f>
        <v>0</v>
      </c>
      <c r="AO7" s="128">
        <f>INDEX(Direct_Cost_Splits_Network,MATCH($H7,RIN_Asset_Cat_Network,0),MATCH($AY$4,Direct_Cost_Type,0))*$L7*INDEX(Act_Type_Repex_Splits,MATCH($I7,Act_Type_Repex,0),MATCH(AO$4,Mat_Type,0))*INDEX(Escalators!$I$44:$U$49,MATCH(AO$4,Escalators!$C$44:$C$49,0),MATCH(AO$5,Escalators!$I$43:$U$43,0))</f>
        <v>0</v>
      </c>
      <c r="AP7" s="128">
        <f>INDEX(Direct_Cost_Splits_Network,MATCH($H7,RIN_Asset_Cat_Network,0),MATCH($AY$4,Direct_Cost_Type,0))*$L7*INDEX(Act_Type_Repex_Splits,MATCH($I7,Act_Type_Repex,0),MATCH(AP$4,Mat_Type,0))*INDEX(Escalators!$I$44:$U$49,MATCH(AP$4,Escalators!$C$44:$C$49,0),MATCH(AP$5,Escalators!$I$43:$U$43,0))</f>
        <v>0</v>
      </c>
      <c r="AQ7" s="128">
        <f>INDEX(Direct_Cost_Splits_Network,MATCH($H7,RIN_Asset_Cat_Network,0),MATCH($AY$4,Direct_Cost_Type,0))*$L7*INDEX(Act_Type_Repex_Splits,MATCH($I7,Act_Type_Repex,0),MATCH(AQ$4,Mat_Type,0))*INDEX(Escalators!$I$44:$U$49,MATCH(AQ$4,Escalators!$C$44:$C$49,0),MATCH(AQ$5,Escalators!$I$43:$U$43,0))</f>
        <v>0</v>
      </c>
      <c r="AR7" s="128">
        <f>INDEX(Direct_Cost_Splits_Network,MATCH($H7,RIN_Asset_Cat_Network,0),MATCH($AY$4,Direct_Cost_Type,0))*$L7*INDEX(Act_Type_Repex_Splits,MATCH($I7,Act_Type_Repex,0),MATCH(AR$4,Mat_Type,0))*INDEX(Escalators!$I$44:$U$49,MATCH(AR$4,Escalators!$C$44:$C$49,0),MATCH(AR$5,Escalators!$I$43:$U$43,0))</f>
        <v>0</v>
      </c>
      <c r="AS7" s="128">
        <f t="shared" ref="AS7:AS15" si="18">SUM(AN7:AR7)</f>
        <v>0</v>
      </c>
      <c r="AT7" s="128">
        <f>INDEX(Direct_Cost_Splits_Network,MATCH($H7,RIN_Asset_Cat_Network,0),MATCH($AY$4,Direct_Cost_Type,0))*$M7*INDEX(Act_Type_Repex_Splits,MATCH($I7,Act_Type_Repex,0),MATCH(AT$4,Mat_Type,0))*INDEX(Escalators!$I$44:$U$49,MATCH(AT$4,Escalators!$C$44:$C$49,0),MATCH(AT$5,Escalators!$I$43:$U$43,0))</f>
        <v>0</v>
      </c>
      <c r="AU7" s="128">
        <f>INDEX(Direct_Cost_Splits_Network,MATCH($H7,RIN_Asset_Cat_Network,0),MATCH($AY$4,Direct_Cost_Type,0))*$M7*INDEX(Act_Type_Repex_Splits,MATCH($I7,Act_Type_Repex,0),MATCH(AU$4,Mat_Type,0))*INDEX(Escalators!$I$44:$U$49,MATCH(AU$4,Escalators!$C$44:$C$49,0),MATCH(AU$5,Escalators!$I$43:$U$43,0))</f>
        <v>0</v>
      </c>
      <c r="AV7" s="128">
        <f>INDEX(Direct_Cost_Splits_Network,MATCH($H7,RIN_Asset_Cat_Network,0),MATCH($AY$4,Direct_Cost_Type,0))*$M7*INDEX(Act_Type_Repex_Splits,MATCH($I7,Act_Type_Repex,0),MATCH(AV$4,Mat_Type,0))*INDEX(Escalators!$I$44:$U$49,MATCH(AV$4,Escalators!$C$44:$C$49,0),MATCH(AV$5,Escalators!$I$43:$U$43,0))</f>
        <v>14.6716693962317</v>
      </c>
      <c r="AW7" s="128">
        <f>INDEX(Direct_Cost_Splits_Network,MATCH($H7,RIN_Asset_Cat_Network,0),MATCH($AY$4,Direct_Cost_Type,0))*$M7*INDEX(Act_Type_Repex_Splits,MATCH($I7,Act_Type_Repex,0),MATCH(AW$4,Mat_Type,0))*INDEX(Escalators!$I$44:$U$49,MATCH(AW$4,Escalators!$C$44:$C$49,0),MATCH(AW$5,Escalators!$I$43:$U$43,0))</f>
        <v>0</v>
      </c>
      <c r="AX7" s="128">
        <f>INDEX(Direct_Cost_Splits_Network,MATCH($H7,RIN_Asset_Cat_Network,0),MATCH($AY$4,Direct_Cost_Type,0))*$M7*INDEX(Act_Type_Repex_Splits,MATCH($I7,Act_Type_Repex,0),MATCH(AX$4,Mat_Type,0))*INDEX(Escalators!$I$44:$U$49,MATCH(AX$4,Escalators!$C$44:$C$49,0),MATCH(AX$5,Escalators!$I$43:$U$43,0))</f>
        <v>58.686677584926798</v>
      </c>
      <c r="AY7" s="128">
        <f t="shared" ref="AY7:AY15" si="19">SUM(AT7:AX7)</f>
        <v>73.358346981158491</v>
      </c>
      <c r="AZ7" s="128">
        <f>INDEX(Direct_Cost_Splits_Network,MATCH($H7,RIN_Asset_Cat_Network,0),MATCH($BE$4,Direct_Cost_Type,0))*$N7*INDEX(Act_Type_Repex_Splits,MATCH($I7,Act_Type_Repex,0),MATCH(AZ$4,Mat_Type,0))*INDEX(Escalators!$I$44:$U$49,MATCH(AZ$4,Escalators!$C$44:$C$49,0),MATCH(AZ$5,Escalators!$I$43:$U$43,0))</f>
        <v>0</v>
      </c>
      <c r="BA7" s="128">
        <f>INDEX(Direct_Cost_Splits_Network,MATCH($H7,RIN_Asset_Cat_Network,0),MATCH($BE$4,Direct_Cost_Type,0))*$N7*INDEX(Act_Type_Repex_Splits,MATCH($I7,Act_Type_Repex,0),MATCH(BA$4,Mat_Type,0))*INDEX(Escalators!$I$44:$U$49,MATCH(BA$4,Escalators!$C$44:$C$49,0),MATCH(BA$5,Escalators!$I$43:$U$43,0))</f>
        <v>0</v>
      </c>
      <c r="BB7" s="128">
        <f>INDEX(Direct_Cost_Splits_Network,MATCH($H7,RIN_Asset_Cat_Network,0),MATCH($BE$4,Direct_Cost_Type,0))*$N7*INDEX(Act_Type_Repex_Splits,MATCH($I7,Act_Type_Repex,0),MATCH(BB$4,Mat_Type,0))*INDEX(Escalators!$I$44:$U$49,MATCH(BB$4,Escalators!$C$44:$C$49,0),MATCH(BB$5,Escalators!$I$43:$U$43,0))</f>
        <v>14.6716693962317</v>
      </c>
      <c r="BC7" s="128">
        <f>INDEX(Direct_Cost_Splits_Network,MATCH($H7,RIN_Asset_Cat_Network,0),MATCH($BE$4,Direct_Cost_Type,0))*$N7*INDEX(Act_Type_Repex_Splits,MATCH($I7,Act_Type_Repex,0),MATCH(BC$4,Mat_Type,0))*INDEX(Escalators!$I$44:$U$49,MATCH(BC$4,Escalators!$C$44:$C$49,0),MATCH(BC$5,Escalators!$I$43:$U$43,0))</f>
        <v>0</v>
      </c>
      <c r="BD7" s="128">
        <f>INDEX(Direct_Cost_Splits_Network,MATCH($H7,RIN_Asset_Cat_Network,0),MATCH($BE$4,Direct_Cost_Type,0))*$N7*INDEX(Act_Type_Repex_Splits,MATCH($I7,Act_Type_Repex,0),MATCH(BD$4,Mat_Type,0))*INDEX(Escalators!$I$44:$U$49,MATCH(BD$4,Escalators!$C$44:$C$49,0),MATCH(BD$5,Escalators!$I$43:$U$43,0))</f>
        <v>58.686677584926798</v>
      </c>
      <c r="BE7" s="128">
        <f t="shared" ref="BE7:BE15" si="20">SUM(AZ7:BD7)</f>
        <v>73.358346981158491</v>
      </c>
      <c r="BF7" s="128">
        <f>INDEX(Direct_Cost_Splits_Network,MATCH($H7,RIN_Asset_Cat_Network,0),MATCH($BK$4,Direct_Cost_Type,0))*$O7*INDEX(Act_Type_Repex_Splits,MATCH($I7,Act_Type_Repex,0),MATCH(BF$4,Mat_Type,0))*INDEX(Escalators!$I$44:$U$49,MATCH(BF$4,Escalators!$C$44:$C$49,0),MATCH(BF$5,Escalators!$I$43:$U$43,0))</f>
        <v>0</v>
      </c>
      <c r="BG7" s="128">
        <f>INDEX(Direct_Cost_Splits_Network,MATCH($H7,RIN_Asset_Cat_Network,0),MATCH($BK$4,Direct_Cost_Type,0))*$O7*INDEX(Act_Type_Repex_Splits,MATCH($I7,Act_Type_Repex,0),MATCH(BG$4,Mat_Type,0))*INDEX(Escalators!$I$44:$U$49,MATCH(BG$4,Escalators!$C$44:$C$49,0),MATCH(BG$5,Escalators!$I$43:$U$43,0))</f>
        <v>0</v>
      </c>
      <c r="BH7" s="128">
        <f>INDEX(Direct_Cost_Splits_Network,MATCH($H7,RIN_Asset_Cat_Network,0),MATCH($BK$4,Direct_Cost_Type,0))*$O7*INDEX(Act_Type_Repex_Splits,MATCH($I7,Act_Type_Repex,0),MATCH(BH$4,Mat_Type,0))*INDEX(Escalators!$I$44:$U$49,MATCH(BH$4,Escalators!$C$44:$C$49,0),MATCH(BH$5,Escalators!$I$43:$U$43,0))</f>
        <v>14.6716693962317</v>
      </c>
      <c r="BI7" s="128">
        <f>INDEX(Direct_Cost_Splits_Network,MATCH($H7,RIN_Asset_Cat_Network,0),MATCH($BK$4,Direct_Cost_Type,0))*$O7*INDEX(Act_Type_Repex_Splits,MATCH($I7,Act_Type_Repex,0),MATCH(BI$4,Mat_Type,0))*INDEX(Escalators!$I$44:$U$49,MATCH(BI$4,Escalators!$C$44:$C$49,0),MATCH(BI$5,Escalators!$I$43:$U$43,0))</f>
        <v>0</v>
      </c>
      <c r="BJ7" s="128">
        <f>INDEX(Direct_Cost_Splits_Network,MATCH($H7,RIN_Asset_Cat_Network,0),MATCH($BK$4,Direct_Cost_Type,0))*$O7*INDEX(Act_Type_Repex_Splits,MATCH($I7,Act_Type_Repex,0),MATCH(BJ$4,Mat_Type,0))*INDEX(Escalators!$I$44:$U$49,MATCH(BJ$4,Escalators!$C$44:$C$49,0),MATCH(BJ$5,Escalators!$I$43:$U$43,0))</f>
        <v>58.686677584926798</v>
      </c>
      <c r="BK7" s="128">
        <f t="shared" ref="BK7:BK15" si="21">SUM(BF7:BJ7)</f>
        <v>73.358346981158491</v>
      </c>
      <c r="BL7" s="128">
        <f>INDEX(Direct_Cost_Splits_Network,MATCH($H7,RIN_Asset_Cat_Network,0),MATCH($BQ$4,Direct_Cost_Type,0))*$P7*INDEX(Act_Type_Repex_Splits,MATCH($I7,Act_Type_Repex,0),MATCH(BL$4,Mat_Type,0))*INDEX(Escalators!$I$44:$U$49,MATCH(BL$4,Escalators!$C$44:$C$49,0),MATCH(BL$5,Escalators!$I$43:$U$43,0))</f>
        <v>0</v>
      </c>
      <c r="BM7" s="128">
        <f>INDEX(Direct_Cost_Splits_Network,MATCH($H7,RIN_Asset_Cat_Network,0),MATCH($BQ$4,Direct_Cost_Type,0))*$P7*INDEX(Act_Type_Repex_Splits,MATCH($I7,Act_Type_Repex,0),MATCH(BM$4,Mat_Type,0))*INDEX(Escalators!$I$44:$U$49,MATCH(BM$4,Escalators!$C$44:$C$49,0),MATCH(BM$5,Escalators!$I$43:$U$43,0))</f>
        <v>0</v>
      </c>
      <c r="BN7" s="128">
        <f>INDEX(Direct_Cost_Splits_Network,MATCH($H7,RIN_Asset_Cat_Network,0),MATCH($BQ$4,Direct_Cost_Type,0))*$P7*INDEX(Act_Type_Repex_Splits,MATCH($I7,Act_Type_Repex,0),MATCH(BN$4,Mat_Type,0))*INDEX(Escalators!$I$44:$U$49,MATCH(BN$4,Escalators!$C$44:$C$49,0),MATCH(BN$5,Escalators!$I$43:$U$43,0))</f>
        <v>14.6716693962317</v>
      </c>
      <c r="BO7" s="128">
        <f>INDEX(Direct_Cost_Splits_Network,MATCH($H7,RIN_Asset_Cat_Network,0),MATCH($BQ$4,Direct_Cost_Type,0))*$P7*INDEX(Act_Type_Repex_Splits,MATCH($I7,Act_Type_Repex,0),MATCH(BO$4,Mat_Type,0))*INDEX(Escalators!$I$44:$U$49,MATCH(BO$4,Escalators!$C$44:$C$49,0),MATCH(BO$5,Escalators!$I$43:$U$43,0))</f>
        <v>0</v>
      </c>
      <c r="BP7" s="128">
        <f>INDEX(Direct_Cost_Splits_Network,MATCH($H7,RIN_Asset_Cat_Network,0),MATCH($BQ$4,Direct_Cost_Type,0))*$P7*INDEX(Act_Type_Repex_Splits,MATCH($I7,Act_Type_Repex,0),MATCH(BP$4,Mat_Type,0))*INDEX(Escalators!$I$44:$U$49,MATCH(BP$4,Escalators!$C$44:$C$49,0),MATCH(BP$5,Escalators!$I$43:$U$43,0))</f>
        <v>58.686677584926798</v>
      </c>
      <c r="BQ7" s="128">
        <f t="shared" ref="BQ7:BQ15" si="22">SUM(BL7:BP7)</f>
        <v>73.358346981158491</v>
      </c>
      <c r="BR7" s="128">
        <f>INDEX(Direct_Cost_Splits_Network,MATCH($H7,RIN_Asset_Cat_Network,0),MATCH($BW$4,Direct_Cost_Type,0))*$Q7*INDEX(Act_Type_Repex_Splits,MATCH($I7,Act_Type_Repex,0),MATCH(BR$4,Mat_Type,0))*INDEX(Escalators!$I$44:$U$49,MATCH(BR$4,Escalators!$C$44:$C$49,0),MATCH(BR$5,Escalators!$I$43:$U$43,0))</f>
        <v>0</v>
      </c>
      <c r="BS7" s="128">
        <f>INDEX(Direct_Cost_Splits_Network,MATCH($H7,RIN_Asset_Cat_Network,0),MATCH($BW$4,Direct_Cost_Type,0))*$Q7*INDEX(Act_Type_Repex_Splits,MATCH($I7,Act_Type_Repex,0),MATCH(BS$4,Mat_Type,0))*INDEX(Escalators!$I$44:$U$49,MATCH(BS$4,Escalators!$C$44:$C$49,0),MATCH(BS$5,Escalators!$I$43:$U$43,0))</f>
        <v>0</v>
      </c>
      <c r="BT7" s="128">
        <f>INDEX(Direct_Cost_Splits_Network,MATCH($H7,RIN_Asset_Cat_Network,0),MATCH($BW$4,Direct_Cost_Type,0))*$Q7*INDEX(Act_Type_Repex_Splits,MATCH($I7,Act_Type_Repex,0),MATCH(BT$4,Mat_Type,0))*INDEX(Escalators!$I$44:$U$49,MATCH(BT$4,Escalators!$C$44:$C$49,0),MATCH(BT$5,Escalators!$I$43:$U$43,0))</f>
        <v>0</v>
      </c>
      <c r="BU7" s="128">
        <f>INDEX(Direct_Cost_Splits_Network,MATCH($H7,RIN_Asset_Cat_Network,0),MATCH($BW$4,Direct_Cost_Type,0))*$Q7*INDEX(Act_Type_Repex_Splits,MATCH($I7,Act_Type_Repex,0),MATCH(BU$4,Mat_Type,0))*INDEX(Escalators!$I$44:$U$49,MATCH(BU$4,Escalators!$C$44:$C$49,0),MATCH(BU$5,Escalators!$I$43:$U$43,0))</f>
        <v>0</v>
      </c>
      <c r="BV7" s="128">
        <f>INDEX(Direct_Cost_Splits_Network,MATCH($H7,RIN_Asset_Cat_Network,0),MATCH($BW$4,Direct_Cost_Type,0))*$Q7*INDEX(Act_Type_Repex_Splits,MATCH($I7,Act_Type_Repex,0),MATCH(BV$4,Mat_Type,0))*INDEX(Escalators!$I$44:$U$49,MATCH(BV$4,Escalators!$C$44:$C$49,0),MATCH(BV$5,Escalators!$I$43:$U$43,0))</f>
        <v>0</v>
      </c>
      <c r="BW7" s="128">
        <f t="shared" ref="BW7:BW15" si="23">SUM(BR7:BV7)</f>
        <v>0</v>
      </c>
      <c r="BX7" s="129"/>
      <c r="BY7" s="128">
        <f>INDEX(Direct_Cost_Splits_Network,MATCH($H7,RIN_Asset_Cat_Network,0),MATCH($BY$4,Direct_Cost_Type,0))*J7*HLOOKUP(BY$5,Escalators!$I$25:$U$30,6,FALSE)</f>
        <v>0</v>
      </c>
      <c r="BZ7" s="128">
        <f>INDEX(Direct_Cost_Splits_Network,MATCH($H7,RIN_Asset_Cat_Network,0),MATCH($BY$4,Direct_Cost_Type,0))*K7*HLOOKUP(BZ$5,Escalators!$I$25:$U$30,6,FALSE)</f>
        <v>0</v>
      </c>
      <c r="CA7" s="128">
        <f>INDEX(Direct_Cost_Splits_Network,MATCH($H7,RIN_Asset_Cat_Network,0),MATCH($BY$4,Direct_Cost_Type,0))*L7*HLOOKUP(CA$5,Escalators!$I$25:$U$30,6,FALSE)</f>
        <v>0</v>
      </c>
      <c r="CB7" s="128">
        <f>INDEX(Direct_Cost_Splits_Network,MATCH($H7,RIN_Asset_Cat_Network,0),MATCH($BY$4,Direct_Cost_Type,0))*M7*HLOOKUP(CB$5,Escalators!$I$25:$U$30,6,FALSE)</f>
        <v>196.51726905847258</v>
      </c>
      <c r="CC7" s="128">
        <f>INDEX(Direct_Cost_Splits_Network,MATCH($H7,RIN_Asset_Cat_Network,0),MATCH($BY$4,Direct_Cost_Type,0))*N7*HLOOKUP(CC$5,Escalators!$I$25:$U$30,6,FALSE)</f>
        <v>196.51726905847258</v>
      </c>
      <c r="CD7" s="128">
        <f>INDEX(Direct_Cost_Splits_Network,MATCH($H7,RIN_Asset_Cat_Network,0),MATCH($BY$4,Direct_Cost_Type,0))*O7*HLOOKUP(CD$5,Escalators!$I$25:$U$30,6,FALSE)</f>
        <v>196.51726905847258</v>
      </c>
      <c r="CE7" s="128">
        <f>INDEX(Direct_Cost_Splits_Network,MATCH($H7,RIN_Asset_Cat_Network,0),MATCH($BY$4,Direct_Cost_Type,0))*P7*HLOOKUP(CE$5,Escalators!$I$25:$U$30,6,FALSE)</f>
        <v>196.51726905847258</v>
      </c>
      <c r="CF7" s="128">
        <f>INDEX(Direct_Cost_Splits_Network,MATCH($H7,RIN_Asset_Cat_Network,0),MATCH($BY$4,Direct_Cost_Type,0))*Q7*HLOOKUP(CF$5,Escalators!$I$25:$U$30,6,FALSE)</f>
        <v>0</v>
      </c>
      <c r="CG7" s="129"/>
      <c r="CH7" s="763">
        <f t="shared" si="8"/>
        <v>0</v>
      </c>
      <c r="CI7" s="763">
        <f t="shared" si="9"/>
        <v>0</v>
      </c>
      <c r="CJ7" s="763">
        <f t="shared" si="10"/>
        <v>0</v>
      </c>
      <c r="CK7" s="763">
        <f t="shared" si="11"/>
        <v>30.412027456347776</v>
      </c>
      <c r="CL7" s="763">
        <f t="shared" si="12"/>
        <v>30.412027456347776</v>
      </c>
      <c r="CM7" s="763">
        <f t="shared" si="13"/>
        <v>30.412027456347776</v>
      </c>
      <c r="CN7" s="763">
        <f t="shared" si="14"/>
        <v>30.412027456347776</v>
      </c>
      <c r="CO7" s="763">
        <f t="shared" si="15"/>
        <v>0</v>
      </c>
      <c r="CP7" s="129"/>
      <c r="CQ7" s="128">
        <f t="shared" ref="CQ7:CQ36" si="24">S7+AG7+BY7+CH7</f>
        <v>0</v>
      </c>
      <c r="CR7" s="128">
        <f t="shared" ref="CR7:CR36" si="25">T7+AM7+BZ7+CI7</f>
        <v>0</v>
      </c>
      <c r="CS7" s="128">
        <f t="shared" ref="CS7:CS36" si="26">U7+AS7+CA7+CJ7</f>
        <v>0</v>
      </c>
      <c r="CT7" s="128">
        <f t="shared" ref="CT7:CT36" si="27">V7+AY7+CB7+CK7</f>
        <v>334.20157431745207</v>
      </c>
      <c r="CU7" s="128">
        <f t="shared" ref="CU7:CU36" si="28">W7+BE7+CC7+CL7</f>
        <v>334.11686625695381</v>
      </c>
      <c r="CV7" s="128">
        <f t="shared" ref="CV7:CV36" si="29">X7+BK7+CD7+CM7</f>
        <v>334.09229587043887</v>
      </c>
      <c r="CW7" s="128">
        <f t="shared" ref="CW7:CW36" si="30">Y7+BQ7+CE7+CN7</f>
        <v>334.21645184826792</v>
      </c>
      <c r="CX7" s="128">
        <f t="shared" ref="CX7:CX36" si="31">Z7+BW7+CF7+CO7</f>
        <v>0</v>
      </c>
    </row>
    <row r="8" spans="2:102" x14ac:dyDescent="0.25">
      <c r="B8" s="7"/>
      <c r="C8" s="7" t="s">
        <v>442</v>
      </c>
      <c r="D8" s="7" t="s">
        <v>99</v>
      </c>
      <c r="E8" s="7" t="s">
        <v>48</v>
      </c>
      <c r="F8" s="7" t="s">
        <v>130</v>
      </c>
      <c r="G8" s="7" t="s">
        <v>150</v>
      </c>
      <c r="H8" s="7" t="s">
        <v>5</v>
      </c>
      <c r="I8" s="7" t="s">
        <v>204</v>
      </c>
      <c r="J8" s="45"/>
      <c r="K8" s="45"/>
      <c r="L8" s="45"/>
      <c r="M8" s="128">
        <v>115</v>
      </c>
      <c r="N8" s="128">
        <v>115</v>
      </c>
      <c r="O8" s="128">
        <v>115</v>
      </c>
      <c r="P8" s="128">
        <v>115</v>
      </c>
      <c r="Q8" s="128">
        <v>115</v>
      </c>
      <c r="R8" s="129"/>
      <c r="S8" s="128">
        <f>INDEX(Direct_Cost_Splits_Network,MATCH($H8,RIN_Asset_Cat_Network,0),MATCH($S$4,Direct_Cost_Type,0))*J8*HLOOKUP(S$5,Escalators!$I$25:$U$30,3,FALSE)</f>
        <v>0</v>
      </c>
      <c r="T8" s="128">
        <f>INDEX(Direct_Cost_Splits_Network,MATCH($H8,RIN_Asset_Cat_Network,0),MATCH($S$4,Direct_Cost_Type,0))*K8*HLOOKUP(T$5,Escalators!$I$25:$U$30,3,FALSE)</f>
        <v>0</v>
      </c>
      <c r="U8" s="128">
        <f>INDEX(Direct_Cost_Splits_Network,MATCH($H8,RIN_Asset_Cat_Network,0),MATCH($S$4,Direct_Cost_Type,0))*L8*HLOOKUP(U$5,Escalators!$I$25:$U$30,3,FALSE)</f>
        <v>0</v>
      </c>
      <c r="V8" s="128">
        <f>INDEX(Direct_Cost_Splits_Network,MATCH($H8,RIN_Asset_Cat_Network,0),MATCH($S$4,Direct_Cost_Type,0))*M8*HLOOKUP(V$5,Escalators!$I$25:$U$30,3,FALSE)</f>
        <v>11.690953370711682</v>
      </c>
      <c r="W8" s="128">
        <f>INDEX(Direct_Cost_Splits_Network,MATCH($H8,RIN_Asset_Cat_Network,0),MATCH($S$4,Direct_Cost_Type,0))*N8*HLOOKUP(W$5,Escalators!$I$25:$U$30,3,FALSE)</f>
        <v>11.661752450575889</v>
      </c>
      <c r="X8" s="128">
        <f>INDEX(Direct_Cost_Splits_Network,MATCH($H8,RIN_Asset_Cat_Network,0),MATCH($S$4,Direct_Cost_Type,0))*O8*HLOOKUP(X$5,Escalators!$I$25:$U$30,3,FALSE)</f>
        <v>11.653282443234108</v>
      </c>
      <c r="Y8" s="128">
        <f>INDEX(Direct_Cost_Splits_Network,MATCH($H8,RIN_Asset_Cat_Network,0),MATCH($S$4,Direct_Cost_Type,0))*P8*HLOOKUP(Y$5,Escalators!$I$25:$U$30,3,FALSE)</f>
        <v>11.696082015926983</v>
      </c>
      <c r="Z8" s="128">
        <f>INDEX(Direct_Cost_Splits_Network,MATCH($H8,RIN_Asset_Cat_Network,0),MATCH($S$4,Direct_Cost_Type,0))*Q8*HLOOKUP(Z$5,Escalators!$I$25:$U$30,3,FALSE)</f>
        <v>11.812644392787655</v>
      </c>
      <c r="AA8" s="129"/>
      <c r="AB8" s="128">
        <f>INDEX(Direct_Cost_Splits_Network,MATCH($H8,RIN_Asset_Cat_Network,0),MATCH($AG$4,Direct_Cost_Type,0))*$J8*INDEX(Act_Type_Repex_Splits,MATCH($I8,Act_Type_Repex,0),MATCH(AB$4,Mat_Type,0))*INDEX(Escalators!$I$44:$Q$49,MATCH(AB$4,Escalators!$C$44:$C$49,0),MATCH(AB$5,Escalators!$I$43:$Q$43,0))</f>
        <v>0</v>
      </c>
      <c r="AC8" s="128">
        <f>INDEX(Direct_Cost_Splits_Network,MATCH($H8,RIN_Asset_Cat_Network,0),MATCH($AG$4,Direct_Cost_Type,0))*$J8*INDEX(Act_Type_Repex_Splits,MATCH($I8,Act_Type_Repex,0),MATCH(AC$4,Mat_Type,0))*INDEX(Escalators!$I$44:$Q$49,MATCH(AC$4,Escalators!$C$44:$C$49,0),MATCH(AC$5,Escalators!$I$43:$Q$43,0))</f>
        <v>0</v>
      </c>
      <c r="AD8" s="128">
        <f>INDEX(Direct_Cost_Splits_Network,MATCH($H8,RIN_Asset_Cat_Network,0),MATCH($AG$4,Direct_Cost_Type,0))*$J8*INDEX(Act_Type_Repex_Splits,MATCH($I8,Act_Type_Repex,0),MATCH(AD$4,Mat_Type,0))*INDEX(Escalators!$I$44:$Q$49,MATCH(AD$4,Escalators!$C$44:$C$49,0),MATCH(AD$5,Escalators!$I$43:$Q$43,0))</f>
        <v>0</v>
      </c>
      <c r="AE8" s="128">
        <f>INDEX(Direct_Cost_Splits_Network,MATCH($H8,RIN_Asset_Cat_Network,0),MATCH($AG$4,Direct_Cost_Type,0))*$J8*INDEX(Act_Type_Repex_Splits,MATCH($I8,Act_Type_Repex,0),MATCH(AE$4,Mat_Type,0))*INDEX(Escalators!$I$44:$Q$49,MATCH(AE$4,Escalators!$C$44:$C$49,0),MATCH(AE$5,Escalators!$I$43:$Q$43,0))</f>
        <v>0</v>
      </c>
      <c r="AF8" s="128">
        <f>INDEX(Direct_Cost_Splits_Network,MATCH($H8,RIN_Asset_Cat_Network,0),MATCH($AG$4,Direct_Cost_Type,0))*$J8*INDEX(Act_Type_Repex_Splits,MATCH($I8,Act_Type_Repex,0),MATCH(AF$4,Mat_Type,0))*INDEX(Escalators!$I$44:$Q$49,MATCH(AF$4,Escalators!$C$44:$C$49,0),MATCH(AF$5,Escalators!$I$43:$Q$43,0))</f>
        <v>0</v>
      </c>
      <c r="AG8" s="128">
        <f t="shared" si="16"/>
        <v>0</v>
      </c>
      <c r="AH8" s="128">
        <f>INDEX(Direct_Cost_Splits_Network,MATCH($H8,RIN_Asset_Cat_Network,0),MATCH($AY$4,Direct_Cost_Type,0))*$K8*INDEX(Act_Type_Repex_Splits,MATCH($I8,Act_Type_Repex,0),MATCH(AH$4,Mat_Type,0))*INDEX(Escalators!$I$44:$U$49,MATCH(AH$4,Escalators!$C$44:$C$49,0),MATCH(AH$5,Escalators!$I$43:$U$43,0))</f>
        <v>0</v>
      </c>
      <c r="AI8" s="128">
        <f>INDEX(Direct_Cost_Splits_Network,MATCH($H8,RIN_Asset_Cat_Network,0),MATCH($AY$4,Direct_Cost_Type,0))*$K8*INDEX(Act_Type_Repex_Splits,MATCH($I8,Act_Type_Repex,0),MATCH(AI$4,Mat_Type,0))*INDEX(Escalators!$I$44:$U$49,MATCH(AI$4,Escalators!$C$44:$C$49,0),MATCH(AI$5,Escalators!$I$43:$U$43,0))</f>
        <v>0</v>
      </c>
      <c r="AJ8" s="128">
        <f>INDEX(Direct_Cost_Splits_Network,MATCH($H8,RIN_Asset_Cat_Network,0),MATCH($AY$4,Direct_Cost_Type,0))*$K8*INDEX(Act_Type_Repex_Splits,MATCH($I8,Act_Type_Repex,0),MATCH(AJ$4,Mat_Type,0))*INDEX(Escalators!$I$44:$U$49,MATCH(AJ$4,Escalators!$C$44:$C$49,0),MATCH(AJ$5,Escalators!$I$43:$U$43,0))</f>
        <v>0</v>
      </c>
      <c r="AK8" s="128">
        <f>INDEX(Direct_Cost_Splits_Network,MATCH($H8,RIN_Asset_Cat_Network,0),MATCH($AY$4,Direct_Cost_Type,0))*$K8*INDEX(Act_Type_Repex_Splits,MATCH($I8,Act_Type_Repex,0),MATCH(AK$4,Mat_Type,0))*INDEX(Escalators!$I$44:$U$49,MATCH(AK$4,Escalators!$C$44:$C$49,0),MATCH(AK$5,Escalators!$I$43:$U$43,0))</f>
        <v>0</v>
      </c>
      <c r="AL8" s="128">
        <f>INDEX(Direct_Cost_Splits_Network,MATCH($H8,RIN_Asset_Cat_Network,0),MATCH($AY$4,Direct_Cost_Type,0))*$K8*INDEX(Act_Type_Repex_Splits,MATCH($I8,Act_Type_Repex,0),MATCH(AL$4,Mat_Type,0))*INDEX(Escalators!$I$44:$U$49,MATCH(AL$4,Escalators!$C$44:$C$49,0),MATCH(AL$5,Escalators!$I$43:$U$43,0))</f>
        <v>0</v>
      </c>
      <c r="AM8" s="128">
        <f t="shared" si="17"/>
        <v>0</v>
      </c>
      <c r="AN8" s="128">
        <f>INDEX(Direct_Cost_Splits_Network,MATCH($H8,RIN_Asset_Cat_Network,0),MATCH($AY$4,Direct_Cost_Type,0))*$L8*INDEX(Act_Type_Repex_Splits,MATCH($I8,Act_Type_Repex,0),MATCH(AN$4,Mat_Type,0))*INDEX(Escalators!$I$44:$U$49,MATCH(AN$4,Escalators!$C$44:$C$49,0),MATCH(AN$5,Escalators!$I$43:$U$43,0))</f>
        <v>0</v>
      </c>
      <c r="AO8" s="128">
        <f>INDEX(Direct_Cost_Splits_Network,MATCH($H8,RIN_Asset_Cat_Network,0),MATCH($AY$4,Direct_Cost_Type,0))*$L8*INDEX(Act_Type_Repex_Splits,MATCH($I8,Act_Type_Repex,0),MATCH(AO$4,Mat_Type,0))*INDEX(Escalators!$I$44:$U$49,MATCH(AO$4,Escalators!$C$44:$C$49,0),MATCH(AO$5,Escalators!$I$43:$U$43,0))</f>
        <v>0</v>
      </c>
      <c r="AP8" s="128">
        <f>INDEX(Direct_Cost_Splits_Network,MATCH($H8,RIN_Asset_Cat_Network,0),MATCH($AY$4,Direct_Cost_Type,0))*$L8*INDEX(Act_Type_Repex_Splits,MATCH($I8,Act_Type_Repex,0),MATCH(AP$4,Mat_Type,0))*INDEX(Escalators!$I$44:$U$49,MATCH(AP$4,Escalators!$C$44:$C$49,0),MATCH(AP$5,Escalators!$I$43:$U$43,0))</f>
        <v>0</v>
      </c>
      <c r="AQ8" s="128">
        <f>INDEX(Direct_Cost_Splits_Network,MATCH($H8,RIN_Asset_Cat_Network,0),MATCH($AY$4,Direct_Cost_Type,0))*$L8*INDEX(Act_Type_Repex_Splits,MATCH($I8,Act_Type_Repex,0),MATCH(AQ$4,Mat_Type,0))*INDEX(Escalators!$I$44:$U$49,MATCH(AQ$4,Escalators!$C$44:$C$49,0),MATCH(AQ$5,Escalators!$I$43:$U$43,0))</f>
        <v>0</v>
      </c>
      <c r="AR8" s="128">
        <f>INDEX(Direct_Cost_Splits_Network,MATCH($H8,RIN_Asset_Cat_Network,0),MATCH($AY$4,Direct_Cost_Type,0))*$L8*INDEX(Act_Type_Repex_Splits,MATCH($I8,Act_Type_Repex,0),MATCH(AR$4,Mat_Type,0))*INDEX(Escalators!$I$44:$U$49,MATCH(AR$4,Escalators!$C$44:$C$49,0),MATCH(AR$5,Escalators!$I$43:$U$43,0))</f>
        <v>0</v>
      </c>
      <c r="AS8" s="128">
        <f t="shared" si="18"/>
        <v>0</v>
      </c>
      <c r="AT8" s="128">
        <f>INDEX(Direct_Cost_Splits_Network,MATCH($H8,RIN_Asset_Cat_Network,0),MATCH($AY$4,Direct_Cost_Type,0))*$M8*INDEX(Act_Type_Repex_Splits,MATCH($I8,Act_Type_Repex,0),MATCH(AT$4,Mat_Type,0))*INDEX(Escalators!$I$44:$U$49,MATCH(AT$4,Escalators!$C$44:$C$49,0),MATCH(AT$5,Escalators!$I$43:$U$43,0))</f>
        <v>0</v>
      </c>
      <c r="AU8" s="128">
        <f>INDEX(Direct_Cost_Splits_Network,MATCH($H8,RIN_Asset_Cat_Network,0),MATCH($AY$4,Direct_Cost_Type,0))*$M8*INDEX(Act_Type_Repex_Splits,MATCH($I8,Act_Type_Repex,0),MATCH(AU$4,Mat_Type,0))*INDEX(Escalators!$I$44:$U$49,MATCH(AU$4,Escalators!$C$44:$C$49,0),MATCH(AU$5,Escalators!$I$43:$U$43,0))</f>
        <v>0</v>
      </c>
      <c r="AV8" s="128">
        <f>INDEX(Direct_Cost_Splits_Network,MATCH($H8,RIN_Asset_Cat_Network,0),MATCH($AY$4,Direct_Cost_Type,0))*$M8*INDEX(Act_Type_Repex_Splits,MATCH($I8,Act_Type_Repex,0),MATCH(AV$4,Mat_Type,0))*INDEX(Escalators!$I$44:$U$49,MATCH(AV$4,Escalators!$C$44:$C$49,0),MATCH(AV$5,Escalators!$I$43:$U$43,0))</f>
        <v>5.0576797978616463</v>
      </c>
      <c r="AW8" s="128">
        <f>INDEX(Direct_Cost_Splits_Network,MATCH($H8,RIN_Asset_Cat_Network,0),MATCH($AY$4,Direct_Cost_Type,0))*$M8*INDEX(Act_Type_Repex_Splits,MATCH($I8,Act_Type_Repex,0),MATCH(AW$4,Mat_Type,0))*INDEX(Escalators!$I$44:$U$49,MATCH(AW$4,Escalators!$C$44:$C$49,0),MATCH(AW$5,Escalators!$I$43:$U$43,0))</f>
        <v>0</v>
      </c>
      <c r="AX8" s="128">
        <f>INDEX(Direct_Cost_Splits_Network,MATCH($H8,RIN_Asset_Cat_Network,0),MATCH($AY$4,Direct_Cost_Type,0))*$M8*INDEX(Act_Type_Repex_Splits,MATCH($I8,Act_Type_Repex,0),MATCH(AX$4,Mat_Type,0))*INDEX(Escalators!$I$44:$U$49,MATCH(AX$4,Escalators!$C$44:$C$49,0),MATCH(AX$5,Escalators!$I$43:$U$43,0))</f>
        <v>20.230719191446585</v>
      </c>
      <c r="AY8" s="128">
        <f t="shared" si="19"/>
        <v>25.288398989308231</v>
      </c>
      <c r="AZ8" s="128">
        <f>INDEX(Direct_Cost_Splits_Network,MATCH($H8,RIN_Asset_Cat_Network,0),MATCH($BE$4,Direct_Cost_Type,0))*$N8*INDEX(Act_Type_Repex_Splits,MATCH($I8,Act_Type_Repex,0),MATCH(AZ$4,Mat_Type,0))*INDEX(Escalators!$I$44:$U$49,MATCH(AZ$4,Escalators!$C$44:$C$49,0),MATCH(AZ$5,Escalators!$I$43:$U$43,0))</f>
        <v>0</v>
      </c>
      <c r="BA8" s="128">
        <f>INDEX(Direct_Cost_Splits_Network,MATCH($H8,RIN_Asset_Cat_Network,0),MATCH($BE$4,Direct_Cost_Type,0))*$N8*INDEX(Act_Type_Repex_Splits,MATCH($I8,Act_Type_Repex,0),MATCH(BA$4,Mat_Type,0))*INDEX(Escalators!$I$44:$U$49,MATCH(BA$4,Escalators!$C$44:$C$49,0),MATCH(BA$5,Escalators!$I$43:$U$43,0))</f>
        <v>0</v>
      </c>
      <c r="BB8" s="128">
        <f>INDEX(Direct_Cost_Splits_Network,MATCH($H8,RIN_Asset_Cat_Network,0),MATCH($BE$4,Direct_Cost_Type,0))*$N8*INDEX(Act_Type_Repex_Splits,MATCH($I8,Act_Type_Repex,0),MATCH(BB$4,Mat_Type,0))*INDEX(Escalators!$I$44:$U$49,MATCH(BB$4,Escalators!$C$44:$C$49,0),MATCH(BB$5,Escalators!$I$43:$U$43,0))</f>
        <v>5.0576797978616463</v>
      </c>
      <c r="BC8" s="128">
        <f>INDEX(Direct_Cost_Splits_Network,MATCH($H8,RIN_Asset_Cat_Network,0),MATCH($BE$4,Direct_Cost_Type,0))*$N8*INDEX(Act_Type_Repex_Splits,MATCH($I8,Act_Type_Repex,0),MATCH(BC$4,Mat_Type,0))*INDEX(Escalators!$I$44:$U$49,MATCH(BC$4,Escalators!$C$44:$C$49,0),MATCH(BC$5,Escalators!$I$43:$U$43,0))</f>
        <v>0</v>
      </c>
      <c r="BD8" s="128">
        <f>INDEX(Direct_Cost_Splits_Network,MATCH($H8,RIN_Asset_Cat_Network,0),MATCH($BE$4,Direct_Cost_Type,0))*$N8*INDEX(Act_Type_Repex_Splits,MATCH($I8,Act_Type_Repex,0),MATCH(BD$4,Mat_Type,0))*INDEX(Escalators!$I$44:$U$49,MATCH(BD$4,Escalators!$C$44:$C$49,0),MATCH(BD$5,Escalators!$I$43:$U$43,0))</f>
        <v>20.230719191446585</v>
      </c>
      <c r="BE8" s="128">
        <f t="shared" si="20"/>
        <v>25.288398989308231</v>
      </c>
      <c r="BF8" s="128">
        <f>INDEX(Direct_Cost_Splits_Network,MATCH($H8,RIN_Asset_Cat_Network,0),MATCH($BK$4,Direct_Cost_Type,0))*$O8*INDEX(Act_Type_Repex_Splits,MATCH($I8,Act_Type_Repex,0),MATCH(BF$4,Mat_Type,0))*INDEX(Escalators!$I$44:$U$49,MATCH(BF$4,Escalators!$C$44:$C$49,0),MATCH(BF$5,Escalators!$I$43:$U$43,0))</f>
        <v>0</v>
      </c>
      <c r="BG8" s="128">
        <f>INDEX(Direct_Cost_Splits_Network,MATCH($H8,RIN_Asset_Cat_Network,0),MATCH($BK$4,Direct_Cost_Type,0))*$O8*INDEX(Act_Type_Repex_Splits,MATCH($I8,Act_Type_Repex,0),MATCH(BG$4,Mat_Type,0))*INDEX(Escalators!$I$44:$U$49,MATCH(BG$4,Escalators!$C$44:$C$49,0),MATCH(BG$5,Escalators!$I$43:$U$43,0))</f>
        <v>0</v>
      </c>
      <c r="BH8" s="128">
        <f>INDEX(Direct_Cost_Splits_Network,MATCH($H8,RIN_Asset_Cat_Network,0),MATCH($BK$4,Direct_Cost_Type,0))*$O8*INDEX(Act_Type_Repex_Splits,MATCH($I8,Act_Type_Repex,0),MATCH(BH$4,Mat_Type,0))*INDEX(Escalators!$I$44:$U$49,MATCH(BH$4,Escalators!$C$44:$C$49,0),MATCH(BH$5,Escalators!$I$43:$U$43,0))</f>
        <v>5.0576797978616463</v>
      </c>
      <c r="BI8" s="128">
        <f>INDEX(Direct_Cost_Splits_Network,MATCH($H8,RIN_Asset_Cat_Network,0),MATCH($BK$4,Direct_Cost_Type,0))*$O8*INDEX(Act_Type_Repex_Splits,MATCH($I8,Act_Type_Repex,0),MATCH(BI$4,Mat_Type,0))*INDEX(Escalators!$I$44:$U$49,MATCH(BI$4,Escalators!$C$44:$C$49,0),MATCH(BI$5,Escalators!$I$43:$U$43,0))</f>
        <v>0</v>
      </c>
      <c r="BJ8" s="128">
        <f>INDEX(Direct_Cost_Splits_Network,MATCH($H8,RIN_Asset_Cat_Network,0),MATCH($BK$4,Direct_Cost_Type,0))*$O8*INDEX(Act_Type_Repex_Splits,MATCH($I8,Act_Type_Repex,0),MATCH(BJ$4,Mat_Type,0))*INDEX(Escalators!$I$44:$U$49,MATCH(BJ$4,Escalators!$C$44:$C$49,0),MATCH(BJ$5,Escalators!$I$43:$U$43,0))</f>
        <v>20.230719191446585</v>
      </c>
      <c r="BK8" s="128">
        <f t="shared" si="21"/>
        <v>25.288398989308231</v>
      </c>
      <c r="BL8" s="128">
        <f>INDEX(Direct_Cost_Splits_Network,MATCH($H8,RIN_Asset_Cat_Network,0),MATCH($BQ$4,Direct_Cost_Type,0))*$P8*INDEX(Act_Type_Repex_Splits,MATCH($I8,Act_Type_Repex,0),MATCH(BL$4,Mat_Type,0))*INDEX(Escalators!$I$44:$U$49,MATCH(BL$4,Escalators!$C$44:$C$49,0),MATCH(BL$5,Escalators!$I$43:$U$43,0))</f>
        <v>0</v>
      </c>
      <c r="BM8" s="128">
        <f>INDEX(Direct_Cost_Splits_Network,MATCH($H8,RIN_Asset_Cat_Network,0),MATCH($BQ$4,Direct_Cost_Type,0))*$P8*INDEX(Act_Type_Repex_Splits,MATCH($I8,Act_Type_Repex,0),MATCH(BM$4,Mat_Type,0))*INDEX(Escalators!$I$44:$U$49,MATCH(BM$4,Escalators!$C$44:$C$49,0),MATCH(BM$5,Escalators!$I$43:$U$43,0))</f>
        <v>0</v>
      </c>
      <c r="BN8" s="128">
        <f>INDEX(Direct_Cost_Splits_Network,MATCH($H8,RIN_Asset_Cat_Network,0),MATCH($BQ$4,Direct_Cost_Type,0))*$P8*INDEX(Act_Type_Repex_Splits,MATCH($I8,Act_Type_Repex,0),MATCH(BN$4,Mat_Type,0))*INDEX(Escalators!$I$44:$U$49,MATCH(BN$4,Escalators!$C$44:$C$49,0),MATCH(BN$5,Escalators!$I$43:$U$43,0))</f>
        <v>5.0576797978616463</v>
      </c>
      <c r="BO8" s="128">
        <f>INDEX(Direct_Cost_Splits_Network,MATCH($H8,RIN_Asset_Cat_Network,0),MATCH($BQ$4,Direct_Cost_Type,0))*$P8*INDEX(Act_Type_Repex_Splits,MATCH($I8,Act_Type_Repex,0),MATCH(BO$4,Mat_Type,0))*INDEX(Escalators!$I$44:$U$49,MATCH(BO$4,Escalators!$C$44:$C$49,0),MATCH(BO$5,Escalators!$I$43:$U$43,0))</f>
        <v>0</v>
      </c>
      <c r="BP8" s="128">
        <f>INDEX(Direct_Cost_Splits_Network,MATCH($H8,RIN_Asset_Cat_Network,0),MATCH($BQ$4,Direct_Cost_Type,0))*$P8*INDEX(Act_Type_Repex_Splits,MATCH($I8,Act_Type_Repex,0),MATCH(BP$4,Mat_Type,0))*INDEX(Escalators!$I$44:$U$49,MATCH(BP$4,Escalators!$C$44:$C$49,0),MATCH(BP$5,Escalators!$I$43:$U$43,0))</f>
        <v>20.230719191446585</v>
      </c>
      <c r="BQ8" s="128">
        <f t="shared" si="22"/>
        <v>25.288398989308231</v>
      </c>
      <c r="BR8" s="128">
        <f>INDEX(Direct_Cost_Splits_Network,MATCH($H8,RIN_Asset_Cat_Network,0),MATCH($BW$4,Direct_Cost_Type,0))*$Q8*INDEX(Act_Type_Repex_Splits,MATCH($I8,Act_Type_Repex,0),MATCH(BR$4,Mat_Type,0))*INDEX(Escalators!$I$44:$U$49,MATCH(BR$4,Escalators!$C$44:$C$49,0),MATCH(BR$5,Escalators!$I$43:$U$43,0))</f>
        <v>0</v>
      </c>
      <c r="BS8" s="128">
        <f>INDEX(Direct_Cost_Splits_Network,MATCH($H8,RIN_Asset_Cat_Network,0),MATCH($BW$4,Direct_Cost_Type,0))*$Q8*INDEX(Act_Type_Repex_Splits,MATCH($I8,Act_Type_Repex,0),MATCH(BS$4,Mat_Type,0))*INDEX(Escalators!$I$44:$U$49,MATCH(BS$4,Escalators!$C$44:$C$49,0),MATCH(BS$5,Escalators!$I$43:$U$43,0))</f>
        <v>0</v>
      </c>
      <c r="BT8" s="128">
        <f>INDEX(Direct_Cost_Splits_Network,MATCH($H8,RIN_Asset_Cat_Network,0),MATCH($BW$4,Direct_Cost_Type,0))*$Q8*INDEX(Act_Type_Repex_Splits,MATCH($I8,Act_Type_Repex,0),MATCH(BT$4,Mat_Type,0))*INDEX(Escalators!$I$44:$U$49,MATCH(BT$4,Escalators!$C$44:$C$49,0),MATCH(BT$5,Escalators!$I$43:$U$43,0))</f>
        <v>5.0576797978616463</v>
      </c>
      <c r="BU8" s="128">
        <f>INDEX(Direct_Cost_Splits_Network,MATCH($H8,RIN_Asset_Cat_Network,0),MATCH($BW$4,Direct_Cost_Type,0))*$Q8*INDEX(Act_Type_Repex_Splits,MATCH($I8,Act_Type_Repex,0),MATCH(BU$4,Mat_Type,0))*INDEX(Escalators!$I$44:$U$49,MATCH(BU$4,Escalators!$C$44:$C$49,0),MATCH(BU$5,Escalators!$I$43:$U$43,0))</f>
        <v>0</v>
      </c>
      <c r="BV8" s="128">
        <f>INDEX(Direct_Cost_Splits_Network,MATCH($H8,RIN_Asset_Cat_Network,0),MATCH($BW$4,Direct_Cost_Type,0))*$Q8*INDEX(Act_Type_Repex_Splits,MATCH($I8,Act_Type_Repex,0),MATCH(BV$4,Mat_Type,0))*INDEX(Escalators!$I$44:$U$49,MATCH(BV$4,Escalators!$C$44:$C$49,0),MATCH(BV$5,Escalators!$I$43:$U$43,0))</f>
        <v>20.230719191446585</v>
      </c>
      <c r="BW8" s="128">
        <f t="shared" si="23"/>
        <v>25.288398989308231</v>
      </c>
      <c r="BX8" s="129"/>
      <c r="BY8" s="128">
        <f>INDEX(Direct_Cost_Splits_Network,MATCH($H8,RIN_Asset_Cat_Network,0),MATCH($BY$4,Direct_Cost_Type,0))*J8*HLOOKUP(BY$5,Escalators!$I$25:$U$30,6,FALSE)</f>
        <v>0</v>
      </c>
      <c r="BZ8" s="128">
        <f>INDEX(Direct_Cost_Splits_Network,MATCH($H8,RIN_Asset_Cat_Network,0),MATCH($BY$4,Direct_Cost_Type,0))*K8*HLOOKUP(BZ$5,Escalators!$I$25:$U$30,6,FALSE)</f>
        <v>0</v>
      </c>
      <c r="CA8" s="128">
        <f>INDEX(Direct_Cost_Splits_Network,MATCH($H8,RIN_Asset_Cat_Network,0),MATCH($BY$4,Direct_Cost_Type,0))*L8*HLOOKUP(CA$5,Escalators!$I$25:$U$30,6,FALSE)</f>
        <v>0</v>
      </c>
      <c r="CB8" s="128">
        <f>INDEX(Direct_Cost_Splits_Network,MATCH($H8,RIN_Asset_Cat_Network,0),MATCH($BY$4,Direct_Cost_Type,0))*M8*HLOOKUP(CB$5,Escalators!$I$25:$U$30,6,FALSE)</f>
        <v>67.74426241524084</v>
      </c>
      <c r="CC8" s="128">
        <f>INDEX(Direct_Cost_Splits_Network,MATCH($H8,RIN_Asset_Cat_Network,0),MATCH($BY$4,Direct_Cost_Type,0))*N8*HLOOKUP(CC$5,Escalators!$I$25:$U$30,6,FALSE)</f>
        <v>67.74426241524084</v>
      </c>
      <c r="CD8" s="128">
        <f>INDEX(Direct_Cost_Splits_Network,MATCH($H8,RIN_Asset_Cat_Network,0),MATCH($BY$4,Direct_Cost_Type,0))*O8*HLOOKUP(CD$5,Escalators!$I$25:$U$30,6,FALSE)</f>
        <v>67.74426241524084</v>
      </c>
      <c r="CE8" s="128">
        <f>INDEX(Direct_Cost_Splits_Network,MATCH($H8,RIN_Asset_Cat_Network,0),MATCH($BY$4,Direct_Cost_Type,0))*P8*HLOOKUP(CE$5,Escalators!$I$25:$U$30,6,FALSE)</f>
        <v>67.74426241524084</v>
      </c>
      <c r="CF8" s="128">
        <f>INDEX(Direct_Cost_Splits_Network,MATCH($H8,RIN_Asset_Cat_Network,0),MATCH($BY$4,Direct_Cost_Type,0))*Q8*HLOOKUP(CF$5,Escalators!$I$25:$U$30,6,FALSE)</f>
        <v>67.74426241524084</v>
      </c>
      <c r="CG8" s="129"/>
      <c r="CH8" s="763">
        <f t="shared" si="8"/>
        <v>0</v>
      </c>
      <c r="CI8" s="763">
        <f t="shared" si="9"/>
        <v>0</v>
      </c>
      <c r="CJ8" s="763">
        <f t="shared" si="10"/>
        <v>0</v>
      </c>
      <c r="CK8" s="763">
        <f t="shared" si="11"/>
        <v>10.483762462470006</v>
      </c>
      <c r="CL8" s="763">
        <f t="shared" si="12"/>
        <v>10.483762462470006</v>
      </c>
      <c r="CM8" s="763">
        <f t="shared" si="13"/>
        <v>10.483762462470006</v>
      </c>
      <c r="CN8" s="763">
        <f t="shared" si="14"/>
        <v>10.483762462470006</v>
      </c>
      <c r="CO8" s="763">
        <f t="shared" si="15"/>
        <v>10.483762462470006</v>
      </c>
      <c r="CP8" s="129"/>
      <c r="CQ8" s="128">
        <f t="shared" si="24"/>
        <v>0</v>
      </c>
      <c r="CR8" s="128">
        <f t="shared" si="25"/>
        <v>0</v>
      </c>
      <c r="CS8" s="128">
        <f t="shared" si="26"/>
        <v>0</v>
      </c>
      <c r="CT8" s="128">
        <f t="shared" si="27"/>
        <v>115.20737723773077</v>
      </c>
      <c r="CU8" s="128">
        <f t="shared" si="28"/>
        <v>115.17817631759497</v>
      </c>
      <c r="CV8" s="128">
        <f t="shared" si="29"/>
        <v>115.16970631025319</v>
      </c>
      <c r="CW8" s="128">
        <f t="shared" si="30"/>
        <v>115.21250588294606</v>
      </c>
      <c r="CX8" s="128">
        <f t="shared" si="31"/>
        <v>115.32906825980673</v>
      </c>
    </row>
    <row r="9" spans="2:102" x14ac:dyDescent="0.25">
      <c r="B9" s="7"/>
      <c r="C9" s="7" t="s">
        <v>478</v>
      </c>
      <c r="D9" s="7" t="s">
        <v>99</v>
      </c>
      <c r="E9" s="7" t="s">
        <v>48</v>
      </c>
      <c r="F9" s="7" t="s">
        <v>130</v>
      </c>
      <c r="G9" s="7" t="s">
        <v>150</v>
      </c>
      <c r="H9" s="7" t="s">
        <v>5</v>
      </c>
      <c r="I9" s="7" t="s">
        <v>204</v>
      </c>
      <c r="J9" s="45"/>
      <c r="K9" s="45"/>
      <c r="L9" s="45"/>
      <c r="M9" s="128"/>
      <c r="N9" s="128"/>
      <c r="O9" s="128"/>
      <c r="P9" s="128"/>
      <c r="Q9" s="128"/>
      <c r="R9" s="129"/>
      <c r="S9" s="128">
        <f>INDEX(Direct_Cost_Splits_Network,MATCH($H9,RIN_Asset_Cat_Network,0),MATCH($S$4,Direct_Cost_Type,0))*J9*HLOOKUP(S$5,Escalators!$I$25:$U$30,3,FALSE)</f>
        <v>0</v>
      </c>
      <c r="T9" s="128">
        <f>INDEX(Direct_Cost_Splits_Network,MATCH($H9,RIN_Asset_Cat_Network,0),MATCH($S$4,Direct_Cost_Type,0))*K9*HLOOKUP(T$5,Escalators!$I$25:$U$30,3,FALSE)</f>
        <v>0</v>
      </c>
      <c r="U9" s="128">
        <f>INDEX(Direct_Cost_Splits_Network,MATCH($H9,RIN_Asset_Cat_Network,0),MATCH($S$4,Direct_Cost_Type,0))*L9*HLOOKUP(U$5,Escalators!$I$25:$U$30,3,FALSE)</f>
        <v>0</v>
      </c>
      <c r="V9" s="128">
        <f>INDEX(Direct_Cost_Splits_Network,MATCH($H9,RIN_Asset_Cat_Network,0),MATCH($S$4,Direct_Cost_Type,0))*M9*HLOOKUP(V$5,Escalators!$I$25:$U$30,3,FALSE)</f>
        <v>0</v>
      </c>
      <c r="W9" s="128">
        <f>INDEX(Direct_Cost_Splits_Network,MATCH($H9,RIN_Asset_Cat_Network,0),MATCH($S$4,Direct_Cost_Type,0))*N9*HLOOKUP(W$5,Escalators!$I$25:$U$30,3,FALSE)</f>
        <v>0</v>
      </c>
      <c r="X9" s="128">
        <f>INDEX(Direct_Cost_Splits_Network,MATCH($H9,RIN_Asset_Cat_Network,0),MATCH($S$4,Direct_Cost_Type,0))*O9*HLOOKUP(X$5,Escalators!$I$25:$U$30,3,FALSE)</f>
        <v>0</v>
      </c>
      <c r="Y9" s="128">
        <f>INDEX(Direct_Cost_Splits_Network,MATCH($H9,RIN_Asset_Cat_Network,0),MATCH($S$4,Direct_Cost_Type,0))*P9*HLOOKUP(Y$5,Escalators!$I$25:$U$30,3,FALSE)</f>
        <v>0</v>
      </c>
      <c r="Z9" s="128">
        <f>INDEX(Direct_Cost_Splits_Network,MATCH($H9,RIN_Asset_Cat_Network,0),MATCH($S$4,Direct_Cost_Type,0))*Q9*HLOOKUP(Z$5,Escalators!$I$25:$U$30,3,FALSE)</f>
        <v>0</v>
      </c>
      <c r="AA9" s="129"/>
      <c r="AB9" s="128">
        <f>INDEX(Direct_Cost_Splits_Network,MATCH($H9,RIN_Asset_Cat_Network,0),MATCH($AG$4,Direct_Cost_Type,0))*$J9*INDEX(Act_Type_Repex_Splits,MATCH($I9,Act_Type_Repex,0),MATCH(AB$4,Mat_Type,0))*INDEX(Escalators!$I$44:$Q$49,MATCH(AB$4,Escalators!$C$44:$C$49,0),MATCH(AB$5,Escalators!$I$43:$Q$43,0))</f>
        <v>0</v>
      </c>
      <c r="AC9" s="128">
        <f>INDEX(Direct_Cost_Splits_Network,MATCH($H9,RIN_Asset_Cat_Network,0),MATCH($AG$4,Direct_Cost_Type,0))*$J9*INDEX(Act_Type_Repex_Splits,MATCH($I9,Act_Type_Repex,0),MATCH(AC$4,Mat_Type,0))*INDEX(Escalators!$I$44:$Q$49,MATCH(AC$4,Escalators!$C$44:$C$49,0),MATCH(AC$5,Escalators!$I$43:$Q$43,0))</f>
        <v>0</v>
      </c>
      <c r="AD9" s="128">
        <f>INDEX(Direct_Cost_Splits_Network,MATCH($H9,RIN_Asset_Cat_Network,0),MATCH($AG$4,Direct_Cost_Type,0))*$J9*INDEX(Act_Type_Repex_Splits,MATCH($I9,Act_Type_Repex,0),MATCH(AD$4,Mat_Type,0))*INDEX(Escalators!$I$44:$Q$49,MATCH(AD$4,Escalators!$C$44:$C$49,0),MATCH(AD$5,Escalators!$I$43:$Q$43,0))</f>
        <v>0</v>
      </c>
      <c r="AE9" s="128">
        <f>INDEX(Direct_Cost_Splits_Network,MATCH($H9,RIN_Asset_Cat_Network,0),MATCH($AG$4,Direct_Cost_Type,0))*$J9*INDEX(Act_Type_Repex_Splits,MATCH($I9,Act_Type_Repex,0),MATCH(AE$4,Mat_Type,0))*INDEX(Escalators!$I$44:$Q$49,MATCH(AE$4,Escalators!$C$44:$C$49,0),MATCH(AE$5,Escalators!$I$43:$Q$43,0))</f>
        <v>0</v>
      </c>
      <c r="AF9" s="128">
        <f>INDEX(Direct_Cost_Splits_Network,MATCH($H9,RIN_Asset_Cat_Network,0),MATCH($AG$4,Direct_Cost_Type,0))*$J9*INDEX(Act_Type_Repex_Splits,MATCH($I9,Act_Type_Repex,0),MATCH(AF$4,Mat_Type,0))*INDEX(Escalators!$I$44:$Q$49,MATCH(AF$4,Escalators!$C$44:$C$49,0),MATCH(AF$5,Escalators!$I$43:$Q$43,0))</f>
        <v>0</v>
      </c>
      <c r="AG9" s="128">
        <f t="shared" si="16"/>
        <v>0</v>
      </c>
      <c r="AH9" s="128">
        <f>INDEX(Direct_Cost_Splits_Network,MATCH($H9,RIN_Asset_Cat_Network,0),MATCH($AY$4,Direct_Cost_Type,0))*$K9*INDEX(Act_Type_Repex_Splits,MATCH($I9,Act_Type_Repex,0),MATCH(AH$4,Mat_Type,0))*INDEX(Escalators!$I$44:$U$49,MATCH(AH$4,Escalators!$C$44:$C$49,0),MATCH(AH$5,Escalators!$I$43:$U$43,0))</f>
        <v>0</v>
      </c>
      <c r="AI9" s="128">
        <f>INDEX(Direct_Cost_Splits_Network,MATCH($H9,RIN_Asset_Cat_Network,0),MATCH($AY$4,Direct_Cost_Type,0))*$K9*INDEX(Act_Type_Repex_Splits,MATCH($I9,Act_Type_Repex,0),MATCH(AI$4,Mat_Type,0))*INDEX(Escalators!$I$44:$U$49,MATCH(AI$4,Escalators!$C$44:$C$49,0),MATCH(AI$5,Escalators!$I$43:$U$43,0))</f>
        <v>0</v>
      </c>
      <c r="AJ9" s="128">
        <f>INDEX(Direct_Cost_Splits_Network,MATCH($H9,RIN_Asset_Cat_Network,0),MATCH($AY$4,Direct_Cost_Type,0))*$K9*INDEX(Act_Type_Repex_Splits,MATCH($I9,Act_Type_Repex,0),MATCH(AJ$4,Mat_Type,0))*INDEX(Escalators!$I$44:$U$49,MATCH(AJ$4,Escalators!$C$44:$C$49,0),MATCH(AJ$5,Escalators!$I$43:$U$43,0))</f>
        <v>0</v>
      </c>
      <c r="AK9" s="128">
        <f>INDEX(Direct_Cost_Splits_Network,MATCH($H9,RIN_Asset_Cat_Network,0),MATCH($AY$4,Direct_Cost_Type,0))*$K9*INDEX(Act_Type_Repex_Splits,MATCH($I9,Act_Type_Repex,0),MATCH(AK$4,Mat_Type,0))*INDEX(Escalators!$I$44:$U$49,MATCH(AK$4,Escalators!$C$44:$C$49,0),MATCH(AK$5,Escalators!$I$43:$U$43,0))</f>
        <v>0</v>
      </c>
      <c r="AL9" s="128">
        <f>INDEX(Direct_Cost_Splits_Network,MATCH($H9,RIN_Asset_Cat_Network,0),MATCH($AY$4,Direct_Cost_Type,0))*$K9*INDEX(Act_Type_Repex_Splits,MATCH($I9,Act_Type_Repex,0),MATCH(AL$4,Mat_Type,0))*INDEX(Escalators!$I$44:$U$49,MATCH(AL$4,Escalators!$C$44:$C$49,0),MATCH(AL$5,Escalators!$I$43:$U$43,0))</f>
        <v>0</v>
      </c>
      <c r="AM9" s="128">
        <f t="shared" si="17"/>
        <v>0</v>
      </c>
      <c r="AN9" s="128">
        <f>INDEX(Direct_Cost_Splits_Network,MATCH($H9,RIN_Asset_Cat_Network,0),MATCH($AY$4,Direct_Cost_Type,0))*$L9*INDEX(Act_Type_Repex_Splits,MATCH($I9,Act_Type_Repex,0),MATCH(AN$4,Mat_Type,0))*INDEX(Escalators!$I$44:$U$49,MATCH(AN$4,Escalators!$C$44:$C$49,0),MATCH(AN$5,Escalators!$I$43:$U$43,0))</f>
        <v>0</v>
      </c>
      <c r="AO9" s="128">
        <f>INDEX(Direct_Cost_Splits_Network,MATCH($H9,RIN_Asset_Cat_Network,0),MATCH($AY$4,Direct_Cost_Type,0))*$L9*INDEX(Act_Type_Repex_Splits,MATCH($I9,Act_Type_Repex,0),MATCH(AO$4,Mat_Type,0))*INDEX(Escalators!$I$44:$U$49,MATCH(AO$4,Escalators!$C$44:$C$49,0),MATCH(AO$5,Escalators!$I$43:$U$43,0))</f>
        <v>0</v>
      </c>
      <c r="AP9" s="128">
        <f>INDEX(Direct_Cost_Splits_Network,MATCH($H9,RIN_Asset_Cat_Network,0),MATCH($AY$4,Direct_Cost_Type,0))*$L9*INDEX(Act_Type_Repex_Splits,MATCH($I9,Act_Type_Repex,0),MATCH(AP$4,Mat_Type,0))*INDEX(Escalators!$I$44:$U$49,MATCH(AP$4,Escalators!$C$44:$C$49,0),MATCH(AP$5,Escalators!$I$43:$U$43,0))</f>
        <v>0</v>
      </c>
      <c r="AQ9" s="128">
        <f>INDEX(Direct_Cost_Splits_Network,MATCH($H9,RIN_Asset_Cat_Network,0),MATCH($AY$4,Direct_Cost_Type,0))*$L9*INDEX(Act_Type_Repex_Splits,MATCH($I9,Act_Type_Repex,0),MATCH(AQ$4,Mat_Type,0))*INDEX(Escalators!$I$44:$U$49,MATCH(AQ$4,Escalators!$C$44:$C$49,0),MATCH(AQ$5,Escalators!$I$43:$U$43,0))</f>
        <v>0</v>
      </c>
      <c r="AR9" s="128">
        <f>INDEX(Direct_Cost_Splits_Network,MATCH($H9,RIN_Asset_Cat_Network,0),MATCH($AY$4,Direct_Cost_Type,0))*$L9*INDEX(Act_Type_Repex_Splits,MATCH($I9,Act_Type_Repex,0),MATCH(AR$4,Mat_Type,0))*INDEX(Escalators!$I$44:$U$49,MATCH(AR$4,Escalators!$C$44:$C$49,0),MATCH(AR$5,Escalators!$I$43:$U$43,0))</f>
        <v>0</v>
      </c>
      <c r="AS9" s="128">
        <f t="shared" si="18"/>
        <v>0</v>
      </c>
      <c r="AT9" s="128">
        <f>INDEX(Direct_Cost_Splits_Network,MATCH($H9,RIN_Asset_Cat_Network,0),MATCH($AY$4,Direct_Cost_Type,0))*$M9*INDEX(Act_Type_Repex_Splits,MATCH($I9,Act_Type_Repex,0),MATCH(AT$4,Mat_Type,0))*INDEX(Escalators!$I$44:$U$49,MATCH(AT$4,Escalators!$C$44:$C$49,0),MATCH(AT$5,Escalators!$I$43:$U$43,0))</f>
        <v>0</v>
      </c>
      <c r="AU9" s="128">
        <f>INDEX(Direct_Cost_Splits_Network,MATCH($H9,RIN_Asset_Cat_Network,0),MATCH($AY$4,Direct_Cost_Type,0))*$M9*INDEX(Act_Type_Repex_Splits,MATCH($I9,Act_Type_Repex,0),MATCH(AU$4,Mat_Type,0))*INDEX(Escalators!$I$44:$U$49,MATCH(AU$4,Escalators!$C$44:$C$49,0),MATCH(AU$5,Escalators!$I$43:$U$43,0))</f>
        <v>0</v>
      </c>
      <c r="AV9" s="128">
        <f>INDEX(Direct_Cost_Splits_Network,MATCH($H9,RIN_Asset_Cat_Network,0),MATCH($AY$4,Direct_Cost_Type,0))*$M9*INDEX(Act_Type_Repex_Splits,MATCH($I9,Act_Type_Repex,0),MATCH(AV$4,Mat_Type,0))*INDEX(Escalators!$I$44:$U$49,MATCH(AV$4,Escalators!$C$44:$C$49,0),MATCH(AV$5,Escalators!$I$43:$U$43,0))</f>
        <v>0</v>
      </c>
      <c r="AW9" s="128">
        <f>INDEX(Direct_Cost_Splits_Network,MATCH($H9,RIN_Asset_Cat_Network,0),MATCH($AY$4,Direct_Cost_Type,0))*$M9*INDEX(Act_Type_Repex_Splits,MATCH($I9,Act_Type_Repex,0),MATCH(AW$4,Mat_Type,0))*INDEX(Escalators!$I$44:$U$49,MATCH(AW$4,Escalators!$C$44:$C$49,0),MATCH(AW$5,Escalators!$I$43:$U$43,0))</f>
        <v>0</v>
      </c>
      <c r="AX9" s="128">
        <f>INDEX(Direct_Cost_Splits_Network,MATCH($H9,RIN_Asset_Cat_Network,0),MATCH($AY$4,Direct_Cost_Type,0))*$M9*INDEX(Act_Type_Repex_Splits,MATCH($I9,Act_Type_Repex,0),MATCH(AX$4,Mat_Type,0))*INDEX(Escalators!$I$44:$U$49,MATCH(AX$4,Escalators!$C$44:$C$49,0),MATCH(AX$5,Escalators!$I$43:$U$43,0))</f>
        <v>0</v>
      </c>
      <c r="AY9" s="128">
        <f t="shared" si="19"/>
        <v>0</v>
      </c>
      <c r="AZ9" s="128">
        <f>INDEX(Direct_Cost_Splits_Network,MATCH($H9,RIN_Asset_Cat_Network,0),MATCH($BE$4,Direct_Cost_Type,0))*$N9*INDEX(Act_Type_Repex_Splits,MATCH($I9,Act_Type_Repex,0),MATCH(AZ$4,Mat_Type,0))*INDEX(Escalators!$I$44:$U$49,MATCH(AZ$4,Escalators!$C$44:$C$49,0),MATCH(AZ$5,Escalators!$I$43:$U$43,0))</f>
        <v>0</v>
      </c>
      <c r="BA9" s="128">
        <f>INDEX(Direct_Cost_Splits_Network,MATCH($H9,RIN_Asset_Cat_Network,0),MATCH($BE$4,Direct_Cost_Type,0))*$N9*INDEX(Act_Type_Repex_Splits,MATCH($I9,Act_Type_Repex,0),MATCH(BA$4,Mat_Type,0))*INDEX(Escalators!$I$44:$U$49,MATCH(BA$4,Escalators!$C$44:$C$49,0),MATCH(BA$5,Escalators!$I$43:$U$43,0))</f>
        <v>0</v>
      </c>
      <c r="BB9" s="128">
        <f>INDEX(Direct_Cost_Splits_Network,MATCH($H9,RIN_Asset_Cat_Network,0),MATCH($BE$4,Direct_Cost_Type,0))*$N9*INDEX(Act_Type_Repex_Splits,MATCH($I9,Act_Type_Repex,0),MATCH(BB$4,Mat_Type,0))*INDEX(Escalators!$I$44:$U$49,MATCH(BB$4,Escalators!$C$44:$C$49,0),MATCH(BB$5,Escalators!$I$43:$U$43,0))</f>
        <v>0</v>
      </c>
      <c r="BC9" s="128">
        <f>INDEX(Direct_Cost_Splits_Network,MATCH($H9,RIN_Asset_Cat_Network,0),MATCH($BE$4,Direct_Cost_Type,0))*$N9*INDEX(Act_Type_Repex_Splits,MATCH($I9,Act_Type_Repex,0),MATCH(BC$4,Mat_Type,0))*INDEX(Escalators!$I$44:$U$49,MATCH(BC$4,Escalators!$C$44:$C$49,0),MATCH(BC$5,Escalators!$I$43:$U$43,0))</f>
        <v>0</v>
      </c>
      <c r="BD9" s="128">
        <f>INDEX(Direct_Cost_Splits_Network,MATCH($H9,RIN_Asset_Cat_Network,0),MATCH($BE$4,Direct_Cost_Type,0))*$N9*INDEX(Act_Type_Repex_Splits,MATCH($I9,Act_Type_Repex,0),MATCH(BD$4,Mat_Type,0))*INDEX(Escalators!$I$44:$U$49,MATCH(BD$4,Escalators!$C$44:$C$49,0),MATCH(BD$5,Escalators!$I$43:$U$43,0))</f>
        <v>0</v>
      </c>
      <c r="BE9" s="128">
        <f t="shared" si="20"/>
        <v>0</v>
      </c>
      <c r="BF9" s="128">
        <f>INDEX(Direct_Cost_Splits_Network,MATCH($H9,RIN_Asset_Cat_Network,0),MATCH($BK$4,Direct_Cost_Type,0))*$O9*INDEX(Act_Type_Repex_Splits,MATCH($I9,Act_Type_Repex,0),MATCH(BF$4,Mat_Type,0))*INDEX(Escalators!$I$44:$U$49,MATCH(BF$4,Escalators!$C$44:$C$49,0),MATCH(BF$5,Escalators!$I$43:$U$43,0))</f>
        <v>0</v>
      </c>
      <c r="BG9" s="128">
        <f>INDEX(Direct_Cost_Splits_Network,MATCH($H9,RIN_Asset_Cat_Network,0),MATCH($BK$4,Direct_Cost_Type,0))*$O9*INDEX(Act_Type_Repex_Splits,MATCH($I9,Act_Type_Repex,0),MATCH(BG$4,Mat_Type,0))*INDEX(Escalators!$I$44:$U$49,MATCH(BG$4,Escalators!$C$44:$C$49,0),MATCH(BG$5,Escalators!$I$43:$U$43,0))</f>
        <v>0</v>
      </c>
      <c r="BH9" s="128">
        <f>INDEX(Direct_Cost_Splits_Network,MATCH($H9,RIN_Asset_Cat_Network,0),MATCH($BK$4,Direct_Cost_Type,0))*$O9*INDEX(Act_Type_Repex_Splits,MATCH($I9,Act_Type_Repex,0),MATCH(BH$4,Mat_Type,0))*INDEX(Escalators!$I$44:$U$49,MATCH(BH$4,Escalators!$C$44:$C$49,0),MATCH(BH$5,Escalators!$I$43:$U$43,0))</f>
        <v>0</v>
      </c>
      <c r="BI9" s="128">
        <f>INDEX(Direct_Cost_Splits_Network,MATCH($H9,RIN_Asset_Cat_Network,0),MATCH($BK$4,Direct_Cost_Type,0))*$O9*INDEX(Act_Type_Repex_Splits,MATCH($I9,Act_Type_Repex,0),MATCH(BI$4,Mat_Type,0))*INDEX(Escalators!$I$44:$U$49,MATCH(BI$4,Escalators!$C$44:$C$49,0),MATCH(BI$5,Escalators!$I$43:$U$43,0))</f>
        <v>0</v>
      </c>
      <c r="BJ9" s="128">
        <f>INDEX(Direct_Cost_Splits_Network,MATCH($H9,RIN_Asset_Cat_Network,0),MATCH($BK$4,Direct_Cost_Type,0))*$O9*INDEX(Act_Type_Repex_Splits,MATCH($I9,Act_Type_Repex,0),MATCH(BJ$4,Mat_Type,0))*INDEX(Escalators!$I$44:$U$49,MATCH(BJ$4,Escalators!$C$44:$C$49,0),MATCH(BJ$5,Escalators!$I$43:$U$43,0))</f>
        <v>0</v>
      </c>
      <c r="BK9" s="128">
        <f t="shared" si="21"/>
        <v>0</v>
      </c>
      <c r="BL9" s="128">
        <f>INDEX(Direct_Cost_Splits_Network,MATCH($H9,RIN_Asset_Cat_Network,0),MATCH($BQ$4,Direct_Cost_Type,0))*$P9*INDEX(Act_Type_Repex_Splits,MATCH($I9,Act_Type_Repex,0),MATCH(BL$4,Mat_Type,0))*INDEX(Escalators!$I$44:$U$49,MATCH(BL$4,Escalators!$C$44:$C$49,0),MATCH(BL$5,Escalators!$I$43:$U$43,0))</f>
        <v>0</v>
      </c>
      <c r="BM9" s="128">
        <f>INDEX(Direct_Cost_Splits_Network,MATCH($H9,RIN_Asset_Cat_Network,0),MATCH($BQ$4,Direct_Cost_Type,0))*$P9*INDEX(Act_Type_Repex_Splits,MATCH($I9,Act_Type_Repex,0),MATCH(BM$4,Mat_Type,0))*INDEX(Escalators!$I$44:$U$49,MATCH(BM$4,Escalators!$C$44:$C$49,0),MATCH(BM$5,Escalators!$I$43:$U$43,0))</f>
        <v>0</v>
      </c>
      <c r="BN9" s="128">
        <f>INDEX(Direct_Cost_Splits_Network,MATCH($H9,RIN_Asset_Cat_Network,0),MATCH($BQ$4,Direct_Cost_Type,0))*$P9*INDEX(Act_Type_Repex_Splits,MATCH($I9,Act_Type_Repex,0),MATCH(BN$4,Mat_Type,0))*INDEX(Escalators!$I$44:$U$49,MATCH(BN$4,Escalators!$C$44:$C$49,0),MATCH(BN$5,Escalators!$I$43:$U$43,0))</f>
        <v>0</v>
      </c>
      <c r="BO9" s="128">
        <f>INDEX(Direct_Cost_Splits_Network,MATCH($H9,RIN_Asset_Cat_Network,0),MATCH($BQ$4,Direct_Cost_Type,0))*$P9*INDEX(Act_Type_Repex_Splits,MATCH($I9,Act_Type_Repex,0),MATCH(BO$4,Mat_Type,0))*INDEX(Escalators!$I$44:$U$49,MATCH(BO$4,Escalators!$C$44:$C$49,0),MATCH(BO$5,Escalators!$I$43:$U$43,0))</f>
        <v>0</v>
      </c>
      <c r="BP9" s="128">
        <f>INDEX(Direct_Cost_Splits_Network,MATCH($H9,RIN_Asset_Cat_Network,0),MATCH($BQ$4,Direct_Cost_Type,0))*$P9*INDEX(Act_Type_Repex_Splits,MATCH($I9,Act_Type_Repex,0),MATCH(BP$4,Mat_Type,0))*INDEX(Escalators!$I$44:$U$49,MATCH(BP$4,Escalators!$C$44:$C$49,0),MATCH(BP$5,Escalators!$I$43:$U$43,0))</f>
        <v>0</v>
      </c>
      <c r="BQ9" s="128">
        <f t="shared" si="22"/>
        <v>0</v>
      </c>
      <c r="BR9" s="128">
        <f>INDEX(Direct_Cost_Splits_Network,MATCH($H9,RIN_Asset_Cat_Network,0),MATCH($BW$4,Direct_Cost_Type,0))*$Q9*INDEX(Act_Type_Repex_Splits,MATCH($I9,Act_Type_Repex,0),MATCH(BR$4,Mat_Type,0))*INDEX(Escalators!$I$44:$U$49,MATCH(BR$4,Escalators!$C$44:$C$49,0),MATCH(BR$5,Escalators!$I$43:$U$43,0))</f>
        <v>0</v>
      </c>
      <c r="BS9" s="128">
        <f>INDEX(Direct_Cost_Splits_Network,MATCH($H9,RIN_Asset_Cat_Network,0),MATCH($BW$4,Direct_Cost_Type,0))*$Q9*INDEX(Act_Type_Repex_Splits,MATCH($I9,Act_Type_Repex,0),MATCH(BS$4,Mat_Type,0))*INDEX(Escalators!$I$44:$U$49,MATCH(BS$4,Escalators!$C$44:$C$49,0),MATCH(BS$5,Escalators!$I$43:$U$43,0))</f>
        <v>0</v>
      </c>
      <c r="BT9" s="128">
        <f>INDEX(Direct_Cost_Splits_Network,MATCH($H9,RIN_Asset_Cat_Network,0),MATCH($BW$4,Direct_Cost_Type,0))*$Q9*INDEX(Act_Type_Repex_Splits,MATCH($I9,Act_Type_Repex,0),MATCH(BT$4,Mat_Type,0))*INDEX(Escalators!$I$44:$U$49,MATCH(BT$4,Escalators!$C$44:$C$49,0),MATCH(BT$5,Escalators!$I$43:$U$43,0))</f>
        <v>0</v>
      </c>
      <c r="BU9" s="128">
        <f>INDEX(Direct_Cost_Splits_Network,MATCH($H9,RIN_Asset_Cat_Network,0),MATCH($BW$4,Direct_Cost_Type,0))*$Q9*INDEX(Act_Type_Repex_Splits,MATCH($I9,Act_Type_Repex,0),MATCH(BU$4,Mat_Type,0))*INDEX(Escalators!$I$44:$U$49,MATCH(BU$4,Escalators!$C$44:$C$49,0),MATCH(BU$5,Escalators!$I$43:$U$43,0))</f>
        <v>0</v>
      </c>
      <c r="BV9" s="128">
        <f>INDEX(Direct_Cost_Splits_Network,MATCH($H9,RIN_Asset_Cat_Network,0),MATCH($BW$4,Direct_Cost_Type,0))*$Q9*INDEX(Act_Type_Repex_Splits,MATCH($I9,Act_Type_Repex,0),MATCH(BV$4,Mat_Type,0))*INDEX(Escalators!$I$44:$U$49,MATCH(BV$4,Escalators!$C$44:$C$49,0),MATCH(BV$5,Escalators!$I$43:$U$43,0))</f>
        <v>0</v>
      </c>
      <c r="BW9" s="128">
        <f t="shared" si="23"/>
        <v>0</v>
      </c>
      <c r="BX9" s="129"/>
      <c r="BY9" s="128">
        <f>INDEX(Direct_Cost_Splits_Network,MATCH($H9,RIN_Asset_Cat_Network,0),MATCH($BY$4,Direct_Cost_Type,0))*J9*HLOOKUP(BY$5,Escalators!$I$25:$U$30,6,FALSE)</f>
        <v>0</v>
      </c>
      <c r="BZ9" s="128">
        <f>INDEX(Direct_Cost_Splits_Network,MATCH($H9,RIN_Asset_Cat_Network,0),MATCH($BY$4,Direct_Cost_Type,0))*K9*HLOOKUP(BZ$5,Escalators!$I$25:$U$30,6,FALSE)</f>
        <v>0</v>
      </c>
      <c r="CA9" s="128">
        <f>INDEX(Direct_Cost_Splits_Network,MATCH($H9,RIN_Asset_Cat_Network,0),MATCH($BY$4,Direct_Cost_Type,0))*L9*HLOOKUP(CA$5,Escalators!$I$25:$U$30,6,FALSE)</f>
        <v>0</v>
      </c>
      <c r="CB9" s="128">
        <f>INDEX(Direct_Cost_Splits_Network,MATCH($H9,RIN_Asset_Cat_Network,0),MATCH($BY$4,Direct_Cost_Type,0))*M9*HLOOKUP(CB$5,Escalators!$I$25:$U$30,6,FALSE)</f>
        <v>0</v>
      </c>
      <c r="CC9" s="128">
        <f>INDEX(Direct_Cost_Splits_Network,MATCH($H9,RIN_Asset_Cat_Network,0),MATCH($BY$4,Direct_Cost_Type,0))*N9*HLOOKUP(CC$5,Escalators!$I$25:$U$30,6,FALSE)</f>
        <v>0</v>
      </c>
      <c r="CD9" s="128">
        <f>INDEX(Direct_Cost_Splits_Network,MATCH($H9,RIN_Asset_Cat_Network,0),MATCH($BY$4,Direct_Cost_Type,0))*O9*HLOOKUP(CD$5,Escalators!$I$25:$U$30,6,FALSE)</f>
        <v>0</v>
      </c>
      <c r="CE9" s="128">
        <f>INDEX(Direct_Cost_Splits_Network,MATCH($H9,RIN_Asset_Cat_Network,0),MATCH($BY$4,Direct_Cost_Type,0))*P9*HLOOKUP(CE$5,Escalators!$I$25:$U$30,6,FALSE)</f>
        <v>0</v>
      </c>
      <c r="CF9" s="128">
        <f>INDEX(Direct_Cost_Splits_Network,MATCH($H9,RIN_Asset_Cat_Network,0),MATCH($BY$4,Direct_Cost_Type,0))*Q9*HLOOKUP(CF$5,Escalators!$I$25:$U$30,6,FALSE)</f>
        <v>0</v>
      </c>
      <c r="CG9" s="129"/>
      <c r="CH9" s="763">
        <f t="shared" si="8"/>
        <v>0</v>
      </c>
      <c r="CI9" s="763">
        <f t="shared" si="9"/>
        <v>0</v>
      </c>
      <c r="CJ9" s="763">
        <f t="shared" si="10"/>
        <v>0</v>
      </c>
      <c r="CK9" s="763">
        <f t="shared" si="11"/>
        <v>0</v>
      </c>
      <c r="CL9" s="763">
        <f t="shared" si="12"/>
        <v>0</v>
      </c>
      <c r="CM9" s="763">
        <f t="shared" si="13"/>
        <v>0</v>
      </c>
      <c r="CN9" s="763">
        <f t="shared" si="14"/>
        <v>0</v>
      </c>
      <c r="CO9" s="763">
        <f t="shared" si="15"/>
        <v>0</v>
      </c>
      <c r="CP9" s="129"/>
      <c r="CQ9" s="128">
        <f t="shared" si="24"/>
        <v>0</v>
      </c>
      <c r="CR9" s="128">
        <f t="shared" si="25"/>
        <v>0</v>
      </c>
      <c r="CS9" s="128">
        <f t="shared" si="26"/>
        <v>0</v>
      </c>
      <c r="CT9" s="128">
        <f t="shared" si="27"/>
        <v>0</v>
      </c>
      <c r="CU9" s="128">
        <f t="shared" si="28"/>
        <v>0</v>
      </c>
      <c r="CV9" s="128">
        <f t="shared" si="29"/>
        <v>0</v>
      </c>
      <c r="CW9" s="128">
        <f t="shared" si="30"/>
        <v>0</v>
      </c>
      <c r="CX9" s="128">
        <f t="shared" si="31"/>
        <v>0</v>
      </c>
    </row>
    <row r="10" spans="2:102" x14ac:dyDescent="0.25">
      <c r="B10" s="7"/>
      <c r="C10" s="7" t="s">
        <v>97</v>
      </c>
      <c r="D10" s="7" t="s">
        <v>99</v>
      </c>
      <c r="E10" s="7" t="s">
        <v>48</v>
      </c>
      <c r="F10" s="7" t="s">
        <v>130</v>
      </c>
      <c r="G10" s="7" t="s">
        <v>150</v>
      </c>
      <c r="H10" s="7" t="s">
        <v>5</v>
      </c>
      <c r="I10" s="7" t="s">
        <v>204</v>
      </c>
      <c r="J10" s="45"/>
      <c r="K10" s="45"/>
      <c r="L10" s="45"/>
      <c r="M10" s="539"/>
      <c r="N10" s="539"/>
      <c r="O10" s="539"/>
      <c r="P10" s="539"/>
      <c r="Q10" s="539"/>
      <c r="R10" s="241"/>
      <c r="S10" s="539"/>
      <c r="T10" s="539"/>
      <c r="U10" s="539"/>
      <c r="V10" s="539"/>
      <c r="W10" s="539"/>
      <c r="X10" s="539"/>
      <c r="Y10" s="539"/>
      <c r="Z10" s="539"/>
      <c r="AA10" s="241"/>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241"/>
      <c r="BY10" s="539"/>
      <c r="BZ10" s="539"/>
      <c r="CA10" s="539"/>
      <c r="CB10" s="539"/>
      <c r="CC10" s="539"/>
      <c r="CD10" s="539"/>
      <c r="CE10" s="539"/>
      <c r="CF10" s="539"/>
      <c r="CG10" s="241"/>
      <c r="CH10" s="540"/>
      <c r="CI10" s="540"/>
      <c r="CJ10" s="540"/>
      <c r="CK10" s="540"/>
      <c r="CL10" s="540"/>
      <c r="CM10" s="540"/>
      <c r="CN10" s="540"/>
      <c r="CO10" s="540"/>
      <c r="CP10" s="241"/>
      <c r="CQ10" s="539"/>
      <c r="CR10" s="539"/>
      <c r="CS10" s="539"/>
      <c r="CT10" s="539"/>
      <c r="CU10" s="539"/>
      <c r="CV10" s="539"/>
      <c r="CW10" s="539"/>
      <c r="CX10" s="539"/>
    </row>
    <row r="11" spans="2:102" x14ac:dyDescent="0.25">
      <c r="B11" s="7"/>
      <c r="C11" s="7" t="s">
        <v>479</v>
      </c>
      <c r="D11" s="7" t="s">
        <v>99</v>
      </c>
      <c r="E11" s="7" t="s">
        <v>48</v>
      </c>
      <c r="F11" s="7" t="s">
        <v>130</v>
      </c>
      <c r="G11" s="7" t="s">
        <v>150</v>
      </c>
      <c r="H11" s="7" t="s">
        <v>5</v>
      </c>
      <c r="I11" s="7" t="s">
        <v>204</v>
      </c>
      <c r="J11" s="45"/>
      <c r="K11" s="45"/>
      <c r="L11" s="45"/>
      <c r="M11" s="128">
        <v>1110.1199999999999</v>
      </c>
      <c r="N11" s="128">
        <v>1110.1199999999999</v>
      </c>
      <c r="O11" s="128">
        <v>1110.1199999999999</v>
      </c>
      <c r="P11" s="128">
        <v>1110.1199999999999</v>
      </c>
      <c r="Q11" s="128">
        <v>0</v>
      </c>
      <c r="R11" s="129"/>
      <c r="S11" s="128">
        <f>INDEX(Direct_Cost_Splits_Network,MATCH($H11,RIN_Asset_Cat_Network,0),MATCH($S$4,Direct_Cost_Type,0))*J11*HLOOKUP(S$5,Escalators!$I$25:$U$30,3,FALSE)</f>
        <v>0</v>
      </c>
      <c r="T11" s="128">
        <f>INDEX(Direct_Cost_Splits_Network,MATCH($H11,RIN_Asset_Cat_Network,0),MATCH($S$4,Direct_Cost_Type,0))*K11*HLOOKUP(T$5,Escalators!$I$25:$U$30,3,FALSE)</f>
        <v>0</v>
      </c>
      <c r="U11" s="128">
        <f>INDEX(Direct_Cost_Splits_Network,MATCH($H11,RIN_Asset_Cat_Network,0),MATCH($S$4,Direct_Cost_Type,0))*L11*HLOOKUP(U$5,Escalators!$I$25:$U$30,3,FALSE)</f>
        <v>0</v>
      </c>
      <c r="V11" s="128">
        <f>INDEX(Direct_Cost_Splits_Network,MATCH($H11,RIN_Asset_Cat_Network,0),MATCH($S$4,Direct_Cost_Type,0))*M11*HLOOKUP(V$5,Escalators!$I$25:$U$30,3,FALSE)</f>
        <v>112.85531439908219</v>
      </c>
      <c r="W11" s="128">
        <f>INDEX(Direct_Cost_Splits_Network,MATCH($H11,RIN_Asset_Cat_Network,0),MATCH($S$4,Direct_Cost_Type,0))*N11*HLOOKUP(W$5,Escalators!$I$25:$U$30,3,FALSE)</f>
        <v>112.57343156898526</v>
      </c>
      <c r="X11" s="128">
        <f>INDEX(Direct_Cost_Splits_Network,MATCH($H11,RIN_Asset_Cat_Network,0),MATCH($S$4,Direct_Cost_Type,0))*O11*HLOOKUP(X$5,Escalators!$I$25:$U$30,3,FALSE)</f>
        <v>112.4916687468091</v>
      </c>
      <c r="Y11" s="128">
        <f>INDEX(Direct_Cost_Splits_Network,MATCH($H11,RIN_Asset_Cat_Network,0),MATCH($S$4,Direct_Cost_Type,0))*P11*HLOOKUP(Y$5,Escalators!$I$25:$U$30,3,FALSE)</f>
        <v>112.90482232626836</v>
      </c>
      <c r="Z11" s="128">
        <f>INDEX(Direct_Cost_Splits_Network,MATCH($H11,RIN_Asset_Cat_Network,0),MATCH($S$4,Direct_Cost_Type,0))*Q11*HLOOKUP(Z$5,Escalators!$I$25:$U$30,3,FALSE)</f>
        <v>0</v>
      </c>
      <c r="AA11" s="129"/>
      <c r="AB11" s="128">
        <f>INDEX(Direct_Cost_Splits_Network,MATCH($H11,RIN_Asset_Cat_Network,0),MATCH($AG$4,Direct_Cost_Type,0))*$J11*INDEX(Act_Type_Repex_Splits,MATCH($I11,Act_Type_Repex,0),MATCH(AB$4,Mat_Type,0))*INDEX(Escalators!$I$44:$Q$49,MATCH(AB$4,Escalators!$C$44:$C$49,0),MATCH(AB$5,Escalators!$I$43:$Q$43,0))</f>
        <v>0</v>
      </c>
      <c r="AC11" s="128">
        <f>INDEX(Direct_Cost_Splits_Network,MATCH($H11,RIN_Asset_Cat_Network,0),MATCH($AG$4,Direct_Cost_Type,0))*$J11*INDEX(Act_Type_Repex_Splits,MATCH($I11,Act_Type_Repex,0),MATCH(AC$4,Mat_Type,0))*INDEX(Escalators!$I$44:$Q$49,MATCH(AC$4,Escalators!$C$44:$C$49,0),MATCH(AC$5,Escalators!$I$43:$Q$43,0))</f>
        <v>0</v>
      </c>
      <c r="AD11" s="128">
        <f>INDEX(Direct_Cost_Splits_Network,MATCH($H11,RIN_Asset_Cat_Network,0),MATCH($AG$4,Direct_Cost_Type,0))*$J11*INDEX(Act_Type_Repex_Splits,MATCH($I11,Act_Type_Repex,0),MATCH(AD$4,Mat_Type,0))*INDEX(Escalators!$I$44:$Q$49,MATCH(AD$4,Escalators!$C$44:$C$49,0),MATCH(AD$5,Escalators!$I$43:$Q$43,0))</f>
        <v>0</v>
      </c>
      <c r="AE11" s="128">
        <f>INDEX(Direct_Cost_Splits_Network,MATCH($H11,RIN_Asset_Cat_Network,0),MATCH($AG$4,Direct_Cost_Type,0))*$J11*INDEX(Act_Type_Repex_Splits,MATCH($I11,Act_Type_Repex,0),MATCH(AE$4,Mat_Type,0))*INDEX(Escalators!$I$44:$Q$49,MATCH(AE$4,Escalators!$C$44:$C$49,0),MATCH(AE$5,Escalators!$I$43:$Q$43,0))</f>
        <v>0</v>
      </c>
      <c r="AF11" s="128">
        <f>INDEX(Direct_Cost_Splits_Network,MATCH($H11,RIN_Asset_Cat_Network,0),MATCH($AG$4,Direct_Cost_Type,0))*$J11*INDEX(Act_Type_Repex_Splits,MATCH($I11,Act_Type_Repex,0),MATCH(AF$4,Mat_Type,0))*INDEX(Escalators!$I$44:$Q$49,MATCH(AF$4,Escalators!$C$44:$C$49,0),MATCH(AF$5,Escalators!$I$43:$Q$43,0))</f>
        <v>0</v>
      </c>
      <c r="AG11" s="128">
        <f t="shared" si="16"/>
        <v>0</v>
      </c>
      <c r="AH11" s="128">
        <f>INDEX(Direct_Cost_Splits_Network,MATCH($H11,RIN_Asset_Cat_Network,0),MATCH($AY$4,Direct_Cost_Type,0))*$K11*INDEX(Act_Type_Repex_Splits,MATCH($I11,Act_Type_Repex,0),MATCH(AH$4,Mat_Type,0))*INDEX(Escalators!$I$44:$U$49,MATCH(AH$4,Escalators!$C$44:$C$49,0),MATCH(AH$5,Escalators!$I$43:$U$43,0))</f>
        <v>0</v>
      </c>
      <c r="AI11" s="128">
        <f>INDEX(Direct_Cost_Splits_Network,MATCH($H11,RIN_Asset_Cat_Network,0),MATCH($AY$4,Direct_Cost_Type,0))*$K11*INDEX(Act_Type_Repex_Splits,MATCH($I11,Act_Type_Repex,0),MATCH(AI$4,Mat_Type,0))*INDEX(Escalators!$I$44:$U$49,MATCH(AI$4,Escalators!$C$44:$C$49,0),MATCH(AI$5,Escalators!$I$43:$U$43,0))</f>
        <v>0</v>
      </c>
      <c r="AJ11" s="128">
        <f>INDEX(Direct_Cost_Splits_Network,MATCH($H11,RIN_Asset_Cat_Network,0),MATCH($AY$4,Direct_Cost_Type,0))*$K11*INDEX(Act_Type_Repex_Splits,MATCH($I11,Act_Type_Repex,0),MATCH(AJ$4,Mat_Type,0))*INDEX(Escalators!$I$44:$U$49,MATCH(AJ$4,Escalators!$C$44:$C$49,0),MATCH(AJ$5,Escalators!$I$43:$U$43,0))</f>
        <v>0</v>
      </c>
      <c r="AK11" s="128">
        <f>INDEX(Direct_Cost_Splits_Network,MATCH($H11,RIN_Asset_Cat_Network,0),MATCH($AY$4,Direct_Cost_Type,0))*$K11*INDEX(Act_Type_Repex_Splits,MATCH($I11,Act_Type_Repex,0),MATCH(AK$4,Mat_Type,0))*INDEX(Escalators!$I$44:$U$49,MATCH(AK$4,Escalators!$C$44:$C$49,0),MATCH(AK$5,Escalators!$I$43:$U$43,0))</f>
        <v>0</v>
      </c>
      <c r="AL11" s="128">
        <f>INDEX(Direct_Cost_Splits_Network,MATCH($H11,RIN_Asset_Cat_Network,0),MATCH($AY$4,Direct_Cost_Type,0))*$K11*INDEX(Act_Type_Repex_Splits,MATCH($I11,Act_Type_Repex,0),MATCH(AL$4,Mat_Type,0))*INDEX(Escalators!$I$44:$U$49,MATCH(AL$4,Escalators!$C$44:$C$49,0),MATCH(AL$5,Escalators!$I$43:$U$43,0))</f>
        <v>0</v>
      </c>
      <c r="AM11" s="128">
        <f t="shared" si="17"/>
        <v>0</v>
      </c>
      <c r="AN11" s="128">
        <f>INDEX(Direct_Cost_Splits_Network,MATCH($H11,RIN_Asset_Cat_Network,0),MATCH($AY$4,Direct_Cost_Type,0))*$L11*INDEX(Act_Type_Repex_Splits,MATCH($I11,Act_Type_Repex,0),MATCH(AN$4,Mat_Type,0))*INDEX(Escalators!$I$44:$U$49,MATCH(AN$4,Escalators!$C$44:$C$49,0),MATCH(AN$5,Escalators!$I$43:$U$43,0))</f>
        <v>0</v>
      </c>
      <c r="AO11" s="128">
        <f>INDEX(Direct_Cost_Splits_Network,MATCH($H11,RIN_Asset_Cat_Network,0),MATCH($AY$4,Direct_Cost_Type,0))*$L11*INDEX(Act_Type_Repex_Splits,MATCH($I11,Act_Type_Repex,0),MATCH(AO$4,Mat_Type,0))*INDEX(Escalators!$I$44:$U$49,MATCH(AO$4,Escalators!$C$44:$C$49,0),MATCH(AO$5,Escalators!$I$43:$U$43,0))</f>
        <v>0</v>
      </c>
      <c r="AP11" s="128">
        <f>INDEX(Direct_Cost_Splits_Network,MATCH($H11,RIN_Asset_Cat_Network,0),MATCH($AY$4,Direct_Cost_Type,0))*$L11*INDEX(Act_Type_Repex_Splits,MATCH($I11,Act_Type_Repex,0),MATCH(AP$4,Mat_Type,0))*INDEX(Escalators!$I$44:$U$49,MATCH(AP$4,Escalators!$C$44:$C$49,0),MATCH(AP$5,Escalators!$I$43:$U$43,0))</f>
        <v>0</v>
      </c>
      <c r="AQ11" s="128">
        <f>INDEX(Direct_Cost_Splits_Network,MATCH($H11,RIN_Asset_Cat_Network,0),MATCH($AY$4,Direct_Cost_Type,0))*$L11*INDEX(Act_Type_Repex_Splits,MATCH($I11,Act_Type_Repex,0),MATCH(AQ$4,Mat_Type,0))*INDEX(Escalators!$I$44:$U$49,MATCH(AQ$4,Escalators!$C$44:$C$49,0),MATCH(AQ$5,Escalators!$I$43:$U$43,0))</f>
        <v>0</v>
      </c>
      <c r="AR11" s="128">
        <f>INDEX(Direct_Cost_Splits_Network,MATCH($H11,RIN_Asset_Cat_Network,0),MATCH($AY$4,Direct_Cost_Type,0))*$L11*INDEX(Act_Type_Repex_Splits,MATCH($I11,Act_Type_Repex,0),MATCH(AR$4,Mat_Type,0))*INDEX(Escalators!$I$44:$U$49,MATCH(AR$4,Escalators!$C$44:$C$49,0),MATCH(AR$5,Escalators!$I$43:$U$43,0))</f>
        <v>0</v>
      </c>
      <c r="AS11" s="128">
        <f t="shared" si="18"/>
        <v>0</v>
      </c>
      <c r="AT11" s="128">
        <f>INDEX(Direct_Cost_Splits_Network,MATCH($H11,RIN_Asset_Cat_Network,0),MATCH($AY$4,Direct_Cost_Type,0))*$M11*INDEX(Act_Type_Repex_Splits,MATCH($I11,Act_Type_Repex,0),MATCH(AT$4,Mat_Type,0))*INDEX(Escalators!$I$44:$U$49,MATCH(AT$4,Escalators!$C$44:$C$49,0),MATCH(AT$5,Escalators!$I$43:$U$43,0))</f>
        <v>0</v>
      </c>
      <c r="AU11" s="128">
        <f>INDEX(Direct_Cost_Splits_Network,MATCH($H11,RIN_Asset_Cat_Network,0),MATCH($AY$4,Direct_Cost_Type,0))*$M11*INDEX(Act_Type_Repex_Splits,MATCH($I11,Act_Type_Repex,0),MATCH(AU$4,Mat_Type,0))*INDEX(Escalators!$I$44:$U$49,MATCH(AU$4,Escalators!$C$44:$C$49,0),MATCH(AU$5,Escalators!$I$43:$U$43,0))</f>
        <v>0</v>
      </c>
      <c r="AV11" s="128">
        <f>INDEX(Direct_Cost_Splits_Network,MATCH($H11,RIN_Asset_Cat_Network,0),MATCH($AY$4,Direct_Cost_Type,0))*$M11*INDEX(Act_Type_Repex_Splits,MATCH($I11,Act_Type_Repex,0),MATCH(AV$4,Mat_Type,0))*INDEX(Escalators!$I$44:$U$49,MATCH(AV$4,Escalators!$C$44:$C$49,0),MATCH(AV$5,Escalators!$I$43:$U$43,0))</f>
        <v>48.822882584366695</v>
      </c>
      <c r="AW11" s="128">
        <f>INDEX(Direct_Cost_Splits_Network,MATCH($H11,RIN_Asset_Cat_Network,0),MATCH($AY$4,Direct_Cost_Type,0))*$M11*INDEX(Act_Type_Repex_Splits,MATCH($I11,Act_Type_Repex,0),MATCH(AW$4,Mat_Type,0))*INDEX(Escalators!$I$44:$U$49,MATCH(AW$4,Escalators!$C$44:$C$49,0),MATCH(AW$5,Escalators!$I$43:$U$43,0))</f>
        <v>0</v>
      </c>
      <c r="AX11" s="128">
        <f>INDEX(Direct_Cost_Splits_Network,MATCH($H11,RIN_Asset_Cat_Network,0),MATCH($AY$4,Direct_Cost_Type,0))*$M11*INDEX(Act_Type_Repex_Splits,MATCH($I11,Act_Type_Repex,0),MATCH(AX$4,Mat_Type,0))*INDEX(Escalators!$I$44:$U$49,MATCH(AX$4,Escalators!$C$44:$C$49,0),MATCH(AX$5,Escalators!$I$43:$U$43,0))</f>
        <v>195.29153033746678</v>
      </c>
      <c r="AY11" s="128">
        <f t="shared" si="19"/>
        <v>244.11441292183349</v>
      </c>
      <c r="AZ11" s="128">
        <f>INDEX(Direct_Cost_Splits_Network,MATCH($H11,RIN_Asset_Cat_Network,0),MATCH($BE$4,Direct_Cost_Type,0))*$N11*INDEX(Act_Type_Repex_Splits,MATCH($I11,Act_Type_Repex,0),MATCH(AZ$4,Mat_Type,0))*INDEX(Escalators!$I$44:$U$49,MATCH(AZ$4,Escalators!$C$44:$C$49,0),MATCH(AZ$5,Escalators!$I$43:$U$43,0))</f>
        <v>0</v>
      </c>
      <c r="BA11" s="128">
        <f>INDEX(Direct_Cost_Splits_Network,MATCH($H11,RIN_Asset_Cat_Network,0),MATCH($BE$4,Direct_Cost_Type,0))*$N11*INDEX(Act_Type_Repex_Splits,MATCH($I11,Act_Type_Repex,0),MATCH(BA$4,Mat_Type,0))*INDEX(Escalators!$I$44:$U$49,MATCH(BA$4,Escalators!$C$44:$C$49,0),MATCH(BA$5,Escalators!$I$43:$U$43,0))</f>
        <v>0</v>
      </c>
      <c r="BB11" s="128">
        <f>INDEX(Direct_Cost_Splits_Network,MATCH($H11,RIN_Asset_Cat_Network,0),MATCH($BE$4,Direct_Cost_Type,0))*$N11*INDEX(Act_Type_Repex_Splits,MATCH($I11,Act_Type_Repex,0),MATCH(BB$4,Mat_Type,0))*INDEX(Escalators!$I$44:$U$49,MATCH(BB$4,Escalators!$C$44:$C$49,0),MATCH(BB$5,Escalators!$I$43:$U$43,0))</f>
        <v>48.822882584366695</v>
      </c>
      <c r="BC11" s="128">
        <f>INDEX(Direct_Cost_Splits_Network,MATCH($H11,RIN_Asset_Cat_Network,0),MATCH($BE$4,Direct_Cost_Type,0))*$N11*INDEX(Act_Type_Repex_Splits,MATCH($I11,Act_Type_Repex,0),MATCH(BC$4,Mat_Type,0))*INDEX(Escalators!$I$44:$U$49,MATCH(BC$4,Escalators!$C$44:$C$49,0),MATCH(BC$5,Escalators!$I$43:$U$43,0))</f>
        <v>0</v>
      </c>
      <c r="BD11" s="128">
        <f>INDEX(Direct_Cost_Splits_Network,MATCH($H11,RIN_Asset_Cat_Network,0),MATCH($BE$4,Direct_Cost_Type,0))*$N11*INDEX(Act_Type_Repex_Splits,MATCH($I11,Act_Type_Repex,0),MATCH(BD$4,Mat_Type,0))*INDEX(Escalators!$I$44:$U$49,MATCH(BD$4,Escalators!$C$44:$C$49,0),MATCH(BD$5,Escalators!$I$43:$U$43,0))</f>
        <v>195.29153033746678</v>
      </c>
      <c r="BE11" s="128">
        <f t="shared" si="20"/>
        <v>244.11441292183349</v>
      </c>
      <c r="BF11" s="128">
        <f>INDEX(Direct_Cost_Splits_Network,MATCH($H11,RIN_Asset_Cat_Network,0),MATCH($BK$4,Direct_Cost_Type,0))*$O11*INDEX(Act_Type_Repex_Splits,MATCH($I11,Act_Type_Repex,0),MATCH(BF$4,Mat_Type,0))*INDEX(Escalators!$I$44:$U$49,MATCH(BF$4,Escalators!$C$44:$C$49,0),MATCH(BF$5,Escalators!$I$43:$U$43,0))</f>
        <v>0</v>
      </c>
      <c r="BG11" s="128">
        <f>INDEX(Direct_Cost_Splits_Network,MATCH($H11,RIN_Asset_Cat_Network,0),MATCH($BK$4,Direct_Cost_Type,0))*$O11*INDEX(Act_Type_Repex_Splits,MATCH($I11,Act_Type_Repex,0),MATCH(BG$4,Mat_Type,0))*INDEX(Escalators!$I$44:$U$49,MATCH(BG$4,Escalators!$C$44:$C$49,0),MATCH(BG$5,Escalators!$I$43:$U$43,0))</f>
        <v>0</v>
      </c>
      <c r="BH11" s="128">
        <f>INDEX(Direct_Cost_Splits_Network,MATCH($H11,RIN_Asset_Cat_Network,0),MATCH($BK$4,Direct_Cost_Type,0))*$O11*INDEX(Act_Type_Repex_Splits,MATCH($I11,Act_Type_Repex,0),MATCH(BH$4,Mat_Type,0))*INDEX(Escalators!$I$44:$U$49,MATCH(BH$4,Escalators!$C$44:$C$49,0),MATCH(BH$5,Escalators!$I$43:$U$43,0))</f>
        <v>48.822882584366695</v>
      </c>
      <c r="BI11" s="128">
        <f>INDEX(Direct_Cost_Splits_Network,MATCH($H11,RIN_Asset_Cat_Network,0),MATCH($BK$4,Direct_Cost_Type,0))*$O11*INDEX(Act_Type_Repex_Splits,MATCH($I11,Act_Type_Repex,0),MATCH(BI$4,Mat_Type,0))*INDEX(Escalators!$I$44:$U$49,MATCH(BI$4,Escalators!$C$44:$C$49,0),MATCH(BI$5,Escalators!$I$43:$U$43,0))</f>
        <v>0</v>
      </c>
      <c r="BJ11" s="128">
        <f>INDEX(Direct_Cost_Splits_Network,MATCH($H11,RIN_Asset_Cat_Network,0),MATCH($BK$4,Direct_Cost_Type,0))*$O11*INDEX(Act_Type_Repex_Splits,MATCH($I11,Act_Type_Repex,0),MATCH(BJ$4,Mat_Type,0))*INDEX(Escalators!$I$44:$U$49,MATCH(BJ$4,Escalators!$C$44:$C$49,0),MATCH(BJ$5,Escalators!$I$43:$U$43,0))</f>
        <v>195.29153033746678</v>
      </c>
      <c r="BK11" s="128">
        <f t="shared" si="21"/>
        <v>244.11441292183349</v>
      </c>
      <c r="BL11" s="128">
        <f>INDEX(Direct_Cost_Splits_Network,MATCH($H11,RIN_Asset_Cat_Network,0),MATCH($BQ$4,Direct_Cost_Type,0))*$P11*INDEX(Act_Type_Repex_Splits,MATCH($I11,Act_Type_Repex,0),MATCH(BL$4,Mat_Type,0))*INDEX(Escalators!$I$44:$U$49,MATCH(BL$4,Escalators!$C$44:$C$49,0),MATCH(BL$5,Escalators!$I$43:$U$43,0))</f>
        <v>0</v>
      </c>
      <c r="BM11" s="128">
        <f>INDEX(Direct_Cost_Splits_Network,MATCH($H11,RIN_Asset_Cat_Network,0),MATCH($BQ$4,Direct_Cost_Type,0))*$P11*INDEX(Act_Type_Repex_Splits,MATCH($I11,Act_Type_Repex,0),MATCH(BM$4,Mat_Type,0))*INDEX(Escalators!$I$44:$U$49,MATCH(BM$4,Escalators!$C$44:$C$49,0),MATCH(BM$5,Escalators!$I$43:$U$43,0))</f>
        <v>0</v>
      </c>
      <c r="BN11" s="128">
        <f>INDEX(Direct_Cost_Splits_Network,MATCH($H11,RIN_Asset_Cat_Network,0),MATCH($BQ$4,Direct_Cost_Type,0))*$P11*INDEX(Act_Type_Repex_Splits,MATCH($I11,Act_Type_Repex,0),MATCH(BN$4,Mat_Type,0))*INDEX(Escalators!$I$44:$U$49,MATCH(BN$4,Escalators!$C$44:$C$49,0),MATCH(BN$5,Escalators!$I$43:$U$43,0))</f>
        <v>48.822882584366695</v>
      </c>
      <c r="BO11" s="128">
        <f>INDEX(Direct_Cost_Splits_Network,MATCH($H11,RIN_Asset_Cat_Network,0),MATCH($BQ$4,Direct_Cost_Type,0))*$P11*INDEX(Act_Type_Repex_Splits,MATCH($I11,Act_Type_Repex,0),MATCH(BO$4,Mat_Type,0))*INDEX(Escalators!$I$44:$U$49,MATCH(BO$4,Escalators!$C$44:$C$49,0),MATCH(BO$5,Escalators!$I$43:$U$43,0))</f>
        <v>0</v>
      </c>
      <c r="BP11" s="128">
        <f>INDEX(Direct_Cost_Splits_Network,MATCH($H11,RIN_Asset_Cat_Network,0),MATCH($BQ$4,Direct_Cost_Type,0))*$P11*INDEX(Act_Type_Repex_Splits,MATCH($I11,Act_Type_Repex,0),MATCH(BP$4,Mat_Type,0))*INDEX(Escalators!$I$44:$U$49,MATCH(BP$4,Escalators!$C$44:$C$49,0),MATCH(BP$5,Escalators!$I$43:$U$43,0))</f>
        <v>195.29153033746678</v>
      </c>
      <c r="BQ11" s="128">
        <f t="shared" si="22"/>
        <v>244.11441292183349</v>
      </c>
      <c r="BR11" s="128">
        <f>INDEX(Direct_Cost_Splits_Network,MATCH($H11,RIN_Asset_Cat_Network,0),MATCH($BW$4,Direct_Cost_Type,0))*$Q11*INDEX(Act_Type_Repex_Splits,MATCH($I11,Act_Type_Repex,0),MATCH(BR$4,Mat_Type,0))*INDEX(Escalators!$I$44:$U$49,MATCH(BR$4,Escalators!$C$44:$C$49,0),MATCH(BR$5,Escalators!$I$43:$U$43,0))</f>
        <v>0</v>
      </c>
      <c r="BS11" s="128">
        <f>INDEX(Direct_Cost_Splits_Network,MATCH($H11,RIN_Asset_Cat_Network,0),MATCH($BW$4,Direct_Cost_Type,0))*$Q11*INDEX(Act_Type_Repex_Splits,MATCH($I11,Act_Type_Repex,0),MATCH(BS$4,Mat_Type,0))*INDEX(Escalators!$I$44:$U$49,MATCH(BS$4,Escalators!$C$44:$C$49,0),MATCH(BS$5,Escalators!$I$43:$U$43,0))</f>
        <v>0</v>
      </c>
      <c r="BT11" s="128">
        <f>INDEX(Direct_Cost_Splits_Network,MATCH($H11,RIN_Asset_Cat_Network,0),MATCH($BW$4,Direct_Cost_Type,0))*$Q11*INDEX(Act_Type_Repex_Splits,MATCH($I11,Act_Type_Repex,0),MATCH(BT$4,Mat_Type,0))*INDEX(Escalators!$I$44:$U$49,MATCH(BT$4,Escalators!$C$44:$C$49,0),MATCH(BT$5,Escalators!$I$43:$U$43,0))</f>
        <v>0</v>
      </c>
      <c r="BU11" s="128">
        <f>INDEX(Direct_Cost_Splits_Network,MATCH($H11,RIN_Asset_Cat_Network,0),MATCH($BW$4,Direct_Cost_Type,0))*$Q11*INDEX(Act_Type_Repex_Splits,MATCH($I11,Act_Type_Repex,0),MATCH(BU$4,Mat_Type,0))*INDEX(Escalators!$I$44:$U$49,MATCH(BU$4,Escalators!$C$44:$C$49,0),MATCH(BU$5,Escalators!$I$43:$U$43,0))</f>
        <v>0</v>
      </c>
      <c r="BV11" s="128">
        <f>INDEX(Direct_Cost_Splits_Network,MATCH($H11,RIN_Asset_Cat_Network,0),MATCH($BW$4,Direct_Cost_Type,0))*$Q11*INDEX(Act_Type_Repex_Splits,MATCH($I11,Act_Type_Repex,0),MATCH(BV$4,Mat_Type,0))*INDEX(Escalators!$I$44:$U$49,MATCH(BV$4,Escalators!$C$44:$C$49,0),MATCH(BV$5,Escalators!$I$43:$U$43,0))</f>
        <v>0</v>
      </c>
      <c r="BW11" s="128">
        <f t="shared" si="23"/>
        <v>0</v>
      </c>
      <c r="BX11" s="129"/>
      <c r="BY11" s="128">
        <f>INDEX(Direct_Cost_Splits_Network,MATCH($H11,RIN_Asset_Cat_Network,0),MATCH($BY$4,Direct_Cost_Type,0))*J11*HLOOKUP(BY$5,Escalators!$I$25:$U$30,6,FALSE)</f>
        <v>0</v>
      </c>
      <c r="BZ11" s="128">
        <f>INDEX(Direct_Cost_Splits_Network,MATCH($H11,RIN_Asset_Cat_Network,0),MATCH($BY$4,Direct_Cost_Type,0))*K11*HLOOKUP(BZ$5,Escalators!$I$25:$U$30,6,FALSE)</f>
        <v>0</v>
      </c>
      <c r="CA11" s="128">
        <f>INDEX(Direct_Cost_Splits_Network,MATCH($H11,RIN_Asset_Cat_Network,0),MATCH($BY$4,Direct_Cost_Type,0))*L11*HLOOKUP(CA$5,Escalators!$I$25:$U$30,6,FALSE)</f>
        <v>0</v>
      </c>
      <c r="CB11" s="128">
        <f>INDEX(Direct_Cost_Splits_Network,MATCH($H11,RIN_Asset_Cat_Network,0),MATCH($BY$4,Direct_Cost_Type,0))*M11*HLOOKUP(CB$5,Escalators!$I$25:$U$30,6,FALSE)</f>
        <v>653.95009210788828</v>
      </c>
      <c r="CC11" s="128">
        <f>INDEX(Direct_Cost_Splits_Network,MATCH($H11,RIN_Asset_Cat_Network,0),MATCH($BY$4,Direct_Cost_Type,0))*N11*HLOOKUP(CC$5,Escalators!$I$25:$U$30,6,FALSE)</f>
        <v>653.95009210788828</v>
      </c>
      <c r="CD11" s="128">
        <f>INDEX(Direct_Cost_Splits_Network,MATCH($H11,RIN_Asset_Cat_Network,0),MATCH($BY$4,Direct_Cost_Type,0))*O11*HLOOKUP(CD$5,Escalators!$I$25:$U$30,6,FALSE)</f>
        <v>653.95009210788828</v>
      </c>
      <c r="CE11" s="128">
        <f>INDEX(Direct_Cost_Splits_Network,MATCH($H11,RIN_Asset_Cat_Network,0),MATCH($BY$4,Direct_Cost_Type,0))*P11*HLOOKUP(CE$5,Escalators!$I$25:$U$30,6,FALSE)</f>
        <v>653.95009210788828</v>
      </c>
      <c r="CF11" s="128">
        <f>INDEX(Direct_Cost_Splits_Network,MATCH($H11,RIN_Asset_Cat_Network,0),MATCH($BY$4,Direct_Cost_Type,0))*Q11*HLOOKUP(CF$5,Escalators!$I$25:$U$30,6,FALSE)</f>
        <v>0</v>
      </c>
      <c r="CG11" s="129"/>
      <c r="CH11" s="763">
        <f t="shared" si="8"/>
        <v>0</v>
      </c>
      <c r="CI11" s="763">
        <f t="shared" si="9"/>
        <v>0</v>
      </c>
      <c r="CJ11" s="763">
        <f t="shared" si="10"/>
        <v>0</v>
      </c>
      <c r="CK11" s="763">
        <f t="shared" si="11"/>
        <v>101.20203812901914</v>
      </c>
      <c r="CL11" s="763">
        <f t="shared" si="12"/>
        <v>101.20203812901914</v>
      </c>
      <c r="CM11" s="763">
        <f t="shared" si="13"/>
        <v>101.20203812901914</v>
      </c>
      <c r="CN11" s="763">
        <f t="shared" si="14"/>
        <v>101.20203812901914</v>
      </c>
      <c r="CO11" s="763">
        <f t="shared" si="15"/>
        <v>0</v>
      </c>
      <c r="CP11" s="129"/>
      <c r="CQ11" s="128">
        <f t="shared" si="24"/>
        <v>0</v>
      </c>
      <c r="CR11" s="128">
        <f t="shared" si="25"/>
        <v>0</v>
      </c>
      <c r="CS11" s="128">
        <f t="shared" si="26"/>
        <v>0</v>
      </c>
      <c r="CT11" s="128">
        <f t="shared" si="27"/>
        <v>1112.1218575578232</v>
      </c>
      <c r="CU11" s="128">
        <f t="shared" si="28"/>
        <v>1111.8399747277263</v>
      </c>
      <c r="CV11" s="128">
        <f t="shared" si="29"/>
        <v>1111.7582119055501</v>
      </c>
      <c r="CW11" s="128">
        <f t="shared" si="30"/>
        <v>1112.1713654850093</v>
      </c>
      <c r="CX11" s="128">
        <f t="shared" si="31"/>
        <v>0</v>
      </c>
    </row>
    <row r="12" spans="2:102" x14ac:dyDescent="0.25">
      <c r="B12" s="7"/>
      <c r="C12" s="7" t="s">
        <v>480</v>
      </c>
      <c r="D12" s="7" t="s">
        <v>99</v>
      </c>
      <c r="E12" s="7" t="s">
        <v>48</v>
      </c>
      <c r="F12" s="7" t="s">
        <v>130</v>
      </c>
      <c r="G12" s="7" t="s">
        <v>150</v>
      </c>
      <c r="H12" s="7" t="s">
        <v>5</v>
      </c>
      <c r="I12" s="7" t="s">
        <v>204</v>
      </c>
      <c r="J12" s="45"/>
      <c r="K12" s="45"/>
      <c r="L12" s="45"/>
      <c r="M12" s="128">
        <v>199.99991999999997</v>
      </c>
      <c r="N12" s="128">
        <v>199.99991999999997</v>
      </c>
      <c r="O12" s="128">
        <v>199.99991999999997</v>
      </c>
      <c r="P12" s="128">
        <v>199.99991999999997</v>
      </c>
      <c r="Q12" s="128">
        <v>0</v>
      </c>
      <c r="R12" s="129"/>
      <c r="S12" s="128">
        <f>INDEX(Direct_Cost_Splits_Network,MATCH($H12,RIN_Asset_Cat_Network,0),MATCH($S$4,Direct_Cost_Type,0))*J12*HLOOKUP(S$5,Escalators!$I$25:$U$30,3,FALSE)</f>
        <v>0</v>
      </c>
      <c r="T12" s="128">
        <f>INDEX(Direct_Cost_Splits_Network,MATCH($H12,RIN_Asset_Cat_Network,0),MATCH($S$4,Direct_Cost_Type,0))*K12*HLOOKUP(T$5,Escalators!$I$25:$U$30,3,FALSE)</f>
        <v>0</v>
      </c>
      <c r="U12" s="128">
        <f>INDEX(Direct_Cost_Splits_Network,MATCH($H12,RIN_Asset_Cat_Network,0),MATCH($S$4,Direct_Cost_Type,0))*L12*HLOOKUP(U$5,Escalators!$I$25:$U$30,3,FALSE)</f>
        <v>0</v>
      </c>
      <c r="V12" s="128">
        <f>INDEX(Direct_Cost_Splits_Network,MATCH($H12,RIN_Asset_Cat_Network,0),MATCH($S$4,Direct_Cost_Type,0))*M12*HLOOKUP(V$5,Escalators!$I$25:$U$30,3,FALSE)</f>
        <v>20.332084685791884</v>
      </c>
      <c r="W12" s="128">
        <f>INDEX(Direct_Cost_Splits_Network,MATCH($H12,RIN_Asset_Cat_Network,0),MATCH($S$4,Direct_Cost_Type,0))*N12*HLOOKUP(W$5,Escalators!$I$25:$U$30,3,FALSE)</f>
        <v>20.281300497173753</v>
      </c>
      <c r="X12" s="128">
        <f>INDEX(Direct_Cost_Splits_Network,MATCH($H12,RIN_Asset_Cat_Network,0),MATCH($S$4,Direct_Cost_Type,0))*O12*HLOOKUP(X$5,Escalators!$I$25:$U$30,3,FALSE)</f>
        <v>20.266570055515011</v>
      </c>
      <c r="Y12" s="128">
        <f>INDEX(Direct_Cost_Splits_Network,MATCH($H12,RIN_Asset_Cat_Network,0),MATCH($S$4,Direct_Cost_Type,0))*P12*HLOOKUP(Y$5,Escalators!$I$25:$U$30,3,FALSE)</f>
        <v>20.341004065207262</v>
      </c>
      <c r="Z12" s="128">
        <f>INDEX(Direct_Cost_Splits_Network,MATCH($H12,RIN_Asset_Cat_Network,0),MATCH($S$4,Direct_Cost_Type,0))*Q12*HLOOKUP(Z$5,Escalators!$I$25:$U$30,3,FALSE)</f>
        <v>0</v>
      </c>
      <c r="AA12" s="129"/>
      <c r="AB12" s="128">
        <f>INDEX(Direct_Cost_Splits_Network,MATCH($H12,RIN_Asset_Cat_Network,0),MATCH($AG$4,Direct_Cost_Type,0))*$J12*INDEX(Act_Type_Repex_Splits,MATCH($I12,Act_Type_Repex,0),MATCH(AB$4,Mat_Type,0))*INDEX(Escalators!$I$44:$Q$49,MATCH(AB$4,Escalators!$C$44:$C$49,0),MATCH(AB$5,Escalators!$I$43:$Q$43,0))</f>
        <v>0</v>
      </c>
      <c r="AC12" s="128">
        <f>INDEX(Direct_Cost_Splits_Network,MATCH($H12,RIN_Asset_Cat_Network,0),MATCH($AG$4,Direct_Cost_Type,0))*$J12*INDEX(Act_Type_Repex_Splits,MATCH($I12,Act_Type_Repex,0),MATCH(AC$4,Mat_Type,0))*INDEX(Escalators!$I$44:$Q$49,MATCH(AC$4,Escalators!$C$44:$C$49,0),MATCH(AC$5,Escalators!$I$43:$Q$43,0))</f>
        <v>0</v>
      </c>
      <c r="AD12" s="128">
        <f>INDEX(Direct_Cost_Splits_Network,MATCH($H12,RIN_Asset_Cat_Network,0),MATCH($AG$4,Direct_Cost_Type,0))*$J12*INDEX(Act_Type_Repex_Splits,MATCH($I12,Act_Type_Repex,0),MATCH(AD$4,Mat_Type,0))*INDEX(Escalators!$I$44:$Q$49,MATCH(AD$4,Escalators!$C$44:$C$49,0),MATCH(AD$5,Escalators!$I$43:$Q$43,0))</f>
        <v>0</v>
      </c>
      <c r="AE12" s="128">
        <f>INDEX(Direct_Cost_Splits_Network,MATCH($H12,RIN_Asset_Cat_Network,0),MATCH($AG$4,Direct_Cost_Type,0))*$J12*INDEX(Act_Type_Repex_Splits,MATCH($I12,Act_Type_Repex,0),MATCH(AE$4,Mat_Type,0))*INDEX(Escalators!$I$44:$Q$49,MATCH(AE$4,Escalators!$C$44:$C$49,0),MATCH(AE$5,Escalators!$I$43:$Q$43,0))</f>
        <v>0</v>
      </c>
      <c r="AF12" s="128">
        <f>INDEX(Direct_Cost_Splits_Network,MATCH($H12,RIN_Asset_Cat_Network,0),MATCH($AG$4,Direct_Cost_Type,0))*$J12*INDEX(Act_Type_Repex_Splits,MATCH($I12,Act_Type_Repex,0),MATCH(AF$4,Mat_Type,0))*INDEX(Escalators!$I$44:$Q$49,MATCH(AF$4,Escalators!$C$44:$C$49,0),MATCH(AF$5,Escalators!$I$43:$Q$43,0))</f>
        <v>0</v>
      </c>
      <c r="AG12" s="128">
        <f t="shared" si="16"/>
        <v>0</v>
      </c>
      <c r="AH12" s="128">
        <f>INDEX(Direct_Cost_Splits_Network,MATCH($H12,RIN_Asset_Cat_Network,0),MATCH($AY$4,Direct_Cost_Type,0))*$K12*INDEX(Act_Type_Repex_Splits,MATCH($I12,Act_Type_Repex,0),MATCH(AH$4,Mat_Type,0))*INDEX(Escalators!$I$44:$U$49,MATCH(AH$4,Escalators!$C$44:$C$49,0),MATCH(AH$5,Escalators!$I$43:$U$43,0))</f>
        <v>0</v>
      </c>
      <c r="AI12" s="128">
        <f>INDEX(Direct_Cost_Splits_Network,MATCH($H12,RIN_Asset_Cat_Network,0),MATCH($AY$4,Direct_Cost_Type,0))*$K12*INDEX(Act_Type_Repex_Splits,MATCH($I12,Act_Type_Repex,0),MATCH(AI$4,Mat_Type,0))*INDEX(Escalators!$I$44:$U$49,MATCH(AI$4,Escalators!$C$44:$C$49,0),MATCH(AI$5,Escalators!$I$43:$U$43,0))</f>
        <v>0</v>
      </c>
      <c r="AJ12" s="128">
        <f>INDEX(Direct_Cost_Splits_Network,MATCH($H12,RIN_Asset_Cat_Network,0),MATCH($AY$4,Direct_Cost_Type,0))*$K12*INDEX(Act_Type_Repex_Splits,MATCH($I12,Act_Type_Repex,0),MATCH(AJ$4,Mat_Type,0))*INDEX(Escalators!$I$44:$U$49,MATCH(AJ$4,Escalators!$C$44:$C$49,0),MATCH(AJ$5,Escalators!$I$43:$U$43,0))</f>
        <v>0</v>
      </c>
      <c r="AK12" s="128">
        <f>INDEX(Direct_Cost_Splits_Network,MATCH($H12,RIN_Asset_Cat_Network,0),MATCH($AY$4,Direct_Cost_Type,0))*$K12*INDEX(Act_Type_Repex_Splits,MATCH($I12,Act_Type_Repex,0),MATCH(AK$4,Mat_Type,0))*INDEX(Escalators!$I$44:$U$49,MATCH(AK$4,Escalators!$C$44:$C$49,0),MATCH(AK$5,Escalators!$I$43:$U$43,0))</f>
        <v>0</v>
      </c>
      <c r="AL12" s="128">
        <f>INDEX(Direct_Cost_Splits_Network,MATCH($H12,RIN_Asset_Cat_Network,0),MATCH($AY$4,Direct_Cost_Type,0))*$K12*INDEX(Act_Type_Repex_Splits,MATCH($I12,Act_Type_Repex,0),MATCH(AL$4,Mat_Type,0))*INDEX(Escalators!$I$44:$U$49,MATCH(AL$4,Escalators!$C$44:$C$49,0),MATCH(AL$5,Escalators!$I$43:$U$43,0))</f>
        <v>0</v>
      </c>
      <c r="AM12" s="128">
        <f t="shared" si="17"/>
        <v>0</v>
      </c>
      <c r="AN12" s="128">
        <f>INDEX(Direct_Cost_Splits_Network,MATCH($H12,RIN_Asset_Cat_Network,0),MATCH($AY$4,Direct_Cost_Type,0))*$L12*INDEX(Act_Type_Repex_Splits,MATCH($I12,Act_Type_Repex,0),MATCH(AN$4,Mat_Type,0))*INDEX(Escalators!$I$44:$U$49,MATCH(AN$4,Escalators!$C$44:$C$49,0),MATCH(AN$5,Escalators!$I$43:$U$43,0))</f>
        <v>0</v>
      </c>
      <c r="AO12" s="128">
        <f>INDEX(Direct_Cost_Splits_Network,MATCH($H12,RIN_Asset_Cat_Network,0),MATCH($AY$4,Direct_Cost_Type,0))*$L12*INDEX(Act_Type_Repex_Splits,MATCH($I12,Act_Type_Repex,0),MATCH(AO$4,Mat_Type,0))*INDEX(Escalators!$I$44:$U$49,MATCH(AO$4,Escalators!$C$44:$C$49,0),MATCH(AO$5,Escalators!$I$43:$U$43,0))</f>
        <v>0</v>
      </c>
      <c r="AP12" s="128">
        <f>INDEX(Direct_Cost_Splits_Network,MATCH($H12,RIN_Asset_Cat_Network,0),MATCH($AY$4,Direct_Cost_Type,0))*$L12*INDEX(Act_Type_Repex_Splits,MATCH($I12,Act_Type_Repex,0),MATCH(AP$4,Mat_Type,0))*INDEX(Escalators!$I$44:$U$49,MATCH(AP$4,Escalators!$C$44:$C$49,0),MATCH(AP$5,Escalators!$I$43:$U$43,0))</f>
        <v>0</v>
      </c>
      <c r="AQ12" s="128">
        <f>INDEX(Direct_Cost_Splits_Network,MATCH($H12,RIN_Asset_Cat_Network,0),MATCH($AY$4,Direct_Cost_Type,0))*$L12*INDEX(Act_Type_Repex_Splits,MATCH($I12,Act_Type_Repex,0),MATCH(AQ$4,Mat_Type,0))*INDEX(Escalators!$I$44:$U$49,MATCH(AQ$4,Escalators!$C$44:$C$49,0),MATCH(AQ$5,Escalators!$I$43:$U$43,0))</f>
        <v>0</v>
      </c>
      <c r="AR12" s="128">
        <f>INDEX(Direct_Cost_Splits_Network,MATCH($H12,RIN_Asset_Cat_Network,0),MATCH($AY$4,Direct_Cost_Type,0))*$L12*INDEX(Act_Type_Repex_Splits,MATCH($I12,Act_Type_Repex,0),MATCH(AR$4,Mat_Type,0))*INDEX(Escalators!$I$44:$U$49,MATCH(AR$4,Escalators!$C$44:$C$49,0),MATCH(AR$5,Escalators!$I$43:$U$43,0))</f>
        <v>0</v>
      </c>
      <c r="AS12" s="128">
        <f t="shared" si="18"/>
        <v>0</v>
      </c>
      <c r="AT12" s="128">
        <f>INDEX(Direct_Cost_Splits_Network,MATCH($H12,RIN_Asset_Cat_Network,0),MATCH($AY$4,Direct_Cost_Type,0))*$M12*INDEX(Act_Type_Repex_Splits,MATCH($I12,Act_Type_Repex,0),MATCH(AT$4,Mat_Type,0))*INDEX(Escalators!$I$44:$U$49,MATCH(AT$4,Escalators!$C$44:$C$49,0),MATCH(AT$5,Escalators!$I$43:$U$43,0))</f>
        <v>0</v>
      </c>
      <c r="AU12" s="128">
        <f>INDEX(Direct_Cost_Splits_Network,MATCH($H12,RIN_Asset_Cat_Network,0),MATCH($AY$4,Direct_Cost_Type,0))*$M12*INDEX(Act_Type_Repex_Splits,MATCH($I12,Act_Type_Repex,0),MATCH(AU$4,Mat_Type,0))*INDEX(Escalators!$I$44:$U$49,MATCH(AU$4,Escalators!$C$44:$C$49,0),MATCH(AU$5,Escalators!$I$43:$U$43,0))</f>
        <v>0</v>
      </c>
      <c r="AV12" s="128">
        <f>INDEX(Direct_Cost_Splits_Network,MATCH($H12,RIN_Asset_Cat_Network,0),MATCH($AY$4,Direct_Cost_Type,0))*$M12*INDEX(Act_Type_Repex_Splits,MATCH($I12,Act_Type_Repex,0),MATCH(AV$4,Mat_Type,0))*INDEX(Escalators!$I$44:$U$49,MATCH(AV$4,Escalators!$C$44:$C$49,0),MATCH(AV$5,Escalators!$I$43:$U$43,0))</f>
        <v>8.795961347460393</v>
      </c>
      <c r="AW12" s="128">
        <f>INDEX(Direct_Cost_Splits_Network,MATCH($H12,RIN_Asset_Cat_Network,0),MATCH($AY$4,Direct_Cost_Type,0))*$M12*INDEX(Act_Type_Repex_Splits,MATCH($I12,Act_Type_Repex,0),MATCH(AW$4,Mat_Type,0))*INDEX(Escalators!$I$44:$U$49,MATCH(AW$4,Escalators!$C$44:$C$49,0),MATCH(AW$5,Escalators!$I$43:$U$43,0))</f>
        <v>0</v>
      </c>
      <c r="AX12" s="128">
        <f>INDEX(Direct_Cost_Splits_Network,MATCH($H12,RIN_Asset_Cat_Network,0),MATCH($AY$4,Direct_Cost_Type,0))*$M12*INDEX(Act_Type_Repex_Splits,MATCH($I12,Act_Type_Repex,0),MATCH(AX$4,Mat_Type,0))*INDEX(Escalators!$I$44:$U$49,MATCH(AX$4,Escalators!$C$44:$C$49,0),MATCH(AX$5,Escalators!$I$43:$U$43,0))</f>
        <v>35.183845389841572</v>
      </c>
      <c r="AY12" s="128">
        <f t="shared" si="19"/>
        <v>43.979806737301963</v>
      </c>
      <c r="AZ12" s="128">
        <f>INDEX(Direct_Cost_Splits_Network,MATCH($H12,RIN_Asset_Cat_Network,0),MATCH($BE$4,Direct_Cost_Type,0))*$N12*INDEX(Act_Type_Repex_Splits,MATCH($I12,Act_Type_Repex,0),MATCH(AZ$4,Mat_Type,0))*INDEX(Escalators!$I$44:$U$49,MATCH(AZ$4,Escalators!$C$44:$C$49,0),MATCH(AZ$5,Escalators!$I$43:$U$43,0))</f>
        <v>0</v>
      </c>
      <c r="BA12" s="128">
        <f>INDEX(Direct_Cost_Splits_Network,MATCH($H12,RIN_Asset_Cat_Network,0),MATCH($BE$4,Direct_Cost_Type,0))*$N12*INDEX(Act_Type_Repex_Splits,MATCH($I12,Act_Type_Repex,0),MATCH(BA$4,Mat_Type,0))*INDEX(Escalators!$I$44:$U$49,MATCH(BA$4,Escalators!$C$44:$C$49,0),MATCH(BA$5,Escalators!$I$43:$U$43,0))</f>
        <v>0</v>
      </c>
      <c r="BB12" s="128">
        <f>INDEX(Direct_Cost_Splits_Network,MATCH($H12,RIN_Asset_Cat_Network,0),MATCH($BE$4,Direct_Cost_Type,0))*$N12*INDEX(Act_Type_Repex_Splits,MATCH($I12,Act_Type_Repex,0),MATCH(BB$4,Mat_Type,0))*INDEX(Escalators!$I$44:$U$49,MATCH(BB$4,Escalators!$C$44:$C$49,0),MATCH(BB$5,Escalators!$I$43:$U$43,0))</f>
        <v>8.795961347460393</v>
      </c>
      <c r="BC12" s="128">
        <f>INDEX(Direct_Cost_Splits_Network,MATCH($H12,RIN_Asset_Cat_Network,0),MATCH($BE$4,Direct_Cost_Type,0))*$N12*INDEX(Act_Type_Repex_Splits,MATCH($I12,Act_Type_Repex,0),MATCH(BC$4,Mat_Type,0))*INDEX(Escalators!$I$44:$U$49,MATCH(BC$4,Escalators!$C$44:$C$49,0),MATCH(BC$5,Escalators!$I$43:$U$43,0))</f>
        <v>0</v>
      </c>
      <c r="BD12" s="128">
        <f>INDEX(Direct_Cost_Splits_Network,MATCH($H12,RIN_Asset_Cat_Network,0),MATCH($BE$4,Direct_Cost_Type,0))*$N12*INDEX(Act_Type_Repex_Splits,MATCH($I12,Act_Type_Repex,0),MATCH(BD$4,Mat_Type,0))*INDEX(Escalators!$I$44:$U$49,MATCH(BD$4,Escalators!$C$44:$C$49,0),MATCH(BD$5,Escalators!$I$43:$U$43,0))</f>
        <v>35.183845389841572</v>
      </c>
      <c r="BE12" s="128">
        <f t="shared" si="20"/>
        <v>43.979806737301963</v>
      </c>
      <c r="BF12" s="128">
        <f>INDEX(Direct_Cost_Splits_Network,MATCH($H12,RIN_Asset_Cat_Network,0),MATCH($BK$4,Direct_Cost_Type,0))*$O12*INDEX(Act_Type_Repex_Splits,MATCH($I12,Act_Type_Repex,0),MATCH(BF$4,Mat_Type,0))*INDEX(Escalators!$I$44:$U$49,MATCH(BF$4,Escalators!$C$44:$C$49,0),MATCH(BF$5,Escalators!$I$43:$U$43,0))</f>
        <v>0</v>
      </c>
      <c r="BG12" s="128">
        <f>INDEX(Direct_Cost_Splits_Network,MATCH($H12,RIN_Asset_Cat_Network,0),MATCH($BK$4,Direct_Cost_Type,0))*$O12*INDEX(Act_Type_Repex_Splits,MATCH($I12,Act_Type_Repex,0),MATCH(BG$4,Mat_Type,0))*INDEX(Escalators!$I$44:$U$49,MATCH(BG$4,Escalators!$C$44:$C$49,0),MATCH(BG$5,Escalators!$I$43:$U$43,0))</f>
        <v>0</v>
      </c>
      <c r="BH12" s="128">
        <f>INDEX(Direct_Cost_Splits_Network,MATCH($H12,RIN_Asset_Cat_Network,0),MATCH($BK$4,Direct_Cost_Type,0))*$O12*INDEX(Act_Type_Repex_Splits,MATCH($I12,Act_Type_Repex,0),MATCH(BH$4,Mat_Type,0))*INDEX(Escalators!$I$44:$U$49,MATCH(BH$4,Escalators!$C$44:$C$49,0),MATCH(BH$5,Escalators!$I$43:$U$43,0))</f>
        <v>8.795961347460393</v>
      </c>
      <c r="BI12" s="128">
        <f>INDEX(Direct_Cost_Splits_Network,MATCH($H12,RIN_Asset_Cat_Network,0),MATCH($BK$4,Direct_Cost_Type,0))*$O12*INDEX(Act_Type_Repex_Splits,MATCH($I12,Act_Type_Repex,0),MATCH(BI$4,Mat_Type,0))*INDEX(Escalators!$I$44:$U$49,MATCH(BI$4,Escalators!$C$44:$C$49,0),MATCH(BI$5,Escalators!$I$43:$U$43,0))</f>
        <v>0</v>
      </c>
      <c r="BJ12" s="128">
        <f>INDEX(Direct_Cost_Splits_Network,MATCH($H12,RIN_Asset_Cat_Network,0),MATCH($BK$4,Direct_Cost_Type,0))*$O12*INDEX(Act_Type_Repex_Splits,MATCH($I12,Act_Type_Repex,0),MATCH(BJ$4,Mat_Type,0))*INDEX(Escalators!$I$44:$U$49,MATCH(BJ$4,Escalators!$C$44:$C$49,0),MATCH(BJ$5,Escalators!$I$43:$U$43,0))</f>
        <v>35.183845389841572</v>
      </c>
      <c r="BK12" s="128">
        <f t="shared" si="21"/>
        <v>43.979806737301963</v>
      </c>
      <c r="BL12" s="128">
        <f>INDEX(Direct_Cost_Splits_Network,MATCH($H12,RIN_Asset_Cat_Network,0),MATCH($BQ$4,Direct_Cost_Type,0))*$P12*INDEX(Act_Type_Repex_Splits,MATCH($I12,Act_Type_Repex,0),MATCH(BL$4,Mat_Type,0))*INDEX(Escalators!$I$44:$U$49,MATCH(BL$4,Escalators!$C$44:$C$49,0),MATCH(BL$5,Escalators!$I$43:$U$43,0))</f>
        <v>0</v>
      </c>
      <c r="BM12" s="128">
        <f>INDEX(Direct_Cost_Splits_Network,MATCH($H12,RIN_Asset_Cat_Network,0),MATCH($BQ$4,Direct_Cost_Type,0))*$P12*INDEX(Act_Type_Repex_Splits,MATCH($I12,Act_Type_Repex,0),MATCH(BM$4,Mat_Type,0))*INDEX(Escalators!$I$44:$U$49,MATCH(BM$4,Escalators!$C$44:$C$49,0),MATCH(BM$5,Escalators!$I$43:$U$43,0))</f>
        <v>0</v>
      </c>
      <c r="BN12" s="128">
        <f>INDEX(Direct_Cost_Splits_Network,MATCH($H12,RIN_Asset_Cat_Network,0),MATCH($BQ$4,Direct_Cost_Type,0))*$P12*INDEX(Act_Type_Repex_Splits,MATCH($I12,Act_Type_Repex,0),MATCH(BN$4,Mat_Type,0))*INDEX(Escalators!$I$44:$U$49,MATCH(BN$4,Escalators!$C$44:$C$49,0),MATCH(BN$5,Escalators!$I$43:$U$43,0))</f>
        <v>8.795961347460393</v>
      </c>
      <c r="BO12" s="128">
        <f>INDEX(Direct_Cost_Splits_Network,MATCH($H12,RIN_Asset_Cat_Network,0),MATCH($BQ$4,Direct_Cost_Type,0))*$P12*INDEX(Act_Type_Repex_Splits,MATCH($I12,Act_Type_Repex,0),MATCH(BO$4,Mat_Type,0))*INDEX(Escalators!$I$44:$U$49,MATCH(BO$4,Escalators!$C$44:$C$49,0),MATCH(BO$5,Escalators!$I$43:$U$43,0))</f>
        <v>0</v>
      </c>
      <c r="BP12" s="128">
        <f>INDEX(Direct_Cost_Splits_Network,MATCH($H12,RIN_Asset_Cat_Network,0),MATCH($BQ$4,Direct_Cost_Type,0))*$P12*INDEX(Act_Type_Repex_Splits,MATCH($I12,Act_Type_Repex,0),MATCH(BP$4,Mat_Type,0))*INDEX(Escalators!$I$44:$U$49,MATCH(BP$4,Escalators!$C$44:$C$49,0),MATCH(BP$5,Escalators!$I$43:$U$43,0))</f>
        <v>35.183845389841572</v>
      </c>
      <c r="BQ12" s="128">
        <f t="shared" si="22"/>
        <v>43.979806737301963</v>
      </c>
      <c r="BR12" s="128">
        <f>INDEX(Direct_Cost_Splits_Network,MATCH($H12,RIN_Asset_Cat_Network,0),MATCH($BW$4,Direct_Cost_Type,0))*$Q12*INDEX(Act_Type_Repex_Splits,MATCH($I12,Act_Type_Repex,0),MATCH(BR$4,Mat_Type,0))*INDEX(Escalators!$I$44:$U$49,MATCH(BR$4,Escalators!$C$44:$C$49,0),MATCH(BR$5,Escalators!$I$43:$U$43,0))</f>
        <v>0</v>
      </c>
      <c r="BS12" s="128">
        <f>INDEX(Direct_Cost_Splits_Network,MATCH($H12,RIN_Asset_Cat_Network,0),MATCH($BW$4,Direct_Cost_Type,0))*$Q12*INDEX(Act_Type_Repex_Splits,MATCH($I12,Act_Type_Repex,0),MATCH(BS$4,Mat_Type,0))*INDEX(Escalators!$I$44:$U$49,MATCH(BS$4,Escalators!$C$44:$C$49,0),MATCH(BS$5,Escalators!$I$43:$U$43,0))</f>
        <v>0</v>
      </c>
      <c r="BT12" s="128">
        <f>INDEX(Direct_Cost_Splits_Network,MATCH($H12,RIN_Asset_Cat_Network,0),MATCH($BW$4,Direct_Cost_Type,0))*$Q12*INDEX(Act_Type_Repex_Splits,MATCH($I12,Act_Type_Repex,0),MATCH(BT$4,Mat_Type,0))*INDEX(Escalators!$I$44:$U$49,MATCH(BT$4,Escalators!$C$44:$C$49,0),MATCH(BT$5,Escalators!$I$43:$U$43,0))</f>
        <v>0</v>
      </c>
      <c r="BU12" s="128">
        <f>INDEX(Direct_Cost_Splits_Network,MATCH($H12,RIN_Asset_Cat_Network,0),MATCH($BW$4,Direct_Cost_Type,0))*$Q12*INDEX(Act_Type_Repex_Splits,MATCH($I12,Act_Type_Repex,0),MATCH(BU$4,Mat_Type,0))*INDEX(Escalators!$I$44:$U$49,MATCH(BU$4,Escalators!$C$44:$C$49,0),MATCH(BU$5,Escalators!$I$43:$U$43,0))</f>
        <v>0</v>
      </c>
      <c r="BV12" s="128">
        <f>INDEX(Direct_Cost_Splits_Network,MATCH($H12,RIN_Asset_Cat_Network,0),MATCH($BW$4,Direct_Cost_Type,0))*$Q12*INDEX(Act_Type_Repex_Splits,MATCH($I12,Act_Type_Repex,0),MATCH(BV$4,Mat_Type,0))*INDEX(Escalators!$I$44:$U$49,MATCH(BV$4,Escalators!$C$44:$C$49,0),MATCH(BV$5,Escalators!$I$43:$U$43,0))</f>
        <v>0</v>
      </c>
      <c r="BW12" s="128">
        <f t="shared" si="23"/>
        <v>0</v>
      </c>
      <c r="BX12" s="129"/>
      <c r="BY12" s="128">
        <f>INDEX(Direct_Cost_Splits_Network,MATCH($H12,RIN_Asset_Cat_Network,0),MATCH($BY$4,Direct_Cost_Type,0))*J12*HLOOKUP(BY$5,Escalators!$I$25:$U$30,6,FALSE)</f>
        <v>0</v>
      </c>
      <c r="BZ12" s="128">
        <f>INDEX(Direct_Cost_Splits_Network,MATCH($H12,RIN_Asset_Cat_Network,0),MATCH($BY$4,Direct_Cost_Type,0))*K12*HLOOKUP(BZ$5,Escalators!$I$25:$U$30,6,FALSE)</f>
        <v>0</v>
      </c>
      <c r="CA12" s="128">
        <f>INDEX(Direct_Cost_Splits_Network,MATCH($H12,RIN_Asset_Cat_Network,0),MATCH($BY$4,Direct_Cost_Type,0))*L12*HLOOKUP(CA$5,Escalators!$I$25:$U$30,6,FALSE)</f>
        <v>0</v>
      </c>
      <c r="CB12" s="128">
        <f>INDEX(Direct_Cost_Splits_Network,MATCH($H12,RIN_Asset_Cat_Network,0),MATCH($BY$4,Direct_Cost_Type,0))*M12*HLOOKUP(CB$5,Escalators!$I$25:$U$30,6,FALSE)</f>
        <v>117.81606142180151</v>
      </c>
      <c r="CC12" s="128">
        <f>INDEX(Direct_Cost_Splits_Network,MATCH($H12,RIN_Asset_Cat_Network,0),MATCH($BY$4,Direct_Cost_Type,0))*N12*HLOOKUP(CC$5,Escalators!$I$25:$U$30,6,FALSE)</f>
        <v>117.81606142180151</v>
      </c>
      <c r="CD12" s="128">
        <f>INDEX(Direct_Cost_Splits_Network,MATCH($H12,RIN_Asset_Cat_Network,0),MATCH($BY$4,Direct_Cost_Type,0))*O12*HLOOKUP(CD$5,Escalators!$I$25:$U$30,6,FALSE)</f>
        <v>117.81606142180151</v>
      </c>
      <c r="CE12" s="128">
        <f>INDEX(Direct_Cost_Splits_Network,MATCH($H12,RIN_Asset_Cat_Network,0),MATCH($BY$4,Direct_Cost_Type,0))*P12*HLOOKUP(CE$5,Escalators!$I$25:$U$30,6,FALSE)</f>
        <v>117.81606142180151</v>
      </c>
      <c r="CF12" s="128">
        <f>INDEX(Direct_Cost_Splits_Network,MATCH($H12,RIN_Asset_Cat_Network,0),MATCH($BY$4,Direct_Cost_Type,0))*Q12*HLOOKUP(CF$5,Escalators!$I$25:$U$30,6,FALSE)</f>
        <v>0</v>
      </c>
      <c r="CG12" s="129"/>
      <c r="CH12" s="763">
        <f t="shared" si="8"/>
        <v>0</v>
      </c>
      <c r="CI12" s="763">
        <f t="shared" si="9"/>
        <v>0</v>
      </c>
      <c r="CJ12" s="763">
        <f t="shared" si="10"/>
        <v>0</v>
      </c>
      <c r="CK12" s="763">
        <f t="shared" si="11"/>
        <v>18.232623076460904</v>
      </c>
      <c r="CL12" s="763">
        <f t="shared" si="12"/>
        <v>18.232623076460904</v>
      </c>
      <c r="CM12" s="763">
        <f t="shared" si="13"/>
        <v>18.232623076460904</v>
      </c>
      <c r="CN12" s="763">
        <f t="shared" si="14"/>
        <v>18.232623076460904</v>
      </c>
      <c r="CO12" s="763">
        <f t="shared" si="15"/>
        <v>0</v>
      </c>
      <c r="CP12" s="129"/>
      <c r="CQ12" s="128">
        <f t="shared" si="24"/>
        <v>0</v>
      </c>
      <c r="CR12" s="128">
        <f t="shared" si="25"/>
        <v>0</v>
      </c>
      <c r="CS12" s="128">
        <f t="shared" si="26"/>
        <v>0</v>
      </c>
      <c r="CT12" s="128">
        <f t="shared" si="27"/>
        <v>200.36057592135623</v>
      </c>
      <c r="CU12" s="128">
        <f t="shared" si="28"/>
        <v>200.30979173273812</v>
      </c>
      <c r="CV12" s="128">
        <f t="shared" si="29"/>
        <v>200.29506129107938</v>
      </c>
      <c r="CW12" s="128">
        <f t="shared" si="30"/>
        <v>200.36949530077163</v>
      </c>
      <c r="CX12" s="128">
        <f t="shared" si="31"/>
        <v>0</v>
      </c>
    </row>
    <row r="13" spans="2:102" x14ac:dyDescent="0.25">
      <c r="B13" s="7"/>
      <c r="C13" s="7" t="s">
        <v>443</v>
      </c>
      <c r="D13" s="7" t="s">
        <v>101</v>
      </c>
      <c r="E13" s="7" t="s">
        <v>48</v>
      </c>
      <c r="F13" s="7" t="s">
        <v>130</v>
      </c>
      <c r="G13" s="7" t="s">
        <v>150</v>
      </c>
      <c r="H13" s="7" t="s">
        <v>5</v>
      </c>
      <c r="I13" s="7" t="s">
        <v>204</v>
      </c>
      <c r="J13" s="45"/>
      <c r="K13" s="45"/>
      <c r="L13" s="45"/>
      <c r="M13" s="128">
        <v>1599.972</v>
      </c>
      <c r="N13" s="128">
        <v>1599.972</v>
      </c>
      <c r="O13" s="128">
        <v>1599.972</v>
      </c>
      <c r="P13" s="128">
        <v>1599.972</v>
      </c>
      <c r="Q13" s="128">
        <v>1599.972</v>
      </c>
      <c r="R13" s="129"/>
      <c r="S13" s="128">
        <f>INDEX(Direct_Cost_Splits_Network,MATCH($H13,RIN_Asset_Cat_Network,0),MATCH($S$4,Direct_Cost_Type,0))*J13*HLOOKUP(S$5,Escalators!$I$25:$U$30,3,FALSE)</f>
        <v>0</v>
      </c>
      <c r="T13" s="128">
        <f>INDEX(Direct_Cost_Splits_Network,MATCH($H13,RIN_Asset_Cat_Network,0),MATCH($S$4,Direct_Cost_Type,0))*K13*HLOOKUP(T$5,Escalators!$I$25:$U$30,3,FALSE)</f>
        <v>0</v>
      </c>
      <c r="U13" s="128">
        <f>INDEX(Direct_Cost_Splits_Network,MATCH($H13,RIN_Asset_Cat_Network,0),MATCH($S$4,Direct_Cost_Type,0))*L13*HLOOKUP(U$5,Escalators!$I$25:$U$30,3,FALSE)</f>
        <v>0</v>
      </c>
      <c r="V13" s="128">
        <f>INDEX(Direct_Cost_Splits_Network,MATCH($H13,RIN_Asset_Cat_Network,0),MATCH($S$4,Direct_Cost_Type,0))*M13*HLOOKUP(V$5,Escalators!$I$25:$U$30,3,FALSE)</f>
        <v>162.6538960560375</v>
      </c>
      <c r="W13" s="128">
        <f>INDEX(Direct_Cost_Splits_Network,MATCH($H13,RIN_Asset_Cat_Network,0),MATCH($S$4,Direct_Cost_Type,0))*N13*HLOOKUP(W$5,Escalators!$I$25:$U$30,3,FALSE)</f>
        <v>162.24762949437223</v>
      </c>
      <c r="X13" s="128">
        <f>INDEX(Direct_Cost_Splits_Network,MATCH($H13,RIN_Asset_Cat_Network,0),MATCH($S$4,Direct_Cost_Type,0))*O13*HLOOKUP(X$5,Escalators!$I$25:$U$30,3,FALSE)</f>
        <v>162.1297879762275</v>
      </c>
      <c r="Y13" s="128">
        <f>INDEX(Direct_Cost_Splits_Network,MATCH($H13,RIN_Asset_Cat_Network,0),MATCH($S$4,Direct_Cost_Type,0))*P13*HLOOKUP(Y$5,Escalators!$I$25:$U$30,3,FALSE)</f>
        <v>162.72524987118894</v>
      </c>
      <c r="Z13" s="128">
        <f>INDEX(Direct_Cost_Splits_Network,MATCH($H13,RIN_Asset_Cat_Network,0),MATCH($S$4,Direct_Cost_Type,0))*Q13*HLOOKUP(Z$5,Escalators!$I$25:$U$30,3,FALSE)</f>
        <v>164.3469589079761</v>
      </c>
      <c r="AA13" s="129"/>
      <c r="AB13" s="128">
        <f>INDEX(Direct_Cost_Splits_Network,MATCH($H13,RIN_Asset_Cat_Network,0),MATCH($AG$4,Direct_Cost_Type,0))*$J13*INDEX(Act_Type_Repex_Splits,MATCH($I13,Act_Type_Repex,0),MATCH(AB$4,Mat_Type,0))*INDEX(Escalators!$I$44:$Q$49,MATCH(AB$4,Escalators!$C$44:$C$49,0),MATCH(AB$5,Escalators!$I$43:$Q$43,0))</f>
        <v>0</v>
      </c>
      <c r="AC13" s="128">
        <f>INDEX(Direct_Cost_Splits_Network,MATCH($H13,RIN_Asset_Cat_Network,0),MATCH($AG$4,Direct_Cost_Type,0))*$J13*INDEX(Act_Type_Repex_Splits,MATCH($I13,Act_Type_Repex,0),MATCH(AC$4,Mat_Type,0))*INDEX(Escalators!$I$44:$Q$49,MATCH(AC$4,Escalators!$C$44:$C$49,0),MATCH(AC$5,Escalators!$I$43:$Q$43,0))</f>
        <v>0</v>
      </c>
      <c r="AD13" s="128">
        <f>INDEX(Direct_Cost_Splits_Network,MATCH($H13,RIN_Asset_Cat_Network,0),MATCH($AG$4,Direct_Cost_Type,0))*$J13*INDEX(Act_Type_Repex_Splits,MATCH($I13,Act_Type_Repex,0),MATCH(AD$4,Mat_Type,0))*INDEX(Escalators!$I$44:$Q$49,MATCH(AD$4,Escalators!$C$44:$C$49,0),MATCH(AD$5,Escalators!$I$43:$Q$43,0))</f>
        <v>0</v>
      </c>
      <c r="AE13" s="128">
        <f>INDEX(Direct_Cost_Splits_Network,MATCH($H13,RIN_Asset_Cat_Network,0),MATCH($AG$4,Direct_Cost_Type,0))*$J13*INDEX(Act_Type_Repex_Splits,MATCH($I13,Act_Type_Repex,0),MATCH(AE$4,Mat_Type,0))*INDEX(Escalators!$I$44:$Q$49,MATCH(AE$4,Escalators!$C$44:$C$49,0),MATCH(AE$5,Escalators!$I$43:$Q$43,0))</f>
        <v>0</v>
      </c>
      <c r="AF13" s="128">
        <f>INDEX(Direct_Cost_Splits_Network,MATCH($H13,RIN_Asset_Cat_Network,0),MATCH($AG$4,Direct_Cost_Type,0))*$J13*INDEX(Act_Type_Repex_Splits,MATCH($I13,Act_Type_Repex,0),MATCH(AF$4,Mat_Type,0))*INDEX(Escalators!$I$44:$Q$49,MATCH(AF$4,Escalators!$C$44:$C$49,0),MATCH(AF$5,Escalators!$I$43:$Q$43,0))</f>
        <v>0</v>
      </c>
      <c r="AG13" s="128">
        <f t="shared" si="16"/>
        <v>0</v>
      </c>
      <c r="AH13" s="128">
        <f>INDEX(Direct_Cost_Splits_Network,MATCH($H13,RIN_Asset_Cat_Network,0),MATCH($AY$4,Direct_Cost_Type,0))*$K13*INDEX(Act_Type_Repex_Splits,MATCH($I13,Act_Type_Repex,0),MATCH(AH$4,Mat_Type,0))*INDEX(Escalators!$I$44:$U$49,MATCH(AH$4,Escalators!$C$44:$C$49,0),MATCH(AH$5,Escalators!$I$43:$U$43,0))</f>
        <v>0</v>
      </c>
      <c r="AI13" s="128">
        <f>INDEX(Direct_Cost_Splits_Network,MATCH($H13,RIN_Asset_Cat_Network,0),MATCH($AY$4,Direct_Cost_Type,0))*$K13*INDEX(Act_Type_Repex_Splits,MATCH($I13,Act_Type_Repex,0),MATCH(AI$4,Mat_Type,0))*INDEX(Escalators!$I$44:$U$49,MATCH(AI$4,Escalators!$C$44:$C$49,0),MATCH(AI$5,Escalators!$I$43:$U$43,0))</f>
        <v>0</v>
      </c>
      <c r="AJ13" s="128">
        <f>INDEX(Direct_Cost_Splits_Network,MATCH($H13,RIN_Asset_Cat_Network,0),MATCH($AY$4,Direct_Cost_Type,0))*$K13*INDEX(Act_Type_Repex_Splits,MATCH($I13,Act_Type_Repex,0),MATCH(AJ$4,Mat_Type,0))*INDEX(Escalators!$I$44:$U$49,MATCH(AJ$4,Escalators!$C$44:$C$49,0),MATCH(AJ$5,Escalators!$I$43:$U$43,0))</f>
        <v>0</v>
      </c>
      <c r="AK13" s="128">
        <f>INDEX(Direct_Cost_Splits_Network,MATCH($H13,RIN_Asset_Cat_Network,0),MATCH($AY$4,Direct_Cost_Type,0))*$K13*INDEX(Act_Type_Repex_Splits,MATCH($I13,Act_Type_Repex,0),MATCH(AK$4,Mat_Type,0))*INDEX(Escalators!$I$44:$U$49,MATCH(AK$4,Escalators!$C$44:$C$49,0),MATCH(AK$5,Escalators!$I$43:$U$43,0))</f>
        <v>0</v>
      </c>
      <c r="AL13" s="128">
        <f>INDEX(Direct_Cost_Splits_Network,MATCH($H13,RIN_Asset_Cat_Network,0),MATCH($AY$4,Direct_Cost_Type,0))*$K13*INDEX(Act_Type_Repex_Splits,MATCH($I13,Act_Type_Repex,0),MATCH(AL$4,Mat_Type,0))*INDEX(Escalators!$I$44:$U$49,MATCH(AL$4,Escalators!$C$44:$C$49,0),MATCH(AL$5,Escalators!$I$43:$U$43,0))</f>
        <v>0</v>
      </c>
      <c r="AM13" s="128">
        <f t="shared" si="17"/>
        <v>0</v>
      </c>
      <c r="AN13" s="128">
        <f>INDEX(Direct_Cost_Splits_Network,MATCH($H13,RIN_Asset_Cat_Network,0),MATCH($AY$4,Direct_Cost_Type,0))*$L13*INDEX(Act_Type_Repex_Splits,MATCH($I13,Act_Type_Repex,0),MATCH(AN$4,Mat_Type,0))*INDEX(Escalators!$I$44:$U$49,MATCH(AN$4,Escalators!$C$44:$C$49,0),MATCH(AN$5,Escalators!$I$43:$U$43,0))</f>
        <v>0</v>
      </c>
      <c r="AO13" s="128">
        <f>INDEX(Direct_Cost_Splits_Network,MATCH($H13,RIN_Asset_Cat_Network,0),MATCH($AY$4,Direct_Cost_Type,0))*$L13*INDEX(Act_Type_Repex_Splits,MATCH($I13,Act_Type_Repex,0),MATCH(AO$4,Mat_Type,0))*INDEX(Escalators!$I$44:$U$49,MATCH(AO$4,Escalators!$C$44:$C$49,0),MATCH(AO$5,Escalators!$I$43:$U$43,0))</f>
        <v>0</v>
      </c>
      <c r="AP13" s="128">
        <f>INDEX(Direct_Cost_Splits_Network,MATCH($H13,RIN_Asset_Cat_Network,0),MATCH($AY$4,Direct_Cost_Type,0))*$L13*INDEX(Act_Type_Repex_Splits,MATCH($I13,Act_Type_Repex,0),MATCH(AP$4,Mat_Type,0))*INDEX(Escalators!$I$44:$U$49,MATCH(AP$4,Escalators!$C$44:$C$49,0),MATCH(AP$5,Escalators!$I$43:$U$43,0))</f>
        <v>0</v>
      </c>
      <c r="AQ13" s="128">
        <f>INDEX(Direct_Cost_Splits_Network,MATCH($H13,RIN_Asset_Cat_Network,0),MATCH($AY$4,Direct_Cost_Type,0))*$L13*INDEX(Act_Type_Repex_Splits,MATCH($I13,Act_Type_Repex,0),MATCH(AQ$4,Mat_Type,0))*INDEX(Escalators!$I$44:$U$49,MATCH(AQ$4,Escalators!$C$44:$C$49,0),MATCH(AQ$5,Escalators!$I$43:$U$43,0))</f>
        <v>0</v>
      </c>
      <c r="AR13" s="128">
        <f>INDEX(Direct_Cost_Splits_Network,MATCH($H13,RIN_Asset_Cat_Network,0),MATCH($AY$4,Direct_Cost_Type,0))*$L13*INDEX(Act_Type_Repex_Splits,MATCH($I13,Act_Type_Repex,0),MATCH(AR$4,Mat_Type,0))*INDEX(Escalators!$I$44:$U$49,MATCH(AR$4,Escalators!$C$44:$C$49,0),MATCH(AR$5,Escalators!$I$43:$U$43,0))</f>
        <v>0</v>
      </c>
      <c r="AS13" s="128">
        <f t="shared" si="18"/>
        <v>0</v>
      </c>
      <c r="AT13" s="128">
        <f>INDEX(Direct_Cost_Splits_Network,MATCH($H13,RIN_Asset_Cat_Network,0),MATCH($AY$4,Direct_Cost_Type,0))*$M13*INDEX(Act_Type_Repex_Splits,MATCH($I13,Act_Type_Repex,0),MATCH(AT$4,Mat_Type,0))*INDEX(Escalators!$I$44:$U$49,MATCH(AT$4,Escalators!$C$44:$C$49,0),MATCH(AT$5,Escalators!$I$43:$U$43,0))</f>
        <v>0</v>
      </c>
      <c r="AU13" s="128">
        <f>INDEX(Direct_Cost_Splits_Network,MATCH($H13,RIN_Asset_Cat_Network,0),MATCH($AY$4,Direct_Cost_Type,0))*$M13*INDEX(Act_Type_Repex_Splits,MATCH($I13,Act_Type_Repex,0),MATCH(AU$4,Mat_Type,0))*INDEX(Escalators!$I$44:$U$49,MATCH(AU$4,Escalators!$C$44:$C$49,0),MATCH(AU$5,Escalators!$I$43:$U$43,0))</f>
        <v>0</v>
      </c>
      <c r="AV13" s="128">
        <f>INDEX(Direct_Cost_Splits_Network,MATCH($H13,RIN_Asset_Cat_Network,0),MATCH($AY$4,Direct_Cost_Type,0))*$M13*INDEX(Act_Type_Repex_Splits,MATCH($I13,Act_Type_Repex,0),MATCH(AV$4,Mat_Type,0))*INDEX(Escalators!$I$44:$U$49,MATCH(AV$4,Escalators!$C$44:$C$49,0),MATCH(AV$5,Escalators!$I$43:$U$43,0))</f>
        <v>70.366487491689512</v>
      </c>
      <c r="AW13" s="128">
        <f>INDEX(Direct_Cost_Splits_Network,MATCH($H13,RIN_Asset_Cat_Network,0),MATCH($AY$4,Direct_Cost_Type,0))*$M13*INDEX(Act_Type_Repex_Splits,MATCH($I13,Act_Type_Repex,0),MATCH(AW$4,Mat_Type,0))*INDEX(Escalators!$I$44:$U$49,MATCH(AW$4,Escalators!$C$44:$C$49,0),MATCH(AW$5,Escalators!$I$43:$U$43,0))</f>
        <v>0</v>
      </c>
      <c r="AX13" s="128">
        <f>INDEX(Direct_Cost_Splits_Network,MATCH($H13,RIN_Asset_Cat_Network,0),MATCH($AY$4,Direct_Cost_Type,0))*$M13*INDEX(Act_Type_Repex_Splits,MATCH($I13,Act_Type_Repex,0),MATCH(AX$4,Mat_Type,0))*INDEX(Escalators!$I$44:$U$49,MATCH(AX$4,Escalators!$C$44:$C$49,0),MATCH(AX$5,Escalators!$I$43:$U$43,0))</f>
        <v>281.46594996675805</v>
      </c>
      <c r="AY13" s="128">
        <f t="shared" si="19"/>
        <v>351.83243745844754</v>
      </c>
      <c r="AZ13" s="128">
        <f>INDEX(Direct_Cost_Splits_Network,MATCH($H13,RIN_Asset_Cat_Network,0),MATCH($BE$4,Direct_Cost_Type,0))*$N13*INDEX(Act_Type_Repex_Splits,MATCH($I13,Act_Type_Repex,0),MATCH(AZ$4,Mat_Type,0))*INDEX(Escalators!$I$44:$U$49,MATCH(AZ$4,Escalators!$C$44:$C$49,0),MATCH(AZ$5,Escalators!$I$43:$U$43,0))</f>
        <v>0</v>
      </c>
      <c r="BA13" s="128">
        <f>INDEX(Direct_Cost_Splits_Network,MATCH($H13,RIN_Asset_Cat_Network,0),MATCH($BE$4,Direct_Cost_Type,0))*$N13*INDEX(Act_Type_Repex_Splits,MATCH($I13,Act_Type_Repex,0),MATCH(BA$4,Mat_Type,0))*INDEX(Escalators!$I$44:$U$49,MATCH(BA$4,Escalators!$C$44:$C$49,0),MATCH(BA$5,Escalators!$I$43:$U$43,0))</f>
        <v>0</v>
      </c>
      <c r="BB13" s="128">
        <f>INDEX(Direct_Cost_Splits_Network,MATCH($H13,RIN_Asset_Cat_Network,0),MATCH($BE$4,Direct_Cost_Type,0))*$N13*INDEX(Act_Type_Repex_Splits,MATCH($I13,Act_Type_Repex,0),MATCH(BB$4,Mat_Type,0))*INDEX(Escalators!$I$44:$U$49,MATCH(BB$4,Escalators!$C$44:$C$49,0),MATCH(BB$5,Escalators!$I$43:$U$43,0))</f>
        <v>70.366487491689512</v>
      </c>
      <c r="BC13" s="128">
        <f>INDEX(Direct_Cost_Splits_Network,MATCH($H13,RIN_Asset_Cat_Network,0),MATCH($BE$4,Direct_Cost_Type,0))*$N13*INDEX(Act_Type_Repex_Splits,MATCH($I13,Act_Type_Repex,0),MATCH(BC$4,Mat_Type,0))*INDEX(Escalators!$I$44:$U$49,MATCH(BC$4,Escalators!$C$44:$C$49,0),MATCH(BC$5,Escalators!$I$43:$U$43,0))</f>
        <v>0</v>
      </c>
      <c r="BD13" s="128">
        <f>INDEX(Direct_Cost_Splits_Network,MATCH($H13,RIN_Asset_Cat_Network,0),MATCH($BE$4,Direct_Cost_Type,0))*$N13*INDEX(Act_Type_Repex_Splits,MATCH($I13,Act_Type_Repex,0),MATCH(BD$4,Mat_Type,0))*INDEX(Escalators!$I$44:$U$49,MATCH(BD$4,Escalators!$C$44:$C$49,0),MATCH(BD$5,Escalators!$I$43:$U$43,0))</f>
        <v>281.46594996675805</v>
      </c>
      <c r="BE13" s="128">
        <f t="shared" si="20"/>
        <v>351.83243745844754</v>
      </c>
      <c r="BF13" s="128">
        <f>INDEX(Direct_Cost_Splits_Network,MATCH($H13,RIN_Asset_Cat_Network,0),MATCH($BK$4,Direct_Cost_Type,0))*$O13*INDEX(Act_Type_Repex_Splits,MATCH($I13,Act_Type_Repex,0),MATCH(BF$4,Mat_Type,0))*INDEX(Escalators!$I$44:$U$49,MATCH(BF$4,Escalators!$C$44:$C$49,0),MATCH(BF$5,Escalators!$I$43:$U$43,0))</f>
        <v>0</v>
      </c>
      <c r="BG13" s="128">
        <f>INDEX(Direct_Cost_Splits_Network,MATCH($H13,RIN_Asset_Cat_Network,0),MATCH($BK$4,Direct_Cost_Type,0))*$O13*INDEX(Act_Type_Repex_Splits,MATCH($I13,Act_Type_Repex,0),MATCH(BG$4,Mat_Type,0))*INDEX(Escalators!$I$44:$U$49,MATCH(BG$4,Escalators!$C$44:$C$49,0),MATCH(BG$5,Escalators!$I$43:$U$43,0))</f>
        <v>0</v>
      </c>
      <c r="BH13" s="128">
        <f>INDEX(Direct_Cost_Splits_Network,MATCH($H13,RIN_Asset_Cat_Network,0),MATCH($BK$4,Direct_Cost_Type,0))*$O13*INDEX(Act_Type_Repex_Splits,MATCH($I13,Act_Type_Repex,0),MATCH(BH$4,Mat_Type,0))*INDEX(Escalators!$I$44:$U$49,MATCH(BH$4,Escalators!$C$44:$C$49,0),MATCH(BH$5,Escalators!$I$43:$U$43,0))</f>
        <v>70.366487491689512</v>
      </c>
      <c r="BI13" s="128">
        <f>INDEX(Direct_Cost_Splits_Network,MATCH($H13,RIN_Asset_Cat_Network,0),MATCH($BK$4,Direct_Cost_Type,0))*$O13*INDEX(Act_Type_Repex_Splits,MATCH($I13,Act_Type_Repex,0),MATCH(BI$4,Mat_Type,0))*INDEX(Escalators!$I$44:$U$49,MATCH(BI$4,Escalators!$C$44:$C$49,0),MATCH(BI$5,Escalators!$I$43:$U$43,0))</f>
        <v>0</v>
      </c>
      <c r="BJ13" s="128">
        <f>INDEX(Direct_Cost_Splits_Network,MATCH($H13,RIN_Asset_Cat_Network,0),MATCH($BK$4,Direct_Cost_Type,0))*$O13*INDEX(Act_Type_Repex_Splits,MATCH($I13,Act_Type_Repex,0),MATCH(BJ$4,Mat_Type,0))*INDEX(Escalators!$I$44:$U$49,MATCH(BJ$4,Escalators!$C$44:$C$49,0),MATCH(BJ$5,Escalators!$I$43:$U$43,0))</f>
        <v>281.46594996675805</v>
      </c>
      <c r="BK13" s="128">
        <f t="shared" si="21"/>
        <v>351.83243745844754</v>
      </c>
      <c r="BL13" s="128">
        <f>INDEX(Direct_Cost_Splits_Network,MATCH($H13,RIN_Asset_Cat_Network,0),MATCH($BQ$4,Direct_Cost_Type,0))*$P13*INDEX(Act_Type_Repex_Splits,MATCH($I13,Act_Type_Repex,0),MATCH(BL$4,Mat_Type,0))*INDEX(Escalators!$I$44:$U$49,MATCH(BL$4,Escalators!$C$44:$C$49,0),MATCH(BL$5,Escalators!$I$43:$U$43,0))</f>
        <v>0</v>
      </c>
      <c r="BM13" s="128">
        <f>INDEX(Direct_Cost_Splits_Network,MATCH($H13,RIN_Asset_Cat_Network,0),MATCH($BQ$4,Direct_Cost_Type,0))*$P13*INDEX(Act_Type_Repex_Splits,MATCH($I13,Act_Type_Repex,0),MATCH(BM$4,Mat_Type,0))*INDEX(Escalators!$I$44:$U$49,MATCH(BM$4,Escalators!$C$44:$C$49,0),MATCH(BM$5,Escalators!$I$43:$U$43,0))</f>
        <v>0</v>
      </c>
      <c r="BN13" s="128">
        <f>INDEX(Direct_Cost_Splits_Network,MATCH($H13,RIN_Asset_Cat_Network,0),MATCH($BQ$4,Direct_Cost_Type,0))*$P13*INDEX(Act_Type_Repex_Splits,MATCH($I13,Act_Type_Repex,0),MATCH(BN$4,Mat_Type,0))*INDEX(Escalators!$I$44:$U$49,MATCH(BN$4,Escalators!$C$44:$C$49,0),MATCH(BN$5,Escalators!$I$43:$U$43,0))</f>
        <v>70.366487491689512</v>
      </c>
      <c r="BO13" s="128">
        <f>INDEX(Direct_Cost_Splits_Network,MATCH($H13,RIN_Asset_Cat_Network,0),MATCH($BQ$4,Direct_Cost_Type,0))*$P13*INDEX(Act_Type_Repex_Splits,MATCH($I13,Act_Type_Repex,0),MATCH(BO$4,Mat_Type,0))*INDEX(Escalators!$I$44:$U$49,MATCH(BO$4,Escalators!$C$44:$C$49,0),MATCH(BO$5,Escalators!$I$43:$U$43,0))</f>
        <v>0</v>
      </c>
      <c r="BP13" s="128">
        <f>INDEX(Direct_Cost_Splits_Network,MATCH($H13,RIN_Asset_Cat_Network,0),MATCH($BQ$4,Direct_Cost_Type,0))*$P13*INDEX(Act_Type_Repex_Splits,MATCH($I13,Act_Type_Repex,0),MATCH(BP$4,Mat_Type,0))*INDEX(Escalators!$I$44:$U$49,MATCH(BP$4,Escalators!$C$44:$C$49,0),MATCH(BP$5,Escalators!$I$43:$U$43,0))</f>
        <v>281.46594996675805</v>
      </c>
      <c r="BQ13" s="128">
        <f t="shared" si="22"/>
        <v>351.83243745844754</v>
      </c>
      <c r="BR13" s="128">
        <f>INDEX(Direct_Cost_Splits_Network,MATCH($H13,RIN_Asset_Cat_Network,0),MATCH($BW$4,Direct_Cost_Type,0))*$Q13*INDEX(Act_Type_Repex_Splits,MATCH($I13,Act_Type_Repex,0),MATCH(BR$4,Mat_Type,0))*INDEX(Escalators!$I$44:$U$49,MATCH(BR$4,Escalators!$C$44:$C$49,0),MATCH(BR$5,Escalators!$I$43:$U$43,0))</f>
        <v>0</v>
      </c>
      <c r="BS13" s="128">
        <f>INDEX(Direct_Cost_Splits_Network,MATCH($H13,RIN_Asset_Cat_Network,0),MATCH($BW$4,Direct_Cost_Type,0))*$Q13*INDEX(Act_Type_Repex_Splits,MATCH($I13,Act_Type_Repex,0),MATCH(BS$4,Mat_Type,0))*INDEX(Escalators!$I$44:$U$49,MATCH(BS$4,Escalators!$C$44:$C$49,0),MATCH(BS$5,Escalators!$I$43:$U$43,0))</f>
        <v>0</v>
      </c>
      <c r="BT13" s="128">
        <f>INDEX(Direct_Cost_Splits_Network,MATCH($H13,RIN_Asset_Cat_Network,0),MATCH($BW$4,Direct_Cost_Type,0))*$Q13*INDEX(Act_Type_Repex_Splits,MATCH($I13,Act_Type_Repex,0),MATCH(BT$4,Mat_Type,0))*INDEX(Escalators!$I$44:$U$49,MATCH(BT$4,Escalators!$C$44:$C$49,0),MATCH(BT$5,Escalators!$I$43:$U$43,0))</f>
        <v>70.366487491689512</v>
      </c>
      <c r="BU13" s="128">
        <f>INDEX(Direct_Cost_Splits_Network,MATCH($H13,RIN_Asset_Cat_Network,0),MATCH($BW$4,Direct_Cost_Type,0))*$Q13*INDEX(Act_Type_Repex_Splits,MATCH($I13,Act_Type_Repex,0),MATCH(BU$4,Mat_Type,0))*INDEX(Escalators!$I$44:$U$49,MATCH(BU$4,Escalators!$C$44:$C$49,0),MATCH(BU$5,Escalators!$I$43:$U$43,0))</f>
        <v>0</v>
      </c>
      <c r="BV13" s="128">
        <f>INDEX(Direct_Cost_Splits_Network,MATCH($H13,RIN_Asset_Cat_Network,0),MATCH($BW$4,Direct_Cost_Type,0))*$Q13*INDEX(Act_Type_Repex_Splits,MATCH($I13,Act_Type_Repex,0),MATCH(BV$4,Mat_Type,0))*INDEX(Escalators!$I$44:$U$49,MATCH(BV$4,Escalators!$C$44:$C$49,0),MATCH(BV$5,Escalators!$I$43:$U$43,0))</f>
        <v>281.46594996675805</v>
      </c>
      <c r="BW13" s="128">
        <f t="shared" si="23"/>
        <v>351.83243745844754</v>
      </c>
      <c r="BX13" s="129"/>
      <c r="BY13" s="128">
        <f>INDEX(Direct_Cost_Splits_Network,MATCH($H13,RIN_Asset_Cat_Network,0),MATCH($BY$4,Direct_Cost_Type,0))*J13*HLOOKUP(BY$5,Escalators!$I$25:$U$30,6,FALSE)</f>
        <v>0</v>
      </c>
      <c r="BZ13" s="128">
        <f>INDEX(Direct_Cost_Splits_Network,MATCH($H13,RIN_Asset_Cat_Network,0),MATCH($BY$4,Direct_Cost_Type,0))*K13*HLOOKUP(BZ$5,Escalators!$I$25:$U$30,6,FALSE)</f>
        <v>0</v>
      </c>
      <c r="CA13" s="128">
        <f>INDEX(Direct_Cost_Splits_Network,MATCH($H13,RIN_Asset_Cat_Network,0),MATCH($BY$4,Direct_Cost_Type,0))*L13*HLOOKUP(CA$5,Escalators!$I$25:$U$30,6,FALSE)</f>
        <v>0</v>
      </c>
      <c r="CB13" s="128">
        <f>INDEX(Direct_Cost_Splits_Network,MATCH($H13,RIN_Asset_Cat_Network,0),MATCH($BY$4,Direct_Cost_Type,0))*M13*HLOOKUP(CB$5,Escalators!$I$25:$U$30,6,FALSE)</f>
        <v>942.51237413076274</v>
      </c>
      <c r="CC13" s="128">
        <f>INDEX(Direct_Cost_Splits_Network,MATCH($H13,RIN_Asset_Cat_Network,0),MATCH($BY$4,Direct_Cost_Type,0))*N13*HLOOKUP(CC$5,Escalators!$I$25:$U$30,6,FALSE)</f>
        <v>942.51237413076274</v>
      </c>
      <c r="CD13" s="128">
        <f>INDEX(Direct_Cost_Splits_Network,MATCH($H13,RIN_Asset_Cat_Network,0),MATCH($BY$4,Direct_Cost_Type,0))*O13*HLOOKUP(CD$5,Escalators!$I$25:$U$30,6,FALSE)</f>
        <v>942.51237413076274</v>
      </c>
      <c r="CE13" s="128">
        <f>INDEX(Direct_Cost_Splits_Network,MATCH($H13,RIN_Asset_Cat_Network,0),MATCH($BY$4,Direct_Cost_Type,0))*P13*HLOOKUP(CE$5,Escalators!$I$25:$U$30,6,FALSE)</f>
        <v>942.51237413076274</v>
      </c>
      <c r="CF13" s="128">
        <f>INDEX(Direct_Cost_Splits_Network,MATCH($H13,RIN_Asset_Cat_Network,0),MATCH($BY$4,Direct_Cost_Type,0))*Q13*HLOOKUP(CF$5,Escalators!$I$25:$U$30,6,FALSE)</f>
        <v>942.51237413076274</v>
      </c>
      <c r="CG13" s="129"/>
      <c r="CH13" s="763">
        <f t="shared" si="8"/>
        <v>0</v>
      </c>
      <c r="CI13" s="763">
        <f t="shared" si="9"/>
        <v>0</v>
      </c>
      <c r="CJ13" s="763">
        <f t="shared" si="10"/>
        <v>0</v>
      </c>
      <c r="CK13" s="763">
        <f t="shared" si="11"/>
        <v>145.8584903878527</v>
      </c>
      <c r="CL13" s="763">
        <f t="shared" si="12"/>
        <v>145.8584903878527</v>
      </c>
      <c r="CM13" s="763">
        <f t="shared" si="13"/>
        <v>145.8584903878527</v>
      </c>
      <c r="CN13" s="763">
        <f t="shared" si="14"/>
        <v>145.8584903878527</v>
      </c>
      <c r="CO13" s="763">
        <f t="shared" si="15"/>
        <v>145.8584903878527</v>
      </c>
      <c r="CP13" s="129"/>
      <c r="CQ13" s="128">
        <f t="shared" si="24"/>
        <v>0</v>
      </c>
      <c r="CR13" s="128">
        <f t="shared" si="25"/>
        <v>0</v>
      </c>
      <c r="CS13" s="128">
        <f t="shared" si="26"/>
        <v>0</v>
      </c>
      <c r="CT13" s="128">
        <f t="shared" si="27"/>
        <v>1602.8571980331005</v>
      </c>
      <c r="CU13" s="128">
        <f t="shared" si="28"/>
        <v>1602.4509314714353</v>
      </c>
      <c r="CV13" s="128">
        <f t="shared" si="29"/>
        <v>1602.3330899532905</v>
      </c>
      <c r="CW13" s="128">
        <f t="shared" si="30"/>
        <v>1602.928551848252</v>
      </c>
      <c r="CX13" s="128">
        <f t="shared" si="31"/>
        <v>1604.5502608850391</v>
      </c>
    </row>
    <row r="14" spans="2:102" x14ac:dyDescent="0.25">
      <c r="B14" s="7"/>
      <c r="C14" s="7" t="s">
        <v>96</v>
      </c>
      <c r="D14" s="7" t="s">
        <v>100</v>
      </c>
      <c r="E14" s="7" t="s">
        <v>44</v>
      </c>
      <c r="F14" s="7" t="s">
        <v>130</v>
      </c>
      <c r="G14" s="7" t="s">
        <v>150</v>
      </c>
      <c r="H14" s="7" t="s">
        <v>5</v>
      </c>
      <c r="I14" s="7" t="s">
        <v>204</v>
      </c>
      <c r="J14" s="45"/>
      <c r="K14" s="45"/>
      <c r="L14" s="45"/>
      <c r="M14" s="128">
        <v>125.87200000000001</v>
      </c>
      <c r="N14" s="128">
        <v>125.87200000000001</v>
      </c>
      <c r="O14" s="128">
        <v>125.87200000000001</v>
      </c>
      <c r="P14" s="128">
        <v>125.87200000000001</v>
      </c>
      <c r="Q14" s="128">
        <v>0</v>
      </c>
      <c r="R14" s="129"/>
      <c r="S14" s="128">
        <f>INDEX(Direct_Cost_Splits_Network,MATCH($H14,RIN_Asset_Cat_Network,0),MATCH($S$4,Direct_Cost_Type,0))*J14*HLOOKUP(S$5,Escalators!$I$25:$U$30,3,FALSE)</f>
        <v>0</v>
      </c>
      <c r="T14" s="128">
        <f>INDEX(Direct_Cost_Splits_Network,MATCH($H14,RIN_Asset_Cat_Network,0),MATCH($S$4,Direct_Cost_Type,0))*K14*HLOOKUP(T$5,Escalators!$I$25:$U$30,3,FALSE)</f>
        <v>0</v>
      </c>
      <c r="U14" s="128">
        <f>INDEX(Direct_Cost_Splits_Network,MATCH($H14,RIN_Asset_Cat_Network,0),MATCH($S$4,Direct_Cost_Type,0))*L14*HLOOKUP(U$5,Escalators!$I$25:$U$30,3,FALSE)</f>
        <v>0</v>
      </c>
      <c r="V14" s="128">
        <f>INDEX(Direct_Cost_Splits_Network,MATCH($H14,RIN_Asset_Cat_Network,0),MATCH($S$4,Direct_Cost_Type,0))*M14*HLOOKUP(V$5,Escalators!$I$25:$U$30,3,FALSE)</f>
        <v>12.796205936332358</v>
      </c>
      <c r="W14" s="128">
        <f>INDEX(Direct_Cost_Splits_Network,MATCH($H14,RIN_Asset_Cat_Network,0),MATCH($S$4,Direct_Cost_Type,0))*N14*HLOOKUP(W$5,Escalators!$I$25:$U$30,3,FALSE)</f>
        <v>12.76424438659903</v>
      </c>
      <c r="X14" s="128">
        <f>INDEX(Direct_Cost_Splits_Network,MATCH($H14,RIN_Asset_Cat_Network,0),MATCH($S$4,Direct_Cost_Type,0))*O14*HLOOKUP(X$5,Escalators!$I$25:$U$30,3,FALSE)</f>
        <v>12.754973632128381</v>
      </c>
      <c r="Y14" s="128">
        <f>INDEX(Direct_Cost_Splits_Network,MATCH($H14,RIN_Asset_Cat_Network,0),MATCH($S$4,Direct_Cost_Type,0))*P14*HLOOKUP(Y$5,Escalators!$I$25:$U$30,3,FALSE)</f>
        <v>12.801819439206621</v>
      </c>
      <c r="Z14" s="128">
        <f>INDEX(Direct_Cost_Splits_Network,MATCH($H14,RIN_Asset_Cat_Network,0),MATCH($S$4,Direct_Cost_Type,0))*Q14*HLOOKUP(Z$5,Escalators!$I$25:$U$30,3,FALSE)</f>
        <v>0</v>
      </c>
      <c r="AA14" s="129"/>
      <c r="AB14" s="75">
        <f>INDEX(Direct_Cost_Splits_Network,MATCH($H14,RIN_Asset_Cat_Network,0),MATCH($AG$4,Direct_Cost_Type,0))*$J14*INDEX(Act_Type_Repex_Splits,MATCH($I14,Act_Type_Repex,0),MATCH(AB$4,Mat_Type,0))*INDEX(Escalators!$I$44:$Q$49,MATCH(AB$4,Escalators!$C$44:$C$49,0),MATCH(AB$5,Escalators!$I$43:$Q$43,0))</f>
        <v>0</v>
      </c>
      <c r="AC14" s="75">
        <f>INDEX(Direct_Cost_Splits_Network,MATCH($H14,RIN_Asset_Cat_Network,0),MATCH($AG$4,Direct_Cost_Type,0))*$J14*INDEX(Act_Type_Repex_Splits,MATCH($I14,Act_Type_Repex,0),MATCH(AC$4,Mat_Type,0))*INDEX(Escalators!$I$44:$Q$49,MATCH(AC$4,Escalators!$C$44:$C$49,0),MATCH(AC$5,Escalators!$I$43:$Q$43,0))</f>
        <v>0</v>
      </c>
      <c r="AD14" s="75">
        <f>INDEX(Direct_Cost_Splits_Network,MATCH($H14,RIN_Asset_Cat_Network,0),MATCH($AG$4,Direct_Cost_Type,0))*$J14*INDEX(Act_Type_Repex_Splits,MATCH($I14,Act_Type_Repex,0),MATCH(AD$4,Mat_Type,0))*INDEX(Escalators!$I$44:$Q$49,MATCH(AD$4,Escalators!$C$44:$C$49,0),MATCH(AD$5,Escalators!$I$43:$Q$43,0))</f>
        <v>0</v>
      </c>
      <c r="AE14" s="75">
        <f>INDEX(Direct_Cost_Splits_Network,MATCH($H14,RIN_Asset_Cat_Network,0),MATCH($AG$4,Direct_Cost_Type,0))*$J14*INDEX(Act_Type_Repex_Splits,MATCH($I14,Act_Type_Repex,0),MATCH(AE$4,Mat_Type,0))*INDEX(Escalators!$I$44:$Q$49,MATCH(AE$4,Escalators!$C$44:$C$49,0),MATCH(AE$5,Escalators!$I$43:$Q$43,0))</f>
        <v>0</v>
      </c>
      <c r="AF14" s="75">
        <f>INDEX(Direct_Cost_Splits_Network,MATCH($H14,RIN_Asset_Cat_Network,0),MATCH($AG$4,Direct_Cost_Type,0))*$J14*INDEX(Act_Type_Repex_Splits,MATCH($I14,Act_Type_Repex,0),MATCH(AF$4,Mat_Type,0))*INDEX(Escalators!$I$44:$Q$49,MATCH(AF$4,Escalators!$C$44:$C$49,0),MATCH(AF$5,Escalators!$I$43:$Q$43,0))</f>
        <v>0</v>
      </c>
      <c r="AG14" s="128">
        <f t="shared" si="16"/>
        <v>0</v>
      </c>
      <c r="AH14" s="128">
        <f>INDEX(Direct_Cost_Splits_Network,MATCH($H14,RIN_Asset_Cat_Network,0),MATCH($AY$4,Direct_Cost_Type,0))*$K14*INDEX(Act_Type_Repex_Splits,MATCH($I14,Act_Type_Repex,0),MATCH(AH$4,Mat_Type,0))*INDEX(Escalators!$I$44:$U$49,MATCH(AH$4,Escalators!$C$44:$C$49,0),MATCH(AH$5,Escalators!$I$43:$U$43,0))</f>
        <v>0</v>
      </c>
      <c r="AI14" s="128">
        <f>INDEX(Direct_Cost_Splits_Network,MATCH($H14,RIN_Asset_Cat_Network,0),MATCH($AY$4,Direct_Cost_Type,0))*$K14*INDEX(Act_Type_Repex_Splits,MATCH($I14,Act_Type_Repex,0),MATCH(AI$4,Mat_Type,0))*INDEX(Escalators!$I$44:$U$49,MATCH(AI$4,Escalators!$C$44:$C$49,0),MATCH(AI$5,Escalators!$I$43:$U$43,0))</f>
        <v>0</v>
      </c>
      <c r="AJ14" s="128">
        <f>INDEX(Direct_Cost_Splits_Network,MATCH($H14,RIN_Asset_Cat_Network,0),MATCH($AY$4,Direct_Cost_Type,0))*$K14*INDEX(Act_Type_Repex_Splits,MATCH($I14,Act_Type_Repex,0),MATCH(AJ$4,Mat_Type,0))*INDEX(Escalators!$I$44:$U$49,MATCH(AJ$4,Escalators!$C$44:$C$49,0),MATCH(AJ$5,Escalators!$I$43:$U$43,0))</f>
        <v>0</v>
      </c>
      <c r="AK14" s="128">
        <f>INDEX(Direct_Cost_Splits_Network,MATCH($H14,RIN_Asset_Cat_Network,0),MATCH($AY$4,Direct_Cost_Type,0))*$K14*INDEX(Act_Type_Repex_Splits,MATCH($I14,Act_Type_Repex,0),MATCH(AK$4,Mat_Type,0))*INDEX(Escalators!$I$44:$U$49,MATCH(AK$4,Escalators!$C$44:$C$49,0),MATCH(AK$5,Escalators!$I$43:$U$43,0))</f>
        <v>0</v>
      </c>
      <c r="AL14" s="128">
        <f>INDEX(Direct_Cost_Splits_Network,MATCH($H14,RIN_Asset_Cat_Network,0),MATCH($AY$4,Direct_Cost_Type,0))*$K14*INDEX(Act_Type_Repex_Splits,MATCH($I14,Act_Type_Repex,0),MATCH(AL$4,Mat_Type,0))*INDEX(Escalators!$I$44:$U$49,MATCH(AL$4,Escalators!$C$44:$C$49,0),MATCH(AL$5,Escalators!$I$43:$U$43,0))</f>
        <v>0</v>
      </c>
      <c r="AM14" s="128">
        <f t="shared" si="17"/>
        <v>0</v>
      </c>
      <c r="AN14" s="128">
        <f>INDEX(Direct_Cost_Splits_Network,MATCH($H14,RIN_Asset_Cat_Network,0),MATCH($AY$4,Direct_Cost_Type,0))*$L14*INDEX(Act_Type_Repex_Splits,MATCH($I14,Act_Type_Repex,0),MATCH(AN$4,Mat_Type,0))*INDEX(Escalators!$I$44:$U$49,MATCH(AN$4,Escalators!$C$44:$C$49,0),MATCH(AN$5,Escalators!$I$43:$U$43,0))</f>
        <v>0</v>
      </c>
      <c r="AO14" s="128">
        <f>INDEX(Direct_Cost_Splits_Network,MATCH($H14,RIN_Asset_Cat_Network,0),MATCH($AY$4,Direct_Cost_Type,0))*$L14*INDEX(Act_Type_Repex_Splits,MATCH($I14,Act_Type_Repex,0),MATCH(AO$4,Mat_Type,0))*INDEX(Escalators!$I$44:$U$49,MATCH(AO$4,Escalators!$C$44:$C$49,0),MATCH(AO$5,Escalators!$I$43:$U$43,0))</f>
        <v>0</v>
      </c>
      <c r="AP14" s="128">
        <f>INDEX(Direct_Cost_Splits_Network,MATCH($H14,RIN_Asset_Cat_Network,0),MATCH($AY$4,Direct_Cost_Type,0))*$L14*INDEX(Act_Type_Repex_Splits,MATCH($I14,Act_Type_Repex,0),MATCH(AP$4,Mat_Type,0))*INDEX(Escalators!$I$44:$U$49,MATCH(AP$4,Escalators!$C$44:$C$49,0),MATCH(AP$5,Escalators!$I$43:$U$43,0))</f>
        <v>0</v>
      </c>
      <c r="AQ14" s="128">
        <f>INDEX(Direct_Cost_Splits_Network,MATCH($H14,RIN_Asset_Cat_Network,0),MATCH($AY$4,Direct_Cost_Type,0))*$L14*INDEX(Act_Type_Repex_Splits,MATCH($I14,Act_Type_Repex,0),MATCH(AQ$4,Mat_Type,0))*INDEX(Escalators!$I$44:$U$49,MATCH(AQ$4,Escalators!$C$44:$C$49,0),MATCH(AQ$5,Escalators!$I$43:$U$43,0))</f>
        <v>0</v>
      </c>
      <c r="AR14" s="128">
        <f>INDEX(Direct_Cost_Splits_Network,MATCH($H14,RIN_Asset_Cat_Network,0),MATCH($AY$4,Direct_Cost_Type,0))*$L14*INDEX(Act_Type_Repex_Splits,MATCH($I14,Act_Type_Repex,0),MATCH(AR$4,Mat_Type,0))*INDEX(Escalators!$I$44:$U$49,MATCH(AR$4,Escalators!$C$44:$C$49,0),MATCH(AR$5,Escalators!$I$43:$U$43,0))</f>
        <v>0</v>
      </c>
      <c r="AS14" s="128">
        <f t="shared" si="18"/>
        <v>0</v>
      </c>
      <c r="AT14" s="128">
        <f>INDEX(Direct_Cost_Splits_Network,MATCH($H14,RIN_Asset_Cat_Network,0),MATCH($AY$4,Direct_Cost_Type,0))*$M14*INDEX(Act_Type_Repex_Splits,MATCH($I14,Act_Type_Repex,0),MATCH(AT$4,Mat_Type,0))*INDEX(Escalators!$I$44:$U$49,MATCH(AT$4,Escalators!$C$44:$C$49,0),MATCH(AT$5,Escalators!$I$43:$U$43,0))</f>
        <v>0</v>
      </c>
      <c r="AU14" s="128">
        <f>INDEX(Direct_Cost_Splits_Network,MATCH($H14,RIN_Asset_Cat_Network,0),MATCH($AY$4,Direct_Cost_Type,0))*$M14*INDEX(Act_Type_Repex_Splits,MATCH($I14,Act_Type_Repex,0),MATCH(AU$4,Mat_Type,0))*INDEX(Escalators!$I$44:$U$49,MATCH(AU$4,Escalators!$C$44:$C$49,0),MATCH(AU$5,Escalators!$I$43:$U$43,0))</f>
        <v>0</v>
      </c>
      <c r="AV14" s="128">
        <f>INDEX(Direct_Cost_Splits_Network,MATCH($H14,RIN_Asset_Cat_Network,0),MATCH($AY$4,Direct_Cost_Type,0))*$M14*INDEX(Act_Type_Repex_Splits,MATCH($I14,Act_Type_Repex,0),MATCH(AV$4,Mat_Type,0))*INDEX(Escalators!$I$44:$U$49,MATCH(AV$4,Escalators!$C$44:$C$49,0),MATCH(AV$5,Escalators!$I$43:$U$43,0))</f>
        <v>5.5358284479690543</v>
      </c>
      <c r="AW14" s="128">
        <f>INDEX(Direct_Cost_Splits_Network,MATCH($H14,RIN_Asset_Cat_Network,0),MATCH($AY$4,Direct_Cost_Type,0))*$M14*INDEX(Act_Type_Repex_Splits,MATCH($I14,Act_Type_Repex,0),MATCH(AW$4,Mat_Type,0))*INDEX(Escalators!$I$44:$U$49,MATCH(AW$4,Escalators!$C$44:$C$49,0),MATCH(AW$5,Escalators!$I$43:$U$43,0))</f>
        <v>0</v>
      </c>
      <c r="AX14" s="128">
        <f>INDEX(Direct_Cost_Splits_Network,MATCH($H14,RIN_Asset_Cat_Network,0),MATCH($AY$4,Direct_Cost_Type,0))*$M14*INDEX(Act_Type_Repex_Splits,MATCH($I14,Act_Type_Repex,0),MATCH(AX$4,Mat_Type,0))*INDEX(Escalators!$I$44:$U$49,MATCH(AX$4,Escalators!$C$44:$C$49,0),MATCH(AX$5,Escalators!$I$43:$U$43,0))</f>
        <v>22.143313791876217</v>
      </c>
      <c r="AY14" s="128">
        <f t="shared" si="19"/>
        <v>27.67914223984527</v>
      </c>
      <c r="AZ14" s="128">
        <f>INDEX(Direct_Cost_Splits_Network,MATCH($H14,RIN_Asset_Cat_Network,0),MATCH($BE$4,Direct_Cost_Type,0))*$N14*INDEX(Act_Type_Repex_Splits,MATCH($I14,Act_Type_Repex,0),MATCH(AZ$4,Mat_Type,0))*INDEX(Escalators!$I$44:$U$49,MATCH(AZ$4,Escalators!$C$44:$C$49,0),MATCH(AZ$5,Escalators!$I$43:$U$43,0))</f>
        <v>0</v>
      </c>
      <c r="BA14" s="128">
        <f>INDEX(Direct_Cost_Splits_Network,MATCH($H14,RIN_Asset_Cat_Network,0),MATCH($BE$4,Direct_Cost_Type,0))*$N14*INDEX(Act_Type_Repex_Splits,MATCH($I14,Act_Type_Repex,0),MATCH(BA$4,Mat_Type,0))*INDEX(Escalators!$I$44:$U$49,MATCH(BA$4,Escalators!$C$44:$C$49,0),MATCH(BA$5,Escalators!$I$43:$U$43,0))</f>
        <v>0</v>
      </c>
      <c r="BB14" s="128">
        <f>INDEX(Direct_Cost_Splits_Network,MATCH($H14,RIN_Asset_Cat_Network,0),MATCH($BE$4,Direct_Cost_Type,0))*$N14*INDEX(Act_Type_Repex_Splits,MATCH($I14,Act_Type_Repex,0),MATCH(BB$4,Mat_Type,0))*INDEX(Escalators!$I$44:$U$49,MATCH(BB$4,Escalators!$C$44:$C$49,0),MATCH(BB$5,Escalators!$I$43:$U$43,0))</f>
        <v>5.5358284479690543</v>
      </c>
      <c r="BC14" s="128">
        <f>INDEX(Direct_Cost_Splits_Network,MATCH($H14,RIN_Asset_Cat_Network,0),MATCH($BE$4,Direct_Cost_Type,0))*$N14*INDEX(Act_Type_Repex_Splits,MATCH($I14,Act_Type_Repex,0),MATCH(BC$4,Mat_Type,0))*INDEX(Escalators!$I$44:$U$49,MATCH(BC$4,Escalators!$C$44:$C$49,0),MATCH(BC$5,Escalators!$I$43:$U$43,0))</f>
        <v>0</v>
      </c>
      <c r="BD14" s="128">
        <f>INDEX(Direct_Cost_Splits_Network,MATCH($H14,RIN_Asset_Cat_Network,0),MATCH($BE$4,Direct_Cost_Type,0))*$N14*INDEX(Act_Type_Repex_Splits,MATCH($I14,Act_Type_Repex,0),MATCH(BD$4,Mat_Type,0))*INDEX(Escalators!$I$44:$U$49,MATCH(BD$4,Escalators!$C$44:$C$49,0),MATCH(BD$5,Escalators!$I$43:$U$43,0))</f>
        <v>22.143313791876217</v>
      </c>
      <c r="BE14" s="128">
        <f t="shared" si="20"/>
        <v>27.67914223984527</v>
      </c>
      <c r="BF14" s="128">
        <f>INDEX(Direct_Cost_Splits_Network,MATCH($H14,RIN_Asset_Cat_Network,0),MATCH($BK$4,Direct_Cost_Type,0))*$O14*INDEX(Act_Type_Repex_Splits,MATCH($I14,Act_Type_Repex,0),MATCH(BF$4,Mat_Type,0))*INDEX(Escalators!$I$44:$U$49,MATCH(BF$4,Escalators!$C$44:$C$49,0),MATCH(BF$5,Escalators!$I$43:$U$43,0))</f>
        <v>0</v>
      </c>
      <c r="BG14" s="128">
        <f>INDEX(Direct_Cost_Splits_Network,MATCH($H14,RIN_Asset_Cat_Network,0),MATCH($BK$4,Direct_Cost_Type,0))*$O14*INDEX(Act_Type_Repex_Splits,MATCH($I14,Act_Type_Repex,0),MATCH(BG$4,Mat_Type,0))*INDEX(Escalators!$I$44:$U$49,MATCH(BG$4,Escalators!$C$44:$C$49,0),MATCH(BG$5,Escalators!$I$43:$U$43,0))</f>
        <v>0</v>
      </c>
      <c r="BH14" s="128">
        <f>INDEX(Direct_Cost_Splits_Network,MATCH($H14,RIN_Asset_Cat_Network,0),MATCH($BK$4,Direct_Cost_Type,0))*$O14*INDEX(Act_Type_Repex_Splits,MATCH($I14,Act_Type_Repex,0),MATCH(BH$4,Mat_Type,0))*INDEX(Escalators!$I$44:$U$49,MATCH(BH$4,Escalators!$C$44:$C$49,0),MATCH(BH$5,Escalators!$I$43:$U$43,0))</f>
        <v>5.5358284479690543</v>
      </c>
      <c r="BI14" s="128">
        <f>INDEX(Direct_Cost_Splits_Network,MATCH($H14,RIN_Asset_Cat_Network,0),MATCH($BK$4,Direct_Cost_Type,0))*$O14*INDEX(Act_Type_Repex_Splits,MATCH($I14,Act_Type_Repex,0),MATCH(BI$4,Mat_Type,0))*INDEX(Escalators!$I$44:$U$49,MATCH(BI$4,Escalators!$C$44:$C$49,0),MATCH(BI$5,Escalators!$I$43:$U$43,0))</f>
        <v>0</v>
      </c>
      <c r="BJ14" s="128">
        <f>INDEX(Direct_Cost_Splits_Network,MATCH($H14,RIN_Asset_Cat_Network,0),MATCH($BK$4,Direct_Cost_Type,0))*$O14*INDEX(Act_Type_Repex_Splits,MATCH($I14,Act_Type_Repex,0),MATCH(BJ$4,Mat_Type,0))*INDEX(Escalators!$I$44:$U$49,MATCH(BJ$4,Escalators!$C$44:$C$49,0),MATCH(BJ$5,Escalators!$I$43:$U$43,0))</f>
        <v>22.143313791876217</v>
      </c>
      <c r="BK14" s="128">
        <f t="shared" si="21"/>
        <v>27.67914223984527</v>
      </c>
      <c r="BL14" s="128">
        <f>INDEX(Direct_Cost_Splits_Network,MATCH($H14,RIN_Asset_Cat_Network,0),MATCH($BQ$4,Direct_Cost_Type,0))*$P14*INDEX(Act_Type_Repex_Splits,MATCH($I14,Act_Type_Repex,0),MATCH(BL$4,Mat_Type,0))*INDEX(Escalators!$I$44:$U$49,MATCH(BL$4,Escalators!$C$44:$C$49,0),MATCH(BL$5,Escalators!$I$43:$U$43,0))</f>
        <v>0</v>
      </c>
      <c r="BM14" s="128">
        <f>INDEX(Direct_Cost_Splits_Network,MATCH($H14,RIN_Asset_Cat_Network,0),MATCH($BQ$4,Direct_Cost_Type,0))*$P14*INDEX(Act_Type_Repex_Splits,MATCH($I14,Act_Type_Repex,0),MATCH(BM$4,Mat_Type,0))*INDEX(Escalators!$I$44:$U$49,MATCH(BM$4,Escalators!$C$44:$C$49,0),MATCH(BM$5,Escalators!$I$43:$U$43,0))</f>
        <v>0</v>
      </c>
      <c r="BN14" s="128">
        <f>INDEX(Direct_Cost_Splits_Network,MATCH($H14,RIN_Asset_Cat_Network,0),MATCH($BQ$4,Direct_Cost_Type,0))*$P14*INDEX(Act_Type_Repex_Splits,MATCH($I14,Act_Type_Repex,0),MATCH(BN$4,Mat_Type,0))*INDEX(Escalators!$I$44:$U$49,MATCH(BN$4,Escalators!$C$44:$C$49,0),MATCH(BN$5,Escalators!$I$43:$U$43,0))</f>
        <v>5.5358284479690543</v>
      </c>
      <c r="BO14" s="128">
        <f>INDEX(Direct_Cost_Splits_Network,MATCH($H14,RIN_Asset_Cat_Network,0),MATCH($BQ$4,Direct_Cost_Type,0))*$P14*INDEX(Act_Type_Repex_Splits,MATCH($I14,Act_Type_Repex,0),MATCH(BO$4,Mat_Type,0))*INDEX(Escalators!$I$44:$U$49,MATCH(BO$4,Escalators!$C$44:$C$49,0),MATCH(BO$5,Escalators!$I$43:$U$43,0))</f>
        <v>0</v>
      </c>
      <c r="BP14" s="128">
        <f>INDEX(Direct_Cost_Splits_Network,MATCH($H14,RIN_Asset_Cat_Network,0),MATCH($BQ$4,Direct_Cost_Type,0))*$P14*INDEX(Act_Type_Repex_Splits,MATCH($I14,Act_Type_Repex,0),MATCH(BP$4,Mat_Type,0))*INDEX(Escalators!$I$44:$U$49,MATCH(BP$4,Escalators!$C$44:$C$49,0),MATCH(BP$5,Escalators!$I$43:$U$43,0))</f>
        <v>22.143313791876217</v>
      </c>
      <c r="BQ14" s="128">
        <f t="shared" si="22"/>
        <v>27.67914223984527</v>
      </c>
      <c r="BR14" s="128">
        <f>INDEX(Direct_Cost_Splits_Network,MATCH($H14,RIN_Asset_Cat_Network,0),MATCH($BW$4,Direct_Cost_Type,0))*$Q14*INDEX(Act_Type_Repex_Splits,MATCH($I14,Act_Type_Repex,0),MATCH(BR$4,Mat_Type,0))*INDEX(Escalators!$I$44:$U$49,MATCH(BR$4,Escalators!$C$44:$C$49,0),MATCH(BR$5,Escalators!$I$43:$U$43,0))</f>
        <v>0</v>
      </c>
      <c r="BS14" s="128">
        <f>INDEX(Direct_Cost_Splits_Network,MATCH($H14,RIN_Asset_Cat_Network,0),MATCH($BW$4,Direct_Cost_Type,0))*$Q14*INDEX(Act_Type_Repex_Splits,MATCH($I14,Act_Type_Repex,0),MATCH(BS$4,Mat_Type,0))*INDEX(Escalators!$I$44:$U$49,MATCH(BS$4,Escalators!$C$44:$C$49,0),MATCH(BS$5,Escalators!$I$43:$U$43,0))</f>
        <v>0</v>
      </c>
      <c r="BT14" s="128">
        <f>INDEX(Direct_Cost_Splits_Network,MATCH($H14,RIN_Asset_Cat_Network,0),MATCH($BW$4,Direct_Cost_Type,0))*$Q14*INDEX(Act_Type_Repex_Splits,MATCH($I14,Act_Type_Repex,0),MATCH(BT$4,Mat_Type,0))*INDEX(Escalators!$I$44:$U$49,MATCH(BT$4,Escalators!$C$44:$C$49,0),MATCH(BT$5,Escalators!$I$43:$U$43,0))</f>
        <v>0</v>
      </c>
      <c r="BU14" s="128">
        <f>INDEX(Direct_Cost_Splits_Network,MATCH($H14,RIN_Asset_Cat_Network,0),MATCH($BW$4,Direct_Cost_Type,0))*$Q14*INDEX(Act_Type_Repex_Splits,MATCH($I14,Act_Type_Repex,0),MATCH(BU$4,Mat_Type,0))*INDEX(Escalators!$I$44:$U$49,MATCH(BU$4,Escalators!$C$44:$C$49,0),MATCH(BU$5,Escalators!$I$43:$U$43,0))</f>
        <v>0</v>
      </c>
      <c r="BV14" s="128">
        <f>INDEX(Direct_Cost_Splits_Network,MATCH($H14,RIN_Asset_Cat_Network,0),MATCH($BW$4,Direct_Cost_Type,0))*$Q14*INDEX(Act_Type_Repex_Splits,MATCH($I14,Act_Type_Repex,0),MATCH(BV$4,Mat_Type,0))*INDEX(Escalators!$I$44:$U$49,MATCH(BV$4,Escalators!$C$44:$C$49,0),MATCH(BV$5,Escalators!$I$43:$U$43,0))</f>
        <v>0</v>
      </c>
      <c r="BW14" s="128">
        <f t="shared" si="23"/>
        <v>0</v>
      </c>
      <c r="BX14" s="129"/>
      <c r="BY14" s="128">
        <f>INDEX(Direct_Cost_Splits_Network,MATCH($H14,RIN_Asset_Cat_Network,0),MATCH($BY$4,Direct_Cost_Type,0))*J14*HLOOKUP(BY$5,Escalators!$I$25:$U$30,6,FALSE)</f>
        <v>0</v>
      </c>
      <c r="BZ14" s="128">
        <f>INDEX(Direct_Cost_Splits_Network,MATCH($H14,RIN_Asset_Cat_Network,0),MATCH($BY$4,Direct_Cost_Type,0))*K14*HLOOKUP(BZ$5,Escalators!$I$25:$U$30,6,FALSE)</f>
        <v>0</v>
      </c>
      <c r="CA14" s="128">
        <f>INDEX(Direct_Cost_Splits_Network,MATCH($H14,RIN_Asset_Cat_Network,0),MATCH($BY$4,Direct_Cost_Type,0))*L14*HLOOKUP(CA$5,Escalators!$I$25:$U$30,6,FALSE)</f>
        <v>0</v>
      </c>
      <c r="CB14" s="128">
        <f>INDEX(Direct_Cost_Splits_Network,MATCH($H14,RIN_Asset_Cat_Network,0),MATCH($BY$4,Direct_Cost_Type,0))*M14*HLOOKUP(CB$5,Escalators!$I$25:$U$30,6,FALSE)</f>
        <v>74.148746075923441</v>
      </c>
      <c r="CC14" s="128">
        <f>INDEX(Direct_Cost_Splits_Network,MATCH($H14,RIN_Asset_Cat_Network,0),MATCH($BY$4,Direct_Cost_Type,0))*N14*HLOOKUP(CC$5,Escalators!$I$25:$U$30,6,FALSE)</f>
        <v>74.148746075923441</v>
      </c>
      <c r="CD14" s="128">
        <f>INDEX(Direct_Cost_Splits_Network,MATCH($H14,RIN_Asset_Cat_Network,0),MATCH($BY$4,Direct_Cost_Type,0))*O14*HLOOKUP(CD$5,Escalators!$I$25:$U$30,6,FALSE)</f>
        <v>74.148746075923441</v>
      </c>
      <c r="CE14" s="128">
        <f>INDEX(Direct_Cost_Splits_Network,MATCH($H14,RIN_Asset_Cat_Network,0),MATCH($BY$4,Direct_Cost_Type,0))*P14*HLOOKUP(CE$5,Escalators!$I$25:$U$30,6,FALSE)</f>
        <v>74.148746075923441</v>
      </c>
      <c r="CF14" s="128">
        <f>INDEX(Direct_Cost_Splits_Network,MATCH($H14,RIN_Asset_Cat_Network,0),MATCH($BY$4,Direct_Cost_Type,0))*Q14*HLOOKUP(CF$5,Escalators!$I$25:$U$30,6,FALSE)</f>
        <v>0</v>
      </c>
      <c r="CG14" s="129"/>
      <c r="CH14" s="763">
        <f t="shared" si="8"/>
        <v>0</v>
      </c>
      <c r="CI14" s="763">
        <f t="shared" si="9"/>
        <v>0</v>
      </c>
      <c r="CJ14" s="763">
        <f t="shared" si="10"/>
        <v>0</v>
      </c>
      <c r="CK14" s="763">
        <f t="shared" si="11"/>
        <v>11.474888249356736</v>
      </c>
      <c r="CL14" s="763">
        <f t="shared" si="12"/>
        <v>11.474888249356736</v>
      </c>
      <c r="CM14" s="763">
        <f t="shared" si="13"/>
        <v>11.474888249356736</v>
      </c>
      <c r="CN14" s="763">
        <f t="shared" si="14"/>
        <v>11.474888249356736</v>
      </c>
      <c r="CO14" s="763">
        <f t="shared" si="15"/>
        <v>0</v>
      </c>
      <c r="CP14" s="129"/>
      <c r="CQ14" s="128">
        <f t="shared" si="24"/>
        <v>0</v>
      </c>
      <c r="CR14" s="128">
        <f t="shared" si="25"/>
        <v>0</v>
      </c>
      <c r="CS14" s="128">
        <f t="shared" si="26"/>
        <v>0</v>
      </c>
      <c r="CT14" s="128">
        <f t="shared" si="27"/>
        <v>126.0989825014578</v>
      </c>
      <c r="CU14" s="128">
        <f t="shared" si="28"/>
        <v>126.06702095172447</v>
      </c>
      <c r="CV14" s="128">
        <f t="shared" si="29"/>
        <v>126.05775019725384</v>
      </c>
      <c r="CW14" s="128">
        <f t="shared" si="30"/>
        <v>126.10459600433207</v>
      </c>
      <c r="CX14" s="128">
        <f t="shared" si="31"/>
        <v>0</v>
      </c>
    </row>
    <row r="15" spans="2:102" x14ac:dyDescent="0.25">
      <c r="B15" s="7"/>
      <c r="C15" s="7" t="s">
        <v>444</v>
      </c>
      <c r="D15" s="7" t="s">
        <v>100</v>
      </c>
      <c r="E15" s="7" t="s">
        <v>44</v>
      </c>
      <c r="F15" s="7" t="s">
        <v>130</v>
      </c>
      <c r="G15" s="7" t="s">
        <v>150</v>
      </c>
      <c r="H15" s="7" t="s">
        <v>5</v>
      </c>
      <c r="I15" s="7" t="s">
        <v>204</v>
      </c>
      <c r="J15" s="45"/>
      <c r="K15" s="45"/>
      <c r="L15" s="45"/>
      <c r="M15" s="128">
        <v>283.21199999999999</v>
      </c>
      <c r="N15" s="128">
        <v>283.21199999999999</v>
      </c>
      <c r="O15" s="128">
        <v>283.21199999999999</v>
      </c>
      <c r="P15" s="128">
        <v>283.21199999999999</v>
      </c>
      <c r="Q15" s="128">
        <v>0</v>
      </c>
      <c r="R15" s="129"/>
      <c r="S15" s="128">
        <f>INDEX(Direct_Cost_Splits_Network,MATCH($H15,RIN_Asset_Cat_Network,0),MATCH($S$4,Direct_Cost_Type,0))*J15*HLOOKUP(S$5,Escalators!$I$25:$U$30,3,FALSE)</f>
        <v>0</v>
      </c>
      <c r="T15" s="128">
        <f>INDEX(Direct_Cost_Splits_Network,MATCH($H15,RIN_Asset_Cat_Network,0),MATCH($S$4,Direct_Cost_Type,0))*K15*HLOOKUP(T$5,Escalators!$I$25:$U$30,3,FALSE)</f>
        <v>0</v>
      </c>
      <c r="U15" s="128">
        <f>INDEX(Direct_Cost_Splits_Network,MATCH($H15,RIN_Asset_Cat_Network,0),MATCH($S$4,Direct_Cost_Type,0))*L15*HLOOKUP(U$5,Escalators!$I$25:$U$30,3,FALSE)</f>
        <v>0</v>
      </c>
      <c r="V15" s="128">
        <f>INDEX(Direct_Cost_Splits_Network,MATCH($H15,RIN_Asset_Cat_Network,0),MATCH($S$4,Direct_Cost_Type,0))*M15*HLOOKUP(V$5,Escalators!$I$25:$U$30,3,FALSE)</f>
        <v>28.791463356747798</v>
      </c>
      <c r="W15" s="128">
        <f>INDEX(Direct_Cost_Splits_Network,MATCH($H15,RIN_Asset_Cat_Network,0),MATCH($S$4,Direct_Cost_Type,0))*N15*HLOOKUP(W$5,Escalators!$I$25:$U$30,3,FALSE)</f>
        <v>28.71954986984781</v>
      </c>
      <c r="X15" s="128">
        <f>INDEX(Direct_Cost_Splits_Network,MATCH($H15,RIN_Asset_Cat_Network,0),MATCH($S$4,Direct_Cost_Type,0))*O15*HLOOKUP(X$5,Escalators!$I$25:$U$30,3,FALSE)</f>
        <v>28.698690672288851</v>
      </c>
      <c r="Y15" s="128">
        <f>INDEX(Direct_Cost_Splits_Network,MATCH($H15,RIN_Asset_Cat_Network,0),MATCH($S$4,Direct_Cost_Type,0))*P15*HLOOKUP(Y$5,Escalators!$I$25:$U$30,3,FALSE)</f>
        <v>28.804093738214892</v>
      </c>
      <c r="Z15" s="128">
        <f>INDEX(Direct_Cost_Splits_Network,MATCH($H15,RIN_Asset_Cat_Network,0),MATCH($S$4,Direct_Cost_Type,0))*Q15*HLOOKUP(Z$5,Escalators!$I$25:$U$30,3,FALSE)</f>
        <v>0</v>
      </c>
      <c r="AA15" s="129"/>
      <c r="AB15" s="75">
        <f>INDEX(Direct_Cost_Splits_Network,MATCH($H15,RIN_Asset_Cat_Network,0),MATCH($AG$4,Direct_Cost_Type,0))*$J15*INDEX(Act_Type_Repex_Splits,MATCH($I15,Act_Type_Repex,0),MATCH(AB$4,Mat_Type,0))*INDEX(Escalators!$I$44:$Q$49,MATCH(AB$4,Escalators!$C$44:$C$49,0),MATCH(AB$5,Escalators!$I$43:$Q$43,0))</f>
        <v>0</v>
      </c>
      <c r="AC15" s="75">
        <f>INDEX(Direct_Cost_Splits_Network,MATCH($H15,RIN_Asset_Cat_Network,0),MATCH($AG$4,Direct_Cost_Type,0))*$J15*INDEX(Act_Type_Repex_Splits,MATCH($I15,Act_Type_Repex,0),MATCH(AC$4,Mat_Type,0))*INDEX(Escalators!$I$44:$Q$49,MATCH(AC$4,Escalators!$C$44:$C$49,0),MATCH(AC$5,Escalators!$I$43:$Q$43,0))</f>
        <v>0</v>
      </c>
      <c r="AD15" s="75">
        <f>INDEX(Direct_Cost_Splits_Network,MATCH($H15,RIN_Asset_Cat_Network,0),MATCH($AG$4,Direct_Cost_Type,0))*$J15*INDEX(Act_Type_Repex_Splits,MATCH($I15,Act_Type_Repex,0),MATCH(AD$4,Mat_Type,0))*INDEX(Escalators!$I$44:$Q$49,MATCH(AD$4,Escalators!$C$44:$C$49,0),MATCH(AD$5,Escalators!$I$43:$Q$43,0))</f>
        <v>0</v>
      </c>
      <c r="AE15" s="75">
        <f>INDEX(Direct_Cost_Splits_Network,MATCH($H15,RIN_Asset_Cat_Network,0),MATCH($AG$4,Direct_Cost_Type,0))*$J15*INDEX(Act_Type_Repex_Splits,MATCH($I15,Act_Type_Repex,0),MATCH(AE$4,Mat_Type,0))*INDEX(Escalators!$I$44:$Q$49,MATCH(AE$4,Escalators!$C$44:$C$49,0),MATCH(AE$5,Escalators!$I$43:$Q$43,0))</f>
        <v>0</v>
      </c>
      <c r="AF15" s="75">
        <f>INDEX(Direct_Cost_Splits_Network,MATCH($H15,RIN_Asset_Cat_Network,0),MATCH($AG$4,Direct_Cost_Type,0))*$J15*INDEX(Act_Type_Repex_Splits,MATCH($I15,Act_Type_Repex,0),MATCH(AF$4,Mat_Type,0))*INDEX(Escalators!$I$44:$Q$49,MATCH(AF$4,Escalators!$C$44:$C$49,0),MATCH(AF$5,Escalators!$I$43:$Q$43,0))</f>
        <v>0</v>
      </c>
      <c r="AG15" s="128">
        <f t="shared" si="16"/>
        <v>0</v>
      </c>
      <c r="AH15" s="128">
        <f>INDEX(Direct_Cost_Splits_Network,MATCH($H15,RIN_Asset_Cat_Network,0),MATCH($AY$4,Direct_Cost_Type,0))*$K15*INDEX(Act_Type_Repex_Splits,MATCH($I15,Act_Type_Repex,0),MATCH(AH$4,Mat_Type,0))*INDEX(Escalators!$I$44:$U$49,MATCH(AH$4,Escalators!$C$44:$C$49,0),MATCH(AH$5,Escalators!$I$43:$U$43,0))</f>
        <v>0</v>
      </c>
      <c r="AI15" s="128">
        <f>INDEX(Direct_Cost_Splits_Network,MATCH($H15,RIN_Asset_Cat_Network,0),MATCH($AY$4,Direct_Cost_Type,0))*$K15*INDEX(Act_Type_Repex_Splits,MATCH($I15,Act_Type_Repex,0),MATCH(AI$4,Mat_Type,0))*INDEX(Escalators!$I$44:$U$49,MATCH(AI$4,Escalators!$C$44:$C$49,0),MATCH(AI$5,Escalators!$I$43:$U$43,0))</f>
        <v>0</v>
      </c>
      <c r="AJ15" s="128">
        <f>INDEX(Direct_Cost_Splits_Network,MATCH($H15,RIN_Asset_Cat_Network,0),MATCH($AY$4,Direct_Cost_Type,0))*$K15*INDEX(Act_Type_Repex_Splits,MATCH($I15,Act_Type_Repex,0),MATCH(AJ$4,Mat_Type,0))*INDEX(Escalators!$I$44:$U$49,MATCH(AJ$4,Escalators!$C$44:$C$49,0),MATCH(AJ$5,Escalators!$I$43:$U$43,0))</f>
        <v>0</v>
      </c>
      <c r="AK15" s="128">
        <f>INDEX(Direct_Cost_Splits_Network,MATCH($H15,RIN_Asset_Cat_Network,0),MATCH($AY$4,Direct_Cost_Type,0))*$K15*INDEX(Act_Type_Repex_Splits,MATCH($I15,Act_Type_Repex,0),MATCH(AK$4,Mat_Type,0))*INDEX(Escalators!$I$44:$U$49,MATCH(AK$4,Escalators!$C$44:$C$49,0),MATCH(AK$5,Escalators!$I$43:$U$43,0))</f>
        <v>0</v>
      </c>
      <c r="AL15" s="128">
        <f>INDEX(Direct_Cost_Splits_Network,MATCH($H15,RIN_Asset_Cat_Network,0),MATCH($AY$4,Direct_Cost_Type,0))*$K15*INDEX(Act_Type_Repex_Splits,MATCH($I15,Act_Type_Repex,0),MATCH(AL$4,Mat_Type,0))*INDEX(Escalators!$I$44:$U$49,MATCH(AL$4,Escalators!$C$44:$C$49,0),MATCH(AL$5,Escalators!$I$43:$U$43,0))</f>
        <v>0</v>
      </c>
      <c r="AM15" s="128">
        <f t="shared" si="17"/>
        <v>0</v>
      </c>
      <c r="AN15" s="128">
        <f>INDEX(Direct_Cost_Splits_Network,MATCH($H15,RIN_Asset_Cat_Network,0),MATCH($AY$4,Direct_Cost_Type,0))*$L15*INDEX(Act_Type_Repex_Splits,MATCH($I15,Act_Type_Repex,0),MATCH(AN$4,Mat_Type,0))*INDEX(Escalators!$I$44:$U$49,MATCH(AN$4,Escalators!$C$44:$C$49,0),MATCH(AN$5,Escalators!$I$43:$U$43,0))</f>
        <v>0</v>
      </c>
      <c r="AO15" s="128">
        <f>INDEX(Direct_Cost_Splits_Network,MATCH($H15,RIN_Asset_Cat_Network,0),MATCH($AY$4,Direct_Cost_Type,0))*$L15*INDEX(Act_Type_Repex_Splits,MATCH($I15,Act_Type_Repex,0),MATCH(AO$4,Mat_Type,0))*INDEX(Escalators!$I$44:$U$49,MATCH(AO$4,Escalators!$C$44:$C$49,0),MATCH(AO$5,Escalators!$I$43:$U$43,0))</f>
        <v>0</v>
      </c>
      <c r="AP15" s="128">
        <f>INDEX(Direct_Cost_Splits_Network,MATCH($H15,RIN_Asset_Cat_Network,0),MATCH($AY$4,Direct_Cost_Type,0))*$L15*INDEX(Act_Type_Repex_Splits,MATCH($I15,Act_Type_Repex,0),MATCH(AP$4,Mat_Type,0))*INDEX(Escalators!$I$44:$U$49,MATCH(AP$4,Escalators!$C$44:$C$49,0),MATCH(AP$5,Escalators!$I$43:$U$43,0))</f>
        <v>0</v>
      </c>
      <c r="AQ15" s="128">
        <f>INDEX(Direct_Cost_Splits_Network,MATCH($H15,RIN_Asset_Cat_Network,0),MATCH($AY$4,Direct_Cost_Type,0))*$L15*INDEX(Act_Type_Repex_Splits,MATCH($I15,Act_Type_Repex,0),MATCH(AQ$4,Mat_Type,0))*INDEX(Escalators!$I$44:$U$49,MATCH(AQ$4,Escalators!$C$44:$C$49,0),MATCH(AQ$5,Escalators!$I$43:$U$43,0))</f>
        <v>0</v>
      </c>
      <c r="AR15" s="128">
        <f>INDEX(Direct_Cost_Splits_Network,MATCH($H15,RIN_Asset_Cat_Network,0),MATCH($AY$4,Direct_Cost_Type,0))*$L15*INDEX(Act_Type_Repex_Splits,MATCH($I15,Act_Type_Repex,0),MATCH(AR$4,Mat_Type,0))*INDEX(Escalators!$I$44:$U$49,MATCH(AR$4,Escalators!$C$44:$C$49,0),MATCH(AR$5,Escalators!$I$43:$U$43,0))</f>
        <v>0</v>
      </c>
      <c r="AS15" s="128">
        <f t="shared" si="18"/>
        <v>0</v>
      </c>
      <c r="AT15" s="128">
        <f>INDEX(Direct_Cost_Splits_Network,MATCH($H15,RIN_Asset_Cat_Network,0),MATCH($AY$4,Direct_Cost_Type,0))*$M15*INDEX(Act_Type_Repex_Splits,MATCH($I15,Act_Type_Repex,0),MATCH(AT$4,Mat_Type,0))*INDEX(Escalators!$I$44:$U$49,MATCH(AT$4,Escalators!$C$44:$C$49,0),MATCH(AT$5,Escalators!$I$43:$U$43,0))</f>
        <v>0</v>
      </c>
      <c r="AU15" s="128">
        <f>INDEX(Direct_Cost_Splits_Network,MATCH($H15,RIN_Asset_Cat_Network,0),MATCH($AY$4,Direct_Cost_Type,0))*$M15*INDEX(Act_Type_Repex_Splits,MATCH($I15,Act_Type_Repex,0),MATCH(AU$4,Mat_Type,0))*INDEX(Escalators!$I$44:$U$49,MATCH(AU$4,Escalators!$C$44:$C$49,0),MATCH(AU$5,Escalators!$I$43:$U$43,0))</f>
        <v>0</v>
      </c>
      <c r="AV15" s="128">
        <f>INDEX(Direct_Cost_Splits_Network,MATCH($H15,RIN_Asset_Cat_Network,0),MATCH($AY$4,Direct_Cost_Type,0))*$M15*INDEX(Act_Type_Repex_Splits,MATCH($I15,Act_Type_Repex,0),MATCH(AV$4,Mat_Type,0))*INDEX(Escalators!$I$44:$U$49,MATCH(AV$4,Escalators!$C$44:$C$49,0),MATCH(AV$5,Escalators!$I$43:$U$43,0))</f>
        <v>12.45561400793037</v>
      </c>
      <c r="AW15" s="128">
        <f>INDEX(Direct_Cost_Splits_Network,MATCH($H15,RIN_Asset_Cat_Network,0),MATCH($AY$4,Direct_Cost_Type,0))*$M15*INDEX(Act_Type_Repex_Splits,MATCH($I15,Act_Type_Repex,0),MATCH(AW$4,Mat_Type,0))*INDEX(Escalators!$I$44:$U$49,MATCH(AW$4,Escalators!$C$44:$C$49,0),MATCH(AW$5,Escalators!$I$43:$U$43,0))</f>
        <v>0</v>
      </c>
      <c r="AX15" s="128">
        <f>INDEX(Direct_Cost_Splits_Network,MATCH($H15,RIN_Asset_Cat_Network,0),MATCH($AY$4,Direct_Cost_Type,0))*$M15*INDEX(Act_Type_Repex_Splits,MATCH($I15,Act_Type_Repex,0),MATCH(AX$4,Mat_Type,0))*INDEX(Escalators!$I$44:$U$49,MATCH(AX$4,Escalators!$C$44:$C$49,0),MATCH(AX$5,Escalators!$I$43:$U$43,0))</f>
        <v>49.82245603172148</v>
      </c>
      <c r="AY15" s="128">
        <f t="shared" si="19"/>
        <v>62.278070039651851</v>
      </c>
      <c r="AZ15" s="128">
        <f>INDEX(Direct_Cost_Splits_Network,MATCH($H15,RIN_Asset_Cat_Network,0),MATCH($BE$4,Direct_Cost_Type,0))*$N15*INDEX(Act_Type_Repex_Splits,MATCH($I15,Act_Type_Repex,0),MATCH(AZ$4,Mat_Type,0))*INDEX(Escalators!$I$44:$U$49,MATCH(AZ$4,Escalators!$C$44:$C$49,0),MATCH(AZ$5,Escalators!$I$43:$U$43,0))</f>
        <v>0</v>
      </c>
      <c r="BA15" s="128">
        <f>INDEX(Direct_Cost_Splits_Network,MATCH($H15,RIN_Asset_Cat_Network,0),MATCH($BE$4,Direct_Cost_Type,0))*$N15*INDEX(Act_Type_Repex_Splits,MATCH($I15,Act_Type_Repex,0),MATCH(BA$4,Mat_Type,0))*INDEX(Escalators!$I$44:$U$49,MATCH(BA$4,Escalators!$C$44:$C$49,0),MATCH(BA$5,Escalators!$I$43:$U$43,0))</f>
        <v>0</v>
      </c>
      <c r="BB15" s="128">
        <f>INDEX(Direct_Cost_Splits_Network,MATCH($H15,RIN_Asset_Cat_Network,0),MATCH($BE$4,Direct_Cost_Type,0))*$N15*INDEX(Act_Type_Repex_Splits,MATCH($I15,Act_Type_Repex,0),MATCH(BB$4,Mat_Type,0))*INDEX(Escalators!$I$44:$U$49,MATCH(BB$4,Escalators!$C$44:$C$49,0),MATCH(BB$5,Escalators!$I$43:$U$43,0))</f>
        <v>12.45561400793037</v>
      </c>
      <c r="BC15" s="128">
        <f>INDEX(Direct_Cost_Splits_Network,MATCH($H15,RIN_Asset_Cat_Network,0),MATCH($BE$4,Direct_Cost_Type,0))*$N15*INDEX(Act_Type_Repex_Splits,MATCH($I15,Act_Type_Repex,0),MATCH(BC$4,Mat_Type,0))*INDEX(Escalators!$I$44:$U$49,MATCH(BC$4,Escalators!$C$44:$C$49,0),MATCH(BC$5,Escalators!$I$43:$U$43,0))</f>
        <v>0</v>
      </c>
      <c r="BD15" s="128">
        <f>INDEX(Direct_Cost_Splits_Network,MATCH($H15,RIN_Asset_Cat_Network,0),MATCH($BE$4,Direct_Cost_Type,0))*$N15*INDEX(Act_Type_Repex_Splits,MATCH($I15,Act_Type_Repex,0),MATCH(BD$4,Mat_Type,0))*INDEX(Escalators!$I$44:$U$49,MATCH(BD$4,Escalators!$C$44:$C$49,0),MATCH(BD$5,Escalators!$I$43:$U$43,0))</f>
        <v>49.82245603172148</v>
      </c>
      <c r="BE15" s="128">
        <f t="shared" si="20"/>
        <v>62.278070039651851</v>
      </c>
      <c r="BF15" s="128">
        <f>INDEX(Direct_Cost_Splits_Network,MATCH($H15,RIN_Asset_Cat_Network,0),MATCH($BK$4,Direct_Cost_Type,0))*$O15*INDEX(Act_Type_Repex_Splits,MATCH($I15,Act_Type_Repex,0),MATCH(BF$4,Mat_Type,0))*INDEX(Escalators!$I$44:$U$49,MATCH(BF$4,Escalators!$C$44:$C$49,0),MATCH(BF$5,Escalators!$I$43:$U$43,0))</f>
        <v>0</v>
      </c>
      <c r="BG15" s="128">
        <f>INDEX(Direct_Cost_Splits_Network,MATCH($H15,RIN_Asset_Cat_Network,0),MATCH($BK$4,Direct_Cost_Type,0))*$O15*INDEX(Act_Type_Repex_Splits,MATCH($I15,Act_Type_Repex,0),MATCH(BG$4,Mat_Type,0))*INDEX(Escalators!$I$44:$U$49,MATCH(BG$4,Escalators!$C$44:$C$49,0),MATCH(BG$5,Escalators!$I$43:$U$43,0))</f>
        <v>0</v>
      </c>
      <c r="BH15" s="128">
        <f>INDEX(Direct_Cost_Splits_Network,MATCH($H15,RIN_Asset_Cat_Network,0),MATCH($BK$4,Direct_Cost_Type,0))*$O15*INDEX(Act_Type_Repex_Splits,MATCH($I15,Act_Type_Repex,0),MATCH(BH$4,Mat_Type,0))*INDEX(Escalators!$I$44:$U$49,MATCH(BH$4,Escalators!$C$44:$C$49,0),MATCH(BH$5,Escalators!$I$43:$U$43,0))</f>
        <v>12.45561400793037</v>
      </c>
      <c r="BI15" s="128">
        <f>INDEX(Direct_Cost_Splits_Network,MATCH($H15,RIN_Asset_Cat_Network,0),MATCH($BK$4,Direct_Cost_Type,0))*$O15*INDEX(Act_Type_Repex_Splits,MATCH($I15,Act_Type_Repex,0),MATCH(BI$4,Mat_Type,0))*INDEX(Escalators!$I$44:$U$49,MATCH(BI$4,Escalators!$C$44:$C$49,0),MATCH(BI$5,Escalators!$I$43:$U$43,0))</f>
        <v>0</v>
      </c>
      <c r="BJ15" s="128">
        <f>INDEX(Direct_Cost_Splits_Network,MATCH($H15,RIN_Asset_Cat_Network,0),MATCH($BK$4,Direct_Cost_Type,0))*$O15*INDEX(Act_Type_Repex_Splits,MATCH($I15,Act_Type_Repex,0),MATCH(BJ$4,Mat_Type,0))*INDEX(Escalators!$I$44:$U$49,MATCH(BJ$4,Escalators!$C$44:$C$49,0),MATCH(BJ$5,Escalators!$I$43:$U$43,0))</f>
        <v>49.82245603172148</v>
      </c>
      <c r="BK15" s="128">
        <f t="shared" si="21"/>
        <v>62.278070039651851</v>
      </c>
      <c r="BL15" s="128">
        <f>INDEX(Direct_Cost_Splits_Network,MATCH($H15,RIN_Asset_Cat_Network,0),MATCH($BQ$4,Direct_Cost_Type,0))*$P15*INDEX(Act_Type_Repex_Splits,MATCH($I15,Act_Type_Repex,0),MATCH(BL$4,Mat_Type,0))*INDEX(Escalators!$I$44:$U$49,MATCH(BL$4,Escalators!$C$44:$C$49,0),MATCH(BL$5,Escalators!$I$43:$U$43,0))</f>
        <v>0</v>
      </c>
      <c r="BM15" s="128">
        <f>INDEX(Direct_Cost_Splits_Network,MATCH($H15,RIN_Asset_Cat_Network,0),MATCH($BQ$4,Direct_Cost_Type,0))*$P15*INDEX(Act_Type_Repex_Splits,MATCH($I15,Act_Type_Repex,0),MATCH(BM$4,Mat_Type,0))*INDEX(Escalators!$I$44:$U$49,MATCH(BM$4,Escalators!$C$44:$C$49,0),MATCH(BM$5,Escalators!$I$43:$U$43,0))</f>
        <v>0</v>
      </c>
      <c r="BN15" s="128">
        <f>INDEX(Direct_Cost_Splits_Network,MATCH($H15,RIN_Asset_Cat_Network,0),MATCH($BQ$4,Direct_Cost_Type,0))*$P15*INDEX(Act_Type_Repex_Splits,MATCH($I15,Act_Type_Repex,0),MATCH(BN$4,Mat_Type,0))*INDEX(Escalators!$I$44:$U$49,MATCH(BN$4,Escalators!$C$44:$C$49,0),MATCH(BN$5,Escalators!$I$43:$U$43,0))</f>
        <v>12.45561400793037</v>
      </c>
      <c r="BO15" s="128">
        <f>INDEX(Direct_Cost_Splits_Network,MATCH($H15,RIN_Asset_Cat_Network,0),MATCH($BQ$4,Direct_Cost_Type,0))*$P15*INDEX(Act_Type_Repex_Splits,MATCH($I15,Act_Type_Repex,0),MATCH(BO$4,Mat_Type,0))*INDEX(Escalators!$I$44:$U$49,MATCH(BO$4,Escalators!$C$44:$C$49,0),MATCH(BO$5,Escalators!$I$43:$U$43,0))</f>
        <v>0</v>
      </c>
      <c r="BP15" s="128">
        <f>INDEX(Direct_Cost_Splits_Network,MATCH($H15,RIN_Asset_Cat_Network,0),MATCH($BQ$4,Direct_Cost_Type,0))*$P15*INDEX(Act_Type_Repex_Splits,MATCH($I15,Act_Type_Repex,0),MATCH(BP$4,Mat_Type,0))*INDEX(Escalators!$I$44:$U$49,MATCH(BP$4,Escalators!$C$44:$C$49,0),MATCH(BP$5,Escalators!$I$43:$U$43,0))</f>
        <v>49.82245603172148</v>
      </c>
      <c r="BQ15" s="128">
        <f t="shared" si="22"/>
        <v>62.278070039651851</v>
      </c>
      <c r="BR15" s="128">
        <f>INDEX(Direct_Cost_Splits_Network,MATCH($H15,RIN_Asset_Cat_Network,0),MATCH($BW$4,Direct_Cost_Type,0))*$Q15*INDEX(Act_Type_Repex_Splits,MATCH($I15,Act_Type_Repex,0),MATCH(BR$4,Mat_Type,0))*INDEX(Escalators!$I$44:$U$49,MATCH(BR$4,Escalators!$C$44:$C$49,0),MATCH(BR$5,Escalators!$I$43:$U$43,0))</f>
        <v>0</v>
      </c>
      <c r="BS15" s="128">
        <f>INDEX(Direct_Cost_Splits_Network,MATCH($H15,RIN_Asset_Cat_Network,0),MATCH($BW$4,Direct_Cost_Type,0))*$Q15*INDEX(Act_Type_Repex_Splits,MATCH($I15,Act_Type_Repex,0),MATCH(BS$4,Mat_Type,0))*INDEX(Escalators!$I$44:$U$49,MATCH(BS$4,Escalators!$C$44:$C$49,0),MATCH(BS$5,Escalators!$I$43:$U$43,0))</f>
        <v>0</v>
      </c>
      <c r="BT15" s="128">
        <f>INDEX(Direct_Cost_Splits_Network,MATCH($H15,RIN_Asset_Cat_Network,0),MATCH($BW$4,Direct_Cost_Type,0))*$Q15*INDEX(Act_Type_Repex_Splits,MATCH($I15,Act_Type_Repex,0),MATCH(BT$4,Mat_Type,0))*INDEX(Escalators!$I$44:$U$49,MATCH(BT$4,Escalators!$C$44:$C$49,0),MATCH(BT$5,Escalators!$I$43:$U$43,0))</f>
        <v>0</v>
      </c>
      <c r="BU15" s="128">
        <f>INDEX(Direct_Cost_Splits_Network,MATCH($H15,RIN_Asset_Cat_Network,0),MATCH($BW$4,Direct_Cost_Type,0))*$Q15*INDEX(Act_Type_Repex_Splits,MATCH($I15,Act_Type_Repex,0),MATCH(BU$4,Mat_Type,0))*INDEX(Escalators!$I$44:$U$49,MATCH(BU$4,Escalators!$C$44:$C$49,0),MATCH(BU$5,Escalators!$I$43:$U$43,0))</f>
        <v>0</v>
      </c>
      <c r="BV15" s="128">
        <f>INDEX(Direct_Cost_Splits_Network,MATCH($H15,RIN_Asset_Cat_Network,0),MATCH($BW$4,Direct_Cost_Type,0))*$Q15*INDEX(Act_Type_Repex_Splits,MATCH($I15,Act_Type_Repex,0),MATCH(BV$4,Mat_Type,0))*INDEX(Escalators!$I$44:$U$49,MATCH(BV$4,Escalators!$C$44:$C$49,0),MATCH(BV$5,Escalators!$I$43:$U$43,0))</f>
        <v>0</v>
      </c>
      <c r="BW15" s="128">
        <f t="shared" si="23"/>
        <v>0</v>
      </c>
      <c r="BX15" s="129"/>
      <c r="BY15" s="128">
        <f>INDEX(Direct_Cost_Splits_Network,MATCH($H15,RIN_Asset_Cat_Network,0),MATCH($BY$4,Direct_Cost_Type,0))*J15*HLOOKUP(BY$5,Escalators!$I$25:$U$30,6,FALSE)</f>
        <v>0</v>
      </c>
      <c r="BZ15" s="128">
        <f>INDEX(Direct_Cost_Splits_Network,MATCH($H15,RIN_Asset_Cat_Network,0),MATCH($BY$4,Direct_Cost_Type,0))*K15*HLOOKUP(BZ$5,Escalators!$I$25:$U$30,6,FALSE)</f>
        <v>0</v>
      </c>
      <c r="CA15" s="128">
        <f>INDEX(Direct_Cost_Splits_Network,MATCH($H15,RIN_Asset_Cat_Network,0),MATCH($BY$4,Direct_Cost_Type,0))*L15*HLOOKUP(CA$5,Escalators!$I$25:$U$30,6,FALSE)</f>
        <v>0</v>
      </c>
      <c r="CB15" s="128">
        <f>INDEX(Direct_Cost_Splits_Network,MATCH($H15,RIN_Asset_Cat_Network,0),MATCH($BY$4,Direct_Cost_Type,0))*M15*HLOOKUP(CB$5,Escalators!$I$25:$U$30,6,FALSE)</f>
        <v>166.83467867082771</v>
      </c>
      <c r="CC15" s="128">
        <f>INDEX(Direct_Cost_Splits_Network,MATCH($H15,RIN_Asset_Cat_Network,0),MATCH($BY$4,Direct_Cost_Type,0))*N15*HLOOKUP(CC$5,Escalators!$I$25:$U$30,6,FALSE)</f>
        <v>166.83467867082771</v>
      </c>
      <c r="CD15" s="128">
        <f>INDEX(Direct_Cost_Splits_Network,MATCH($H15,RIN_Asset_Cat_Network,0),MATCH($BY$4,Direct_Cost_Type,0))*O15*HLOOKUP(CD$5,Escalators!$I$25:$U$30,6,FALSE)</f>
        <v>166.83467867082771</v>
      </c>
      <c r="CE15" s="128">
        <f>INDEX(Direct_Cost_Splits_Network,MATCH($H15,RIN_Asset_Cat_Network,0),MATCH($BY$4,Direct_Cost_Type,0))*P15*HLOOKUP(CE$5,Escalators!$I$25:$U$30,6,FALSE)</f>
        <v>166.83467867082771</v>
      </c>
      <c r="CF15" s="128">
        <f>INDEX(Direct_Cost_Splits_Network,MATCH($H15,RIN_Asset_Cat_Network,0),MATCH($BY$4,Direct_Cost_Type,0))*Q15*HLOOKUP(CF$5,Escalators!$I$25:$U$30,6,FALSE)</f>
        <v>0</v>
      </c>
      <c r="CG15" s="129"/>
      <c r="CH15" s="763">
        <f t="shared" si="8"/>
        <v>0</v>
      </c>
      <c r="CI15" s="763">
        <f t="shared" si="9"/>
        <v>0</v>
      </c>
      <c r="CJ15" s="763">
        <f t="shared" si="10"/>
        <v>0</v>
      </c>
      <c r="CK15" s="763">
        <f t="shared" si="11"/>
        <v>25.818498561052653</v>
      </c>
      <c r="CL15" s="763">
        <f t="shared" si="12"/>
        <v>25.818498561052653</v>
      </c>
      <c r="CM15" s="763">
        <f t="shared" si="13"/>
        <v>25.818498561052653</v>
      </c>
      <c r="CN15" s="763">
        <f t="shared" si="14"/>
        <v>25.818498561052653</v>
      </c>
      <c r="CO15" s="763">
        <f t="shared" si="15"/>
        <v>0</v>
      </c>
      <c r="CP15" s="129"/>
      <c r="CQ15" s="128">
        <f t="shared" si="24"/>
        <v>0</v>
      </c>
      <c r="CR15" s="128">
        <f t="shared" si="25"/>
        <v>0</v>
      </c>
      <c r="CS15" s="128">
        <f t="shared" si="26"/>
        <v>0</v>
      </c>
      <c r="CT15" s="128">
        <f t="shared" si="27"/>
        <v>283.72271062828003</v>
      </c>
      <c r="CU15" s="128">
        <f t="shared" si="28"/>
        <v>283.65079714138</v>
      </c>
      <c r="CV15" s="128">
        <f t="shared" si="29"/>
        <v>283.62993794382106</v>
      </c>
      <c r="CW15" s="128">
        <f t="shared" si="30"/>
        <v>283.73534100974712</v>
      </c>
      <c r="CX15" s="128">
        <f t="shared" si="31"/>
        <v>0</v>
      </c>
    </row>
    <row r="16" spans="2:102" x14ac:dyDescent="0.25">
      <c r="B16" s="7"/>
      <c r="C16" s="7"/>
      <c r="D16" s="7"/>
      <c r="E16" s="7"/>
      <c r="F16" s="7"/>
      <c r="G16" s="7"/>
      <c r="H16" s="7"/>
      <c r="I16" s="7"/>
      <c r="J16" s="45"/>
      <c r="K16" s="45"/>
      <c r="L16" s="45"/>
      <c r="M16" s="45"/>
      <c r="N16" s="45"/>
      <c r="O16" s="45"/>
      <c r="P16" s="45"/>
      <c r="Q16" s="45"/>
      <c r="S16" s="47"/>
      <c r="T16" s="47"/>
      <c r="U16" s="47"/>
      <c r="V16" s="47"/>
      <c r="W16" s="47"/>
      <c r="X16" s="47"/>
      <c r="Y16" s="47"/>
      <c r="Z16" s="47"/>
      <c r="AB16" s="6"/>
      <c r="AC16" s="6"/>
      <c r="AD16" s="6"/>
      <c r="AE16" s="6"/>
      <c r="AF16" s="6"/>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Y16" s="47"/>
      <c r="BZ16" s="47"/>
      <c r="CA16" s="47"/>
      <c r="CB16" s="47"/>
      <c r="CC16" s="47"/>
      <c r="CD16" s="47"/>
      <c r="CE16" s="47"/>
      <c r="CF16" s="47"/>
      <c r="CH16" s="82"/>
      <c r="CI16" s="82"/>
      <c r="CJ16" s="82"/>
      <c r="CK16" s="82"/>
      <c r="CL16" s="82"/>
      <c r="CM16" s="82"/>
      <c r="CN16" s="82"/>
      <c r="CO16" s="82"/>
      <c r="CQ16" s="47">
        <f t="shared" si="24"/>
        <v>0</v>
      </c>
      <c r="CR16" s="47">
        <f t="shared" si="25"/>
        <v>0</v>
      </c>
      <c r="CS16" s="47">
        <f t="shared" si="26"/>
        <v>0</v>
      </c>
      <c r="CT16" s="47">
        <f t="shared" si="27"/>
        <v>0</v>
      </c>
      <c r="CU16" s="47">
        <f t="shared" si="28"/>
        <v>0</v>
      </c>
      <c r="CV16" s="47">
        <f t="shared" si="29"/>
        <v>0</v>
      </c>
      <c r="CW16" s="47">
        <f t="shared" si="30"/>
        <v>0</v>
      </c>
      <c r="CX16" s="47">
        <f t="shared" si="31"/>
        <v>0</v>
      </c>
    </row>
    <row r="17" spans="2:102" x14ac:dyDescent="0.25">
      <c r="B17" s="7"/>
      <c r="C17" s="7"/>
      <c r="D17" s="7"/>
      <c r="E17" s="7"/>
      <c r="F17" s="7"/>
      <c r="G17" s="7"/>
      <c r="H17" s="7"/>
      <c r="I17" s="7"/>
      <c r="J17" s="45"/>
      <c r="K17" s="45"/>
      <c r="L17" s="45"/>
      <c r="M17" s="45"/>
      <c r="N17" s="45"/>
      <c r="O17" s="45"/>
      <c r="P17" s="45"/>
      <c r="Q17" s="45"/>
      <c r="S17" s="47"/>
      <c r="T17" s="47"/>
      <c r="U17" s="47"/>
      <c r="V17" s="47"/>
      <c r="W17" s="47"/>
      <c r="X17" s="47"/>
      <c r="Y17" s="47"/>
      <c r="Z17" s="47"/>
      <c r="AB17" s="6"/>
      <c r="AC17" s="6"/>
      <c r="AD17" s="6"/>
      <c r="AE17" s="6"/>
      <c r="AF17" s="6"/>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Y17" s="47"/>
      <c r="BZ17" s="47"/>
      <c r="CA17" s="47"/>
      <c r="CB17" s="47"/>
      <c r="CC17" s="47"/>
      <c r="CD17" s="47"/>
      <c r="CE17" s="47"/>
      <c r="CF17" s="47"/>
      <c r="CH17" s="82"/>
      <c r="CI17" s="82"/>
      <c r="CJ17" s="82"/>
      <c r="CK17" s="82"/>
      <c r="CL17" s="82"/>
      <c r="CM17" s="82"/>
      <c r="CN17" s="82"/>
      <c r="CO17" s="82"/>
      <c r="CQ17" s="47">
        <f t="shared" si="24"/>
        <v>0</v>
      </c>
      <c r="CR17" s="47">
        <f t="shared" si="25"/>
        <v>0</v>
      </c>
      <c r="CS17" s="47">
        <f t="shared" si="26"/>
        <v>0</v>
      </c>
      <c r="CT17" s="47">
        <f t="shared" si="27"/>
        <v>0</v>
      </c>
      <c r="CU17" s="47">
        <f t="shared" si="28"/>
        <v>0</v>
      </c>
      <c r="CV17" s="47">
        <f t="shared" si="29"/>
        <v>0</v>
      </c>
      <c r="CW17" s="47">
        <f t="shared" si="30"/>
        <v>0</v>
      </c>
      <c r="CX17" s="47">
        <f t="shared" si="31"/>
        <v>0</v>
      </c>
    </row>
    <row r="18" spans="2:102" x14ac:dyDescent="0.25">
      <c r="B18" s="7"/>
      <c r="C18" s="7"/>
      <c r="D18" s="7"/>
      <c r="E18" s="7"/>
      <c r="F18" s="7"/>
      <c r="G18" s="7"/>
      <c r="H18" s="7"/>
      <c r="I18" s="7"/>
      <c r="J18" s="45"/>
      <c r="K18" s="45"/>
      <c r="L18" s="45"/>
      <c r="M18" s="45"/>
      <c r="N18" s="45"/>
      <c r="O18" s="45"/>
      <c r="P18" s="45"/>
      <c r="Q18" s="45"/>
      <c r="S18" s="47"/>
      <c r="T18" s="47"/>
      <c r="U18" s="47"/>
      <c r="V18" s="47"/>
      <c r="W18" s="47"/>
      <c r="X18" s="47"/>
      <c r="Y18" s="47"/>
      <c r="Z18" s="47"/>
      <c r="AB18" s="6"/>
      <c r="AC18" s="6"/>
      <c r="AD18" s="6"/>
      <c r="AE18" s="6"/>
      <c r="AF18" s="6"/>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Y18" s="47"/>
      <c r="BZ18" s="47"/>
      <c r="CA18" s="47"/>
      <c r="CB18" s="47"/>
      <c r="CC18" s="47"/>
      <c r="CD18" s="47"/>
      <c r="CE18" s="47"/>
      <c r="CF18" s="47"/>
      <c r="CH18" s="82"/>
      <c r="CI18" s="82"/>
      <c r="CJ18" s="82"/>
      <c r="CK18" s="82"/>
      <c r="CL18" s="82"/>
      <c r="CM18" s="82"/>
      <c r="CN18" s="82"/>
      <c r="CO18" s="82"/>
      <c r="CQ18" s="47">
        <f t="shared" si="24"/>
        <v>0</v>
      </c>
      <c r="CR18" s="47">
        <f t="shared" si="25"/>
        <v>0</v>
      </c>
      <c r="CS18" s="47">
        <f t="shared" si="26"/>
        <v>0</v>
      </c>
      <c r="CT18" s="47">
        <f t="shared" si="27"/>
        <v>0</v>
      </c>
      <c r="CU18" s="47">
        <f t="shared" si="28"/>
        <v>0</v>
      </c>
      <c r="CV18" s="47">
        <f t="shared" si="29"/>
        <v>0</v>
      </c>
      <c r="CW18" s="47">
        <f t="shared" si="30"/>
        <v>0</v>
      </c>
      <c r="CX18" s="47">
        <f t="shared" si="31"/>
        <v>0</v>
      </c>
    </row>
    <row r="19" spans="2:102" x14ac:dyDescent="0.25">
      <c r="B19" s="7"/>
      <c r="C19" s="7"/>
      <c r="D19" s="7"/>
      <c r="E19" s="7"/>
      <c r="F19" s="7"/>
      <c r="G19" s="7"/>
      <c r="H19" s="7"/>
      <c r="I19" s="7"/>
      <c r="J19" s="45"/>
      <c r="K19" s="45"/>
      <c r="L19" s="45"/>
      <c r="M19" s="45"/>
      <c r="N19" s="45"/>
      <c r="O19" s="45"/>
      <c r="P19" s="45"/>
      <c r="Q19" s="45"/>
      <c r="S19" s="47"/>
      <c r="T19" s="47"/>
      <c r="U19" s="47"/>
      <c r="V19" s="47"/>
      <c r="W19" s="47"/>
      <c r="X19" s="47"/>
      <c r="Y19" s="47"/>
      <c r="Z19" s="47"/>
      <c r="AB19" s="6"/>
      <c r="AC19" s="6"/>
      <c r="AD19" s="6"/>
      <c r="AE19" s="6"/>
      <c r="AF19" s="6"/>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Y19" s="47"/>
      <c r="BZ19" s="47"/>
      <c r="CA19" s="47"/>
      <c r="CB19" s="47"/>
      <c r="CC19" s="47"/>
      <c r="CD19" s="47"/>
      <c r="CE19" s="47"/>
      <c r="CF19" s="47"/>
      <c r="CH19" s="82"/>
      <c r="CI19" s="82"/>
      <c r="CJ19" s="82"/>
      <c r="CK19" s="82"/>
      <c r="CL19" s="82"/>
      <c r="CM19" s="82"/>
      <c r="CN19" s="82"/>
      <c r="CO19" s="82"/>
      <c r="CQ19" s="47">
        <f t="shared" si="24"/>
        <v>0</v>
      </c>
      <c r="CR19" s="47">
        <f t="shared" si="25"/>
        <v>0</v>
      </c>
      <c r="CS19" s="47">
        <f t="shared" si="26"/>
        <v>0</v>
      </c>
      <c r="CT19" s="47">
        <f t="shared" si="27"/>
        <v>0</v>
      </c>
      <c r="CU19" s="47">
        <f t="shared" si="28"/>
        <v>0</v>
      </c>
      <c r="CV19" s="47">
        <f t="shared" si="29"/>
        <v>0</v>
      </c>
      <c r="CW19" s="47">
        <f t="shared" si="30"/>
        <v>0</v>
      </c>
      <c r="CX19" s="47">
        <f t="shared" si="31"/>
        <v>0</v>
      </c>
    </row>
    <row r="20" spans="2:102" x14ac:dyDescent="0.25">
      <c r="B20" s="7"/>
      <c r="C20" s="7"/>
      <c r="D20" s="7"/>
      <c r="E20" s="7"/>
      <c r="F20" s="7"/>
      <c r="G20" s="7"/>
      <c r="H20" s="7"/>
      <c r="I20" s="7"/>
      <c r="J20" s="45"/>
      <c r="K20" s="45"/>
      <c r="L20" s="45"/>
      <c r="M20" s="45"/>
      <c r="N20" s="45"/>
      <c r="O20" s="45"/>
      <c r="P20" s="45"/>
      <c r="Q20" s="45"/>
      <c r="S20" s="47"/>
      <c r="T20" s="47"/>
      <c r="U20" s="47"/>
      <c r="V20" s="47"/>
      <c r="W20" s="47"/>
      <c r="X20" s="47"/>
      <c r="Y20" s="47"/>
      <c r="Z20" s="47"/>
      <c r="AB20" s="6"/>
      <c r="AC20" s="6"/>
      <c r="AD20" s="6"/>
      <c r="AE20" s="6"/>
      <c r="AF20" s="6"/>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Y20" s="47"/>
      <c r="BZ20" s="47"/>
      <c r="CA20" s="47"/>
      <c r="CB20" s="47"/>
      <c r="CC20" s="47"/>
      <c r="CD20" s="47"/>
      <c r="CE20" s="47"/>
      <c r="CF20" s="47"/>
      <c r="CH20" s="82"/>
      <c r="CI20" s="82"/>
      <c r="CJ20" s="82"/>
      <c r="CK20" s="82"/>
      <c r="CL20" s="82"/>
      <c r="CM20" s="82"/>
      <c r="CN20" s="82"/>
      <c r="CO20" s="82"/>
      <c r="CQ20" s="47">
        <f t="shared" si="24"/>
        <v>0</v>
      </c>
      <c r="CR20" s="47">
        <f t="shared" si="25"/>
        <v>0</v>
      </c>
      <c r="CS20" s="47">
        <f t="shared" si="26"/>
        <v>0</v>
      </c>
      <c r="CT20" s="47">
        <f t="shared" si="27"/>
        <v>0</v>
      </c>
      <c r="CU20" s="47">
        <f t="shared" si="28"/>
        <v>0</v>
      </c>
      <c r="CV20" s="47">
        <f t="shared" si="29"/>
        <v>0</v>
      </c>
      <c r="CW20" s="47">
        <f t="shared" si="30"/>
        <v>0</v>
      </c>
      <c r="CX20" s="47">
        <f t="shared" si="31"/>
        <v>0</v>
      </c>
    </row>
    <row r="21" spans="2:102" x14ac:dyDescent="0.25">
      <c r="B21" s="7"/>
      <c r="C21" s="7"/>
      <c r="D21" s="7"/>
      <c r="E21" s="7"/>
      <c r="F21" s="7"/>
      <c r="G21" s="7"/>
      <c r="H21" s="7"/>
      <c r="I21" s="7"/>
      <c r="J21" s="45"/>
      <c r="K21" s="45"/>
      <c r="L21" s="45"/>
      <c r="M21" s="45"/>
      <c r="N21" s="45"/>
      <c r="O21" s="45"/>
      <c r="P21" s="45"/>
      <c r="Q21" s="45"/>
      <c r="S21" s="47"/>
      <c r="T21" s="47"/>
      <c r="U21" s="47"/>
      <c r="V21" s="47"/>
      <c r="W21" s="47"/>
      <c r="X21" s="47"/>
      <c r="Y21" s="47"/>
      <c r="Z21" s="47"/>
      <c r="AB21" s="6"/>
      <c r="AC21" s="6"/>
      <c r="AD21" s="6"/>
      <c r="AE21" s="6"/>
      <c r="AF21" s="6"/>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Y21" s="47"/>
      <c r="BZ21" s="47"/>
      <c r="CA21" s="47"/>
      <c r="CB21" s="47"/>
      <c r="CC21" s="47"/>
      <c r="CD21" s="47"/>
      <c r="CE21" s="47"/>
      <c r="CF21" s="47"/>
      <c r="CH21" s="82"/>
      <c r="CI21" s="82"/>
      <c r="CJ21" s="82"/>
      <c r="CK21" s="82"/>
      <c r="CL21" s="82"/>
      <c r="CM21" s="82"/>
      <c r="CN21" s="82"/>
      <c r="CO21" s="82"/>
      <c r="CQ21" s="47">
        <f t="shared" si="24"/>
        <v>0</v>
      </c>
      <c r="CR21" s="47">
        <f t="shared" si="25"/>
        <v>0</v>
      </c>
      <c r="CS21" s="47">
        <f t="shared" si="26"/>
        <v>0</v>
      </c>
      <c r="CT21" s="47">
        <f t="shared" si="27"/>
        <v>0</v>
      </c>
      <c r="CU21" s="47">
        <f t="shared" si="28"/>
        <v>0</v>
      </c>
      <c r="CV21" s="47">
        <f t="shared" si="29"/>
        <v>0</v>
      </c>
      <c r="CW21" s="47">
        <f t="shared" si="30"/>
        <v>0</v>
      </c>
      <c r="CX21" s="47">
        <f t="shared" si="31"/>
        <v>0</v>
      </c>
    </row>
    <row r="22" spans="2:102" x14ac:dyDescent="0.25">
      <c r="B22" s="7"/>
      <c r="C22" s="7"/>
      <c r="D22" s="7"/>
      <c r="E22" s="7"/>
      <c r="F22" s="7"/>
      <c r="G22" s="7"/>
      <c r="H22" s="7"/>
      <c r="I22" s="7"/>
      <c r="J22" s="45"/>
      <c r="K22" s="45"/>
      <c r="L22" s="45"/>
      <c r="M22" s="45"/>
      <c r="N22" s="45"/>
      <c r="O22" s="45"/>
      <c r="P22" s="45"/>
      <c r="Q22" s="45"/>
      <c r="S22" s="47"/>
      <c r="T22" s="47"/>
      <c r="U22" s="47"/>
      <c r="V22" s="47"/>
      <c r="W22" s="47"/>
      <c r="X22" s="47"/>
      <c r="Y22" s="47"/>
      <c r="Z22" s="47"/>
      <c r="AB22" s="6"/>
      <c r="AC22" s="6"/>
      <c r="AD22" s="6"/>
      <c r="AE22" s="6"/>
      <c r="AF22" s="6"/>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Y22" s="47"/>
      <c r="BZ22" s="47"/>
      <c r="CA22" s="47"/>
      <c r="CB22" s="47"/>
      <c r="CC22" s="47"/>
      <c r="CD22" s="47"/>
      <c r="CE22" s="47"/>
      <c r="CF22" s="47"/>
      <c r="CH22" s="82"/>
      <c r="CI22" s="82"/>
      <c r="CJ22" s="82"/>
      <c r="CK22" s="82"/>
      <c r="CL22" s="82"/>
      <c r="CM22" s="82"/>
      <c r="CN22" s="82"/>
      <c r="CO22" s="82"/>
      <c r="CQ22" s="47">
        <f t="shared" si="24"/>
        <v>0</v>
      </c>
      <c r="CR22" s="47">
        <f t="shared" si="25"/>
        <v>0</v>
      </c>
      <c r="CS22" s="47">
        <f t="shared" si="26"/>
        <v>0</v>
      </c>
      <c r="CT22" s="47">
        <f t="shared" si="27"/>
        <v>0</v>
      </c>
      <c r="CU22" s="47">
        <f t="shared" si="28"/>
        <v>0</v>
      </c>
      <c r="CV22" s="47">
        <f t="shared" si="29"/>
        <v>0</v>
      </c>
      <c r="CW22" s="47">
        <f t="shared" si="30"/>
        <v>0</v>
      </c>
      <c r="CX22" s="47">
        <f t="shared" si="31"/>
        <v>0</v>
      </c>
    </row>
    <row r="23" spans="2:102" x14ac:dyDescent="0.25">
      <c r="B23" s="7"/>
      <c r="C23" s="7"/>
      <c r="D23" s="7"/>
      <c r="E23" s="7"/>
      <c r="F23" s="7"/>
      <c r="G23" s="7"/>
      <c r="H23" s="7"/>
      <c r="I23" s="7"/>
      <c r="J23" s="45"/>
      <c r="K23" s="45"/>
      <c r="L23" s="45"/>
      <c r="M23" s="45"/>
      <c r="N23" s="45"/>
      <c r="O23" s="45"/>
      <c r="P23" s="45"/>
      <c r="Q23" s="45"/>
      <c r="S23" s="47"/>
      <c r="T23" s="47"/>
      <c r="U23" s="47"/>
      <c r="V23" s="47"/>
      <c r="W23" s="47"/>
      <c r="X23" s="47"/>
      <c r="Y23" s="47"/>
      <c r="Z23" s="47"/>
      <c r="AB23" s="6"/>
      <c r="AC23" s="6"/>
      <c r="AD23" s="6"/>
      <c r="AE23" s="6"/>
      <c r="AF23" s="6"/>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Y23" s="47"/>
      <c r="BZ23" s="47"/>
      <c r="CA23" s="47"/>
      <c r="CB23" s="47"/>
      <c r="CC23" s="47"/>
      <c r="CD23" s="47"/>
      <c r="CE23" s="47"/>
      <c r="CF23" s="47"/>
      <c r="CH23" s="82"/>
      <c r="CI23" s="82"/>
      <c r="CJ23" s="82"/>
      <c r="CK23" s="82"/>
      <c r="CL23" s="82"/>
      <c r="CM23" s="82"/>
      <c r="CN23" s="82"/>
      <c r="CO23" s="82"/>
      <c r="CQ23" s="47">
        <f t="shared" si="24"/>
        <v>0</v>
      </c>
      <c r="CR23" s="47">
        <f t="shared" si="25"/>
        <v>0</v>
      </c>
      <c r="CS23" s="47">
        <f t="shared" si="26"/>
        <v>0</v>
      </c>
      <c r="CT23" s="47">
        <f t="shared" si="27"/>
        <v>0</v>
      </c>
      <c r="CU23" s="47">
        <f t="shared" si="28"/>
        <v>0</v>
      </c>
      <c r="CV23" s="47">
        <f t="shared" si="29"/>
        <v>0</v>
      </c>
      <c r="CW23" s="47">
        <f t="shared" si="30"/>
        <v>0</v>
      </c>
      <c r="CX23" s="47">
        <f t="shared" si="31"/>
        <v>0</v>
      </c>
    </row>
    <row r="24" spans="2:102" x14ac:dyDescent="0.25">
      <c r="B24" s="7"/>
      <c r="C24" s="7"/>
      <c r="D24" s="7"/>
      <c r="E24" s="7"/>
      <c r="F24" s="7"/>
      <c r="G24" s="7"/>
      <c r="H24" s="7"/>
      <c r="I24" s="7"/>
      <c r="J24" s="45"/>
      <c r="K24" s="45"/>
      <c r="L24" s="45"/>
      <c r="M24" s="45"/>
      <c r="N24" s="45"/>
      <c r="O24" s="45"/>
      <c r="P24" s="45"/>
      <c r="Q24" s="45"/>
      <c r="S24" s="47"/>
      <c r="T24" s="47"/>
      <c r="U24" s="47"/>
      <c r="V24" s="47"/>
      <c r="W24" s="47"/>
      <c r="X24" s="47"/>
      <c r="Y24" s="47"/>
      <c r="Z24" s="47"/>
      <c r="AB24" s="6"/>
      <c r="AC24" s="6"/>
      <c r="AD24" s="6"/>
      <c r="AE24" s="6"/>
      <c r="AF24" s="6"/>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Y24" s="47"/>
      <c r="BZ24" s="47"/>
      <c r="CA24" s="47"/>
      <c r="CB24" s="47"/>
      <c r="CC24" s="47"/>
      <c r="CD24" s="47"/>
      <c r="CE24" s="47"/>
      <c r="CF24" s="47"/>
      <c r="CH24" s="82"/>
      <c r="CI24" s="82"/>
      <c r="CJ24" s="82"/>
      <c r="CK24" s="82"/>
      <c r="CL24" s="82"/>
      <c r="CM24" s="82"/>
      <c r="CN24" s="82"/>
      <c r="CO24" s="82"/>
      <c r="CQ24" s="47">
        <f t="shared" ref="CQ24" si="32">S24+AG24+BY24+CH24</f>
        <v>0</v>
      </c>
      <c r="CR24" s="47">
        <f t="shared" ref="CR24" si="33">T24+AM24+BZ24+CI24</f>
        <v>0</v>
      </c>
      <c r="CS24" s="47">
        <f t="shared" si="26"/>
        <v>0</v>
      </c>
      <c r="CT24" s="47">
        <f t="shared" ref="CT24" si="34">V24+AY24+CB24+CK24</f>
        <v>0</v>
      </c>
      <c r="CU24" s="47">
        <f t="shared" ref="CU24" si="35">W24+BE24+CC24+CL24</f>
        <v>0</v>
      </c>
      <c r="CV24" s="47">
        <f t="shared" ref="CV24" si="36">X24+BK24+CD24+CM24</f>
        <v>0</v>
      </c>
      <c r="CW24" s="47">
        <f t="shared" ref="CW24" si="37">Y24+BQ24+CE24+CN24</f>
        <v>0</v>
      </c>
      <c r="CX24" s="47">
        <f t="shared" ref="CX24" si="38">Z24+BW24+CF24+CO24</f>
        <v>0</v>
      </c>
    </row>
    <row r="25" spans="2:102" x14ac:dyDescent="0.25">
      <c r="B25" s="7"/>
      <c r="C25" s="7"/>
      <c r="D25" s="7"/>
      <c r="E25" s="7"/>
      <c r="F25" s="7"/>
      <c r="G25" s="7"/>
      <c r="H25" s="7"/>
      <c r="I25" s="7"/>
      <c r="J25" s="45"/>
      <c r="K25" s="45"/>
      <c r="L25" s="45"/>
      <c r="M25" s="45"/>
      <c r="N25" s="45"/>
      <c r="O25" s="45"/>
      <c r="P25" s="45"/>
      <c r="Q25" s="45"/>
      <c r="S25" s="47"/>
      <c r="T25" s="47"/>
      <c r="U25" s="47"/>
      <c r="V25" s="47"/>
      <c r="W25" s="47"/>
      <c r="X25" s="47"/>
      <c r="Y25" s="47"/>
      <c r="Z25" s="47"/>
      <c r="AB25" s="6"/>
      <c r="AC25" s="6"/>
      <c r="AD25" s="6"/>
      <c r="AE25" s="6"/>
      <c r="AF25" s="6"/>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Y25" s="47"/>
      <c r="BZ25" s="47"/>
      <c r="CA25" s="47"/>
      <c r="CB25" s="47"/>
      <c r="CC25" s="47"/>
      <c r="CD25" s="47"/>
      <c r="CE25" s="47"/>
      <c r="CF25" s="47"/>
      <c r="CH25" s="82"/>
      <c r="CI25" s="82"/>
      <c r="CJ25" s="82"/>
      <c r="CK25" s="82"/>
      <c r="CL25" s="82"/>
      <c r="CM25" s="82"/>
      <c r="CN25" s="82"/>
      <c r="CO25" s="82"/>
      <c r="CQ25" s="47">
        <f t="shared" si="24"/>
        <v>0</v>
      </c>
      <c r="CR25" s="47">
        <f t="shared" si="25"/>
        <v>0</v>
      </c>
      <c r="CS25" s="47">
        <f t="shared" si="26"/>
        <v>0</v>
      </c>
      <c r="CT25" s="47">
        <f t="shared" si="27"/>
        <v>0</v>
      </c>
      <c r="CU25" s="47">
        <f t="shared" si="28"/>
        <v>0</v>
      </c>
      <c r="CV25" s="47">
        <f t="shared" si="29"/>
        <v>0</v>
      </c>
      <c r="CW25" s="47">
        <f t="shared" si="30"/>
        <v>0</v>
      </c>
      <c r="CX25" s="47">
        <f t="shared" si="31"/>
        <v>0</v>
      </c>
    </row>
    <row r="26" spans="2:102" x14ac:dyDescent="0.25">
      <c r="B26" s="7"/>
      <c r="C26" s="7"/>
      <c r="D26" s="7"/>
      <c r="E26" s="7"/>
      <c r="F26" s="7"/>
      <c r="G26" s="7"/>
      <c r="H26" s="7"/>
      <c r="I26" s="7"/>
      <c r="J26" s="45"/>
      <c r="K26" s="45"/>
      <c r="L26" s="45"/>
      <c r="M26" s="45"/>
      <c r="N26" s="45"/>
      <c r="O26" s="45"/>
      <c r="P26" s="45"/>
      <c r="Q26" s="45"/>
      <c r="S26" s="47"/>
      <c r="T26" s="47"/>
      <c r="U26" s="47"/>
      <c r="V26" s="47"/>
      <c r="W26" s="47"/>
      <c r="X26" s="47"/>
      <c r="Y26" s="47"/>
      <c r="Z26" s="47"/>
      <c r="AB26" s="6"/>
      <c r="AC26" s="6"/>
      <c r="AD26" s="6"/>
      <c r="AE26" s="6"/>
      <c r="AF26" s="6"/>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Y26" s="47"/>
      <c r="BZ26" s="47"/>
      <c r="CA26" s="47"/>
      <c r="CB26" s="47"/>
      <c r="CC26" s="47"/>
      <c r="CD26" s="47"/>
      <c r="CE26" s="47"/>
      <c r="CF26" s="47"/>
      <c r="CH26" s="47"/>
      <c r="CI26" s="47"/>
      <c r="CJ26" s="47"/>
      <c r="CK26" s="47"/>
      <c r="CL26" s="47"/>
      <c r="CM26" s="47"/>
      <c r="CN26" s="47"/>
      <c r="CO26" s="47"/>
      <c r="CQ26" s="47">
        <f t="shared" si="24"/>
        <v>0</v>
      </c>
      <c r="CR26" s="47">
        <f t="shared" si="25"/>
        <v>0</v>
      </c>
      <c r="CS26" s="47">
        <f t="shared" si="26"/>
        <v>0</v>
      </c>
      <c r="CT26" s="47">
        <f t="shared" si="27"/>
        <v>0</v>
      </c>
      <c r="CU26" s="47">
        <f t="shared" si="28"/>
        <v>0</v>
      </c>
      <c r="CV26" s="47">
        <f t="shared" si="29"/>
        <v>0</v>
      </c>
      <c r="CW26" s="47">
        <f t="shared" si="30"/>
        <v>0</v>
      </c>
      <c r="CX26" s="47">
        <f t="shared" si="31"/>
        <v>0</v>
      </c>
    </row>
    <row r="27" spans="2:102" x14ac:dyDescent="0.25">
      <c r="B27" s="7"/>
      <c r="C27" s="7"/>
      <c r="D27" s="7"/>
      <c r="E27" s="7"/>
      <c r="F27" s="7"/>
      <c r="G27" s="7"/>
      <c r="H27" s="7"/>
      <c r="I27" s="7"/>
      <c r="J27" s="45"/>
      <c r="K27" s="45"/>
      <c r="L27" s="45"/>
      <c r="M27" s="45"/>
      <c r="N27" s="45"/>
      <c r="O27" s="45"/>
      <c r="P27" s="45"/>
      <c r="Q27" s="45"/>
      <c r="S27" s="47"/>
      <c r="T27" s="47"/>
      <c r="U27" s="47"/>
      <c r="V27" s="47"/>
      <c r="W27" s="47"/>
      <c r="X27" s="47"/>
      <c r="Y27" s="47"/>
      <c r="Z27" s="47"/>
      <c r="AB27" s="6"/>
      <c r="AC27" s="6"/>
      <c r="AD27" s="6"/>
      <c r="AE27" s="6"/>
      <c r="AF27" s="6"/>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Y27" s="47"/>
      <c r="BZ27" s="47"/>
      <c r="CA27" s="47"/>
      <c r="CB27" s="47"/>
      <c r="CC27" s="47"/>
      <c r="CD27" s="47"/>
      <c r="CE27" s="47"/>
      <c r="CF27" s="47"/>
      <c r="CH27" s="82"/>
      <c r="CI27" s="82"/>
      <c r="CJ27" s="82"/>
      <c r="CK27" s="82"/>
      <c r="CL27" s="82"/>
      <c r="CM27" s="82"/>
      <c r="CN27" s="82"/>
      <c r="CO27" s="82"/>
      <c r="CQ27" s="47">
        <f t="shared" si="24"/>
        <v>0</v>
      </c>
      <c r="CR27" s="47">
        <f t="shared" si="25"/>
        <v>0</v>
      </c>
      <c r="CS27" s="47">
        <f t="shared" si="26"/>
        <v>0</v>
      </c>
      <c r="CT27" s="47">
        <f t="shared" si="27"/>
        <v>0</v>
      </c>
      <c r="CU27" s="47">
        <f t="shared" si="28"/>
        <v>0</v>
      </c>
      <c r="CV27" s="47">
        <f t="shared" si="29"/>
        <v>0</v>
      </c>
      <c r="CW27" s="47">
        <f t="shared" si="30"/>
        <v>0</v>
      </c>
      <c r="CX27" s="47">
        <f t="shared" si="31"/>
        <v>0</v>
      </c>
    </row>
    <row r="28" spans="2:102" x14ac:dyDescent="0.25">
      <c r="B28" s="7"/>
      <c r="C28" s="7"/>
      <c r="D28" s="7"/>
      <c r="E28" s="7"/>
      <c r="F28" s="7"/>
      <c r="G28" s="7"/>
      <c r="H28" s="7"/>
      <c r="I28" s="7"/>
      <c r="J28" s="45"/>
      <c r="K28" s="45"/>
      <c r="L28" s="45"/>
      <c r="M28" s="45"/>
      <c r="N28" s="45"/>
      <c r="O28" s="45"/>
      <c r="P28" s="45"/>
      <c r="Q28" s="45"/>
      <c r="S28" s="47"/>
      <c r="T28" s="47"/>
      <c r="U28" s="47"/>
      <c r="V28" s="47"/>
      <c r="W28" s="47"/>
      <c r="X28" s="47"/>
      <c r="Y28" s="47"/>
      <c r="Z28" s="47"/>
      <c r="AB28" s="6"/>
      <c r="AC28" s="6"/>
      <c r="AD28" s="6"/>
      <c r="AE28" s="6"/>
      <c r="AF28" s="6"/>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Y28" s="47"/>
      <c r="BZ28" s="47"/>
      <c r="CA28" s="47"/>
      <c r="CB28" s="47"/>
      <c r="CC28" s="47"/>
      <c r="CD28" s="47"/>
      <c r="CE28" s="47"/>
      <c r="CF28" s="47"/>
      <c r="CH28" s="82"/>
      <c r="CI28" s="82"/>
      <c r="CJ28" s="82"/>
      <c r="CK28" s="82"/>
      <c r="CL28" s="82"/>
      <c r="CM28" s="82"/>
      <c r="CN28" s="82"/>
      <c r="CO28" s="82"/>
      <c r="CQ28" s="47">
        <f t="shared" si="24"/>
        <v>0</v>
      </c>
      <c r="CR28" s="47">
        <f t="shared" si="25"/>
        <v>0</v>
      </c>
      <c r="CS28" s="47">
        <f t="shared" si="26"/>
        <v>0</v>
      </c>
      <c r="CT28" s="47">
        <f t="shared" si="27"/>
        <v>0</v>
      </c>
      <c r="CU28" s="47">
        <f t="shared" si="28"/>
        <v>0</v>
      </c>
      <c r="CV28" s="47">
        <f t="shared" si="29"/>
        <v>0</v>
      </c>
      <c r="CW28" s="47">
        <f t="shared" si="30"/>
        <v>0</v>
      </c>
      <c r="CX28" s="47">
        <f t="shared" si="31"/>
        <v>0</v>
      </c>
    </row>
    <row r="29" spans="2:102" x14ac:dyDescent="0.25">
      <c r="B29" s="7"/>
      <c r="C29" s="7"/>
      <c r="D29" s="7"/>
      <c r="E29" s="7"/>
      <c r="F29" s="7"/>
      <c r="G29" s="7"/>
      <c r="H29" s="7"/>
      <c r="I29" s="7"/>
      <c r="J29" s="45"/>
      <c r="K29" s="45"/>
      <c r="L29" s="45"/>
      <c r="M29" s="45"/>
      <c r="N29" s="45"/>
      <c r="O29" s="45"/>
      <c r="P29" s="45"/>
      <c r="Q29" s="45"/>
      <c r="S29" s="47"/>
      <c r="T29" s="47"/>
      <c r="U29" s="47"/>
      <c r="V29" s="47"/>
      <c r="W29" s="47"/>
      <c r="X29" s="47"/>
      <c r="Y29" s="47"/>
      <c r="Z29" s="47"/>
      <c r="AB29" s="6"/>
      <c r="AC29" s="6"/>
      <c r="AD29" s="6"/>
      <c r="AE29" s="6"/>
      <c r="AF29" s="6"/>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Y29" s="47"/>
      <c r="BZ29" s="47"/>
      <c r="CA29" s="47"/>
      <c r="CB29" s="47"/>
      <c r="CC29" s="47"/>
      <c r="CD29" s="47"/>
      <c r="CE29" s="47"/>
      <c r="CF29" s="47"/>
      <c r="CH29" s="82"/>
      <c r="CI29" s="82"/>
      <c r="CJ29" s="82"/>
      <c r="CK29" s="82"/>
      <c r="CL29" s="82"/>
      <c r="CM29" s="82"/>
      <c r="CN29" s="82"/>
      <c r="CO29" s="82"/>
      <c r="CQ29" s="47">
        <f t="shared" si="24"/>
        <v>0</v>
      </c>
      <c r="CR29" s="47">
        <f t="shared" si="25"/>
        <v>0</v>
      </c>
      <c r="CS29" s="47">
        <f t="shared" si="26"/>
        <v>0</v>
      </c>
      <c r="CT29" s="47">
        <f t="shared" si="27"/>
        <v>0</v>
      </c>
      <c r="CU29" s="47">
        <f t="shared" si="28"/>
        <v>0</v>
      </c>
      <c r="CV29" s="47">
        <f t="shared" si="29"/>
        <v>0</v>
      </c>
      <c r="CW29" s="47">
        <f t="shared" si="30"/>
        <v>0</v>
      </c>
      <c r="CX29" s="47">
        <f t="shared" si="31"/>
        <v>0</v>
      </c>
    </row>
    <row r="30" spans="2:102" x14ac:dyDescent="0.25">
      <c r="B30" s="7"/>
      <c r="C30" s="7"/>
      <c r="D30" s="7"/>
      <c r="E30" s="7"/>
      <c r="F30" s="7"/>
      <c r="G30" s="7"/>
      <c r="H30" s="7"/>
      <c r="I30" s="7"/>
      <c r="J30" s="45"/>
      <c r="K30" s="45"/>
      <c r="L30" s="45"/>
      <c r="M30" s="45"/>
      <c r="N30" s="45"/>
      <c r="O30" s="45"/>
      <c r="P30" s="45"/>
      <c r="Q30" s="45"/>
      <c r="S30" s="47"/>
      <c r="T30" s="47"/>
      <c r="U30" s="47"/>
      <c r="V30" s="47"/>
      <c r="W30" s="47"/>
      <c r="X30" s="47"/>
      <c r="Y30" s="47"/>
      <c r="Z30" s="47"/>
      <c r="AB30" s="6"/>
      <c r="AC30" s="6"/>
      <c r="AD30" s="6"/>
      <c r="AE30" s="6"/>
      <c r="AF30" s="6"/>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Y30" s="47"/>
      <c r="BZ30" s="47"/>
      <c r="CA30" s="47"/>
      <c r="CB30" s="47"/>
      <c r="CC30" s="47"/>
      <c r="CD30" s="47"/>
      <c r="CE30" s="47"/>
      <c r="CF30" s="47"/>
      <c r="CH30" s="47"/>
      <c r="CI30" s="47"/>
      <c r="CJ30" s="47"/>
      <c r="CK30" s="47"/>
      <c r="CL30" s="47"/>
      <c r="CM30" s="47"/>
      <c r="CN30" s="47"/>
      <c r="CO30" s="47"/>
      <c r="CQ30" s="47">
        <f t="shared" si="24"/>
        <v>0</v>
      </c>
      <c r="CR30" s="47">
        <f t="shared" si="25"/>
        <v>0</v>
      </c>
      <c r="CS30" s="47">
        <f t="shared" si="26"/>
        <v>0</v>
      </c>
      <c r="CT30" s="47">
        <f t="shared" si="27"/>
        <v>0</v>
      </c>
      <c r="CU30" s="47">
        <f t="shared" si="28"/>
        <v>0</v>
      </c>
      <c r="CV30" s="47">
        <f t="shared" si="29"/>
        <v>0</v>
      </c>
      <c r="CW30" s="47">
        <f t="shared" si="30"/>
        <v>0</v>
      </c>
      <c r="CX30" s="47">
        <f t="shared" si="31"/>
        <v>0</v>
      </c>
    </row>
    <row r="31" spans="2:102" x14ac:dyDescent="0.25">
      <c r="B31" s="7"/>
      <c r="C31" s="7"/>
      <c r="D31" s="7"/>
      <c r="E31" s="7"/>
      <c r="F31" s="7"/>
      <c r="G31" s="7"/>
      <c r="H31" s="7"/>
      <c r="I31" s="7"/>
      <c r="J31" s="45"/>
      <c r="K31" s="45"/>
      <c r="L31" s="45"/>
      <c r="M31" s="45"/>
      <c r="N31" s="45"/>
      <c r="O31" s="45"/>
      <c r="P31" s="45"/>
      <c r="Q31" s="45"/>
      <c r="S31" s="47"/>
      <c r="T31" s="47"/>
      <c r="U31" s="47"/>
      <c r="V31" s="47"/>
      <c r="W31" s="47"/>
      <c r="X31" s="47"/>
      <c r="Y31" s="47"/>
      <c r="Z31" s="47"/>
      <c r="AB31" s="6"/>
      <c r="AC31" s="6"/>
      <c r="AD31" s="6"/>
      <c r="AE31" s="6"/>
      <c r="AF31" s="6"/>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Y31" s="47"/>
      <c r="BZ31" s="47"/>
      <c r="CA31" s="47"/>
      <c r="CB31" s="47"/>
      <c r="CC31" s="47"/>
      <c r="CD31" s="47"/>
      <c r="CE31" s="47"/>
      <c r="CF31" s="47"/>
      <c r="CH31" s="47"/>
      <c r="CI31" s="47"/>
      <c r="CJ31" s="47"/>
      <c r="CK31" s="47"/>
      <c r="CL31" s="47"/>
      <c r="CM31" s="47"/>
      <c r="CN31" s="47"/>
      <c r="CO31" s="47"/>
      <c r="CQ31" s="47">
        <f t="shared" si="24"/>
        <v>0</v>
      </c>
      <c r="CR31" s="47">
        <f t="shared" si="25"/>
        <v>0</v>
      </c>
      <c r="CS31" s="47">
        <f t="shared" si="26"/>
        <v>0</v>
      </c>
      <c r="CT31" s="47">
        <f t="shared" si="27"/>
        <v>0</v>
      </c>
      <c r="CU31" s="47">
        <f t="shared" si="28"/>
        <v>0</v>
      </c>
      <c r="CV31" s="47">
        <f t="shared" si="29"/>
        <v>0</v>
      </c>
      <c r="CW31" s="47">
        <f t="shared" si="30"/>
        <v>0</v>
      </c>
      <c r="CX31" s="47">
        <f t="shared" si="31"/>
        <v>0</v>
      </c>
    </row>
    <row r="32" spans="2:102" x14ac:dyDescent="0.25">
      <c r="B32" s="7"/>
      <c r="C32" s="7"/>
      <c r="D32" s="7"/>
      <c r="E32" s="7"/>
      <c r="F32" s="7"/>
      <c r="G32" s="7"/>
      <c r="H32" s="7"/>
      <c r="I32" s="7"/>
      <c r="J32" s="45"/>
      <c r="K32" s="45"/>
      <c r="L32" s="45"/>
      <c r="M32" s="45"/>
      <c r="N32" s="45"/>
      <c r="O32" s="45"/>
      <c r="P32" s="45"/>
      <c r="Q32" s="45"/>
      <c r="S32" s="47"/>
      <c r="T32" s="47"/>
      <c r="U32" s="47"/>
      <c r="V32" s="47"/>
      <c r="W32" s="47"/>
      <c r="X32" s="47"/>
      <c r="Y32" s="47"/>
      <c r="Z32" s="47"/>
      <c r="AB32" s="6"/>
      <c r="AC32" s="6"/>
      <c r="AD32" s="6"/>
      <c r="AE32" s="6"/>
      <c r="AF32" s="6"/>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Y32" s="47"/>
      <c r="BZ32" s="47"/>
      <c r="CA32" s="47"/>
      <c r="CB32" s="47"/>
      <c r="CC32" s="47"/>
      <c r="CD32" s="47"/>
      <c r="CE32" s="47"/>
      <c r="CF32" s="47"/>
      <c r="CH32" s="47"/>
      <c r="CI32" s="47"/>
      <c r="CJ32" s="47"/>
      <c r="CK32" s="47"/>
      <c r="CL32" s="47"/>
      <c r="CM32" s="47"/>
      <c r="CN32" s="47"/>
      <c r="CO32" s="47"/>
      <c r="CQ32" s="47">
        <f t="shared" si="24"/>
        <v>0</v>
      </c>
      <c r="CR32" s="47">
        <f t="shared" si="25"/>
        <v>0</v>
      </c>
      <c r="CS32" s="47">
        <f t="shared" si="26"/>
        <v>0</v>
      </c>
      <c r="CT32" s="47">
        <f t="shared" si="27"/>
        <v>0</v>
      </c>
      <c r="CU32" s="47">
        <f t="shared" si="28"/>
        <v>0</v>
      </c>
      <c r="CV32" s="47">
        <f t="shared" si="29"/>
        <v>0</v>
      </c>
      <c r="CW32" s="47">
        <f t="shared" si="30"/>
        <v>0</v>
      </c>
      <c r="CX32" s="47">
        <f t="shared" si="31"/>
        <v>0</v>
      </c>
    </row>
    <row r="33" spans="2:102" x14ac:dyDescent="0.25">
      <c r="B33" s="7"/>
      <c r="C33" s="7"/>
      <c r="D33" s="7"/>
      <c r="E33" s="7"/>
      <c r="F33" s="7"/>
      <c r="G33" s="7"/>
      <c r="H33" s="7"/>
      <c r="I33" s="7"/>
      <c r="J33" s="45"/>
      <c r="K33" s="45"/>
      <c r="L33" s="45"/>
      <c r="M33" s="45"/>
      <c r="N33" s="45"/>
      <c r="O33" s="45"/>
      <c r="P33" s="45"/>
      <c r="Q33" s="45"/>
      <c r="S33" s="47"/>
      <c r="T33" s="47"/>
      <c r="U33" s="47"/>
      <c r="V33" s="47"/>
      <c r="W33" s="47"/>
      <c r="X33" s="47"/>
      <c r="Y33" s="47"/>
      <c r="Z33" s="47"/>
      <c r="AB33" s="6"/>
      <c r="AC33" s="6"/>
      <c r="AD33" s="6"/>
      <c r="AE33" s="6"/>
      <c r="AF33" s="6"/>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Y33" s="47"/>
      <c r="BZ33" s="47"/>
      <c r="CA33" s="47"/>
      <c r="CB33" s="47"/>
      <c r="CC33" s="47"/>
      <c r="CD33" s="47"/>
      <c r="CE33" s="47"/>
      <c r="CF33" s="47"/>
      <c r="CH33" s="47"/>
      <c r="CI33" s="47"/>
      <c r="CJ33" s="47"/>
      <c r="CK33" s="47"/>
      <c r="CL33" s="47"/>
      <c r="CM33" s="47"/>
      <c r="CN33" s="47"/>
      <c r="CO33" s="47"/>
      <c r="CQ33" s="47">
        <f t="shared" si="24"/>
        <v>0</v>
      </c>
      <c r="CR33" s="47">
        <f t="shared" si="25"/>
        <v>0</v>
      </c>
      <c r="CS33" s="47">
        <f t="shared" si="26"/>
        <v>0</v>
      </c>
      <c r="CT33" s="47">
        <f t="shared" si="27"/>
        <v>0</v>
      </c>
      <c r="CU33" s="47">
        <f t="shared" si="28"/>
        <v>0</v>
      </c>
      <c r="CV33" s="47">
        <f t="shared" si="29"/>
        <v>0</v>
      </c>
      <c r="CW33" s="47">
        <f t="shared" si="30"/>
        <v>0</v>
      </c>
      <c r="CX33" s="47">
        <f t="shared" si="31"/>
        <v>0</v>
      </c>
    </row>
    <row r="34" spans="2:102" x14ac:dyDescent="0.25">
      <c r="B34" s="7"/>
      <c r="C34" s="7"/>
      <c r="D34" s="7"/>
      <c r="E34" s="7"/>
      <c r="F34" s="7"/>
      <c r="G34" s="7"/>
      <c r="H34" s="7"/>
      <c r="I34" s="7"/>
      <c r="J34" s="45"/>
      <c r="K34" s="45"/>
      <c r="L34" s="45"/>
      <c r="M34" s="45"/>
      <c r="N34" s="45"/>
      <c r="O34" s="45"/>
      <c r="P34" s="45"/>
      <c r="Q34" s="45"/>
      <c r="S34" s="47"/>
      <c r="T34" s="47"/>
      <c r="U34" s="47"/>
      <c r="V34" s="47"/>
      <c r="W34" s="47"/>
      <c r="X34" s="47"/>
      <c r="Y34" s="47"/>
      <c r="Z34" s="47"/>
      <c r="AB34" s="6"/>
      <c r="AC34" s="6"/>
      <c r="AD34" s="6"/>
      <c r="AE34" s="6"/>
      <c r="AF34" s="6"/>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Y34" s="47"/>
      <c r="BZ34" s="47"/>
      <c r="CA34" s="47"/>
      <c r="CB34" s="47"/>
      <c r="CC34" s="47"/>
      <c r="CD34" s="47"/>
      <c r="CE34" s="47"/>
      <c r="CF34" s="47"/>
      <c r="CH34" s="47"/>
      <c r="CI34" s="47"/>
      <c r="CJ34" s="47"/>
      <c r="CK34" s="47"/>
      <c r="CL34" s="47"/>
      <c r="CM34" s="47"/>
      <c r="CN34" s="47"/>
      <c r="CO34" s="47"/>
      <c r="CQ34" s="47">
        <f t="shared" si="24"/>
        <v>0</v>
      </c>
      <c r="CR34" s="47">
        <f t="shared" si="25"/>
        <v>0</v>
      </c>
      <c r="CS34" s="47">
        <f t="shared" si="26"/>
        <v>0</v>
      </c>
      <c r="CT34" s="47">
        <f t="shared" si="27"/>
        <v>0</v>
      </c>
      <c r="CU34" s="47">
        <f t="shared" si="28"/>
        <v>0</v>
      </c>
      <c r="CV34" s="47">
        <f t="shared" si="29"/>
        <v>0</v>
      </c>
      <c r="CW34" s="47">
        <f t="shared" si="30"/>
        <v>0</v>
      </c>
      <c r="CX34" s="47">
        <f t="shared" si="31"/>
        <v>0</v>
      </c>
    </row>
    <row r="35" spans="2:102" x14ac:dyDescent="0.25">
      <c r="B35" s="7"/>
      <c r="C35" s="7"/>
      <c r="D35" s="7"/>
      <c r="E35" s="7"/>
      <c r="F35" s="7"/>
      <c r="G35" s="7"/>
      <c r="H35" s="7"/>
      <c r="I35" s="7"/>
      <c r="J35" s="45"/>
      <c r="K35" s="45"/>
      <c r="L35" s="45"/>
      <c r="M35" s="45"/>
      <c r="N35" s="45"/>
      <c r="O35" s="45"/>
      <c r="P35" s="45"/>
      <c r="Q35" s="45"/>
      <c r="S35" s="47"/>
      <c r="T35" s="47"/>
      <c r="U35" s="47"/>
      <c r="V35" s="47"/>
      <c r="W35" s="47"/>
      <c r="X35" s="47"/>
      <c r="Y35" s="47"/>
      <c r="Z35" s="47"/>
      <c r="AB35" s="6"/>
      <c r="AC35" s="6"/>
      <c r="AD35" s="6"/>
      <c r="AE35" s="6"/>
      <c r="AF35" s="6"/>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Y35" s="47"/>
      <c r="BZ35" s="47"/>
      <c r="CA35" s="47"/>
      <c r="CB35" s="47"/>
      <c r="CC35" s="47"/>
      <c r="CD35" s="47"/>
      <c r="CE35" s="47"/>
      <c r="CF35" s="47"/>
      <c r="CH35" s="47"/>
      <c r="CI35" s="47"/>
      <c r="CJ35" s="47"/>
      <c r="CK35" s="47"/>
      <c r="CL35" s="47"/>
      <c r="CM35" s="47"/>
      <c r="CN35" s="47"/>
      <c r="CO35" s="47"/>
      <c r="CQ35" s="47">
        <f t="shared" si="24"/>
        <v>0</v>
      </c>
      <c r="CR35" s="47">
        <f t="shared" si="25"/>
        <v>0</v>
      </c>
      <c r="CS35" s="47">
        <f t="shared" si="26"/>
        <v>0</v>
      </c>
      <c r="CT35" s="47">
        <f t="shared" si="27"/>
        <v>0</v>
      </c>
      <c r="CU35" s="47">
        <f t="shared" si="28"/>
        <v>0</v>
      </c>
      <c r="CV35" s="47">
        <f t="shared" si="29"/>
        <v>0</v>
      </c>
      <c r="CW35" s="47">
        <f t="shared" si="30"/>
        <v>0</v>
      </c>
      <c r="CX35" s="47">
        <f t="shared" si="31"/>
        <v>0</v>
      </c>
    </row>
    <row r="36" spans="2:102" x14ac:dyDescent="0.25">
      <c r="B36" s="7"/>
      <c r="C36" s="7"/>
      <c r="D36" s="7"/>
      <c r="E36" s="7"/>
      <c r="F36" s="7"/>
      <c r="G36" s="7"/>
      <c r="H36" s="7"/>
      <c r="I36" s="7"/>
      <c r="J36" s="45"/>
      <c r="K36" s="45"/>
      <c r="L36" s="45"/>
      <c r="M36" s="45"/>
      <c r="N36" s="45"/>
      <c r="O36" s="45"/>
      <c r="P36" s="45"/>
      <c r="Q36" s="45"/>
      <c r="S36" s="47"/>
      <c r="T36" s="47"/>
      <c r="U36" s="47"/>
      <c r="V36" s="47"/>
      <c r="W36" s="47"/>
      <c r="X36" s="47"/>
      <c r="Y36" s="47"/>
      <c r="Z36" s="47"/>
      <c r="AB36" s="6"/>
      <c r="AC36" s="6"/>
      <c r="AD36" s="6"/>
      <c r="AE36" s="6"/>
      <c r="AF36" s="6"/>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Y36" s="47"/>
      <c r="BZ36" s="47"/>
      <c r="CA36" s="47"/>
      <c r="CB36" s="47"/>
      <c r="CC36" s="47"/>
      <c r="CD36" s="47"/>
      <c r="CE36" s="47"/>
      <c r="CF36" s="47"/>
      <c r="CH36" s="47"/>
      <c r="CI36" s="47"/>
      <c r="CJ36" s="47"/>
      <c r="CK36" s="47"/>
      <c r="CL36" s="47"/>
      <c r="CM36" s="47"/>
      <c r="CN36" s="47"/>
      <c r="CO36" s="47"/>
      <c r="CQ36" s="47">
        <f t="shared" si="24"/>
        <v>0</v>
      </c>
      <c r="CR36" s="47">
        <f t="shared" si="25"/>
        <v>0</v>
      </c>
      <c r="CS36" s="47">
        <f t="shared" si="26"/>
        <v>0</v>
      </c>
      <c r="CT36" s="47">
        <f t="shared" si="27"/>
        <v>0</v>
      </c>
      <c r="CU36" s="47">
        <f t="shared" si="28"/>
        <v>0</v>
      </c>
      <c r="CV36" s="47">
        <f t="shared" si="29"/>
        <v>0</v>
      </c>
      <c r="CW36" s="47">
        <f t="shared" si="30"/>
        <v>0</v>
      </c>
      <c r="CX36" s="47">
        <f t="shared" si="31"/>
        <v>0</v>
      </c>
    </row>
    <row r="37" spans="2:102" x14ac:dyDescent="0.25">
      <c r="J37" s="48">
        <f t="shared" ref="J37:Q37" si="39">SUM(J6:J36)</f>
        <v>0</v>
      </c>
      <c r="K37" s="48">
        <f t="shared" si="39"/>
        <v>0</v>
      </c>
      <c r="L37" s="48">
        <f t="shared" si="39"/>
        <v>0</v>
      </c>
      <c r="M37" s="573">
        <f t="shared" si="39"/>
        <v>4317.2759199999991</v>
      </c>
      <c r="N37" s="573">
        <f t="shared" si="39"/>
        <v>4317.2759199999991</v>
      </c>
      <c r="O37" s="573">
        <f t="shared" si="39"/>
        <v>4317.2759199999991</v>
      </c>
      <c r="P37" s="573">
        <f t="shared" si="39"/>
        <v>4317.2759199999991</v>
      </c>
      <c r="Q37" s="573">
        <f t="shared" si="39"/>
        <v>1714.972</v>
      </c>
      <c r="R37" s="241"/>
      <c r="S37" s="573">
        <f t="shared" ref="S37:Z37" si="40">SUM(S6:S36)</f>
        <v>0</v>
      </c>
      <c r="T37" s="573">
        <f t="shared" si="40"/>
        <v>0</v>
      </c>
      <c r="U37" s="573">
        <f t="shared" ref="U37" si="41">SUM(U6:U36)</f>
        <v>0</v>
      </c>
      <c r="V37" s="573">
        <f t="shared" si="40"/>
        <v>438.89627364535977</v>
      </c>
      <c r="W37" s="573">
        <f t="shared" si="40"/>
        <v>437.80002643367197</v>
      </c>
      <c r="X37" s="573">
        <f t="shared" si="40"/>
        <v>437.48204940115983</v>
      </c>
      <c r="Y37" s="573">
        <f t="shared" si="40"/>
        <v>439.08881083223145</v>
      </c>
      <c r="Z37" s="573">
        <f t="shared" si="40"/>
        <v>176.15960330076376</v>
      </c>
      <c r="AA37" s="241"/>
      <c r="AB37" s="573">
        <f t="shared" ref="AB37:AF37" si="42">SUM(AB6:AB36)</f>
        <v>0</v>
      </c>
      <c r="AC37" s="573">
        <f t="shared" si="42"/>
        <v>0</v>
      </c>
      <c r="AD37" s="573">
        <f t="shared" si="42"/>
        <v>0</v>
      </c>
      <c r="AE37" s="573">
        <f t="shared" si="42"/>
        <v>0</v>
      </c>
      <c r="AF37" s="573">
        <f t="shared" si="42"/>
        <v>0</v>
      </c>
      <c r="AG37" s="573">
        <f t="shared" ref="AG37:BW37" si="43">SUM(AG6:AG36)</f>
        <v>0</v>
      </c>
      <c r="AH37" s="573">
        <f t="shared" ref="AH37:AM37" si="44">SUM(AH6:AH36)</f>
        <v>0</v>
      </c>
      <c r="AI37" s="573">
        <f t="shared" si="44"/>
        <v>0</v>
      </c>
      <c r="AJ37" s="573">
        <f t="shared" si="44"/>
        <v>0</v>
      </c>
      <c r="AK37" s="573">
        <f t="shared" si="44"/>
        <v>0</v>
      </c>
      <c r="AL37" s="573">
        <f t="shared" si="44"/>
        <v>0</v>
      </c>
      <c r="AM37" s="573">
        <f t="shared" si="44"/>
        <v>0</v>
      </c>
      <c r="AN37" s="573">
        <f t="shared" si="43"/>
        <v>0</v>
      </c>
      <c r="AO37" s="573">
        <f t="shared" si="43"/>
        <v>0</v>
      </c>
      <c r="AP37" s="573">
        <f t="shared" si="43"/>
        <v>0</v>
      </c>
      <c r="AQ37" s="573">
        <f t="shared" si="43"/>
        <v>0</v>
      </c>
      <c r="AR37" s="573">
        <f t="shared" si="43"/>
        <v>0</v>
      </c>
      <c r="AS37" s="573">
        <f t="shared" si="43"/>
        <v>0</v>
      </c>
      <c r="AT37" s="573">
        <f t="shared" si="43"/>
        <v>0</v>
      </c>
      <c r="AU37" s="573">
        <f t="shared" si="43"/>
        <v>0</v>
      </c>
      <c r="AV37" s="573">
        <f t="shared" si="43"/>
        <v>189.8730365424222</v>
      </c>
      <c r="AW37" s="573">
        <f t="shared" si="43"/>
        <v>0</v>
      </c>
      <c r="AX37" s="573">
        <f t="shared" si="43"/>
        <v>759.49214616968879</v>
      </c>
      <c r="AY37" s="573">
        <f t="shared" si="43"/>
        <v>949.36518271211105</v>
      </c>
      <c r="AZ37" s="573">
        <f t="shared" si="43"/>
        <v>0</v>
      </c>
      <c r="BA37" s="573">
        <f t="shared" si="43"/>
        <v>0</v>
      </c>
      <c r="BB37" s="573">
        <f t="shared" si="43"/>
        <v>189.8730365424222</v>
      </c>
      <c r="BC37" s="573">
        <f t="shared" si="43"/>
        <v>0</v>
      </c>
      <c r="BD37" s="573">
        <f t="shared" si="43"/>
        <v>759.49214616968879</v>
      </c>
      <c r="BE37" s="573">
        <f t="shared" si="43"/>
        <v>949.36518271211105</v>
      </c>
      <c r="BF37" s="573">
        <f t="shared" si="43"/>
        <v>0</v>
      </c>
      <c r="BG37" s="573">
        <f t="shared" si="43"/>
        <v>0</v>
      </c>
      <c r="BH37" s="573">
        <f t="shared" si="43"/>
        <v>189.8730365424222</v>
      </c>
      <c r="BI37" s="573">
        <f t="shared" si="43"/>
        <v>0</v>
      </c>
      <c r="BJ37" s="573">
        <f t="shared" si="43"/>
        <v>759.49214616968879</v>
      </c>
      <c r="BK37" s="573">
        <f t="shared" si="43"/>
        <v>949.36518271211105</v>
      </c>
      <c r="BL37" s="573">
        <f t="shared" si="43"/>
        <v>0</v>
      </c>
      <c r="BM37" s="573">
        <f t="shared" si="43"/>
        <v>0</v>
      </c>
      <c r="BN37" s="573">
        <f t="shared" si="43"/>
        <v>189.8730365424222</v>
      </c>
      <c r="BO37" s="573">
        <f t="shared" si="43"/>
        <v>0</v>
      </c>
      <c r="BP37" s="573">
        <f t="shared" si="43"/>
        <v>759.49214616968879</v>
      </c>
      <c r="BQ37" s="573">
        <f t="shared" si="43"/>
        <v>949.36518271211105</v>
      </c>
      <c r="BR37" s="573">
        <f t="shared" si="43"/>
        <v>0</v>
      </c>
      <c r="BS37" s="573">
        <f t="shared" si="43"/>
        <v>0</v>
      </c>
      <c r="BT37" s="573">
        <f t="shared" si="43"/>
        <v>75.424167289551164</v>
      </c>
      <c r="BU37" s="573">
        <f t="shared" si="43"/>
        <v>0</v>
      </c>
      <c r="BV37" s="573">
        <f t="shared" si="43"/>
        <v>301.69666915820466</v>
      </c>
      <c r="BW37" s="573">
        <f t="shared" si="43"/>
        <v>377.12083644775578</v>
      </c>
      <c r="BX37" s="241"/>
      <c r="BY37" s="573">
        <f t="shared" ref="BY37:CF37" si="45">SUM(BY6:BY36)</f>
        <v>0</v>
      </c>
      <c r="BZ37" s="573">
        <f t="shared" si="45"/>
        <v>0</v>
      </c>
      <c r="CA37" s="573">
        <f t="shared" si="45"/>
        <v>0</v>
      </c>
      <c r="CB37" s="573">
        <f t="shared" si="45"/>
        <v>2543.2232421172203</v>
      </c>
      <c r="CC37" s="573">
        <f t="shared" si="45"/>
        <v>2543.2232421172203</v>
      </c>
      <c r="CD37" s="573">
        <f t="shared" si="45"/>
        <v>2543.2232421172203</v>
      </c>
      <c r="CE37" s="573">
        <f t="shared" si="45"/>
        <v>2543.2232421172203</v>
      </c>
      <c r="CF37" s="573">
        <f t="shared" si="45"/>
        <v>1010.2566365460036</v>
      </c>
      <c r="CG37" s="241"/>
      <c r="CH37" s="573">
        <f t="shared" ref="CH37:CO37" si="46">SUM(CH6:CH36)</f>
        <v>0</v>
      </c>
      <c r="CI37" s="573">
        <f t="shared" si="46"/>
        <v>0</v>
      </c>
      <c r="CJ37" s="573">
        <f t="shared" si="46"/>
        <v>0</v>
      </c>
      <c r="CK37" s="573">
        <f t="shared" si="46"/>
        <v>393.57648026279702</v>
      </c>
      <c r="CL37" s="573">
        <f t="shared" si="46"/>
        <v>393.57648026279702</v>
      </c>
      <c r="CM37" s="573">
        <f t="shared" si="46"/>
        <v>393.57648026279702</v>
      </c>
      <c r="CN37" s="573">
        <f t="shared" si="46"/>
        <v>393.57648026279702</v>
      </c>
      <c r="CO37" s="573">
        <f t="shared" si="46"/>
        <v>156.34225285032269</v>
      </c>
      <c r="CP37" s="241"/>
      <c r="CQ37" s="573">
        <f t="shared" ref="CQ37:CX37" si="47">SUM(CQ6:CQ36)</f>
        <v>0</v>
      </c>
      <c r="CR37" s="573">
        <f t="shared" ref="CR37:CS37" si="48">SUM(CR6:CR36)</f>
        <v>0</v>
      </c>
      <c r="CS37" s="573">
        <f t="shared" si="48"/>
        <v>0</v>
      </c>
      <c r="CT37" s="573">
        <f t="shared" si="47"/>
        <v>4325.0611787374874</v>
      </c>
      <c r="CU37" s="573">
        <f t="shared" si="47"/>
        <v>4323.9649315258002</v>
      </c>
      <c r="CV37" s="573">
        <f t="shared" si="47"/>
        <v>4323.6469544932888</v>
      </c>
      <c r="CW37" s="573">
        <f t="shared" si="47"/>
        <v>4325.2537159243602</v>
      </c>
      <c r="CX37" s="573">
        <f t="shared" si="47"/>
        <v>1719.8793291448458</v>
      </c>
    </row>
    <row r="38" spans="2:102" x14ac:dyDescent="0.25">
      <c r="CQ38" s="84">
        <f t="shared" ref="CQ38:CX38" si="49">IF(ISERROR((CQ37-J37)/J37),0,(CQ37-J37)/J37)</f>
        <v>0</v>
      </c>
      <c r="CR38" s="84">
        <f t="shared" si="49"/>
        <v>0</v>
      </c>
      <c r="CS38" s="84">
        <f t="shared" si="49"/>
        <v>0</v>
      </c>
      <c r="CT38" s="84">
        <f t="shared" si="49"/>
        <v>1.8032803280936054E-3</v>
      </c>
      <c r="CU38" s="84">
        <f t="shared" si="49"/>
        <v>1.5493592834347053E-3</v>
      </c>
      <c r="CV38" s="84">
        <f t="shared" si="49"/>
        <v>1.4757070456802538E-3</v>
      </c>
      <c r="CW38" s="84">
        <f t="shared" si="49"/>
        <v>1.8478772430095436E-3</v>
      </c>
      <c r="CX38" s="84">
        <f t="shared" si="49"/>
        <v>2.861463128754166E-3</v>
      </c>
    </row>
    <row r="39" spans="2:102" x14ac:dyDescent="0.25">
      <c r="M39" s="39"/>
      <c r="N39" s="39"/>
      <c r="O39" s="39"/>
      <c r="P39" s="39"/>
      <c r="Q39" s="39"/>
    </row>
    <row r="40" spans="2:102" x14ac:dyDescent="0.25">
      <c r="M40" s="39"/>
      <c r="N40" s="39"/>
      <c r="O40" s="39"/>
      <c r="P40" s="39"/>
      <c r="Q40" s="39"/>
    </row>
    <row r="41" spans="2:102" x14ac:dyDescent="0.25">
      <c r="M41" s="39"/>
      <c r="N41" s="39"/>
      <c r="O41" s="39"/>
      <c r="P41" s="39"/>
      <c r="Q41" s="39"/>
    </row>
  </sheetData>
  <mergeCells count="11">
    <mergeCell ref="J4:Q4"/>
    <mergeCell ref="S4:Z4"/>
    <mergeCell ref="BY4:CF4"/>
    <mergeCell ref="CH4:CO4"/>
    <mergeCell ref="CQ4:CX4"/>
    <mergeCell ref="M1:N1"/>
    <mergeCell ref="J3:Q3"/>
    <mergeCell ref="S3:Z3"/>
    <mergeCell ref="BY3:CF3"/>
    <mergeCell ref="CQ3:CX3"/>
    <mergeCell ref="CH3:CO3"/>
  </mergeCells>
  <hyperlinks>
    <hyperlink ref="B2" location="Contents!A1" display="Table of Contents"/>
  </hyperlink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5">
        <x14:dataValidation type="list" errorStyle="warning" showInputMessage="1" showErrorMessage="1" error="Invalid data entered" prompt="Select from drop down list">
          <x14:formula1>
            <xm:f>Lookups!$C$5:$C$13</xm:f>
          </x14:formula1>
          <xm:sqref>E6:E36</xm:sqref>
        </x14:dataValidation>
        <x14:dataValidation type="list" errorStyle="warning" showInputMessage="1" showErrorMessage="1" error="Invalid data entered" prompt="Select from drop down list">
          <x14:formula1>
            <xm:f>Lookups!$C$16:$C$27</xm:f>
          </x14:formula1>
          <xm:sqref>F6:F36</xm:sqref>
        </x14:dataValidation>
        <x14:dataValidation type="list" errorStyle="warning" allowBlank="1" showInputMessage="1" showErrorMessage="1" prompt="Select from drop down list">
          <x14:formula1>
            <xm:f>Lab_Mat!$C$62:$C$98</xm:f>
          </x14:formula1>
          <xm:sqref>I6:I36</xm:sqref>
        </x14:dataValidation>
        <x14:dataValidation type="list" errorStyle="warning" showInputMessage="1" showErrorMessage="1" error="Invalid data entered" prompt="Select from drop down list">
          <x14:formula1>
            <xm:f>Lookups!$I$5:$I$10</xm:f>
          </x14:formula1>
          <xm:sqref>G6:G36</xm:sqref>
        </x14:dataValidation>
        <x14:dataValidation type="list" errorStyle="warning" allowBlank="1" showInputMessage="1" showErrorMessage="1" prompt="Select from drop down list">
          <x14:formula1>
            <xm:f>Lab_Mat!$C$13:$C$22</xm:f>
          </x14:formula1>
          <xm:sqref>H6:H36</xm:sqref>
        </x14:dataValidation>
      </x14:dataValidation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CX40"/>
  <sheetViews>
    <sheetView zoomScale="85" zoomScaleNormal="85" zoomScalePageLayoutView="125" workbookViewId="0">
      <pane xSplit="4" topLeftCell="E1" activePane="topRight" state="frozen"/>
      <selection activeCell="V33" sqref="V33"/>
      <selection pane="topRight" activeCell="CX37" sqref="M37:CX37"/>
    </sheetView>
  </sheetViews>
  <sheetFormatPr defaultColWidth="8.85546875" defaultRowHeight="15" outlineLevelCol="1" x14ac:dyDescent="0.25"/>
  <cols>
    <col min="1" max="1" width="4" style="1" customWidth="1"/>
    <col min="2" max="2" width="8.85546875" style="1"/>
    <col min="3" max="3" width="53" style="1" customWidth="1"/>
    <col min="4" max="4" width="20.28515625" style="1" customWidth="1"/>
    <col min="5" max="5" width="24.42578125" style="1" customWidth="1" outlineLevel="1"/>
    <col min="6" max="6" width="22.7109375" style="1" customWidth="1" outlineLevel="1"/>
    <col min="7" max="7" width="27.5703125" style="1" customWidth="1" outlineLevel="1"/>
    <col min="8" max="8" width="28.42578125" style="1" customWidth="1" outlineLevel="1"/>
    <col min="9" max="9" width="18.28515625" style="1" customWidth="1" outlineLevel="1"/>
    <col min="10" max="17" width="9.7109375" style="1" customWidth="1"/>
    <col min="18" max="18" width="3" style="1" customWidth="1"/>
    <col min="19" max="26" width="8.85546875" style="1"/>
    <col min="27" max="27" width="2.7109375" style="1" customWidth="1"/>
    <col min="28" max="32" width="10.42578125" style="1" hidden="1" customWidth="1" outlineLevel="1"/>
    <col min="33" max="33" width="8.85546875" style="1" collapsed="1"/>
    <col min="34" max="38" width="10.42578125" style="1" hidden="1" customWidth="1" outlineLevel="1"/>
    <col min="39" max="39" width="8.85546875" style="1" collapsed="1"/>
    <col min="40" max="44" width="0" style="1" hidden="1" customWidth="1" outlineLevel="1"/>
    <col min="45" max="45" width="8.85546875" style="1" collapsed="1"/>
    <col min="46" max="50" width="10.42578125" style="1" hidden="1" customWidth="1" outlineLevel="1"/>
    <col min="51" max="51" width="8.85546875" style="1" collapsed="1"/>
    <col min="52" max="56" width="9.140625" style="1" hidden="1" customWidth="1" outlineLevel="1"/>
    <col min="57" max="57" width="8.85546875" style="1" collapsed="1"/>
    <col min="58" max="62" width="9.140625" style="1" hidden="1" customWidth="1" outlineLevel="1"/>
    <col min="63" max="63" width="8.85546875" style="1" collapsed="1"/>
    <col min="64" max="68" width="9.140625" style="1" hidden="1" customWidth="1" outlineLevel="1"/>
    <col min="69" max="69" width="8.85546875" style="1" collapsed="1"/>
    <col min="70" max="74" width="9.140625" style="1" hidden="1" customWidth="1" outlineLevel="1"/>
    <col min="75" max="75" width="8.85546875" style="1" collapsed="1"/>
    <col min="76" max="76" width="2.7109375" style="1" customWidth="1"/>
    <col min="77" max="84" width="8.85546875" style="1"/>
    <col min="85" max="85" width="2.85546875" style="1" customWidth="1"/>
    <col min="86" max="93" width="8.85546875" style="1"/>
    <col min="94" max="94" width="2.85546875" style="1" customWidth="1"/>
    <col min="95" max="16384" width="8.85546875" style="1"/>
  </cols>
  <sheetData>
    <row r="1" spans="2:102" ht="18.75" x14ac:dyDescent="0.3">
      <c r="B1" s="10" t="s">
        <v>132</v>
      </c>
      <c r="M1" s="825" t="s">
        <v>749</v>
      </c>
      <c r="N1" s="825"/>
    </row>
    <row r="2" spans="2:102" x14ac:dyDescent="0.25">
      <c r="B2" s="25" t="s">
        <v>6</v>
      </c>
    </row>
    <row r="3" spans="2:102" x14ac:dyDescent="0.25">
      <c r="J3" s="829"/>
      <c r="K3" s="829"/>
      <c r="L3" s="829"/>
      <c r="M3" s="829"/>
      <c r="N3" s="829"/>
      <c r="O3" s="829"/>
      <c r="P3" s="829"/>
      <c r="Q3" s="829"/>
      <c r="S3" s="829"/>
      <c r="T3" s="829"/>
      <c r="U3" s="829"/>
      <c r="V3" s="829"/>
      <c r="W3" s="829"/>
      <c r="X3" s="829"/>
      <c r="Y3" s="829"/>
      <c r="Z3" s="829"/>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Y3" s="829"/>
      <c r="BZ3" s="829"/>
      <c r="CA3" s="829"/>
      <c r="CB3" s="829"/>
      <c r="CC3" s="829"/>
      <c r="CD3" s="829"/>
      <c r="CE3" s="829"/>
      <c r="CF3" s="829"/>
      <c r="CH3" s="829"/>
      <c r="CI3" s="829"/>
      <c r="CJ3" s="829"/>
      <c r="CK3" s="829"/>
      <c r="CL3" s="829"/>
      <c r="CM3" s="829"/>
      <c r="CN3" s="829"/>
      <c r="CO3" s="829"/>
      <c r="CQ3" s="829"/>
      <c r="CR3" s="829"/>
      <c r="CS3" s="829"/>
      <c r="CT3" s="829"/>
      <c r="CU3" s="829"/>
      <c r="CV3" s="829"/>
      <c r="CW3" s="829"/>
      <c r="CX3" s="829"/>
    </row>
    <row r="4" spans="2:102" ht="45" x14ac:dyDescent="0.25">
      <c r="J4" s="826" t="s">
        <v>380</v>
      </c>
      <c r="K4" s="827"/>
      <c r="L4" s="827"/>
      <c r="M4" s="827"/>
      <c r="N4" s="827"/>
      <c r="O4" s="827"/>
      <c r="P4" s="827"/>
      <c r="Q4" s="828"/>
      <c r="S4" s="826" t="s">
        <v>174</v>
      </c>
      <c r="T4" s="827"/>
      <c r="U4" s="827"/>
      <c r="V4" s="827"/>
      <c r="W4" s="827"/>
      <c r="X4" s="827"/>
      <c r="Y4" s="827"/>
      <c r="Z4" s="828"/>
      <c r="AA4" s="57"/>
      <c r="AB4" s="9" t="s">
        <v>180</v>
      </c>
      <c r="AC4" s="9" t="s">
        <v>181</v>
      </c>
      <c r="AD4" s="9" t="s">
        <v>182</v>
      </c>
      <c r="AE4" s="9" t="s">
        <v>183</v>
      </c>
      <c r="AF4" s="9" t="s">
        <v>5</v>
      </c>
      <c r="AG4" s="9" t="s">
        <v>173</v>
      </c>
      <c r="AH4" s="9" t="s">
        <v>180</v>
      </c>
      <c r="AI4" s="9" t="s">
        <v>181</v>
      </c>
      <c r="AJ4" s="9" t="s">
        <v>182</v>
      </c>
      <c r="AK4" s="9" t="s">
        <v>183</v>
      </c>
      <c r="AL4" s="9" t="s">
        <v>5</v>
      </c>
      <c r="AM4" s="9" t="s">
        <v>173</v>
      </c>
      <c r="AN4" s="9" t="s">
        <v>180</v>
      </c>
      <c r="AO4" s="9" t="s">
        <v>181</v>
      </c>
      <c r="AP4" s="9" t="s">
        <v>182</v>
      </c>
      <c r="AQ4" s="9" t="s">
        <v>183</v>
      </c>
      <c r="AR4" s="9" t="s">
        <v>5</v>
      </c>
      <c r="AS4" s="9" t="s">
        <v>173</v>
      </c>
      <c r="AT4" s="9" t="s">
        <v>180</v>
      </c>
      <c r="AU4" s="9" t="s">
        <v>181</v>
      </c>
      <c r="AV4" s="9" t="s">
        <v>182</v>
      </c>
      <c r="AW4" s="9" t="s">
        <v>183</v>
      </c>
      <c r="AX4" s="9" t="s">
        <v>5</v>
      </c>
      <c r="AY4" s="9" t="s">
        <v>173</v>
      </c>
      <c r="AZ4" s="9" t="s">
        <v>180</v>
      </c>
      <c r="BA4" s="9" t="s">
        <v>181</v>
      </c>
      <c r="BB4" s="9" t="s">
        <v>182</v>
      </c>
      <c r="BC4" s="9" t="s">
        <v>183</v>
      </c>
      <c r="BD4" s="9" t="s">
        <v>5</v>
      </c>
      <c r="BE4" s="9" t="s">
        <v>173</v>
      </c>
      <c r="BF4" s="9" t="s">
        <v>180</v>
      </c>
      <c r="BG4" s="9" t="s">
        <v>181</v>
      </c>
      <c r="BH4" s="9" t="s">
        <v>182</v>
      </c>
      <c r="BI4" s="9" t="s">
        <v>183</v>
      </c>
      <c r="BJ4" s="9" t="s">
        <v>5</v>
      </c>
      <c r="BK4" s="9" t="s">
        <v>173</v>
      </c>
      <c r="BL4" s="9" t="s">
        <v>180</v>
      </c>
      <c r="BM4" s="9" t="s">
        <v>181</v>
      </c>
      <c r="BN4" s="9" t="s">
        <v>182</v>
      </c>
      <c r="BO4" s="9" t="s">
        <v>183</v>
      </c>
      <c r="BP4" s="9" t="s">
        <v>5</v>
      </c>
      <c r="BQ4" s="9" t="s">
        <v>173</v>
      </c>
      <c r="BR4" s="9" t="s">
        <v>180</v>
      </c>
      <c r="BS4" s="9" t="s">
        <v>181</v>
      </c>
      <c r="BT4" s="9" t="s">
        <v>182</v>
      </c>
      <c r="BU4" s="9" t="s">
        <v>183</v>
      </c>
      <c r="BV4" s="9" t="s">
        <v>5</v>
      </c>
      <c r="BW4" s="9" t="s">
        <v>173</v>
      </c>
      <c r="BX4" s="57"/>
      <c r="BY4" s="826" t="s">
        <v>299</v>
      </c>
      <c r="BZ4" s="827"/>
      <c r="CA4" s="827"/>
      <c r="CB4" s="827"/>
      <c r="CC4" s="827"/>
      <c r="CD4" s="827"/>
      <c r="CE4" s="827"/>
      <c r="CF4" s="828"/>
      <c r="CG4" s="57"/>
      <c r="CH4" s="826" t="s">
        <v>175</v>
      </c>
      <c r="CI4" s="827"/>
      <c r="CJ4" s="827"/>
      <c r="CK4" s="827"/>
      <c r="CL4" s="827"/>
      <c r="CM4" s="827"/>
      <c r="CN4" s="827"/>
      <c r="CO4" s="828"/>
      <c r="CP4" s="57"/>
      <c r="CQ4" s="826" t="s">
        <v>239</v>
      </c>
      <c r="CR4" s="827"/>
      <c r="CS4" s="827"/>
      <c r="CT4" s="827"/>
      <c r="CU4" s="827"/>
      <c r="CV4" s="827"/>
      <c r="CW4" s="827"/>
      <c r="CX4" s="828"/>
    </row>
    <row r="5" spans="2:102" x14ac:dyDescent="0.25">
      <c r="B5" s="8" t="s">
        <v>23</v>
      </c>
      <c r="C5" s="8" t="s">
        <v>24</v>
      </c>
      <c r="D5" s="17" t="s">
        <v>98</v>
      </c>
      <c r="E5" s="17" t="s">
        <v>76</v>
      </c>
      <c r="F5" s="17" t="s">
        <v>77</v>
      </c>
      <c r="G5" s="17" t="s">
        <v>324</v>
      </c>
      <c r="H5" s="17" t="s">
        <v>212</v>
      </c>
      <c r="I5" s="17" t="s">
        <v>177</v>
      </c>
      <c r="J5" s="335">
        <f>CP_Yr_4</f>
        <v>43800</v>
      </c>
      <c r="K5" s="335">
        <f>CP_Yr_5</f>
        <v>44166</v>
      </c>
      <c r="L5" s="335">
        <f>Stub</f>
        <v>44377</v>
      </c>
      <c r="M5" s="335">
        <f>Yr_1</f>
        <v>44742</v>
      </c>
      <c r="N5" s="335">
        <f>Yr_2</f>
        <v>45107</v>
      </c>
      <c r="O5" s="335">
        <f>Yr_3</f>
        <v>45473</v>
      </c>
      <c r="P5" s="335">
        <f>Yr_4</f>
        <v>45838</v>
      </c>
      <c r="Q5" s="335">
        <f>Yr_5</f>
        <v>46203</v>
      </c>
      <c r="R5" s="336"/>
      <c r="S5" s="335">
        <f>CP_Yr_4</f>
        <v>43800</v>
      </c>
      <c r="T5" s="335">
        <f>CP_Yr_5</f>
        <v>44166</v>
      </c>
      <c r="U5" s="335">
        <f>Stub</f>
        <v>44377</v>
      </c>
      <c r="V5" s="335">
        <f>Yr_1</f>
        <v>44742</v>
      </c>
      <c r="W5" s="335">
        <f>Yr_2</f>
        <v>45107</v>
      </c>
      <c r="X5" s="335">
        <f>Yr_3</f>
        <v>45473</v>
      </c>
      <c r="Y5" s="335">
        <f>Yr_4</f>
        <v>45838</v>
      </c>
      <c r="Z5" s="335">
        <f>Yr_5</f>
        <v>46203</v>
      </c>
      <c r="AA5" s="336"/>
      <c r="AB5" s="335">
        <f t="shared" ref="AB5:AG5" si="0">CP_Yr_4</f>
        <v>43800</v>
      </c>
      <c r="AC5" s="335">
        <f t="shared" si="0"/>
        <v>43800</v>
      </c>
      <c r="AD5" s="335">
        <f t="shared" si="0"/>
        <v>43800</v>
      </c>
      <c r="AE5" s="335">
        <f t="shared" si="0"/>
        <v>43800</v>
      </c>
      <c r="AF5" s="335">
        <f t="shared" si="0"/>
        <v>43800</v>
      </c>
      <c r="AG5" s="335">
        <f t="shared" si="0"/>
        <v>43800</v>
      </c>
      <c r="AH5" s="335">
        <f t="shared" ref="AH5:AM5" si="1">CP_Yr_5</f>
        <v>44166</v>
      </c>
      <c r="AI5" s="335">
        <f t="shared" si="1"/>
        <v>44166</v>
      </c>
      <c r="AJ5" s="335">
        <f t="shared" si="1"/>
        <v>44166</v>
      </c>
      <c r="AK5" s="335">
        <f t="shared" si="1"/>
        <v>44166</v>
      </c>
      <c r="AL5" s="335">
        <f t="shared" si="1"/>
        <v>44166</v>
      </c>
      <c r="AM5" s="335">
        <f t="shared" si="1"/>
        <v>44166</v>
      </c>
      <c r="AN5" s="335">
        <f t="shared" ref="AN5:AS5" si="2">Stub</f>
        <v>44377</v>
      </c>
      <c r="AO5" s="335">
        <f t="shared" si="2"/>
        <v>44377</v>
      </c>
      <c r="AP5" s="335">
        <f t="shared" si="2"/>
        <v>44377</v>
      </c>
      <c r="AQ5" s="335">
        <f t="shared" si="2"/>
        <v>44377</v>
      </c>
      <c r="AR5" s="335">
        <f t="shared" si="2"/>
        <v>44377</v>
      </c>
      <c r="AS5" s="335">
        <f t="shared" si="2"/>
        <v>44377</v>
      </c>
      <c r="AT5" s="335">
        <f t="shared" ref="AT5:AY5" si="3">Yr_1</f>
        <v>44742</v>
      </c>
      <c r="AU5" s="335">
        <f t="shared" si="3"/>
        <v>44742</v>
      </c>
      <c r="AV5" s="335">
        <f t="shared" si="3"/>
        <v>44742</v>
      </c>
      <c r="AW5" s="335">
        <f t="shared" si="3"/>
        <v>44742</v>
      </c>
      <c r="AX5" s="335">
        <f t="shared" si="3"/>
        <v>44742</v>
      </c>
      <c r="AY5" s="335">
        <f t="shared" si="3"/>
        <v>44742</v>
      </c>
      <c r="AZ5" s="335">
        <f t="shared" ref="AZ5:BE5" si="4">Yr_2</f>
        <v>45107</v>
      </c>
      <c r="BA5" s="335">
        <f t="shared" si="4"/>
        <v>45107</v>
      </c>
      <c r="BB5" s="335">
        <f t="shared" si="4"/>
        <v>45107</v>
      </c>
      <c r="BC5" s="335">
        <f t="shared" si="4"/>
        <v>45107</v>
      </c>
      <c r="BD5" s="335">
        <f t="shared" si="4"/>
        <v>45107</v>
      </c>
      <c r="BE5" s="335">
        <f t="shared" si="4"/>
        <v>45107</v>
      </c>
      <c r="BF5" s="335">
        <f t="shared" ref="BF5:BK5" si="5">Yr_3</f>
        <v>45473</v>
      </c>
      <c r="BG5" s="335">
        <f t="shared" si="5"/>
        <v>45473</v>
      </c>
      <c r="BH5" s="335">
        <f t="shared" si="5"/>
        <v>45473</v>
      </c>
      <c r="BI5" s="335">
        <f t="shared" si="5"/>
        <v>45473</v>
      </c>
      <c r="BJ5" s="335">
        <f t="shared" si="5"/>
        <v>45473</v>
      </c>
      <c r="BK5" s="335">
        <f t="shared" si="5"/>
        <v>45473</v>
      </c>
      <c r="BL5" s="335">
        <f t="shared" ref="BL5:BQ5" si="6">Yr_4</f>
        <v>45838</v>
      </c>
      <c r="BM5" s="335">
        <f t="shared" si="6"/>
        <v>45838</v>
      </c>
      <c r="BN5" s="335">
        <f t="shared" si="6"/>
        <v>45838</v>
      </c>
      <c r="BO5" s="335">
        <f t="shared" si="6"/>
        <v>45838</v>
      </c>
      <c r="BP5" s="335">
        <f t="shared" si="6"/>
        <v>45838</v>
      </c>
      <c r="BQ5" s="335">
        <f t="shared" si="6"/>
        <v>45838</v>
      </c>
      <c r="BR5" s="335">
        <f t="shared" ref="BR5:BW5" si="7">Yr_5</f>
        <v>46203</v>
      </c>
      <c r="BS5" s="335">
        <f t="shared" si="7"/>
        <v>46203</v>
      </c>
      <c r="BT5" s="335">
        <f t="shared" si="7"/>
        <v>46203</v>
      </c>
      <c r="BU5" s="335">
        <f t="shared" si="7"/>
        <v>46203</v>
      </c>
      <c r="BV5" s="335">
        <f t="shared" si="7"/>
        <v>46203</v>
      </c>
      <c r="BW5" s="335">
        <f t="shared" si="7"/>
        <v>46203</v>
      </c>
      <c r="BX5" s="336"/>
      <c r="BY5" s="335">
        <f>CP_Yr_4</f>
        <v>43800</v>
      </c>
      <c r="BZ5" s="335">
        <f>CP_Yr_5</f>
        <v>44166</v>
      </c>
      <c r="CA5" s="335">
        <f>Stub</f>
        <v>44377</v>
      </c>
      <c r="CB5" s="335">
        <f>Yr_1</f>
        <v>44742</v>
      </c>
      <c r="CC5" s="335">
        <f>Yr_2</f>
        <v>45107</v>
      </c>
      <c r="CD5" s="335">
        <f>Yr_3</f>
        <v>45473</v>
      </c>
      <c r="CE5" s="335">
        <f>Yr_4</f>
        <v>45838</v>
      </c>
      <c r="CF5" s="335">
        <f>Yr_5</f>
        <v>46203</v>
      </c>
      <c r="CG5" s="336"/>
      <c r="CH5" s="335">
        <f>CP_Yr_4</f>
        <v>43800</v>
      </c>
      <c r="CI5" s="335">
        <f>CP_Yr_5</f>
        <v>44166</v>
      </c>
      <c r="CJ5" s="335">
        <f>Stub</f>
        <v>44377</v>
      </c>
      <c r="CK5" s="335">
        <f>Yr_1</f>
        <v>44742</v>
      </c>
      <c r="CL5" s="335">
        <f>Yr_2</f>
        <v>45107</v>
      </c>
      <c r="CM5" s="335">
        <f>Yr_3</f>
        <v>45473</v>
      </c>
      <c r="CN5" s="335">
        <f>Yr_4</f>
        <v>45838</v>
      </c>
      <c r="CO5" s="335">
        <f>Yr_5</f>
        <v>46203</v>
      </c>
      <c r="CP5" s="336"/>
      <c r="CQ5" s="335">
        <f>CP_Yr_4</f>
        <v>43800</v>
      </c>
      <c r="CR5" s="335">
        <f>CP_Yr_5</f>
        <v>44166</v>
      </c>
      <c r="CS5" s="335">
        <f>Stub</f>
        <v>44377</v>
      </c>
      <c r="CT5" s="335">
        <f>Yr_1</f>
        <v>44742</v>
      </c>
      <c r="CU5" s="335">
        <f>Yr_2</f>
        <v>45107</v>
      </c>
      <c r="CV5" s="335">
        <f>Yr_3</f>
        <v>45473</v>
      </c>
      <c r="CW5" s="335">
        <f>Yr_4</f>
        <v>45838</v>
      </c>
      <c r="CX5" s="335">
        <f>Yr_5</f>
        <v>46203</v>
      </c>
    </row>
    <row r="6" spans="2:102" x14ac:dyDescent="0.25">
      <c r="B6" s="7"/>
      <c r="C6" s="7" t="s">
        <v>571</v>
      </c>
      <c r="D6" s="7" t="s">
        <v>112</v>
      </c>
      <c r="E6" s="7" t="s">
        <v>48</v>
      </c>
      <c r="F6" s="7" t="s">
        <v>48</v>
      </c>
      <c r="G6" s="7" t="s">
        <v>150</v>
      </c>
      <c r="H6" s="7" t="s">
        <v>325</v>
      </c>
      <c r="I6" s="7" t="s">
        <v>242</v>
      </c>
      <c r="J6" s="45"/>
      <c r="K6" s="45"/>
      <c r="L6" s="45"/>
      <c r="M6" s="128">
        <v>2307</v>
      </c>
      <c r="N6" s="128">
        <v>2307</v>
      </c>
      <c r="O6" s="128">
        <v>1403</v>
      </c>
      <c r="P6" s="128">
        <v>0</v>
      </c>
      <c r="Q6" s="128">
        <v>0</v>
      </c>
      <c r="R6" s="129"/>
      <c r="S6" s="128">
        <f>INDEX(Direct_Cost_Splits_Network,MATCH($H6,RIN_Asset_Cat_Network,0),MATCH($S$4,Direct_Cost_Type,0))*J6*HLOOKUP(S$5,Escalators!$I$25:$U$30,3,FALSE)</f>
        <v>0</v>
      </c>
      <c r="T6" s="128">
        <f>INDEX(Direct_Cost_Splits_Network,MATCH($H6,RIN_Asset_Cat_Network,0),MATCH($S$4,Direct_Cost_Type,0))*K6*HLOOKUP(T$5,Escalators!$I$25:$U$30,3,FALSE)</f>
        <v>0</v>
      </c>
      <c r="U6" s="128">
        <f>INDEX(Direct_Cost_Splits_Network,MATCH($H6,RIN_Asset_Cat_Network,0),MATCH($S$4,Direct_Cost_Type,0))*L6*HLOOKUP(U$5,Escalators!$I$25:$U$30,3,FALSE)</f>
        <v>0</v>
      </c>
      <c r="V6" s="128">
        <f>INDEX(Direct_Cost_Splits_Network,MATCH($H6,RIN_Asset_Cat_Network,0),MATCH($S$4,Direct_Cost_Type,0))*M6*HLOOKUP(V$5,Escalators!$I$25:$U$30,3,FALSE)</f>
        <v>234.53069066288566</v>
      </c>
      <c r="W6" s="128">
        <f>INDEX(Direct_Cost_Splits_Network,MATCH($H6,RIN_Asset_Cat_Network,0),MATCH($S$4,Direct_Cost_Type,0))*N6*HLOOKUP(W$5,Escalators!$I$25:$U$30,3,FALSE)</f>
        <v>233.94489481285717</v>
      </c>
      <c r="X6" s="128">
        <f>INDEX(Direct_Cost_Splits_Network,MATCH($H6,RIN_Asset_Cat_Network,0),MATCH($S$4,Direct_Cost_Type,0))*O6*HLOOKUP(X$5,Escalators!$I$25:$U$30,3,FALSE)</f>
        <v>142.17004580745612</v>
      </c>
      <c r="Y6" s="128">
        <f>INDEX(Direct_Cost_Splits_Network,MATCH($H6,RIN_Asset_Cat_Network,0),MATCH($S$4,Direct_Cost_Type,0))*P6*HLOOKUP(Y$5,Escalators!$I$25:$U$30,3,FALSE)</f>
        <v>0</v>
      </c>
      <c r="Z6" s="128">
        <f>INDEX(Direct_Cost_Splits_Network,MATCH($H6,RIN_Asset_Cat_Network,0),MATCH($S$4,Direct_Cost_Type,0))*Q6*HLOOKUP(Z$5,Escalators!$I$25:$U$30,3,FALSE)</f>
        <v>0</v>
      </c>
      <c r="AA6" s="129"/>
      <c r="AB6" s="128">
        <f>INDEX(Direct_Cost_Splits_Network,MATCH($H6,RIN_Asset_Cat_Network,0),MATCH($AG$4,Direct_Cost_Type,0))*$J6*INDEX(Act_Type_Repex_Splits,MATCH($I6,Act_Type_Repex,0),MATCH(AB$4,Mat_Type,0))*INDEX(Escalators!$I$44:$Q$49,MATCH(AB$4,Escalators!$C$44:$C$49,0),MATCH(AB$5,Escalators!$I$43:$Q$43,0))</f>
        <v>0</v>
      </c>
      <c r="AC6" s="128">
        <f>INDEX(Direct_Cost_Splits_Network,MATCH($H6,RIN_Asset_Cat_Network,0),MATCH($AG$4,Direct_Cost_Type,0))*$J6*INDEX(Act_Type_Repex_Splits,MATCH($I6,Act_Type_Repex,0),MATCH(AC$4,Mat_Type,0))*INDEX(Escalators!$I$44:$Q$49,MATCH(AC$4,Escalators!$C$44:$C$49,0),MATCH(AC$5,Escalators!$I$43:$Q$43,0))</f>
        <v>0</v>
      </c>
      <c r="AD6" s="128">
        <f>INDEX(Direct_Cost_Splits_Network,MATCH($H6,RIN_Asset_Cat_Network,0),MATCH($AG$4,Direct_Cost_Type,0))*$J6*INDEX(Act_Type_Repex_Splits,MATCH($I6,Act_Type_Repex,0),MATCH(AD$4,Mat_Type,0))*INDEX(Escalators!$I$44:$Q$49,MATCH(AD$4,Escalators!$C$44:$C$49,0),MATCH(AD$5,Escalators!$I$43:$Q$43,0))</f>
        <v>0</v>
      </c>
      <c r="AE6" s="128">
        <f>INDEX(Direct_Cost_Splits_Network,MATCH($H6,RIN_Asset_Cat_Network,0),MATCH($AG$4,Direct_Cost_Type,0))*$J6*INDEX(Act_Type_Repex_Splits,MATCH($I6,Act_Type_Repex,0),MATCH(AE$4,Mat_Type,0))*INDEX(Escalators!$I$44:$Q$49,MATCH(AE$4,Escalators!$C$44:$C$49,0),MATCH(AE$5,Escalators!$I$43:$Q$43,0))</f>
        <v>0</v>
      </c>
      <c r="AF6" s="128">
        <f>INDEX(Direct_Cost_Splits_Network,MATCH($H6,RIN_Asset_Cat_Network,0),MATCH($AG$4,Direct_Cost_Type,0))*$J6*INDEX(Act_Type_Repex_Splits,MATCH($I6,Act_Type_Repex,0),MATCH(AF$4,Mat_Type,0))*INDEX(Escalators!$I$44:$Q$49,MATCH(AF$4,Escalators!$C$44:$C$49,0),MATCH(AF$5,Escalators!$I$43:$Q$43,0))</f>
        <v>0</v>
      </c>
      <c r="AG6" s="128">
        <f>SUM(AB6:AF6)</f>
        <v>0</v>
      </c>
      <c r="AH6" s="128">
        <f>INDEX(Direct_Cost_Splits_Network,MATCH($H6,RIN_Asset_Cat_Network,0),MATCH($AY$4,Direct_Cost_Type,0))*$K6*INDEX(Act_Type_Repex_Splits,MATCH($I6,Act_Type_Repex,0),MATCH(AH$4,Mat_Type,0))*INDEX(Escalators!$I$44:$U$49,MATCH(AH$4,Escalators!$C$44:$C$49,0),MATCH(AH$5,Escalators!$I$43:$U$43,0))</f>
        <v>0</v>
      </c>
      <c r="AI6" s="128">
        <f>INDEX(Direct_Cost_Splits_Network,MATCH($H6,RIN_Asset_Cat_Network,0),MATCH($AY$4,Direct_Cost_Type,0))*$K6*INDEX(Act_Type_Repex_Splits,MATCH($I6,Act_Type_Repex,0),MATCH(AI$4,Mat_Type,0))*INDEX(Escalators!$I$44:$U$49,MATCH(AI$4,Escalators!$C$44:$C$49,0),MATCH(AI$5,Escalators!$I$43:$U$43,0))</f>
        <v>0</v>
      </c>
      <c r="AJ6" s="128">
        <f>INDEX(Direct_Cost_Splits_Network,MATCH($H6,RIN_Asset_Cat_Network,0),MATCH($AY$4,Direct_Cost_Type,0))*$K6*INDEX(Act_Type_Repex_Splits,MATCH($I6,Act_Type_Repex,0),MATCH(AJ$4,Mat_Type,0))*INDEX(Escalators!$I$44:$U$49,MATCH(AJ$4,Escalators!$C$44:$C$49,0),MATCH(AJ$5,Escalators!$I$43:$U$43,0))</f>
        <v>0</v>
      </c>
      <c r="AK6" s="128">
        <f>INDEX(Direct_Cost_Splits_Network,MATCH($H6,RIN_Asset_Cat_Network,0),MATCH($AY$4,Direct_Cost_Type,0))*$K6*INDEX(Act_Type_Repex_Splits,MATCH($I6,Act_Type_Repex,0),MATCH(AK$4,Mat_Type,0))*INDEX(Escalators!$I$44:$U$49,MATCH(AK$4,Escalators!$C$44:$C$49,0),MATCH(AK$5,Escalators!$I$43:$U$43,0))</f>
        <v>0</v>
      </c>
      <c r="AL6" s="128">
        <f>INDEX(Direct_Cost_Splits_Network,MATCH($H6,RIN_Asset_Cat_Network,0),MATCH($AY$4,Direct_Cost_Type,0))*$K6*INDEX(Act_Type_Repex_Splits,MATCH($I6,Act_Type_Repex,0),MATCH(AL$4,Mat_Type,0))*INDEX(Escalators!$I$44:$U$49,MATCH(AL$4,Escalators!$C$44:$C$49,0),MATCH(AL$5,Escalators!$I$43:$U$43,0))</f>
        <v>0</v>
      </c>
      <c r="AM6" s="128">
        <f>SUM(AH6:AL6)</f>
        <v>0</v>
      </c>
      <c r="AN6" s="128">
        <f>INDEX(Direct_Cost_Splits_Network,MATCH($H6,RIN_Asset_Cat_Network,0),MATCH($AY$4,Direct_Cost_Type,0))*$L6*INDEX(Act_Type_Repex_Splits,MATCH($I6,Act_Type_Repex,0),MATCH(AN$4,Mat_Type,0))*INDEX(Escalators!$I$44:$U$49,MATCH(AN$4,Escalators!$C$44:$C$49,0),MATCH(AN$5,Escalators!$I$43:$U$43,0))</f>
        <v>0</v>
      </c>
      <c r="AO6" s="128">
        <f>INDEX(Direct_Cost_Splits_Network,MATCH($H6,RIN_Asset_Cat_Network,0),MATCH($AY$4,Direct_Cost_Type,0))*$L6*INDEX(Act_Type_Repex_Splits,MATCH($I6,Act_Type_Repex,0),MATCH(AO$4,Mat_Type,0))*INDEX(Escalators!$I$44:$U$49,MATCH(AO$4,Escalators!$C$44:$C$49,0),MATCH(AO$5,Escalators!$I$43:$U$43,0))</f>
        <v>0</v>
      </c>
      <c r="AP6" s="128">
        <f>INDEX(Direct_Cost_Splits_Network,MATCH($H6,RIN_Asset_Cat_Network,0),MATCH($AY$4,Direct_Cost_Type,0))*$L6*INDEX(Act_Type_Repex_Splits,MATCH($I6,Act_Type_Repex,0),MATCH(AP$4,Mat_Type,0))*INDEX(Escalators!$I$44:$U$49,MATCH(AP$4,Escalators!$C$44:$C$49,0),MATCH(AP$5,Escalators!$I$43:$U$43,0))</f>
        <v>0</v>
      </c>
      <c r="AQ6" s="128">
        <f>INDEX(Direct_Cost_Splits_Network,MATCH($H6,RIN_Asset_Cat_Network,0),MATCH($AY$4,Direct_Cost_Type,0))*$L6*INDEX(Act_Type_Repex_Splits,MATCH($I6,Act_Type_Repex,0),MATCH(AQ$4,Mat_Type,0))*INDEX(Escalators!$I$44:$U$49,MATCH(AQ$4,Escalators!$C$44:$C$49,0),MATCH(AQ$5,Escalators!$I$43:$U$43,0))</f>
        <v>0</v>
      </c>
      <c r="AR6" s="128">
        <f>INDEX(Direct_Cost_Splits_Network,MATCH($H6,RIN_Asset_Cat_Network,0),MATCH($AY$4,Direct_Cost_Type,0))*$L6*INDEX(Act_Type_Repex_Splits,MATCH($I6,Act_Type_Repex,0),MATCH(AR$4,Mat_Type,0))*INDEX(Escalators!$I$44:$U$49,MATCH(AR$4,Escalators!$C$44:$C$49,0),MATCH(AR$5,Escalators!$I$43:$U$43,0))</f>
        <v>0</v>
      </c>
      <c r="AS6" s="128">
        <f>SUM(AN6:AR6)</f>
        <v>0</v>
      </c>
      <c r="AT6" s="128">
        <f>INDEX(Direct_Cost_Splits_Network,MATCH($H6,RIN_Asset_Cat_Network,0),MATCH($AY$4,Direct_Cost_Type,0))*$M6*INDEX(Act_Type_Repex_Splits,MATCH($I6,Act_Type_Repex,0),MATCH(AT$4,Mat_Type,0))*INDEX(Escalators!$I$44:$U$49,MATCH(AT$4,Escalators!$C$44:$C$49,0),MATCH(AT$5,Escalators!$I$43:$U$43,0))</f>
        <v>0</v>
      </c>
      <c r="AU6" s="128">
        <f>INDEX(Direct_Cost_Splits_Network,MATCH($H6,RIN_Asset_Cat_Network,0),MATCH($AY$4,Direct_Cost_Type,0))*$M6*INDEX(Act_Type_Repex_Splits,MATCH($I6,Act_Type_Repex,0),MATCH(AU$4,Mat_Type,0))*INDEX(Escalators!$I$44:$U$49,MATCH(AU$4,Escalators!$C$44:$C$49,0),MATCH(AU$5,Escalators!$I$43:$U$43,0))</f>
        <v>0</v>
      </c>
      <c r="AV6" s="128">
        <f>INDEX(Direct_Cost_Splits_Network,MATCH($H6,RIN_Asset_Cat_Network,0),MATCH($AY$4,Direct_Cost_Type,0))*$M6*INDEX(Act_Type_Repex_Splits,MATCH($I6,Act_Type_Repex,0),MATCH(AV$4,Mat_Type,0))*INDEX(Escalators!$I$44:$U$49,MATCH(AV$4,Escalators!$C$44:$C$49,0),MATCH(AV$5,Escalators!$I$43:$U$43,0))</f>
        <v>101.46145472753756</v>
      </c>
      <c r="AW6" s="128">
        <f>INDEX(Direct_Cost_Splits_Network,MATCH($H6,RIN_Asset_Cat_Network,0),MATCH($AY$4,Direct_Cost_Type,0))*$M6*INDEX(Act_Type_Repex_Splits,MATCH($I6,Act_Type_Repex,0),MATCH(AW$4,Mat_Type,0))*INDEX(Escalators!$I$44:$U$49,MATCH(AW$4,Escalators!$C$44:$C$49,0),MATCH(AW$5,Escalators!$I$43:$U$43,0))</f>
        <v>0</v>
      </c>
      <c r="AX6" s="128">
        <f>INDEX(Direct_Cost_Splits_Network,MATCH($H6,RIN_Asset_Cat_Network,0),MATCH($AY$4,Direct_Cost_Type,0))*$M6*INDEX(Act_Type_Repex_Splits,MATCH($I6,Act_Type_Repex,0),MATCH(AX$4,Mat_Type,0))*INDEX(Escalators!$I$44:$U$49,MATCH(AX$4,Escalators!$C$44:$C$49,0),MATCH(AX$5,Escalators!$I$43:$U$43,0))</f>
        <v>405.84581891015023</v>
      </c>
      <c r="AY6" s="128">
        <f>SUM(AT6:AX6)</f>
        <v>507.30727363768779</v>
      </c>
      <c r="AZ6" s="128">
        <f>INDEX(Direct_Cost_Splits_Network,MATCH($H6,RIN_Asset_Cat_Network,0),MATCH($BE$4,Direct_Cost_Type,0))*$N6*INDEX(Act_Type_Repex_Splits,MATCH($I6,Act_Type_Repex,0),MATCH(AZ$4,Mat_Type,0))*INDEX(Escalators!$I$44:$U$49,MATCH(AZ$4,Escalators!$C$44:$C$49,0),MATCH(AZ$5,Escalators!$I$43:$U$43,0))</f>
        <v>0</v>
      </c>
      <c r="BA6" s="128">
        <f>INDEX(Direct_Cost_Splits_Network,MATCH($H6,RIN_Asset_Cat_Network,0),MATCH($BE$4,Direct_Cost_Type,0))*$N6*INDEX(Act_Type_Repex_Splits,MATCH($I6,Act_Type_Repex,0),MATCH(BA$4,Mat_Type,0))*INDEX(Escalators!$I$44:$U$49,MATCH(BA$4,Escalators!$C$44:$C$49,0),MATCH(BA$5,Escalators!$I$43:$U$43,0))</f>
        <v>0</v>
      </c>
      <c r="BB6" s="128">
        <f>INDEX(Direct_Cost_Splits_Network,MATCH($H6,RIN_Asset_Cat_Network,0),MATCH($BE$4,Direct_Cost_Type,0))*$N6*INDEX(Act_Type_Repex_Splits,MATCH($I6,Act_Type_Repex,0),MATCH(BB$4,Mat_Type,0))*INDEX(Escalators!$I$44:$U$49,MATCH(BB$4,Escalators!$C$44:$C$49,0),MATCH(BB$5,Escalators!$I$43:$U$43,0))</f>
        <v>101.46145472753756</v>
      </c>
      <c r="BC6" s="128">
        <f>INDEX(Direct_Cost_Splits_Network,MATCH($H6,RIN_Asset_Cat_Network,0),MATCH($BE$4,Direct_Cost_Type,0))*$N6*INDEX(Act_Type_Repex_Splits,MATCH($I6,Act_Type_Repex,0),MATCH(BC$4,Mat_Type,0))*INDEX(Escalators!$I$44:$U$49,MATCH(BC$4,Escalators!$C$44:$C$49,0),MATCH(BC$5,Escalators!$I$43:$U$43,0))</f>
        <v>0</v>
      </c>
      <c r="BD6" s="128">
        <f>INDEX(Direct_Cost_Splits_Network,MATCH($H6,RIN_Asset_Cat_Network,0),MATCH($BE$4,Direct_Cost_Type,0))*$N6*INDEX(Act_Type_Repex_Splits,MATCH($I6,Act_Type_Repex,0),MATCH(BD$4,Mat_Type,0))*INDEX(Escalators!$I$44:$U$49,MATCH(BD$4,Escalators!$C$44:$C$49,0),MATCH(BD$5,Escalators!$I$43:$U$43,0))</f>
        <v>405.84581891015023</v>
      </c>
      <c r="BE6" s="128">
        <f>SUM(AZ6:BD6)</f>
        <v>507.30727363768779</v>
      </c>
      <c r="BF6" s="128">
        <f>INDEX(Direct_Cost_Splits_Network,MATCH($H6,RIN_Asset_Cat_Network,0),MATCH($BK$4,Direct_Cost_Type,0))*$O6*INDEX(Act_Type_Repex_Splits,MATCH($I6,Act_Type_Repex,0),MATCH(BF$4,Mat_Type,0))*INDEX(Escalators!$I$44:$U$49,MATCH(BF$4,Escalators!$C$44:$C$49,0),MATCH(BF$5,Escalators!$I$43:$U$43,0))</f>
        <v>0</v>
      </c>
      <c r="BG6" s="128">
        <f>INDEX(Direct_Cost_Splits_Network,MATCH($H6,RIN_Asset_Cat_Network,0),MATCH($BK$4,Direct_Cost_Type,0))*$O6*INDEX(Act_Type_Repex_Splits,MATCH($I6,Act_Type_Repex,0),MATCH(BG$4,Mat_Type,0))*INDEX(Escalators!$I$44:$U$49,MATCH(BG$4,Escalators!$C$44:$C$49,0),MATCH(BG$5,Escalators!$I$43:$U$43,0))</f>
        <v>0</v>
      </c>
      <c r="BH6" s="128">
        <f>INDEX(Direct_Cost_Splits_Network,MATCH($H6,RIN_Asset_Cat_Network,0),MATCH($BK$4,Direct_Cost_Type,0))*$O6*INDEX(Act_Type_Repex_Splits,MATCH($I6,Act_Type_Repex,0),MATCH(BH$4,Mat_Type,0))*INDEX(Escalators!$I$44:$U$49,MATCH(BH$4,Escalators!$C$44:$C$49,0),MATCH(BH$5,Escalators!$I$43:$U$43,0))</f>
        <v>61.703693533912087</v>
      </c>
      <c r="BI6" s="128">
        <f>INDEX(Direct_Cost_Splits_Network,MATCH($H6,RIN_Asset_Cat_Network,0),MATCH($BK$4,Direct_Cost_Type,0))*$O6*INDEX(Act_Type_Repex_Splits,MATCH($I6,Act_Type_Repex,0),MATCH(BI$4,Mat_Type,0))*INDEX(Escalators!$I$44:$U$49,MATCH(BI$4,Escalators!$C$44:$C$49,0),MATCH(BI$5,Escalators!$I$43:$U$43,0))</f>
        <v>0</v>
      </c>
      <c r="BJ6" s="128">
        <f>INDEX(Direct_Cost_Splits_Network,MATCH($H6,RIN_Asset_Cat_Network,0),MATCH($BK$4,Direct_Cost_Type,0))*$O6*INDEX(Act_Type_Repex_Splits,MATCH($I6,Act_Type_Repex,0),MATCH(BJ$4,Mat_Type,0))*INDEX(Escalators!$I$44:$U$49,MATCH(BJ$4,Escalators!$C$44:$C$49,0),MATCH(BJ$5,Escalators!$I$43:$U$43,0))</f>
        <v>246.81477413564835</v>
      </c>
      <c r="BK6" s="128">
        <f>SUM(BF6:BJ6)</f>
        <v>308.51846766956044</v>
      </c>
      <c r="BL6" s="128">
        <f>INDEX(Direct_Cost_Splits_Network,MATCH($H6,RIN_Asset_Cat_Network,0),MATCH($BQ$4,Direct_Cost_Type,0))*$P6*INDEX(Act_Type_Repex_Splits,MATCH($I6,Act_Type_Repex,0),MATCH(BL$4,Mat_Type,0))*INDEX(Escalators!$I$44:$U$49,MATCH(BL$4,Escalators!$C$44:$C$49,0),MATCH(BL$5,Escalators!$I$43:$U$43,0))</f>
        <v>0</v>
      </c>
      <c r="BM6" s="128">
        <f>INDEX(Direct_Cost_Splits_Network,MATCH($H6,RIN_Asset_Cat_Network,0),MATCH($BQ$4,Direct_Cost_Type,0))*$P6*INDEX(Act_Type_Repex_Splits,MATCH($I6,Act_Type_Repex,0),MATCH(BM$4,Mat_Type,0))*INDEX(Escalators!$I$44:$U$49,MATCH(BM$4,Escalators!$C$44:$C$49,0),MATCH(BM$5,Escalators!$I$43:$U$43,0))</f>
        <v>0</v>
      </c>
      <c r="BN6" s="128">
        <f>INDEX(Direct_Cost_Splits_Network,MATCH($H6,RIN_Asset_Cat_Network,0),MATCH($BQ$4,Direct_Cost_Type,0))*$P6*INDEX(Act_Type_Repex_Splits,MATCH($I6,Act_Type_Repex,0),MATCH(BN$4,Mat_Type,0))*INDEX(Escalators!$I$44:$U$49,MATCH(BN$4,Escalators!$C$44:$C$49,0),MATCH(BN$5,Escalators!$I$43:$U$43,0))</f>
        <v>0</v>
      </c>
      <c r="BO6" s="128">
        <f>INDEX(Direct_Cost_Splits_Network,MATCH($H6,RIN_Asset_Cat_Network,0),MATCH($BQ$4,Direct_Cost_Type,0))*$P6*INDEX(Act_Type_Repex_Splits,MATCH($I6,Act_Type_Repex,0),MATCH(BO$4,Mat_Type,0))*INDEX(Escalators!$I$44:$U$49,MATCH(BO$4,Escalators!$C$44:$C$49,0),MATCH(BO$5,Escalators!$I$43:$U$43,0))</f>
        <v>0</v>
      </c>
      <c r="BP6" s="128">
        <f>INDEX(Direct_Cost_Splits_Network,MATCH($H6,RIN_Asset_Cat_Network,0),MATCH($BQ$4,Direct_Cost_Type,0))*$P6*INDEX(Act_Type_Repex_Splits,MATCH($I6,Act_Type_Repex,0),MATCH(BP$4,Mat_Type,0))*INDEX(Escalators!$I$44:$U$49,MATCH(BP$4,Escalators!$C$44:$C$49,0),MATCH(BP$5,Escalators!$I$43:$U$43,0))</f>
        <v>0</v>
      </c>
      <c r="BQ6" s="128">
        <f>SUM(BL6:BP6)</f>
        <v>0</v>
      </c>
      <c r="BR6" s="128">
        <f>INDEX(Direct_Cost_Splits_Network,MATCH($H6,RIN_Asset_Cat_Network,0),MATCH($BW$4,Direct_Cost_Type,0))*$Q6*INDEX(Act_Type_Repex_Splits,MATCH($I6,Act_Type_Repex,0),MATCH(BR$4,Mat_Type,0))*INDEX(Escalators!$I$44:$U$49,MATCH(BR$4,Escalators!$C$44:$C$49,0),MATCH(BR$5,Escalators!$I$43:$U$43,0))</f>
        <v>0</v>
      </c>
      <c r="BS6" s="128">
        <f>INDEX(Direct_Cost_Splits_Network,MATCH($H6,RIN_Asset_Cat_Network,0),MATCH($BW$4,Direct_Cost_Type,0))*$Q6*INDEX(Act_Type_Repex_Splits,MATCH($I6,Act_Type_Repex,0),MATCH(BS$4,Mat_Type,0))*INDEX(Escalators!$I$44:$U$49,MATCH(BS$4,Escalators!$C$44:$C$49,0),MATCH(BS$5,Escalators!$I$43:$U$43,0))</f>
        <v>0</v>
      </c>
      <c r="BT6" s="128">
        <f>INDEX(Direct_Cost_Splits_Network,MATCH($H6,RIN_Asset_Cat_Network,0),MATCH($BW$4,Direct_Cost_Type,0))*$Q6*INDEX(Act_Type_Repex_Splits,MATCH($I6,Act_Type_Repex,0),MATCH(BT$4,Mat_Type,0))*INDEX(Escalators!$I$44:$U$49,MATCH(BT$4,Escalators!$C$44:$C$49,0),MATCH(BT$5,Escalators!$I$43:$U$43,0))</f>
        <v>0</v>
      </c>
      <c r="BU6" s="128">
        <f>INDEX(Direct_Cost_Splits_Network,MATCH($H6,RIN_Asset_Cat_Network,0),MATCH($BW$4,Direct_Cost_Type,0))*$Q6*INDEX(Act_Type_Repex_Splits,MATCH($I6,Act_Type_Repex,0),MATCH(BU$4,Mat_Type,0))*INDEX(Escalators!$I$44:$U$49,MATCH(BU$4,Escalators!$C$44:$C$49,0),MATCH(BU$5,Escalators!$I$43:$U$43,0))</f>
        <v>0</v>
      </c>
      <c r="BV6" s="128">
        <f>INDEX(Direct_Cost_Splits_Network,MATCH($H6,RIN_Asset_Cat_Network,0),MATCH($BW$4,Direct_Cost_Type,0))*$Q6*INDEX(Act_Type_Repex_Splits,MATCH($I6,Act_Type_Repex,0),MATCH(BV$4,Mat_Type,0))*INDEX(Escalators!$I$44:$U$49,MATCH(BV$4,Escalators!$C$44:$C$49,0),MATCH(BV$5,Escalators!$I$43:$U$43,0))</f>
        <v>0</v>
      </c>
      <c r="BW6" s="128">
        <f>SUM(BR6:BV6)</f>
        <v>0</v>
      </c>
      <c r="BX6" s="129"/>
      <c r="BY6" s="128">
        <f>INDEX(Direct_Cost_Splits_Network,MATCH($H6,RIN_Asset_Cat_Network,0),MATCH($BY$4,Direct_Cost_Type,0))*J6*HLOOKUP(BY$5,Escalators!$I$25:$U$30,6,FALSE)</f>
        <v>0</v>
      </c>
      <c r="BZ6" s="128">
        <f>INDEX(Direct_Cost_Splits_Network,MATCH($H6,RIN_Asset_Cat_Network,0),MATCH($BY$4,Direct_Cost_Type,0))*K6*HLOOKUP(BZ$5,Escalators!$I$25:$U$30,6,FALSE)</f>
        <v>0</v>
      </c>
      <c r="CA6" s="128">
        <f>INDEX(Direct_Cost_Splits_Network,MATCH($H6,RIN_Asset_Cat_Network,0),MATCH($BY$4,Direct_Cost_Type,0))*L6*HLOOKUP(CA$5,Escalators!$I$25:$U$30,6,FALSE)</f>
        <v>0</v>
      </c>
      <c r="CB6" s="128">
        <f>INDEX(Direct_Cost_Splits_Network,MATCH($H6,RIN_Asset_Cat_Network,0),MATCH($BY$4,Direct_Cost_Type,0))*M6*HLOOKUP(CB$5,Escalators!$I$25:$U$30,6,FALSE)</f>
        <v>1359.0088121040053</v>
      </c>
      <c r="CC6" s="128">
        <f>INDEX(Direct_Cost_Splits_Network,MATCH($H6,RIN_Asset_Cat_Network,0),MATCH($BY$4,Direct_Cost_Type,0))*N6*HLOOKUP(CC$5,Escalators!$I$25:$U$30,6,FALSE)</f>
        <v>1359.0088121040053</v>
      </c>
      <c r="CD6" s="128">
        <f>INDEX(Direct_Cost_Splits_Network,MATCH($H6,RIN_Asset_Cat_Network,0),MATCH($BY$4,Direct_Cost_Type,0))*O6*HLOOKUP(CD$5,Escalators!$I$25:$U$30,6,FALSE)</f>
        <v>826.48000146593824</v>
      </c>
      <c r="CE6" s="128">
        <f>INDEX(Direct_Cost_Splits_Network,MATCH($H6,RIN_Asset_Cat_Network,0),MATCH($BY$4,Direct_Cost_Type,0))*P6*HLOOKUP(CE$5,Escalators!$I$25:$U$30,6,FALSE)</f>
        <v>0</v>
      </c>
      <c r="CF6" s="128">
        <f>INDEX(Direct_Cost_Splits_Network,MATCH($H6,RIN_Asset_Cat_Network,0),MATCH($BY$4,Direct_Cost_Type,0))*Q6*HLOOKUP(CF$5,Escalators!$I$25:$U$30,6,FALSE)</f>
        <v>0</v>
      </c>
      <c r="CG6" s="129"/>
      <c r="CH6" s="763">
        <f t="shared" ref="CH6:CH9" si="8">INDEX(Direct_Cost_Splits_Network,MATCH($H6,RIN_Asset_Cat_Network,0),MATCH($CH$4,Direct_Cost_Type,0))*J6</f>
        <v>0</v>
      </c>
      <c r="CI6" s="763">
        <f t="shared" ref="CI6:CI9" si="9">INDEX(Direct_Cost_Splits_Network,MATCH($H6,RIN_Asset_Cat_Network,0),MATCH($CH$4,Direct_Cost_Type,0))*K6</f>
        <v>0</v>
      </c>
      <c r="CJ6" s="763">
        <f t="shared" ref="CJ6:CK9" si="10">INDEX(Direct_Cost_Splits_Network,MATCH($H6,RIN_Asset_Cat_Network,0),MATCH($CH$4,Direct_Cost_Type,0))*L6</f>
        <v>0</v>
      </c>
      <c r="CK6" s="763">
        <f t="shared" si="10"/>
        <v>210.31339131233307</v>
      </c>
      <c r="CL6" s="763">
        <f t="shared" ref="CL6:CL9" si="11">INDEX(Direct_Cost_Splits_Network,MATCH($H6,RIN_Asset_Cat_Network,0),MATCH($CH$4,Direct_Cost_Type,0))*N6</f>
        <v>210.31339131233307</v>
      </c>
      <c r="CM6" s="763">
        <f t="shared" ref="CM6:CM9" si="12">INDEX(Direct_Cost_Splits_Network,MATCH($H6,RIN_Asset_Cat_Network,0),MATCH($CH$4,Direct_Cost_Type,0))*O6</f>
        <v>127.90190204213407</v>
      </c>
      <c r="CN6" s="763">
        <f t="shared" ref="CN6:CN9" si="13">INDEX(Direct_Cost_Splits_Network,MATCH($H6,RIN_Asset_Cat_Network,0),MATCH($CH$4,Direct_Cost_Type,0))*P6</f>
        <v>0</v>
      </c>
      <c r="CO6" s="763">
        <f t="shared" ref="CO6:CO9" si="14">INDEX(Direct_Cost_Splits_Network,MATCH($H6,RIN_Asset_Cat_Network,0),MATCH($CH$4,Direct_Cost_Type,0))*Q6</f>
        <v>0</v>
      </c>
      <c r="CP6" s="129"/>
      <c r="CQ6" s="128">
        <f>S6+AG6+BY6+CH6</f>
        <v>0</v>
      </c>
      <c r="CR6" s="128">
        <f>T6+AM6+BZ6+CI6</f>
        <v>0</v>
      </c>
      <c r="CS6" s="128">
        <f>U6+AS6+CA6+CJ6</f>
        <v>0</v>
      </c>
      <c r="CT6" s="128">
        <f>V6+AY6+CB6+CK6</f>
        <v>2311.1601677169119</v>
      </c>
      <c r="CU6" s="128">
        <f>W6+BE6+CC6+CL6</f>
        <v>2310.5743718668832</v>
      </c>
      <c r="CV6" s="128">
        <f>X6+BK6+CD6+CM6</f>
        <v>1405.0704169850887</v>
      </c>
      <c r="CW6" s="128">
        <f>Y6+BQ6+CE6+CN6</f>
        <v>0</v>
      </c>
      <c r="CX6" s="128">
        <f>Z6+BW6+CF6+CO6</f>
        <v>0</v>
      </c>
    </row>
    <row r="7" spans="2:102" x14ac:dyDescent="0.25">
      <c r="B7" s="7"/>
      <c r="C7" s="7" t="s">
        <v>572</v>
      </c>
      <c r="D7" s="7" t="s">
        <v>112</v>
      </c>
      <c r="E7" s="7" t="s">
        <v>48</v>
      </c>
      <c r="F7" s="7" t="s">
        <v>48</v>
      </c>
      <c r="G7" s="7" t="s">
        <v>150</v>
      </c>
      <c r="H7" s="7" t="s">
        <v>325</v>
      </c>
      <c r="I7" s="7" t="s">
        <v>242</v>
      </c>
      <c r="J7" s="45"/>
      <c r="K7" s="45"/>
      <c r="L7" s="45"/>
      <c r="M7" s="128">
        <v>2080</v>
      </c>
      <c r="N7" s="128">
        <v>2040</v>
      </c>
      <c r="O7" s="128">
        <v>2971</v>
      </c>
      <c r="P7" s="128">
        <v>4457</v>
      </c>
      <c r="Q7" s="128">
        <v>4457</v>
      </c>
      <c r="R7" s="129"/>
      <c r="S7" s="128">
        <f>INDEX(Direct_Cost_Splits_Network,MATCH($H7,RIN_Asset_Cat_Network,0),MATCH($S$4,Direct_Cost_Type,0))*J7*HLOOKUP(S$5,Escalators!$I$25:$U$30,3,FALSE)</f>
        <v>0</v>
      </c>
      <c r="T7" s="128">
        <f>INDEX(Direct_Cost_Splits_Network,MATCH($H7,RIN_Asset_Cat_Network,0),MATCH($S$4,Direct_Cost_Type,0))*K7*HLOOKUP(T$5,Escalators!$I$25:$U$30,3,FALSE)</f>
        <v>0</v>
      </c>
      <c r="U7" s="128">
        <f>INDEX(Direct_Cost_Splits_Network,MATCH($H7,RIN_Asset_Cat_Network,0),MATCH($S$4,Direct_Cost_Type,0))*L7*HLOOKUP(U$5,Escalators!$I$25:$U$30,3,FALSE)</f>
        <v>0</v>
      </c>
      <c r="V7" s="128">
        <f>INDEX(Direct_Cost_Splits_Network,MATCH($H7,RIN_Asset_Cat_Network,0),MATCH($S$4,Direct_Cost_Type,0))*M7*HLOOKUP(V$5,Escalators!$I$25:$U$30,3,FALSE)</f>
        <v>211.45376531374174</v>
      </c>
      <c r="W7" s="128">
        <f>INDEX(Direct_Cost_Splits_Network,MATCH($H7,RIN_Asset_Cat_Network,0),MATCH($S$4,Direct_Cost_Type,0))*N7*HLOOKUP(W$5,Escalators!$I$25:$U$30,3,FALSE)</f>
        <v>206.86934781891139</v>
      </c>
      <c r="X7" s="128">
        <f>INDEX(Direct_Cost_Splits_Network,MATCH($H7,RIN_Asset_Cat_Network,0),MATCH($S$4,Direct_Cost_Type,0))*O7*HLOOKUP(X$5,Escalators!$I$25:$U$30,3,FALSE)</f>
        <v>301.06001859868292</v>
      </c>
      <c r="Y7" s="128">
        <f>INDEX(Direct_Cost_Splits_Network,MATCH($H7,RIN_Asset_Cat_Network,0),MATCH($S$4,Direct_Cost_Type,0))*P7*HLOOKUP(Y$5,Escalators!$I$25:$U$30,3,FALSE)</f>
        <v>453.29945691292664</v>
      </c>
      <c r="Z7" s="128">
        <f>INDEX(Direct_Cost_Splits_Network,MATCH($H7,RIN_Asset_Cat_Network,0),MATCH($S$4,Direct_Cost_Type,0))*Q7*HLOOKUP(Z$5,Escalators!$I$25:$U$30,3,FALSE)</f>
        <v>457.81700920569199</v>
      </c>
      <c r="AA7" s="129"/>
      <c r="AB7" s="128">
        <f>INDEX(Direct_Cost_Splits_Network,MATCH($H7,RIN_Asset_Cat_Network,0),MATCH($AG$4,Direct_Cost_Type,0))*$J7*INDEX(Act_Type_Repex_Splits,MATCH($I7,Act_Type_Repex,0),MATCH(AB$4,Mat_Type,0))*INDEX(Escalators!$I$44:$Q$49,MATCH(AB$4,Escalators!$C$44:$C$49,0),MATCH(AB$5,Escalators!$I$43:$Q$43,0))</f>
        <v>0</v>
      </c>
      <c r="AC7" s="128">
        <f>INDEX(Direct_Cost_Splits_Network,MATCH($H7,RIN_Asset_Cat_Network,0),MATCH($AG$4,Direct_Cost_Type,0))*$J7*INDEX(Act_Type_Repex_Splits,MATCH($I7,Act_Type_Repex,0),MATCH(AC$4,Mat_Type,0))*INDEX(Escalators!$I$44:$Q$49,MATCH(AC$4,Escalators!$C$44:$C$49,0),MATCH(AC$5,Escalators!$I$43:$Q$43,0))</f>
        <v>0</v>
      </c>
      <c r="AD7" s="128">
        <f>INDEX(Direct_Cost_Splits_Network,MATCH($H7,RIN_Asset_Cat_Network,0),MATCH($AG$4,Direct_Cost_Type,0))*$J7*INDEX(Act_Type_Repex_Splits,MATCH($I7,Act_Type_Repex,0),MATCH(AD$4,Mat_Type,0))*INDEX(Escalators!$I$44:$Q$49,MATCH(AD$4,Escalators!$C$44:$C$49,0),MATCH(AD$5,Escalators!$I$43:$Q$43,0))</f>
        <v>0</v>
      </c>
      <c r="AE7" s="128">
        <f>INDEX(Direct_Cost_Splits_Network,MATCH($H7,RIN_Asset_Cat_Network,0),MATCH($AG$4,Direct_Cost_Type,0))*$J7*INDEX(Act_Type_Repex_Splits,MATCH($I7,Act_Type_Repex,0),MATCH(AE$4,Mat_Type,0))*INDEX(Escalators!$I$44:$Q$49,MATCH(AE$4,Escalators!$C$44:$C$49,0),MATCH(AE$5,Escalators!$I$43:$Q$43,0))</f>
        <v>0</v>
      </c>
      <c r="AF7" s="128">
        <f>INDEX(Direct_Cost_Splits_Network,MATCH($H7,RIN_Asset_Cat_Network,0),MATCH($AG$4,Direct_Cost_Type,0))*$J7*INDEX(Act_Type_Repex_Splits,MATCH($I7,Act_Type_Repex,0),MATCH(AF$4,Mat_Type,0))*INDEX(Escalators!$I$44:$Q$49,MATCH(AF$4,Escalators!$C$44:$C$49,0),MATCH(AF$5,Escalators!$I$43:$Q$43,0))</f>
        <v>0</v>
      </c>
      <c r="AG7" s="128">
        <f t="shared" ref="AG7:AG9" si="15">SUM(AB7:AF7)</f>
        <v>0</v>
      </c>
      <c r="AH7" s="128">
        <f>INDEX(Direct_Cost_Splits_Network,MATCH($H7,RIN_Asset_Cat_Network,0),MATCH($AY$4,Direct_Cost_Type,0))*$K7*INDEX(Act_Type_Repex_Splits,MATCH($I7,Act_Type_Repex,0),MATCH(AH$4,Mat_Type,0))*INDEX(Escalators!$I$44:$U$49,MATCH(AH$4,Escalators!$C$44:$C$49,0),MATCH(AH$5,Escalators!$I$43:$U$43,0))</f>
        <v>0</v>
      </c>
      <c r="AI7" s="128">
        <f>INDEX(Direct_Cost_Splits_Network,MATCH($H7,RIN_Asset_Cat_Network,0),MATCH($AY$4,Direct_Cost_Type,0))*$K7*INDEX(Act_Type_Repex_Splits,MATCH($I7,Act_Type_Repex,0),MATCH(AI$4,Mat_Type,0))*INDEX(Escalators!$I$44:$U$49,MATCH(AI$4,Escalators!$C$44:$C$49,0),MATCH(AI$5,Escalators!$I$43:$U$43,0))</f>
        <v>0</v>
      </c>
      <c r="AJ7" s="128">
        <f>INDEX(Direct_Cost_Splits_Network,MATCH($H7,RIN_Asset_Cat_Network,0),MATCH($AY$4,Direct_Cost_Type,0))*$K7*INDEX(Act_Type_Repex_Splits,MATCH($I7,Act_Type_Repex,0),MATCH(AJ$4,Mat_Type,0))*INDEX(Escalators!$I$44:$U$49,MATCH(AJ$4,Escalators!$C$44:$C$49,0),MATCH(AJ$5,Escalators!$I$43:$U$43,0))</f>
        <v>0</v>
      </c>
      <c r="AK7" s="128">
        <f>INDEX(Direct_Cost_Splits_Network,MATCH($H7,RIN_Asset_Cat_Network,0),MATCH($AY$4,Direct_Cost_Type,0))*$K7*INDEX(Act_Type_Repex_Splits,MATCH($I7,Act_Type_Repex,0),MATCH(AK$4,Mat_Type,0))*INDEX(Escalators!$I$44:$U$49,MATCH(AK$4,Escalators!$C$44:$C$49,0),MATCH(AK$5,Escalators!$I$43:$U$43,0))</f>
        <v>0</v>
      </c>
      <c r="AL7" s="128">
        <f>INDEX(Direct_Cost_Splits_Network,MATCH($H7,RIN_Asset_Cat_Network,0),MATCH($AY$4,Direct_Cost_Type,0))*$K7*INDEX(Act_Type_Repex_Splits,MATCH($I7,Act_Type_Repex,0),MATCH(AL$4,Mat_Type,0))*INDEX(Escalators!$I$44:$U$49,MATCH(AL$4,Escalators!$C$44:$C$49,0),MATCH(AL$5,Escalators!$I$43:$U$43,0))</f>
        <v>0</v>
      </c>
      <c r="AM7" s="128">
        <f t="shared" ref="AM7:AM9" si="16">SUM(AH7:AL7)</f>
        <v>0</v>
      </c>
      <c r="AN7" s="128">
        <f>INDEX(Direct_Cost_Splits_Network,MATCH($H7,RIN_Asset_Cat_Network,0),MATCH($AY$4,Direct_Cost_Type,0))*$L7*INDEX(Act_Type_Repex_Splits,MATCH($I7,Act_Type_Repex,0),MATCH(AN$4,Mat_Type,0))*INDEX(Escalators!$I$44:$U$49,MATCH(AN$4,Escalators!$C$44:$C$49,0),MATCH(AN$5,Escalators!$I$43:$U$43,0))</f>
        <v>0</v>
      </c>
      <c r="AO7" s="128">
        <f>INDEX(Direct_Cost_Splits_Network,MATCH($H7,RIN_Asset_Cat_Network,0),MATCH($AY$4,Direct_Cost_Type,0))*$L7*INDEX(Act_Type_Repex_Splits,MATCH($I7,Act_Type_Repex,0),MATCH(AO$4,Mat_Type,0))*INDEX(Escalators!$I$44:$U$49,MATCH(AO$4,Escalators!$C$44:$C$49,0),MATCH(AO$5,Escalators!$I$43:$U$43,0))</f>
        <v>0</v>
      </c>
      <c r="AP7" s="128">
        <f>INDEX(Direct_Cost_Splits_Network,MATCH($H7,RIN_Asset_Cat_Network,0),MATCH($AY$4,Direct_Cost_Type,0))*$L7*INDEX(Act_Type_Repex_Splits,MATCH($I7,Act_Type_Repex,0),MATCH(AP$4,Mat_Type,0))*INDEX(Escalators!$I$44:$U$49,MATCH(AP$4,Escalators!$C$44:$C$49,0),MATCH(AP$5,Escalators!$I$43:$U$43,0))</f>
        <v>0</v>
      </c>
      <c r="AQ7" s="128">
        <f>INDEX(Direct_Cost_Splits_Network,MATCH($H7,RIN_Asset_Cat_Network,0),MATCH($AY$4,Direct_Cost_Type,0))*$L7*INDEX(Act_Type_Repex_Splits,MATCH($I7,Act_Type_Repex,0),MATCH(AQ$4,Mat_Type,0))*INDEX(Escalators!$I$44:$U$49,MATCH(AQ$4,Escalators!$C$44:$C$49,0),MATCH(AQ$5,Escalators!$I$43:$U$43,0))</f>
        <v>0</v>
      </c>
      <c r="AR7" s="128">
        <f>INDEX(Direct_Cost_Splits_Network,MATCH($H7,RIN_Asset_Cat_Network,0),MATCH($AY$4,Direct_Cost_Type,0))*$L7*INDEX(Act_Type_Repex_Splits,MATCH($I7,Act_Type_Repex,0),MATCH(AR$4,Mat_Type,0))*INDEX(Escalators!$I$44:$U$49,MATCH(AR$4,Escalators!$C$44:$C$49,0),MATCH(AR$5,Escalators!$I$43:$U$43,0))</f>
        <v>0</v>
      </c>
      <c r="AS7" s="128">
        <f t="shared" ref="AS7:AS9" si="17">SUM(AN7:AR7)</f>
        <v>0</v>
      </c>
      <c r="AT7" s="128">
        <f>INDEX(Direct_Cost_Splits_Network,MATCH($H7,RIN_Asset_Cat_Network,0),MATCH($AY$4,Direct_Cost_Type,0))*$M7*INDEX(Act_Type_Repex_Splits,MATCH($I7,Act_Type_Repex,0),MATCH(AT$4,Mat_Type,0))*INDEX(Escalators!$I$44:$U$49,MATCH(AT$4,Escalators!$C$44:$C$49,0),MATCH(AT$5,Escalators!$I$43:$U$43,0))</f>
        <v>0</v>
      </c>
      <c r="AU7" s="128">
        <f>INDEX(Direct_Cost_Splits_Network,MATCH($H7,RIN_Asset_Cat_Network,0),MATCH($AY$4,Direct_Cost_Type,0))*$M7*INDEX(Act_Type_Repex_Splits,MATCH($I7,Act_Type_Repex,0),MATCH(AU$4,Mat_Type,0))*INDEX(Escalators!$I$44:$U$49,MATCH(AU$4,Escalators!$C$44:$C$49,0),MATCH(AU$5,Escalators!$I$43:$U$43,0))</f>
        <v>0</v>
      </c>
      <c r="AV7" s="128">
        <f>INDEX(Direct_Cost_Splits_Network,MATCH($H7,RIN_Asset_Cat_Network,0),MATCH($AY$4,Direct_Cost_Type,0))*$M7*INDEX(Act_Type_Repex_Splits,MATCH($I7,Act_Type_Repex,0),MATCH(AV$4,Mat_Type,0))*INDEX(Escalators!$I$44:$U$49,MATCH(AV$4,Escalators!$C$44:$C$49,0),MATCH(AV$5,Escalators!$I$43:$U$43,0))</f>
        <v>91.478034604801962</v>
      </c>
      <c r="AW7" s="128">
        <f>INDEX(Direct_Cost_Splits_Network,MATCH($H7,RIN_Asset_Cat_Network,0),MATCH($AY$4,Direct_Cost_Type,0))*$M7*INDEX(Act_Type_Repex_Splits,MATCH($I7,Act_Type_Repex,0),MATCH(AW$4,Mat_Type,0))*INDEX(Escalators!$I$44:$U$49,MATCH(AW$4,Escalators!$C$44:$C$49,0),MATCH(AW$5,Escalators!$I$43:$U$43,0))</f>
        <v>0</v>
      </c>
      <c r="AX7" s="128">
        <f>INDEX(Direct_Cost_Splits_Network,MATCH($H7,RIN_Asset_Cat_Network,0),MATCH($AY$4,Direct_Cost_Type,0))*$M7*INDEX(Act_Type_Repex_Splits,MATCH($I7,Act_Type_Repex,0),MATCH(AX$4,Mat_Type,0))*INDEX(Escalators!$I$44:$U$49,MATCH(AX$4,Escalators!$C$44:$C$49,0),MATCH(AX$5,Escalators!$I$43:$U$43,0))</f>
        <v>365.91213841920785</v>
      </c>
      <c r="AY7" s="128">
        <f t="shared" ref="AY7:AY9" si="18">SUM(AT7:AX7)</f>
        <v>457.39017302400981</v>
      </c>
      <c r="AZ7" s="128">
        <f>INDEX(Direct_Cost_Splits_Network,MATCH($H7,RIN_Asset_Cat_Network,0),MATCH($BE$4,Direct_Cost_Type,0))*$N7*INDEX(Act_Type_Repex_Splits,MATCH($I7,Act_Type_Repex,0),MATCH(AZ$4,Mat_Type,0))*INDEX(Escalators!$I$44:$U$49,MATCH(AZ$4,Escalators!$C$44:$C$49,0),MATCH(AZ$5,Escalators!$I$43:$U$43,0))</f>
        <v>0</v>
      </c>
      <c r="BA7" s="128">
        <f>INDEX(Direct_Cost_Splits_Network,MATCH($H7,RIN_Asset_Cat_Network,0),MATCH($BE$4,Direct_Cost_Type,0))*$N7*INDEX(Act_Type_Repex_Splits,MATCH($I7,Act_Type_Repex,0),MATCH(BA$4,Mat_Type,0))*INDEX(Escalators!$I$44:$U$49,MATCH(BA$4,Escalators!$C$44:$C$49,0),MATCH(BA$5,Escalators!$I$43:$U$43,0))</f>
        <v>0</v>
      </c>
      <c r="BB7" s="128">
        <f>INDEX(Direct_Cost_Splits_Network,MATCH($H7,RIN_Asset_Cat_Network,0),MATCH($BE$4,Direct_Cost_Type,0))*$N7*INDEX(Act_Type_Repex_Splits,MATCH($I7,Act_Type_Repex,0),MATCH(BB$4,Mat_Type,0))*INDEX(Escalators!$I$44:$U$49,MATCH(BB$4,Escalators!$C$44:$C$49,0),MATCH(BB$5,Escalators!$I$43:$U$43,0))</f>
        <v>89.718841631632699</v>
      </c>
      <c r="BC7" s="128">
        <f>INDEX(Direct_Cost_Splits_Network,MATCH($H7,RIN_Asset_Cat_Network,0),MATCH($BE$4,Direct_Cost_Type,0))*$N7*INDEX(Act_Type_Repex_Splits,MATCH($I7,Act_Type_Repex,0),MATCH(BC$4,Mat_Type,0))*INDEX(Escalators!$I$44:$U$49,MATCH(BC$4,Escalators!$C$44:$C$49,0),MATCH(BC$5,Escalators!$I$43:$U$43,0))</f>
        <v>0</v>
      </c>
      <c r="BD7" s="128">
        <f>INDEX(Direct_Cost_Splits_Network,MATCH($H7,RIN_Asset_Cat_Network,0),MATCH($BE$4,Direct_Cost_Type,0))*$N7*INDEX(Act_Type_Repex_Splits,MATCH($I7,Act_Type_Repex,0),MATCH(BD$4,Mat_Type,0))*INDEX(Escalators!$I$44:$U$49,MATCH(BD$4,Escalators!$C$44:$C$49,0),MATCH(BD$5,Escalators!$I$43:$U$43,0))</f>
        <v>358.8753665265308</v>
      </c>
      <c r="BE7" s="128">
        <f t="shared" ref="BE7:BE9" si="19">SUM(AZ7:BD7)</f>
        <v>448.5942081581635</v>
      </c>
      <c r="BF7" s="128">
        <f>INDEX(Direct_Cost_Splits_Network,MATCH($H7,RIN_Asset_Cat_Network,0),MATCH($BK$4,Direct_Cost_Type,0))*$O7*INDEX(Act_Type_Repex_Splits,MATCH($I7,Act_Type_Repex,0),MATCH(BF$4,Mat_Type,0))*INDEX(Escalators!$I$44:$U$49,MATCH(BF$4,Escalators!$C$44:$C$49,0),MATCH(BF$5,Escalators!$I$43:$U$43,0))</f>
        <v>0</v>
      </c>
      <c r="BG7" s="128">
        <f>INDEX(Direct_Cost_Splits_Network,MATCH($H7,RIN_Asset_Cat_Network,0),MATCH($BK$4,Direct_Cost_Type,0))*$O7*INDEX(Act_Type_Repex_Splits,MATCH($I7,Act_Type_Repex,0),MATCH(BG$4,Mat_Type,0))*INDEX(Escalators!$I$44:$U$49,MATCH(BG$4,Escalators!$C$44:$C$49,0),MATCH(BG$5,Escalators!$I$43:$U$43,0))</f>
        <v>0</v>
      </c>
      <c r="BH7" s="128">
        <f>INDEX(Direct_Cost_Splits_Network,MATCH($H7,RIN_Asset_Cat_Network,0),MATCH($BK$4,Direct_Cost_Type,0))*$O7*INDEX(Act_Type_Repex_Splits,MATCH($I7,Act_Type_Repex,0),MATCH(BH$4,Mat_Type,0))*INDEX(Escalators!$I$44:$U$49,MATCH(BH$4,Escalators!$C$44:$C$49,0),MATCH(BH$5,Escalators!$I$43:$U$43,0))</f>
        <v>130.66405808214742</v>
      </c>
      <c r="BI7" s="128">
        <f>INDEX(Direct_Cost_Splits_Network,MATCH($H7,RIN_Asset_Cat_Network,0),MATCH($BK$4,Direct_Cost_Type,0))*$O7*INDEX(Act_Type_Repex_Splits,MATCH($I7,Act_Type_Repex,0),MATCH(BI$4,Mat_Type,0))*INDEX(Escalators!$I$44:$U$49,MATCH(BI$4,Escalators!$C$44:$C$49,0),MATCH(BI$5,Escalators!$I$43:$U$43,0))</f>
        <v>0</v>
      </c>
      <c r="BJ7" s="128">
        <f>INDEX(Direct_Cost_Splits_Network,MATCH($H7,RIN_Asset_Cat_Network,0),MATCH($BK$4,Direct_Cost_Type,0))*$O7*INDEX(Act_Type_Repex_Splits,MATCH($I7,Act_Type_Repex,0),MATCH(BJ$4,Mat_Type,0))*INDEX(Escalators!$I$44:$U$49,MATCH(BJ$4,Escalators!$C$44:$C$49,0),MATCH(BJ$5,Escalators!$I$43:$U$43,0))</f>
        <v>522.65623232858968</v>
      </c>
      <c r="BK7" s="128">
        <f t="shared" ref="BK7:BK9" si="20">SUM(BF7:BJ7)</f>
        <v>653.32029041073713</v>
      </c>
      <c r="BL7" s="128">
        <f>INDEX(Direct_Cost_Splits_Network,MATCH($H7,RIN_Asset_Cat_Network,0),MATCH($BQ$4,Direct_Cost_Type,0))*$P7*INDEX(Act_Type_Repex_Splits,MATCH($I7,Act_Type_Repex,0),MATCH(BL$4,Mat_Type,0))*INDEX(Escalators!$I$44:$U$49,MATCH(BL$4,Escalators!$C$44:$C$49,0),MATCH(BL$5,Escalators!$I$43:$U$43,0))</f>
        <v>0</v>
      </c>
      <c r="BM7" s="128">
        <f>INDEX(Direct_Cost_Splits_Network,MATCH($H7,RIN_Asset_Cat_Network,0),MATCH($BQ$4,Direct_Cost_Type,0))*$P7*INDEX(Act_Type_Repex_Splits,MATCH($I7,Act_Type_Repex,0),MATCH(BM$4,Mat_Type,0))*INDEX(Escalators!$I$44:$U$49,MATCH(BM$4,Escalators!$C$44:$C$49,0),MATCH(BM$5,Escalators!$I$43:$U$43,0))</f>
        <v>0</v>
      </c>
      <c r="BN7" s="128">
        <f>INDEX(Direct_Cost_Splits_Network,MATCH($H7,RIN_Asset_Cat_Network,0),MATCH($BQ$4,Direct_Cost_Type,0))*$P7*INDEX(Act_Type_Repex_Splits,MATCH($I7,Act_Type_Repex,0),MATCH(BN$4,Mat_Type,0))*INDEX(Escalators!$I$44:$U$49,MATCH(BN$4,Escalators!$C$44:$C$49,0),MATCH(BN$5,Escalators!$I$43:$U$43,0))</f>
        <v>196.01807703538574</v>
      </c>
      <c r="BO7" s="128">
        <f>INDEX(Direct_Cost_Splits_Network,MATCH($H7,RIN_Asset_Cat_Network,0),MATCH($BQ$4,Direct_Cost_Type,0))*$P7*INDEX(Act_Type_Repex_Splits,MATCH($I7,Act_Type_Repex,0),MATCH(BO$4,Mat_Type,0))*INDEX(Escalators!$I$44:$U$49,MATCH(BO$4,Escalators!$C$44:$C$49,0),MATCH(BO$5,Escalators!$I$43:$U$43,0))</f>
        <v>0</v>
      </c>
      <c r="BP7" s="128">
        <f>INDEX(Direct_Cost_Splits_Network,MATCH($H7,RIN_Asset_Cat_Network,0),MATCH($BQ$4,Direct_Cost_Type,0))*$P7*INDEX(Act_Type_Repex_Splits,MATCH($I7,Act_Type_Repex,0),MATCH(BP$4,Mat_Type,0))*INDEX(Escalators!$I$44:$U$49,MATCH(BP$4,Escalators!$C$44:$C$49,0),MATCH(BP$5,Escalators!$I$43:$U$43,0))</f>
        <v>784.07230814154298</v>
      </c>
      <c r="BQ7" s="128">
        <f t="shared" ref="BQ7:BQ9" si="21">SUM(BL7:BP7)</f>
        <v>980.09038517692875</v>
      </c>
      <c r="BR7" s="128">
        <f>INDEX(Direct_Cost_Splits_Network,MATCH($H7,RIN_Asset_Cat_Network,0),MATCH($BW$4,Direct_Cost_Type,0))*$Q7*INDEX(Act_Type_Repex_Splits,MATCH($I7,Act_Type_Repex,0),MATCH(BR$4,Mat_Type,0))*INDEX(Escalators!$I$44:$U$49,MATCH(BR$4,Escalators!$C$44:$C$49,0),MATCH(BR$5,Escalators!$I$43:$U$43,0))</f>
        <v>0</v>
      </c>
      <c r="BS7" s="128">
        <f>INDEX(Direct_Cost_Splits_Network,MATCH($H7,RIN_Asset_Cat_Network,0),MATCH($BW$4,Direct_Cost_Type,0))*$Q7*INDEX(Act_Type_Repex_Splits,MATCH($I7,Act_Type_Repex,0),MATCH(BS$4,Mat_Type,0))*INDEX(Escalators!$I$44:$U$49,MATCH(BS$4,Escalators!$C$44:$C$49,0),MATCH(BS$5,Escalators!$I$43:$U$43,0))</f>
        <v>0</v>
      </c>
      <c r="BT7" s="128">
        <f>INDEX(Direct_Cost_Splits_Network,MATCH($H7,RIN_Asset_Cat_Network,0),MATCH($BW$4,Direct_Cost_Type,0))*$Q7*INDEX(Act_Type_Repex_Splits,MATCH($I7,Act_Type_Repex,0),MATCH(BT$4,Mat_Type,0))*INDEX(Escalators!$I$44:$U$49,MATCH(BT$4,Escalators!$C$44:$C$49,0),MATCH(BT$5,Escalators!$I$43:$U$43,0))</f>
        <v>196.01807703538574</v>
      </c>
      <c r="BU7" s="128">
        <f>INDEX(Direct_Cost_Splits_Network,MATCH($H7,RIN_Asset_Cat_Network,0),MATCH($BW$4,Direct_Cost_Type,0))*$Q7*INDEX(Act_Type_Repex_Splits,MATCH($I7,Act_Type_Repex,0),MATCH(BU$4,Mat_Type,0))*INDEX(Escalators!$I$44:$U$49,MATCH(BU$4,Escalators!$C$44:$C$49,0),MATCH(BU$5,Escalators!$I$43:$U$43,0))</f>
        <v>0</v>
      </c>
      <c r="BV7" s="128">
        <f>INDEX(Direct_Cost_Splits_Network,MATCH($H7,RIN_Asset_Cat_Network,0),MATCH($BW$4,Direct_Cost_Type,0))*$Q7*INDEX(Act_Type_Repex_Splits,MATCH($I7,Act_Type_Repex,0),MATCH(BV$4,Mat_Type,0))*INDEX(Escalators!$I$44:$U$49,MATCH(BV$4,Escalators!$C$44:$C$49,0),MATCH(BV$5,Escalators!$I$43:$U$43,0))</f>
        <v>784.07230814154298</v>
      </c>
      <c r="BW7" s="128">
        <f t="shared" ref="BW7:BW9" si="22">SUM(BR7:BV7)</f>
        <v>980.09038517692875</v>
      </c>
      <c r="BX7" s="129"/>
      <c r="BY7" s="128">
        <f>INDEX(Direct_Cost_Splits_Network,MATCH($H7,RIN_Asset_Cat_Network,0),MATCH($BY$4,Direct_Cost_Type,0))*J7*HLOOKUP(BY$5,Escalators!$I$25:$U$30,6,FALSE)</f>
        <v>0</v>
      </c>
      <c r="BZ7" s="128">
        <f>INDEX(Direct_Cost_Splits_Network,MATCH($H7,RIN_Asset_Cat_Network,0),MATCH($BY$4,Direct_Cost_Type,0))*K7*HLOOKUP(BZ$5,Escalators!$I$25:$U$30,6,FALSE)</f>
        <v>0</v>
      </c>
      <c r="CA7" s="128">
        <f>INDEX(Direct_Cost_Splits_Network,MATCH($H7,RIN_Asset_Cat_Network,0),MATCH($BY$4,Direct_Cost_Type,0))*L7*HLOOKUP(CA$5,Escalators!$I$25:$U$30,6,FALSE)</f>
        <v>0</v>
      </c>
      <c r="CB7" s="128">
        <f>INDEX(Direct_Cost_Splits_Network,MATCH($H7,RIN_Asset_Cat_Network,0),MATCH($BY$4,Direct_Cost_Type,0))*M7*HLOOKUP(CB$5,Escalators!$I$25:$U$30,6,FALSE)</f>
        <v>1225.2875289017472</v>
      </c>
      <c r="CC7" s="128">
        <f>INDEX(Direct_Cost_Splits_Network,MATCH($H7,RIN_Asset_Cat_Network,0),MATCH($BY$4,Direct_Cost_Type,0))*N7*HLOOKUP(CC$5,Escalators!$I$25:$U$30,6,FALSE)</f>
        <v>1201.7243071920984</v>
      </c>
      <c r="CD7" s="128">
        <f>INDEX(Direct_Cost_Splits_Network,MATCH($H7,RIN_Asset_Cat_Network,0),MATCH($BY$4,Direct_Cost_Type,0))*O7*HLOOKUP(CD$5,Escalators!$I$25:$U$30,6,FALSE)</f>
        <v>1750.1582924841784</v>
      </c>
      <c r="CE7" s="128">
        <f>INDEX(Direct_Cost_Splits_Network,MATCH($H7,RIN_Asset_Cat_Network,0),MATCH($BY$4,Direct_Cost_Type,0))*P7*HLOOKUP(CE$5,Escalators!$I$25:$U$30,6,FALSE)</f>
        <v>2625.5319789976384</v>
      </c>
      <c r="CF7" s="128">
        <f>INDEX(Direct_Cost_Splits_Network,MATCH($H7,RIN_Asset_Cat_Network,0),MATCH($BY$4,Direct_Cost_Type,0))*Q7*HLOOKUP(CF$5,Escalators!$I$25:$U$30,6,FALSE)</f>
        <v>2625.5319789976384</v>
      </c>
      <c r="CG7" s="129"/>
      <c r="CH7" s="763">
        <f t="shared" si="8"/>
        <v>0</v>
      </c>
      <c r="CI7" s="763">
        <f t="shared" si="9"/>
        <v>0</v>
      </c>
      <c r="CJ7" s="763">
        <f t="shared" si="10"/>
        <v>0</v>
      </c>
      <c r="CK7" s="763">
        <f t="shared" si="10"/>
        <v>189.61935584293576</v>
      </c>
      <c r="CL7" s="763">
        <f t="shared" si="11"/>
        <v>185.97282976903315</v>
      </c>
      <c r="CM7" s="763">
        <f t="shared" si="12"/>
        <v>270.84572413911638</v>
      </c>
      <c r="CN7" s="763">
        <f t="shared" si="13"/>
        <v>406.3141677845984</v>
      </c>
      <c r="CO7" s="763">
        <f t="shared" si="14"/>
        <v>406.3141677845984</v>
      </c>
      <c r="CP7" s="129"/>
      <c r="CQ7" s="128">
        <f t="shared" ref="CQ7:CQ36" si="23">S7+AG7+BY7+CH7</f>
        <v>0</v>
      </c>
      <c r="CR7" s="128">
        <f t="shared" ref="CR7:CR36" si="24">T7+AM7+BZ7+CI7</f>
        <v>0</v>
      </c>
      <c r="CS7" s="128">
        <f t="shared" ref="CS7:CS36" si="25">U7+AS7+CA7+CJ7</f>
        <v>0</v>
      </c>
      <c r="CT7" s="128">
        <f t="shared" ref="CT7:CT36" si="26">V7+AY7+CB7+CK7</f>
        <v>2083.7508230824346</v>
      </c>
      <c r="CU7" s="128">
        <f t="shared" ref="CU7:CU36" si="27">W7+BE7+CC7+CL7</f>
        <v>2043.1606929382065</v>
      </c>
      <c r="CV7" s="128">
        <f t="shared" ref="CV7:CV36" si="28">X7+BK7+CD7+CM7</f>
        <v>2975.384325632715</v>
      </c>
      <c r="CW7" s="128">
        <f t="shared" ref="CW7:CW36" si="29">Y7+BQ7+CE7+CN7</f>
        <v>4465.2359888720921</v>
      </c>
      <c r="CX7" s="128">
        <f t="shared" ref="CX7:CX36" si="30">Z7+BW7+CF7+CO7</f>
        <v>4469.7535411648578</v>
      </c>
    </row>
    <row r="8" spans="2:102" x14ac:dyDescent="0.25">
      <c r="B8" s="7"/>
      <c r="C8" s="7" t="s">
        <v>573</v>
      </c>
      <c r="D8" s="7" t="s">
        <v>112</v>
      </c>
      <c r="E8" s="7" t="s">
        <v>48</v>
      </c>
      <c r="F8" s="7" t="s">
        <v>48</v>
      </c>
      <c r="G8" s="7" t="s">
        <v>150</v>
      </c>
      <c r="H8" s="7" t="s">
        <v>325</v>
      </c>
      <c r="I8" s="7" t="s">
        <v>242</v>
      </c>
      <c r="J8" s="45"/>
      <c r="K8" s="45"/>
      <c r="L8" s="45"/>
      <c r="M8" s="128">
        <v>850</v>
      </c>
      <c r="N8" s="128">
        <v>850</v>
      </c>
      <c r="O8" s="128">
        <v>600</v>
      </c>
      <c r="P8" s="128">
        <v>0</v>
      </c>
      <c r="Q8" s="128">
        <v>0</v>
      </c>
      <c r="R8" s="129"/>
      <c r="S8" s="128">
        <f>INDEX(Direct_Cost_Splits_Network,MATCH($H8,RIN_Asset_Cat_Network,0),MATCH($S$4,Direct_Cost_Type,0))*J8*HLOOKUP(S$5,Escalators!$I$25:$U$30,3,FALSE)</f>
        <v>0</v>
      </c>
      <c r="T8" s="128">
        <f>INDEX(Direct_Cost_Splits_Network,MATCH($H8,RIN_Asset_Cat_Network,0),MATCH($S$4,Direct_Cost_Type,0))*K8*HLOOKUP(T$5,Escalators!$I$25:$U$30,3,FALSE)</f>
        <v>0</v>
      </c>
      <c r="U8" s="128">
        <f>INDEX(Direct_Cost_Splits_Network,MATCH($H8,RIN_Asset_Cat_Network,0),MATCH($S$4,Direct_Cost_Type,0))*L8*HLOOKUP(U$5,Escalators!$I$25:$U$30,3,FALSE)</f>
        <v>0</v>
      </c>
      <c r="V8" s="128">
        <f>INDEX(Direct_Cost_Splits_Network,MATCH($H8,RIN_Asset_Cat_Network,0),MATCH($S$4,Direct_Cost_Type,0))*M8*HLOOKUP(V$5,Escalators!$I$25:$U$30,3,FALSE)</f>
        <v>86.41139447917331</v>
      </c>
      <c r="W8" s="128">
        <f>INDEX(Direct_Cost_Splits_Network,MATCH($H8,RIN_Asset_Cat_Network,0),MATCH($S$4,Direct_Cost_Type,0))*N8*HLOOKUP(W$5,Escalators!$I$25:$U$30,3,FALSE)</f>
        <v>86.195561591213092</v>
      </c>
      <c r="X8" s="128">
        <f>INDEX(Direct_Cost_Splits_Network,MATCH($H8,RIN_Asset_Cat_Network,0),MATCH($S$4,Direct_Cost_Type,0))*O8*HLOOKUP(X$5,Escalators!$I$25:$U$30,3,FALSE)</f>
        <v>60.79973448643883</v>
      </c>
      <c r="Y8" s="128">
        <f>INDEX(Direct_Cost_Splits_Network,MATCH($H8,RIN_Asset_Cat_Network,0),MATCH($S$4,Direct_Cost_Type,0))*P8*HLOOKUP(Y$5,Escalators!$I$25:$U$30,3,FALSE)</f>
        <v>0</v>
      </c>
      <c r="Z8" s="128">
        <f>INDEX(Direct_Cost_Splits_Network,MATCH($H8,RIN_Asset_Cat_Network,0),MATCH($S$4,Direct_Cost_Type,0))*Q8*HLOOKUP(Z$5,Escalators!$I$25:$U$30,3,FALSE)</f>
        <v>0</v>
      </c>
      <c r="AA8" s="129"/>
      <c r="AB8" s="128">
        <f>INDEX(Direct_Cost_Splits_Network,MATCH($H8,RIN_Asset_Cat_Network,0),MATCH($AG$4,Direct_Cost_Type,0))*$J8*INDEX(Act_Type_Repex_Splits,MATCH($I8,Act_Type_Repex,0),MATCH(AB$4,Mat_Type,0))*INDEX(Escalators!$I$44:$Q$49,MATCH(AB$4,Escalators!$C$44:$C$49,0),MATCH(AB$5,Escalators!$I$43:$Q$43,0))</f>
        <v>0</v>
      </c>
      <c r="AC8" s="128">
        <f>INDEX(Direct_Cost_Splits_Network,MATCH($H8,RIN_Asset_Cat_Network,0),MATCH($AG$4,Direct_Cost_Type,0))*$J8*INDEX(Act_Type_Repex_Splits,MATCH($I8,Act_Type_Repex,0),MATCH(AC$4,Mat_Type,0))*INDEX(Escalators!$I$44:$Q$49,MATCH(AC$4,Escalators!$C$44:$C$49,0),MATCH(AC$5,Escalators!$I$43:$Q$43,0))</f>
        <v>0</v>
      </c>
      <c r="AD8" s="128">
        <f>INDEX(Direct_Cost_Splits_Network,MATCH($H8,RIN_Asset_Cat_Network,0),MATCH($AG$4,Direct_Cost_Type,0))*$J8*INDEX(Act_Type_Repex_Splits,MATCH($I8,Act_Type_Repex,0),MATCH(AD$4,Mat_Type,0))*INDEX(Escalators!$I$44:$Q$49,MATCH(AD$4,Escalators!$C$44:$C$49,0),MATCH(AD$5,Escalators!$I$43:$Q$43,0))</f>
        <v>0</v>
      </c>
      <c r="AE8" s="128">
        <f>INDEX(Direct_Cost_Splits_Network,MATCH($H8,RIN_Asset_Cat_Network,0),MATCH($AG$4,Direct_Cost_Type,0))*$J8*INDEX(Act_Type_Repex_Splits,MATCH($I8,Act_Type_Repex,0),MATCH(AE$4,Mat_Type,0))*INDEX(Escalators!$I$44:$Q$49,MATCH(AE$4,Escalators!$C$44:$C$49,0),MATCH(AE$5,Escalators!$I$43:$Q$43,0))</f>
        <v>0</v>
      </c>
      <c r="AF8" s="128">
        <f>INDEX(Direct_Cost_Splits_Network,MATCH($H8,RIN_Asset_Cat_Network,0),MATCH($AG$4,Direct_Cost_Type,0))*$J8*INDEX(Act_Type_Repex_Splits,MATCH($I8,Act_Type_Repex,0),MATCH(AF$4,Mat_Type,0))*INDEX(Escalators!$I$44:$Q$49,MATCH(AF$4,Escalators!$C$44:$C$49,0),MATCH(AF$5,Escalators!$I$43:$Q$43,0))</f>
        <v>0</v>
      </c>
      <c r="AG8" s="128">
        <f t="shared" si="15"/>
        <v>0</v>
      </c>
      <c r="AH8" s="128">
        <f>INDEX(Direct_Cost_Splits_Network,MATCH($H8,RIN_Asset_Cat_Network,0),MATCH($AY$4,Direct_Cost_Type,0))*$K8*INDEX(Act_Type_Repex_Splits,MATCH($I8,Act_Type_Repex,0),MATCH(AH$4,Mat_Type,0))*INDEX(Escalators!$I$44:$U$49,MATCH(AH$4,Escalators!$C$44:$C$49,0),MATCH(AH$5,Escalators!$I$43:$U$43,0))</f>
        <v>0</v>
      </c>
      <c r="AI8" s="128">
        <f>INDEX(Direct_Cost_Splits_Network,MATCH($H8,RIN_Asset_Cat_Network,0),MATCH($AY$4,Direct_Cost_Type,0))*$K8*INDEX(Act_Type_Repex_Splits,MATCH($I8,Act_Type_Repex,0),MATCH(AI$4,Mat_Type,0))*INDEX(Escalators!$I$44:$U$49,MATCH(AI$4,Escalators!$C$44:$C$49,0),MATCH(AI$5,Escalators!$I$43:$U$43,0))</f>
        <v>0</v>
      </c>
      <c r="AJ8" s="128">
        <f>INDEX(Direct_Cost_Splits_Network,MATCH($H8,RIN_Asset_Cat_Network,0),MATCH($AY$4,Direct_Cost_Type,0))*$K8*INDEX(Act_Type_Repex_Splits,MATCH($I8,Act_Type_Repex,0),MATCH(AJ$4,Mat_Type,0))*INDEX(Escalators!$I$44:$U$49,MATCH(AJ$4,Escalators!$C$44:$C$49,0),MATCH(AJ$5,Escalators!$I$43:$U$43,0))</f>
        <v>0</v>
      </c>
      <c r="AK8" s="128">
        <f>INDEX(Direct_Cost_Splits_Network,MATCH($H8,RIN_Asset_Cat_Network,0),MATCH($AY$4,Direct_Cost_Type,0))*$K8*INDEX(Act_Type_Repex_Splits,MATCH($I8,Act_Type_Repex,0),MATCH(AK$4,Mat_Type,0))*INDEX(Escalators!$I$44:$U$49,MATCH(AK$4,Escalators!$C$44:$C$49,0),MATCH(AK$5,Escalators!$I$43:$U$43,0))</f>
        <v>0</v>
      </c>
      <c r="AL8" s="128">
        <f>INDEX(Direct_Cost_Splits_Network,MATCH($H8,RIN_Asset_Cat_Network,0),MATCH($AY$4,Direct_Cost_Type,0))*$K8*INDEX(Act_Type_Repex_Splits,MATCH($I8,Act_Type_Repex,0),MATCH(AL$4,Mat_Type,0))*INDEX(Escalators!$I$44:$U$49,MATCH(AL$4,Escalators!$C$44:$C$49,0),MATCH(AL$5,Escalators!$I$43:$U$43,0))</f>
        <v>0</v>
      </c>
      <c r="AM8" s="128">
        <f t="shared" si="16"/>
        <v>0</v>
      </c>
      <c r="AN8" s="128">
        <f>INDEX(Direct_Cost_Splits_Network,MATCH($H8,RIN_Asset_Cat_Network,0),MATCH($AY$4,Direct_Cost_Type,0))*$L8*INDEX(Act_Type_Repex_Splits,MATCH($I8,Act_Type_Repex,0),MATCH(AN$4,Mat_Type,0))*INDEX(Escalators!$I$44:$U$49,MATCH(AN$4,Escalators!$C$44:$C$49,0),MATCH(AN$5,Escalators!$I$43:$U$43,0))</f>
        <v>0</v>
      </c>
      <c r="AO8" s="128">
        <f>INDEX(Direct_Cost_Splits_Network,MATCH($H8,RIN_Asset_Cat_Network,0),MATCH($AY$4,Direct_Cost_Type,0))*$L8*INDEX(Act_Type_Repex_Splits,MATCH($I8,Act_Type_Repex,0),MATCH(AO$4,Mat_Type,0))*INDEX(Escalators!$I$44:$U$49,MATCH(AO$4,Escalators!$C$44:$C$49,0),MATCH(AO$5,Escalators!$I$43:$U$43,0))</f>
        <v>0</v>
      </c>
      <c r="AP8" s="128">
        <f>INDEX(Direct_Cost_Splits_Network,MATCH($H8,RIN_Asset_Cat_Network,0),MATCH($AY$4,Direct_Cost_Type,0))*$L8*INDEX(Act_Type_Repex_Splits,MATCH($I8,Act_Type_Repex,0),MATCH(AP$4,Mat_Type,0))*INDEX(Escalators!$I$44:$U$49,MATCH(AP$4,Escalators!$C$44:$C$49,0),MATCH(AP$5,Escalators!$I$43:$U$43,0))</f>
        <v>0</v>
      </c>
      <c r="AQ8" s="128">
        <f>INDEX(Direct_Cost_Splits_Network,MATCH($H8,RIN_Asset_Cat_Network,0),MATCH($AY$4,Direct_Cost_Type,0))*$L8*INDEX(Act_Type_Repex_Splits,MATCH($I8,Act_Type_Repex,0),MATCH(AQ$4,Mat_Type,0))*INDEX(Escalators!$I$44:$U$49,MATCH(AQ$4,Escalators!$C$44:$C$49,0),MATCH(AQ$5,Escalators!$I$43:$U$43,0))</f>
        <v>0</v>
      </c>
      <c r="AR8" s="128">
        <f>INDEX(Direct_Cost_Splits_Network,MATCH($H8,RIN_Asset_Cat_Network,0),MATCH($AY$4,Direct_Cost_Type,0))*$L8*INDEX(Act_Type_Repex_Splits,MATCH($I8,Act_Type_Repex,0),MATCH(AR$4,Mat_Type,0))*INDEX(Escalators!$I$44:$U$49,MATCH(AR$4,Escalators!$C$44:$C$49,0),MATCH(AR$5,Escalators!$I$43:$U$43,0))</f>
        <v>0</v>
      </c>
      <c r="AS8" s="128">
        <f t="shared" si="17"/>
        <v>0</v>
      </c>
      <c r="AT8" s="128">
        <f>INDEX(Direct_Cost_Splits_Network,MATCH($H8,RIN_Asset_Cat_Network,0),MATCH($AY$4,Direct_Cost_Type,0))*$M8*INDEX(Act_Type_Repex_Splits,MATCH($I8,Act_Type_Repex,0),MATCH(AT$4,Mat_Type,0))*INDEX(Escalators!$I$44:$U$49,MATCH(AT$4,Escalators!$C$44:$C$49,0),MATCH(AT$5,Escalators!$I$43:$U$43,0))</f>
        <v>0</v>
      </c>
      <c r="AU8" s="128">
        <f>INDEX(Direct_Cost_Splits_Network,MATCH($H8,RIN_Asset_Cat_Network,0),MATCH($AY$4,Direct_Cost_Type,0))*$M8*INDEX(Act_Type_Repex_Splits,MATCH($I8,Act_Type_Repex,0),MATCH(AU$4,Mat_Type,0))*INDEX(Escalators!$I$44:$U$49,MATCH(AU$4,Escalators!$C$44:$C$49,0),MATCH(AU$5,Escalators!$I$43:$U$43,0))</f>
        <v>0</v>
      </c>
      <c r="AV8" s="128">
        <f>INDEX(Direct_Cost_Splits_Network,MATCH($H8,RIN_Asset_Cat_Network,0),MATCH($AY$4,Direct_Cost_Type,0))*$M8*INDEX(Act_Type_Repex_Splits,MATCH($I8,Act_Type_Repex,0),MATCH(AV$4,Mat_Type,0))*INDEX(Escalators!$I$44:$U$49,MATCH(AV$4,Escalators!$C$44:$C$49,0),MATCH(AV$5,Escalators!$I$43:$U$43,0))</f>
        <v>37.382850679846953</v>
      </c>
      <c r="AW8" s="128">
        <f>INDEX(Direct_Cost_Splits_Network,MATCH($H8,RIN_Asset_Cat_Network,0),MATCH($AY$4,Direct_Cost_Type,0))*$M8*INDEX(Act_Type_Repex_Splits,MATCH($I8,Act_Type_Repex,0),MATCH(AW$4,Mat_Type,0))*INDEX(Escalators!$I$44:$U$49,MATCH(AW$4,Escalators!$C$44:$C$49,0),MATCH(AW$5,Escalators!$I$43:$U$43,0))</f>
        <v>0</v>
      </c>
      <c r="AX8" s="128">
        <f>INDEX(Direct_Cost_Splits_Network,MATCH($H8,RIN_Asset_Cat_Network,0),MATCH($AY$4,Direct_Cost_Type,0))*$M8*INDEX(Act_Type_Repex_Splits,MATCH($I8,Act_Type_Repex,0),MATCH(AX$4,Mat_Type,0))*INDEX(Escalators!$I$44:$U$49,MATCH(AX$4,Escalators!$C$44:$C$49,0),MATCH(AX$5,Escalators!$I$43:$U$43,0))</f>
        <v>149.53140271938781</v>
      </c>
      <c r="AY8" s="128">
        <f t="shared" si="18"/>
        <v>186.91425339923478</v>
      </c>
      <c r="AZ8" s="128">
        <f>INDEX(Direct_Cost_Splits_Network,MATCH($H8,RIN_Asset_Cat_Network,0),MATCH($BE$4,Direct_Cost_Type,0))*$N8*INDEX(Act_Type_Repex_Splits,MATCH($I8,Act_Type_Repex,0),MATCH(AZ$4,Mat_Type,0))*INDEX(Escalators!$I$44:$U$49,MATCH(AZ$4,Escalators!$C$44:$C$49,0),MATCH(AZ$5,Escalators!$I$43:$U$43,0))</f>
        <v>0</v>
      </c>
      <c r="BA8" s="128">
        <f>INDEX(Direct_Cost_Splits_Network,MATCH($H8,RIN_Asset_Cat_Network,0),MATCH($BE$4,Direct_Cost_Type,0))*$N8*INDEX(Act_Type_Repex_Splits,MATCH($I8,Act_Type_Repex,0),MATCH(BA$4,Mat_Type,0))*INDEX(Escalators!$I$44:$U$49,MATCH(BA$4,Escalators!$C$44:$C$49,0),MATCH(BA$5,Escalators!$I$43:$U$43,0))</f>
        <v>0</v>
      </c>
      <c r="BB8" s="128">
        <f>INDEX(Direct_Cost_Splits_Network,MATCH($H8,RIN_Asset_Cat_Network,0),MATCH($BE$4,Direct_Cost_Type,0))*$N8*INDEX(Act_Type_Repex_Splits,MATCH($I8,Act_Type_Repex,0),MATCH(BB$4,Mat_Type,0))*INDEX(Escalators!$I$44:$U$49,MATCH(BB$4,Escalators!$C$44:$C$49,0),MATCH(BB$5,Escalators!$I$43:$U$43,0))</f>
        <v>37.382850679846953</v>
      </c>
      <c r="BC8" s="128">
        <f>INDEX(Direct_Cost_Splits_Network,MATCH($H8,RIN_Asset_Cat_Network,0),MATCH($BE$4,Direct_Cost_Type,0))*$N8*INDEX(Act_Type_Repex_Splits,MATCH($I8,Act_Type_Repex,0),MATCH(BC$4,Mat_Type,0))*INDEX(Escalators!$I$44:$U$49,MATCH(BC$4,Escalators!$C$44:$C$49,0),MATCH(BC$5,Escalators!$I$43:$U$43,0))</f>
        <v>0</v>
      </c>
      <c r="BD8" s="128">
        <f>INDEX(Direct_Cost_Splits_Network,MATCH($H8,RIN_Asset_Cat_Network,0),MATCH($BE$4,Direct_Cost_Type,0))*$N8*INDEX(Act_Type_Repex_Splits,MATCH($I8,Act_Type_Repex,0),MATCH(BD$4,Mat_Type,0))*INDEX(Escalators!$I$44:$U$49,MATCH(BD$4,Escalators!$C$44:$C$49,0),MATCH(BD$5,Escalators!$I$43:$U$43,0))</f>
        <v>149.53140271938781</v>
      </c>
      <c r="BE8" s="128">
        <f t="shared" si="19"/>
        <v>186.91425339923478</v>
      </c>
      <c r="BF8" s="128">
        <f>INDEX(Direct_Cost_Splits_Network,MATCH($H8,RIN_Asset_Cat_Network,0),MATCH($BK$4,Direct_Cost_Type,0))*$O8*INDEX(Act_Type_Repex_Splits,MATCH($I8,Act_Type_Repex,0),MATCH(BF$4,Mat_Type,0))*INDEX(Escalators!$I$44:$U$49,MATCH(BF$4,Escalators!$C$44:$C$49,0),MATCH(BF$5,Escalators!$I$43:$U$43,0))</f>
        <v>0</v>
      </c>
      <c r="BG8" s="128">
        <f>INDEX(Direct_Cost_Splits_Network,MATCH($H8,RIN_Asset_Cat_Network,0),MATCH($BK$4,Direct_Cost_Type,0))*$O8*INDEX(Act_Type_Repex_Splits,MATCH($I8,Act_Type_Repex,0),MATCH(BG$4,Mat_Type,0))*INDEX(Escalators!$I$44:$U$49,MATCH(BG$4,Escalators!$C$44:$C$49,0),MATCH(BG$5,Escalators!$I$43:$U$43,0))</f>
        <v>0</v>
      </c>
      <c r="BH8" s="128">
        <f>INDEX(Direct_Cost_Splits_Network,MATCH($H8,RIN_Asset_Cat_Network,0),MATCH($BK$4,Direct_Cost_Type,0))*$O8*INDEX(Act_Type_Repex_Splits,MATCH($I8,Act_Type_Repex,0),MATCH(BH$4,Mat_Type,0))*INDEX(Escalators!$I$44:$U$49,MATCH(BH$4,Escalators!$C$44:$C$49,0),MATCH(BH$5,Escalators!$I$43:$U$43,0))</f>
        <v>26.387894597539027</v>
      </c>
      <c r="BI8" s="128">
        <f>INDEX(Direct_Cost_Splits_Network,MATCH($H8,RIN_Asset_Cat_Network,0),MATCH($BK$4,Direct_Cost_Type,0))*$O8*INDEX(Act_Type_Repex_Splits,MATCH($I8,Act_Type_Repex,0),MATCH(BI$4,Mat_Type,0))*INDEX(Escalators!$I$44:$U$49,MATCH(BI$4,Escalators!$C$44:$C$49,0),MATCH(BI$5,Escalators!$I$43:$U$43,0))</f>
        <v>0</v>
      </c>
      <c r="BJ8" s="128">
        <f>INDEX(Direct_Cost_Splits_Network,MATCH($H8,RIN_Asset_Cat_Network,0),MATCH($BK$4,Direct_Cost_Type,0))*$O8*INDEX(Act_Type_Repex_Splits,MATCH($I8,Act_Type_Repex,0),MATCH(BJ$4,Mat_Type,0))*INDEX(Escalators!$I$44:$U$49,MATCH(BJ$4,Escalators!$C$44:$C$49,0),MATCH(BJ$5,Escalators!$I$43:$U$43,0))</f>
        <v>105.55157839015611</v>
      </c>
      <c r="BK8" s="128">
        <f t="shared" si="20"/>
        <v>131.93947298769513</v>
      </c>
      <c r="BL8" s="128">
        <f>INDEX(Direct_Cost_Splits_Network,MATCH($H8,RIN_Asset_Cat_Network,0),MATCH($BQ$4,Direct_Cost_Type,0))*$P8*INDEX(Act_Type_Repex_Splits,MATCH($I8,Act_Type_Repex,0),MATCH(BL$4,Mat_Type,0))*INDEX(Escalators!$I$44:$U$49,MATCH(BL$4,Escalators!$C$44:$C$49,0),MATCH(BL$5,Escalators!$I$43:$U$43,0))</f>
        <v>0</v>
      </c>
      <c r="BM8" s="128">
        <f>INDEX(Direct_Cost_Splits_Network,MATCH($H8,RIN_Asset_Cat_Network,0),MATCH($BQ$4,Direct_Cost_Type,0))*$P8*INDEX(Act_Type_Repex_Splits,MATCH($I8,Act_Type_Repex,0),MATCH(BM$4,Mat_Type,0))*INDEX(Escalators!$I$44:$U$49,MATCH(BM$4,Escalators!$C$44:$C$49,0),MATCH(BM$5,Escalators!$I$43:$U$43,0))</f>
        <v>0</v>
      </c>
      <c r="BN8" s="128">
        <f>INDEX(Direct_Cost_Splits_Network,MATCH($H8,RIN_Asset_Cat_Network,0),MATCH($BQ$4,Direct_Cost_Type,0))*$P8*INDEX(Act_Type_Repex_Splits,MATCH($I8,Act_Type_Repex,0),MATCH(BN$4,Mat_Type,0))*INDEX(Escalators!$I$44:$U$49,MATCH(BN$4,Escalators!$C$44:$C$49,0),MATCH(BN$5,Escalators!$I$43:$U$43,0))</f>
        <v>0</v>
      </c>
      <c r="BO8" s="128">
        <f>INDEX(Direct_Cost_Splits_Network,MATCH($H8,RIN_Asset_Cat_Network,0),MATCH($BQ$4,Direct_Cost_Type,0))*$P8*INDEX(Act_Type_Repex_Splits,MATCH($I8,Act_Type_Repex,0),MATCH(BO$4,Mat_Type,0))*INDEX(Escalators!$I$44:$U$49,MATCH(BO$4,Escalators!$C$44:$C$49,0),MATCH(BO$5,Escalators!$I$43:$U$43,0))</f>
        <v>0</v>
      </c>
      <c r="BP8" s="128">
        <f>INDEX(Direct_Cost_Splits_Network,MATCH($H8,RIN_Asset_Cat_Network,0),MATCH($BQ$4,Direct_Cost_Type,0))*$P8*INDEX(Act_Type_Repex_Splits,MATCH($I8,Act_Type_Repex,0),MATCH(BP$4,Mat_Type,0))*INDEX(Escalators!$I$44:$U$49,MATCH(BP$4,Escalators!$C$44:$C$49,0),MATCH(BP$5,Escalators!$I$43:$U$43,0))</f>
        <v>0</v>
      </c>
      <c r="BQ8" s="128">
        <f t="shared" si="21"/>
        <v>0</v>
      </c>
      <c r="BR8" s="128">
        <f>INDEX(Direct_Cost_Splits_Network,MATCH($H8,RIN_Asset_Cat_Network,0),MATCH($BW$4,Direct_Cost_Type,0))*$Q8*INDEX(Act_Type_Repex_Splits,MATCH($I8,Act_Type_Repex,0),MATCH(BR$4,Mat_Type,0))*INDEX(Escalators!$I$44:$U$49,MATCH(BR$4,Escalators!$C$44:$C$49,0),MATCH(BR$5,Escalators!$I$43:$U$43,0))</f>
        <v>0</v>
      </c>
      <c r="BS8" s="128">
        <f>INDEX(Direct_Cost_Splits_Network,MATCH($H8,RIN_Asset_Cat_Network,0),MATCH($BW$4,Direct_Cost_Type,0))*$Q8*INDEX(Act_Type_Repex_Splits,MATCH($I8,Act_Type_Repex,0),MATCH(BS$4,Mat_Type,0))*INDEX(Escalators!$I$44:$U$49,MATCH(BS$4,Escalators!$C$44:$C$49,0),MATCH(BS$5,Escalators!$I$43:$U$43,0))</f>
        <v>0</v>
      </c>
      <c r="BT8" s="128">
        <f>INDEX(Direct_Cost_Splits_Network,MATCH($H8,RIN_Asset_Cat_Network,0),MATCH($BW$4,Direct_Cost_Type,0))*$Q8*INDEX(Act_Type_Repex_Splits,MATCH($I8,Act_Type_Repex,0),MATCH(BT$4,Mat_Type,0))*INDEX(Escalators!$I$44:$U$49,MATCH(BT$4,Escalators!$C$44:$C$49,0),MATCH(BT$5,Escalators!$I$43:$U$43,0))</f>
        <v>0</v>
      </c>
      <c r="BU8" s="128">
        <f>INDEX(Direct_Cost_Splits_Network,MATCH($H8,RIN_Asset_Cat_Network,0),MATCH($BW$4,Direct_Cost_Type,0))*$Q8*INDEX(Act_Type_Repex_Splits,MATCH($I8,Act_Type_Repex,0),MATCH(BU$4,Mat_Type,0))*INDEX(Escalators!$I$44:$U$49,MATCH(BU$4,Escalators!$C$44:$C$49,0),MATCH(BU$5,Escalators!$I$43:$U$43,0))</f>
        <v>0</v>
      </c>
      <c r="BV8" s="128">
        <f>INDEX(Direct_Cost_Splits_Network,MATCH($H8,RIN_Asset_Cat_Network,0),MATCH($BW$4,Direct_Cost_Type,0))*$Q8*INDEX(Act_Type_Repex_Splits,MATCH($I8,Act_Type_Repex,0),MATCH(BV$4,Mat_Type,0))*INDEX(Escalators!$I$44:$U$49,MATCH(BV$4,Escalators!$C$44:$C$49,0),MATCH(BV$5,Escalators!$I$43:$U$43,0))</f>
        <v>0</v>
      </c>
      <c r="BW8" s="128">
        <f t="shared" si="22"/>
        <v>0</v>
      </c>
      <c r="BX8" s="129"/>
      <c r="BY8" s="128">
        <f>INDEX(Direct_Cost_Splits_Network,MATCH($H8,RIN_Asset_Cat_Network,0),MATCH($BY$4,Direct_Cost_Type,0))*J8*HLOOKUP(BY$5,Escalators!$I$25:$U$30,6,FALSE)</f>
        <v>0</v>
      </c>
      <c r="BZ8" s="128">
        <f>INDEX(Direct_Cost_Splits_Network,MATCH($H8,RIN_Asset_Cat_Network,0),MATCH($BY$4,Direct_Cost_Type,0))*K8*HLOOKUP(BZ$5,Escalators!$I$25:$U$30,6,FALSE)</f>
        <v>0</v>
      </c>
      <c r="CA8" s="128">
        <f>INDEX(Direct_Cost_Splits_Network,MATCH($H8,RIN_Asset_Cat_Network,0),MATCH($BY$4,Direct_Cost_Type,0))*L8*HLOOKUP(CA$5,Escalators!$I$25:$U$30,6,FALSE)</f>
        <v>0</v>
      </c>
      <c r="CB8" s="128">
        <f>INDEX(Direct_Cost_Splits_Network,MATCH($H8,RIN_Asset_Cat_Network,0),MATCH($BY$4,Direct_Cost_Type,0))*M8*HLOOKUP(CB$5,Escalators!$I$25:$U$30,6,FALSE)</f>
        <v>500.71846133004095</v>
      </c>
      <c r="CC8" s="128">
        <f>INDEX(Direct_Cost_Splits_Network,MATCH($H8,RIN_Asset_Cat_Network,0),MATCH($BY$4,Direct_Cost_Type,0))*N8*HLOOKUP(CC$5,Escalators!$I$25:$U$30,6,FALSE)</f>
        <v>500.71846133004095</v>
      </c>
      <c r="CD8" s="128">
        <f>INDEX(Direct_Cost_Splits_Network,MATCH($H8,RIN_Asset_Cat_Network,0),MATCH($BY$4,Direct_Cost_Type,0))*O8*HLOOKUP(CD$5,Escalators!$I$25:$U$30,6,FALSE)</f>
        <v>353.44832564473478</v>
      </c>
      <c r="CE8" s="128">
        <f>INDEX(Direct_Cost_Splits_Network,MATCH($H8,RIN_Asset_Cat_Network,0),MATCH($BY$4,Direct_Cost_Type,0))*P8*HLOOKUP(CE$5,Escalators!$I$25:$U$30,6,FALSE)</f>
        <v>0</v>
      </c>
      <c r="CF8" s="128">
        <f>INDEX(Direct_Cost_Splits_Network,MATCH($H8,RIN_Asset_Cat_Network,0),MATCH($BY$4,Direct_Cost_Type,0))*Q8*HLOOKUP(CF$5,Escalators!$I$25:$U$30,6,FALSE)</f>
        <v>0</v>
      </c>
      <c r="CG8" s="129"/>
      <c r="CH8" s="763">
        <f t="shared" si="8"/>
        <v>0</v>
      </c>
      <c r="CI8" s="763">
        <f t="shared" si="9"/>
        <v>0</v>
      </c>
      <c r="CJ8" s="763">
        <f t="shared" si="10"/>
        <v>0</v>
      </c>
      <c r="CK8" s="763">
        <f t="shared" si="10"/>
        <v>77.488679070430479</v>
      </c>
      <c r="CL8" s="763">
        <f t="shared" si="11"/>
        <v>77.488679070430479</v>
      </c>
      <c r="CM8" s="763">
        <f t="shared" si="12"/>
        <v>54.69789110853916</v>
      </c>
      <c r="CN8" s="763">
        <f t="shared" si="13"/>
        <v>0</v>
      </c>
      <c r="CO8" s="763">
        <f t="shared" si="14"/>
        <v>0</v>
      </c>
      <c r="CP8" s="129"/>
      <c r="CQ8" s="128">
        <f t="shared" si="23"/>
        <v>0</v>
      </c>
      <c r="CR8" s="128">
        <f t="shared" si="24"/>
        <v>0</v>
      </c>
      <c r="CS8" s="128">
        <f t="shared" si="25"/>
        <v>0</v>
      </c>
      <c r="CT8" s="128">
        <f t="shared" si="26"/>
        <v>851.53278827887959</v>
      </c>
      <c r="CU8" s="128">
        <f t="shared" si="27"/>
        <v>851.31695539091936</v>
      </c>
      <c r="CV8" s="128">
        <f t="shared" si="28"/>
        <v>600.88542422740784</v>
      </c>
      <c r="CW8" s="128">
        <f t="shared" si="29"/>
        <v>0</v>
      </c>
      <c r="CX8" s="128">
        <f t="shared" si="30"/>
        <v>0</v>
      </c>
    </row>
    <row r="9" spans="2:102" x14ac:dyDescent="0.25">
      <c r="B9" s="7"/>
      <c r="C9" s="7" t="s">
        <v>440</v>
      </c>
      <c r="D9" s="7" t="s">
        <v>112</v>
      </c>
      <c r="E9" s="7" t="s">
        <v>48</v>
      </c>
      <c r="F9" s="7" t="s">
        <v>48</v>
      </c>
      <c r="G9" s="7" t="s">
        <v>150</v>
      </c>
      <c r="H9" s="7" t="s">
        <v>325</v>
      </c>
      <c r="I9" s="7" t="s">
        <v>242</v>
      </c>
      <c r="J9" s="45"/>
      <c r="K9" s="45"/>
      <c r="L9" s="45"/>
      <c r="M9" s="128">
        <v>200</v>
      </c>
      <c r="N9" s="128">
        <v>200</v>
      </c>
      <c r="O9" s="128">
        <v>200</v>
      </c>
      <c r="P9" s="128">
        <v>200</v>
      </c>
      <c r="Q9" s="128">
        <v>180</v>
      </c>
      <c r="R9" s="129"/>
      <c r="S9" s="128">
        <f>INDEX(Direct_Cost_Splits_Network,MATCH($H9,RIN_Asset_Cat_Network,0),MATCH($S$4,Direct_Cost_Type,0))*J9*HLOOKUP(S$5,Escalators!$I$25:$U$30,3,FALSE)</f>
        <v>0</v>
      </c>
      <c r="T9" s="128">
        <f>INDEX(Direct_Cost_Splits_Network,MATCH($H9,RIN_Asset_Cat_Network,0),MATCH($S$4,Direct_Cost_Type,0))*K9*HLOOKUP(T$5,Escalators!$I$25:$U$30,3,FALSE)</f>
        <v>0</v>
      </c>
      <c r="U9" s="128">
        <f>INDEX(Direct_Cost_Splits_Network,MATCH($H9,RIN_Asset_Cat_Network,0),MATCH($S$4,Direct_Cost_Type,0))*L9*HLOOKUP(U$5,Escalators!$I$25:$U$30,3,FALSE)</f>
        <v>0</v>
      </c>
      <c r="V9" s="128">
        <f>INDEX(Direct_Cost_Splits_Network,MATCH($H9,RIN_Asset_Cat_Network,0),MATCH($S$4,Direct_Cost_Type,0))*M9*HLOOKUP(V$5,Escalators!$I$25:$U$30,3,FALSE)</f>
        <v>20.332092818629011</v>
      </c>
      <c r="W9" s="128">
        <f>INDEX(Direct_Cost_Splits_Network,MATCH($H9,RIN_Asset_Cat_Network,0),MATCH($S$4,Direct_Cost_Type,0))*N9*HLOOKUP(W$5,Escalators!$I$25:$U$30,3,FALSE)</f>
        <v>20.281308609697195</v>
      </c>
      <c r="X9" s="128">
        <f>INDEX(Direct_Cost_Splits_Network,MATCH($H9,RIN_Asset_Cat_Network,0),MATCH($S$4,Direct_Cost_Type,0))*O9*HLOOKUP(X$5,Escalators!$I$25:$U$30,3,FALSE)</f>
        <v>20.266578162146274</v>
      </c>
      <c r="Y9" s="128">
        <f>INDEX(Direct_Cost_Splits_Network,MATCH($H9,RIN_Asset_Cat_Network,0),MATCH($S$4,Direct_Cost_Type,0))*P9*HLOOKUP(Y$5,Escalators!$I$25:$U$30,3,FALSE)</f>
        <v>20.341012201612145</v>
      </c>
      <c r="Z9" s="128">
        <f>INDEX(Direct_Cost_Splits_Network,MATCH($H9,RIN_Asset_Cat_Network,0),MATCH($S$4,Direct_Cost_Type,0))*Q9*HLOOKUP(Z$5,Escalators!$I$25:$U$30,3,FALSE)</f>
        <v>18.489356440885025</v>
      </c>
      <c r="AA9" s="129"/>
      <c r="AB9" s="128">
        <f>INDEX(Direct_Cost_Splits_Network,MATCH($H9,RIN_Asset_Cat_Network,0),MATCH($AG$4,Direct_Cost_Type,0))*$J9*INDEX(Act_Type_Repex_Splits,MATCH($I9,Act_Type_Repex,0),MATCH(AB$4,Mat_Type,0))*INDEX(Escalators!$I$44:$Q$49,MATCH(AB$4,Escalators!$C$44:$C$49,0),MATCH(AB$5,Escalators!$I$43:$Q$43,0))</f>
        <v>0</v>
      </c>
      <c r="AC9" s="128">
        <f>INDEX(Direct_Cost_Splits_Network,MATCH($H9,RIN_Asset_Cat_Network,0),MATCH($AG$4,Direct_Cost_Type,0))*$J9*INDEX(Act_Type_Repex_Splits,MATCH($I9,Act_Type_Repex,0),MATCH(AC$4,Mat_Type,0))*INDEX(Escalators!$I$44:$Q$49,MATCH(AC$4,Escalators!$C$44:$C$49,0),MATCH(AC$5,Escalators!$I$43:$Q$43,0))</f>
        <v>0</v>
      </c>
      <c r="AD9" s="128">
        <f>INDEX(Direct_Cost_Splits_Network,MATCH($H9,RIN_Asset_Cat_Network,0),MATCH($AG$4,Direct_Cost_Type,0))*$J9*INDEX(Act_Type_Repex_Splits,MATCH($I9,Act_Type_Repex,0),MATCH(AD$4,Mat_Type,0))*INDEX(Escalators!$I$44:$Q$49,MATCH(AD$4,Escalators!$C$44:$C$49,0),MATCH(AD$5,Escalators!$I$43:$Q$43,0))</f>
        <v>0</v>
      </c>
      <c r="AE9" s="128">
        <f>INDEX(Direct_Cost_Splits_Network,MATCH($H9,RIN_Asset_Cat_Network,0),MATCH($AG$4,Direct_Cost_Type,0))*$J9*INDEX(Act_Type_Repex_Splits,MATCH($I9,Act_Type_Repex,0),MATCH(AE$4,Mat_Type,0))*INDEX(Escalators!$I$44:$Q$49,MATCH(AE$4,Escalators!$C$44:$C$49,0),MATCH(AE$5,Escalators!$I$43:$Q$43,0))</f>
        <v>0</v>
      </c>
      <c r="AF9" s="128">
        <f>INDEX(Direct_Cost_Splits_Network,MATCH($H9,RIN_Asset_Cat_Network,0),MATCH($AG$4,Direct_Cost_Type,0))*$J9*INDEX(Act_Type_Repex_Splits,MATCH($I9,Act_Type_Repex,0),MATCH(AF$4,Mat_Type,0))*INDEX(Escalators!$I$44:$Q$49,MATCH(AF$4,Escalators!$C$44:$C$49,0),MATCH(AF$5,Escalators!$I$43:$Q$43,0))</f>
        <v>0</v>
      </c>
      <c r="AG9" s="128">
        <f t="shared" si="15"/>
        <v>0</v>
      </c>
      <c r="AH9" s="128">
        <f>INDEX(Direct_Cost_Splits_Network,MATCH($H9,RIN_Asset_Cat_Network,0),MATCH($AY$4,Direct_Cost_Type,0))*$K9*INDEX(Act_Type_Repex_Splits,MATCH($I9,Act_Type_Repex,0),MATCH(AH$4,Mat_Type,0))*INDEX(Escalators!$I$44:$U$49,MATCH(AH$4,Escalators!$C$44:$C$49,0),MATCH(AH$5,Escalators!$I$43:$U$43,0))</f>
        <v>0</v>
      </c>
      <c r="AI9" s="128">
        <f>INDEX(Direct_Cost_Splits_Network,MATCH($H9,RIN_Asset_Cat_Network,0),MATCH($AY$4,Direct_Cost_Type,0))*$K9*INDEX(Act_Type_Repex_Splits,MATCH($I9,Act_Type_Repex,0),MATCH(AI$4,Mat_Type,0))*INDEX(Escalators!$I$44:$U$49,MATCH(AI$4,Escalators!$C$44:$C$49,0),MATCH(AI$5,Escalators!$I$43:$U$43,0))</f>
        <v>0</v>
      </c>
      <c r="AJ9" s="128">
        <f>INDEX(Direct_Cost_Splits_Network,MATCH($H9,RIN_Asset_Cat_Network,0),MATCH($AY$4,Direct_Cost_Type,0))*$K9*INDEX(Act_Type_Repex_Splits,MATCH($I9,Act_Type_Repex,0),MATCH(AJ$4,Mat_Type,0))*INDEX(Escalators!$I$44:$U$49,MATCH(AJ$4,Escalators!$C$44:$C$49,0),MATCH(AJ$5,Escalators!$I$43:$U$43,0))</f>
        <v>0</v>
      </c>
      <c r="AK9" s="128">
        <f>INDEX(Direct_Cost_Splits_Network,MATCH($H9,RIN_Asset_Cat_Network,0),MATCH($AY$4,Direct_Cost_Type,0))*$K9*INDEX(Act_Type_Repex_Splits,MATCH($I9,Act_Type_Repex,0),MATCH(AK$4,Mat_Type,0))*INDEX(Escalators!$I$44:$U$49,MATCH(AK$4,Escalators!$C$44:$C$49,0),MATCH(AK$5,Escalators!$I$43:$U$43,0))</f>
        <v>0</v>
      </c>
      <c r="AL9" s="128">
        <f>INDEX(Direct_Cost_Splits_Network,MATCH($H9,RIN_Asset_Cat_Network,0),MATCH($AY$4,Direct_Cost_Type,0))*$K9*INDEX(Act_Type_Repex_Splits,MATCH($I9,Act_Type_Repex,0),MATCH(AL$4,Mat_Type,0))*INDEX(Escalators!$I$44:$U$49,MATCH(AL$4,Escalators!$C$44:$C$49,0),MATCH(AL$5,Escalators!$I$43:$U$43,0))</f>
        <v>0</v>
      </c>
      <c r="AM9" s="128">
        <f t="shared" si="16"/>
        <v>0</v>
      </c>
      <c r="AN9" s="128">
        <f>INDEX(Direct_Cost_Splits_Network,MATCH($H9,RIN_Asset_Cat_Network,0),MATCH($AY$4,Direct_Cost_Type,0))*$L9*INDEX(Act_Type_Repex_Splits,MATCH($I9,Act_Type_Repex,0),MATCH(AN$4,Mat_Type,0))*INDEX(Escalators!$I$44:$U$49,MATCH(AN$4,Escalators!$C$44:$C$49,0),MATCH(AN$5,Escalators!$I$43:$U$43,0))</f>
        <v>0</v>
      </c>
      <c r="AO9" s="128">
        <f>INDEX(Direct_Cost_Splits_Network,MATCH($H9,RIN_Asset_Cat_Network,0),MATCH($AY$4,Direct_Cost_Type,0))*$L9*INDEX(Act_Type_Repex_Splits,MATCH($I9,Act_Type_Repex,0),MATCH(AO$4,Mat_Type,0))*INDEX(Escalators!$I$44:$U$49,MATCH(AO$4,Escalators!$C$44:$C$49,0),MATCH(AO$5,Escalators!$I$43:$U$43,0))</f>
        <v>0</v>
      </c>
      <c r="AP9" s="128">
        <f>INDEX(Direct_Cost_Splits_Network,MATCH($H9,RIN_Asset_Cat_Network,0),MATCH($AY$4,Direct_Cost_Type,0))*$L9*INDEX(Act_Type_Repex_Splits,MATCH($I9,Act_Type_Repex,0),MATCH(AP$4,Mat_Type,0))*INDEX(Escalators!$I$44:$U$49,MATCH(AP$4,Escalators!$C$44:$C$49,0),MATCH(AP$5,Escalators!$I$43:$U$43,0))</f>
        <v>0</v>
      </c>
      <c r="AQ9" s="128">
        <f>INDEX(Direct_Cost_Splits_Network,MATCH($H9,RIN_Asset_Cat_Network,0),MATCH($AY$4,Direct_Cost_Type,0))*$L9*INDEX(Act_Type_Repex_Splits,MATCH($I9,Act_Type_Repex,0),MATCH(AQ$4,Mat_Type,0))*INDEX(Escalators!$I$44:$U$49,MATCH(AQ$4,Escalators!$C$44:$C$49,0),MATCH(AQ$5,Escalators!$I$43:$U$43,0))</f>
        <v>0</v>
      </c>
      <c r="AR9" s="128">
        <f>INDEX(Direct_Cost_Splits_Network,MATCH($H9,RIN_Asset_Cat_Network,0),MATCH($AY$4,Direct_Cost_Type,0))*$L9*INDEX(Act_Type_Repex_Splits,MATCH($I9,Act_Type_Repex,0),MATCH(AR$4,Mat_Type,0))*INDEX(Escalators!$I$44:$U$49,MATCH(AR$4,Escalators!$C$44:$C$49,0),MATCH(AR$5,Escalators!$I$43:$U$43,0))</f>
        <v>0</v>
      </c>
      <c r="AS9" s="128">
        <f t="shared" si="17"/>
        <v>0</v>
      </c>
      <c r="AT9" s="128">
        <f>INDEX(Direct_Cost_Splits_Network,MATCH($H9,RIN_Asset_Cat_Network,0),MATCH($AY$4,Direct_Cost_Type,0))*$M9*INDEX(Act_Type_Repex_Splits,MATCH($I9,Act_Type_Repex,0),MATCH(AT$4,Mat_Type,0))*INDEX(Escalators!$I$44:$U$49,MATCH(AT$4,Escalators!$C$44:$C$49,0),MATCH(AT$5,Escalators!$I$43:$U$43,0))</f>
        <v>0</v>
      </c>
      <c r="AU9" s="128">
        <f>INDEX(Direct_Cost_Splits_Network,MATCH($H9,RIN_Asset_Cat_Network,0),MATCH($AY$4,Direct_Cost_Type,0))*$M9*INDEX(Act_Type_Repex_Splits,MATCH($I9,Act_Type_Repex,0),MATCH(AU$4,Mat_Type,0))*INDEX(Escalators!$I$44:$U$49,MATCH(AU$4,Escalators!$C$44:$C$49,0),MATCH(AU$5,Escalators!$I$43:$U$43,0))</f>
        <v>0</v>
      </c>
      <c r="AV9" s="128">
        <f>INDEX(Direct_Cost_Splits_Network,MATCH($H9,RIN_Asset_Cat_Network,0),MATCH($AY$4,Direct_Cost_Type,0))*$M9*INDEX(Act_Type_Repex_Splits,MATCH($I9,Act_Type_Repex,0),MATCH(AV$4,Mat_Type,0))*INDEX(Escalators!$I$44:$U$49,MATCH(AV$4,Escalators!$C$44:$C$49,0),MATCH(AV$5,Escalators!$I$43:$U$43,0))</f>
        <v>8.7959648658463419</v>
      </c>
      <c r="AW9" s="128">
        <f>INDEX(Direct_Cost_Splits_Network,MATCH($H9,RIN_Asset_Cat_Network,0),MATCH($AY$4,Direct_Cost_Type,0))*$M9*INDEX(Act_Type_Repex_Splits,MATCH($I9,Act_Type_Repex,0),MATCH(AW$4,Mat_Type,0))*INDEX(Escalators!$I$44:$U$49,MATCH(AW$4,Escalators!$C$44:$C$49,0),MATCH(AW$5,Escalators!$I$43:$U$43,0))</f>
        <v>0</v>
      </c>
      <c r="AX9" s="128">
        <f>INDEX(Direct_Cost_Splits_Network,MATCH($H9,RIN_Asset_Cat_Network,0),MATCH($AY$4,Direct_Cost_Type,0))*$M9*INDEX(Act_Type_Repex_Splits,MATCH($I9,Act_Type_Repex,0),MATCH(AX$4,Mat_Type,0))*INDEX(Escalators!$I$44:$U$49,MATCH(AX$4,Escalators!$C$44:$C$49,0),MATCH(AX$5,Escalators!$I$43:$U$43,0))</f>
        <v>35.183859463385367</v>
      </c>
      <c r="AY9" s="128">
        <f t="shared" si="18"/>
        <v>43.979824329231711</v>
      </c>
      <c r="AZ9" s="128">
        <f>INDEX(Direct_Cost_Splits_Network,MATCH($H9,RIN_Asset_Cat_Network,0),MATCH($BE$4,Direct_Cost_Type,0))*$N9*INDEX(Act_Type_Repex_Splits,MATCH($I9,Act_Type_Repex,0),MATCH(AZ$4,Mat_Type,0))*INDEX(Escalators!$I$44:$U$49,MATCH(AZ$4,Escalators!$C$44:$C$49,0),MATCH(AZ$5,Escalators!$I$43:$U$43,0))</f>
        <v>0</v>
      </c>
      <c r="BA9" s="128">
        <f>INDEX(Direct_Cost_Splits_Network,MATCH($H9,RIN_Asset_Cat_Network,0),MATCH($BE$4,Direct_Cost_Type,0))*$N9*INDEX(Act_Type_Repex_Splits,MATCH($I9,Act_Type_Repex,0),MATCH(BA$4,Mat_Type,0))*INDEX(Escalators!$I$44:$U$49,MATCH(BA$4,Escalators!$C$44:$C$49,0),MATCH(BA$5,Escalators!$I$43:$U$43,0))</f>
        <v>0</v>
      </c>
      <c r="BB9" s="128">
        <f>INDEX(Direct_Cost_Splits_Network,MATCH($H9,RIN_Asset_Cat_Network,0),MATCH($BE$4,Direct_Cost_Type,0))*$N9*INDEX(Act_Type_Repex_Splits,MATCH($I9,Act_Type_Repex,0),MATCH(BB$4,Mat_Type,0))*INDEX(Escalators!$I$44:$U$49,MATCH(BB$4,Escalators!$C$44:$C$49,0),MATCH(BB$5,Escalators!$I$43:$U$43,0))</f>
        <v>8.7959648658463419</v>
      </c>
      <c r="BC9" s="128">
        <f>INDEX(Direct_Cost_Splits_Network,MATCH($H9,RIN_Asset_Cat_Network,0),MATCH($BE$4,Direct_Cost_Type,0))*$N9*INDEX(Act_Type_Repex_Splits,MATCH($I9,Act_Type_Repex,0),MATCH(BC$4,Mat_Type,0))*INDEX(Escalators!$I$44:$U$49,MATCH(BC$4,Escalators!$C$44:$C$49,0),MATCH(BC$5,Escalators!$I$43:$U$43,0))</f>
        <v>0</v>
      </c>
      <c r="BD9" s="128">
        <f>INDEX(Direct_Cost_Splits_Network,MATCH($H9,RIN_Asset_Cat_Network,0),MATCH($BE$4,Direct_Cost_Type,0))*$N9*INDEX(Act_Type_Repex_Splits,MATCH($I9,Act_Type_Repex,0),MATCH(BD$4,Mat_Type,0))*INDEX(Escalators!$I$44:$U$49,MATCH(BD$4,Escalators!$C$44:$C$49,0),MATCH(BD$5,Escalators!$I$43:$U$43,0))</f>
        <v>35.183859463385367</v>
      </c>
      <c r="BE9" s="128">
        <f t="shared" si="19"/>
        <v>43.979824329231711</v>
      </c>
      <c r="BF9" s="128">
        <f>INDEX(Direct_Cost_Splits_Network,MATCH($H9,RIN_Asset_Cat_Network,0),MATCH($BK$4,Direct_Cost_Type,0))*$O9*INDEX(Act_Type_Repex_Splits,MATCH($I9,Act_Type_Repex,0),MATCH(BF$4,Mat_Type,0))*INDEX(Escalators!$I$44:$U$49,MATCH(BF$4,Escalators!$C$44:$C$49,0),MATCH(BF$5,Escalators!$I$43:$U$43,0))</f>
        <v>0</v>
      </c>
      <c r="BG9" s="128">
        <f>INDEX(Direct_Cost_Splits_Network,MATCH($H9,RIN_Asset_Cat_Network,0),MATCH($BK$4,Direct_Cost_Type,0))*$O9*INDEX(Act_Type_Repex_Splits,MATCH($I9,Act_Type_Repex,0),MATCH(BG$4,Mat_Type,0))*INDEX(Escalators!$I$44:$U$49,MATCH(BG$4,Escalators!$C$44:$C$49,0),MATCH(BG$5,Escalators!$I$43:$U$43,0))</f>
        <v>0</v>
      </c>
      <c r="BH9" s="128">
        <f>INDEX(Direct_Cost_Splits_Network,MATCH($H9,RIN_Asset_Cat_Network,0),MATCH($BK$4,Direct_Cost_Type,0))*$O9*INDEX(Act_Type_Repex_Splits,MATCH($I9,Act_Type_Repex,0),MATCH(BH$4,Mat_Type,0))*INDEX(Escalators!$I$44:$U$49,MATCH(BH$4,Escalators!$C$44:$C$49,0),MATCH(BH$5,Escalators!$I$43:$U$43,0))</f>
        <v>8.7959648658463419</v>
      </c>
      <c r="BI9" s="128">
        <f>INDEX(Direct_Cost_Splits_Network,MATCH($H9,RIN_Asset_Cat_Network,0),MATCH($BK$4,Direct_Cost_Type,0))*$O9*INDEX(Act_Type_Repex_Splits,MATCH($I9,Act_Type_Repex,0),MATCH(BI$4,Mat_Type,0))*INDEX(Escalators!$I$44:$U$49,MATCH(BI$4,Escalators!$C$44:$C$49,0),MATCH(BI$5,Escalators!$I$43:$U$43,0))</f>
        <v>0</v>
      </c>
      <c r="BJ9" s="128">
        <f>INDEX(Direct_Cost_Splits_Network,MATCH($H9,RIN_Asset_Cat_Network,0),MATCH($BK$4,Direct_Cost_Type,0))*$O9*INDEX(Act_Type_Repex_Splits,MATCH($I9,Act_Type_Repex,0),MATCH(BJ$4,Mat_Type,0))*INDEX(Escalators!$I$44:$U$49,MATCH(BJ$4,Escalators!$C$44:$C$49,0),MATCH(BJ$5,Escalators!$I$43:$U$43,0))</f>
        <v>35.183859463385367</v>
      </c>
      <c r="BK9" s="128">
        <f t="shared" si="20"/>
        <v>43.979824329231711</v>
      </c>
      <c r="BL9" s="128">
        <f>INDEX(Direct_Cost_Splits_Network,MATCH($H9,RIN_Asset_Cat_Network,0),MATCH($BQ$4,Direct_Cost_Type,0))*$P9*INDEX(Act_Type_Repex_Splits,MATCH($I9,Act_Type_Repex,0),MATCH(BL$4,Mat_Type,0))*INDEX(Escalators!$I$44:$U$49,MATCH(BL$4,Escalators!$C$44:$C$49,0),MATCH(BL$5,Escalators!$I$43:$U$43,0))</f>
        <v>0</v>
      </c>
      <c r="BM9" s="128">
        <f>INDEX(Direct_Cost_Splits_Network,MATCH($H9,RIN_Asset_Cat_Network,0),MATCH($BQ$4,Direct_Cost_Type,0))*$P9*INDEX(Act_Type_Repex_Splits,MATCH($I9,Act_Type_Repex,0),MATCH(BM$4,Mat_Type,0))*INDEX(Escalators!$I$44:$U$49,MATCH(BM$4,Escalators!$C$44:$C$49,0),MATCH(BM$5,Escalators!$I$43:$U$43,0))</f>
        <v>0</v>
      </c>
      <c r="BN9" s="128">
        <f>INDEX(Direct_Cost_Splits_Network,MATCH($H9,RIN_Asset_Cat_Network,0),MATCH($BQ$4,Direct_Cost_Type,0))*$P9*INDEX(Act_Type_Repex_Splits,MATCH($I9,Act_Type_Repex,0),MATCH(BN$4,Mat_Type,0))*INDEX(Escalators!$I$44:$U$49,MATCH(BN$4,Escalators!$C$44:$C$49,0),MATCH(BN$5,Escalators!$I$43:$U$43,0))</f>
        <v>8.7959648658463419</v>
      </c>
      <c r="BO9" s="128">
        <f>INDEX(Direct_Cost_Splits_Network,MATCH($H9,RIN_Asset_Cat_Network,0),MATCH($BQ$4,Direct_Cost_Type,0))*$P9*INDEX(Act_Type_Repex_Splits,MATCH($I9,Act_Type_Repex,0),MATCH(BO$4,Mat_Type,0))*INDEX(Escalators!$I$44:$U$49,MATCH(BO$4,Escalators!$C$44:$C$49,0),MATCH(BO$5,Escalators!$I$43:$U$43,0))</f>
        <v>0</v>
      </c>
      <c r="BP9" s="128">
        <f>INDEX(Direct_Cost_Splits_Network,MATCH($H9,RIN_Asset_Cat_Network,0),MATCH($BQ$4,Direct_Cost_Type,0))*$P9*INDEX(Act_Type_Repex_Splits,MATCH($I9,Act_Type_Repex,0),MATCH(BP$4,Mat_Type,0))*INDEX(Escalators!$I$44:$U$49,MATCH(BP$4,Escalators!$C$44:$C$49,0),MATCH(BP$5,Escalators!$I$43:$U$43,0))</f>
        <v>35.183859463385367</v>
      </c>
      <c r="BQ9" s="128">
        <f t="shared" si="21"/>
        <v>43.979824329231711</v>
      </c>
      <c r="BR9" s="128">
        <f>INDEX(Direct_Cost_Splits_Network,MATCH($H9,RIN_Asset_Cat_Network,0),MATCH($BW$4,Direct_Cost_Type,0))*$Q9*INDEX(Act_Type_Repex_Splits,MATCH($I9,Act_Type_Repex,0),MATCH(BR$4,Mat_Type,0))*INDEX(Escalators!$I$44:$U$49,MATCH(BR$4,Escalators!$C$44:$C$49,0),MATCH(BR$5,Escalators!$I$43:$U$43,0))</f>
        <v>0</v>
      </c>
      <c r="BS9" s="128">
        <f>INDEX(Direct_Cost_Splits_Network,MATCH($H9,RIN_Asset_Cat_Network,0),MATCH($BW$4,Direct_Cost_Type,0))*$Q9*INDEX(Act_Type_Repex_Splits,MATCH($I9,Act_Type_Repex,0),MATCH(BS$4,Mat_Type,0))*INDEX(Escalators!$I$44:$U$49,MATCH(BS$4,Escalators!$C$44:$C$49,0),MATCH(BS$5,Escalators!$I$43:$U$43,0))</f>
        <v>0</v>
      </c>
      <c r="BT9" s="128">
        <f>INDEX(Direct_Cost_Splits_Network,MATCH($H9,RIN_Asset_Cat_Network,0),MATCH($BW$4,Direct_Cost_Type,0))*$Q9*INDEX(Act_Type_Repex_Splits,MATCH($I9,Act_Type_Repex,0),MATCH(BT$4,Mat_Type,0))*INDEX(Escalators!$I$44:$U$49,MATCH(BT$4,Escalators!$C$44:$C$49,0),MATCH(BT$5,Escalators!$I$43:$U$43,0))</f>
        <v>7.9163683792617086</v>
      </c>
      <c r="BU9" s="128">
        <f>INDEX(Direct_Cost_Splits_Network,MATCH($H9,RIN_Asset_Cat_Network,0),MATCH($BW$4,Direct_Cost_Type,0))*$Q9*INDEX(Act_Type_Repex_Splits,MATCH($I9,Act_Type_Repex,0),MATCH(BU$4,Mat_Type,0))*INDEX(Escalators!$I$44:$U$49,MATCH(BU$4,Escalators!$C$44:$C$49,0),MATCH(BU$5,Escalators!$I$43:$U$43,0))</f>
        <v>0</v>
      </c>
      <c r="BV9" s="128">
        <f>INDEX(Direct_Cost_Splits_Network,MATCH($H9,RIN_Asset_Cat_Network,0),MATCH($BW$4,Direct_Cost_Type,0))*$Q9*INDEX(Act_Type_Repex_Splits,MATCH($I9,Act_Type_Repex,0),MATCH(BV$4,Mat_Type,0))*INDEX(Escalators!$I$44:$U$49,MATCH(BV$4,Escalators!$C$44:$C$49,0),MATCH(BV$5,Escalators!$I$43:$U$43,0))</f>
        <v>31.665473517046834</v>
      </c>
      <c r="BW9" s="128">
        <f t="shared" si="22"/>
        <v>39.581841896308546</v>
      </c>
      <c r="BX9" s="129"/>
      <c r="BY9" s="128">
        <f>INDEX(Direct_Cost_Splits_Network,MATCH($H9,RIN_Asset_Cat_Network,0),MATCH($BY$4,Direct_Cost_Type,0))*J9*HLOOKUP(BY$5,Escalators!$I$25:$U$30,6,FALSE)</f>
        <v>0</v>
      </c>
      <c r="BZ9" s="128">
        <f>INDEX(Direct_Cost_Splits_Network,MATCH($H9,RIN_Asset_Cat_Network,0),MATCH($BY$4,Direct_Cost_Type,0))*K9*HLOOKUP(BZ$5,Escalators!$I$25:$U$30,6,FALSE)</f>
        <v>0</v>
      </c>
      <c r="CA9" s="128">
        <f>INDEX(Direct_Cost_Splits_Network,MATCH($H9,RIN_Asset_Cat_Network,0),MATCH($BY$4,Direct_Cost_Type,0))*L9*HLOOKUP(CA$5,Escalators!$I$25:$U$30,6,FALSE)</f>
        <v>0</v>
      </c>
      <c r="CB9" s="128">
        <f>INDEX(Direct_Cost_Splits_Network,MATCH($H9,RIN_Asset_Cat_Network,0),MATCH($BY$4,Direct_Cost_Type,0))*M9*HLOOKUP(CB$5,Escalators!$I$25:$U$30,6,FALSE)</f>
        <v>117.81610854824494</v>
      </c>
      <c r="CC9" s="128">
        <f>INDEX(Direct_Cost_Splits_Network,MATCH($H9,RIN_Asset_Cat_Network,0),MATCH($BY$4,Direct_Cost_Type,0))*N9*HLOOKUP(CC$5,Escalators!$I$25:$U$30,6,FALSE)</f>
        <v>117.81610854824494</v>
      </c>
      <c r="CD9" s="128">
        <f>INDEX(Direct_Cost_Splits_Network,MATCH($H9,RIN_Asset_Cat_Network,0),MATCH($BY$4,Direct_Cost_Type,0))*O9*HLOOKUP(CD$5,Escalators!$I$25:$U$30,6,FALSE)</f>
        <v>117.81610854824494</v>
      </c>
      <c r="CE9" s="128">
        <f>INDEX(Direct_Cost_Splits_Network,MATCH($H9,RIN_Asset_Cat_Network,0),MATCH($BY$4,Direct_Cost_Type,0))*P9*HLOOKUP(CE$5,Escalators!$I$25:$U$30,6,FALSE)</f>
        <v>117.81610854824494</v>
      </c>
      <c r="CF9" s="128">
        <f>INDEX(Direct_Cost_Splits_Network,MATCH($H9,RIN_Asset_Cat_Network,0),MATCH($BY$4,Direct_Cost_Type,0))*Q9*HLOOKUP(CF$5,Escalators!$I$25:$U$30,6,FALSE)</f>
        <v>106.03449769342045</v>
      </c>
      <c r="CG9" s="129"/>
      <c r="CH9" s="763">
        <f t="shared" si="8"/>
        <v>0</v>
      </c>
      <c r="CI9" s="763">
        <f t="shared" si="9"/>
        <v>0</v>
      </c>
      <c r="CJ9" s="763">
        <f t="shared" si="10"/>
        <v>0</v>
      </c>
      <c r="CK9" s="763">
        <f t="shared" si="10"/>
        <v>18.232630369513053</v>
      </c>
      <c r="CL9" s="763">
        <f t="shared" si="11"/>
        <v>18.232630369513053</v>
      </c>
      <c r="CM9" s="763">
        <f t="shared" si="12"/>
        <v>18.232630369513053</v>
      </c>
      <c r="CN9" s="763">
        <f t="shared" si="13"/>
        <v>18.232630369513053</v>
      </c>
      <c r="CO9" s="763">
        <f t="shared" si="14"/>
        <v>16.409367332561747</v>
      </c>
      <c r="CP9" s="129"/>
      <c r="CQ9" s="128">
        <f t="shared" si="23"/>
        <v>0</v>
      </c>
      <c r="CR9" s="128">
        <f t="shared" si="24"/>
        <v>0</v>
      </c>
      <c r="CS9" s="128">
        <f t="shared" si="25"/>
        <v>0</v>
      </c>
      <c r="CT9" s="128">
        <f t="shared" si="26"/>
        <v>200.36065606561874</v>
      </c>
      <c r="CU9" s="128">
        <f t="shared" si="27"/>
        <v>200.30987185668693</v>
      </c>
      <c r="CV9" s="128">
        <f t="shared" si="28"/>
        <v>200.29514140913597</v>
      </c>
      <c r="CW9" s="128">
        <f t="shared" si="29"/>
        <v>200.36957544860184</v>
      </c>
      <c r="CX9" s="128">
        <f t="shared" si="30"/>
        <v>180.51506336317576</v>
      </c>
    </row>
    <row r="10" spans="2:102" x14ac:dyDescent="0.25">
      <c r="B10" s="7"/>
      <c r="C10" s="7"/>
      <c r="D10" s="7"/>
      <c r="E10" s="7"/>
      <c r="F10" s="7"/>
      <c r="G10" s="7"/>
      <c r="H10" s="7"/>
      <c r="I10" s="7"/>
      <c r="J10" s="45"/>
      <c r="K10" s="45"/>
      <c r="L10" s="45"/>
      <c r="M10" s="45"/>
      <c r="N10" s="45"/>
      <c r="O10" s="45"/>
      <c r="P10" s="45"/>
      <c r="Q10" s="45"/>
      <c r="S10" s="47"/>
      <c r="T10" s="47"/>
      <c r="U10" s="47"/>
      <c r="V10" s="47"/>
      <c r="W10" s="47"/>
      <c r="X10" s="47"/>
      <c r="Y10" s="47"/>
      <c r="Z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Y10" s="47"/>
      <c r="BZ10" s="47"/>
      <c r="CA10" s="47"/>
      <c r="CB10" s="47"/>
      <c r="CC10" s="47"/>
      <c r="CD10" s="47"/>
      <c r="CE10" s="47"/>
      <c r="CF10" s="47"/>
      <c r="CH10" s="82"/>
      <c r="CI10" s="82"/>
      <c r="CJ10" s="82"/>
      <c r="CK10" s="82"/>
      <c r="CL10" s="82"/>
      <c r="CM10" s="82"/>
      <c r="CN10" s="82"/>
      <c r="CO10" s="82"/>
      <c r="CQ10" s="47">
        <f t="shared" si="23"/>
        <v>0</v>
      </c>
      <c r="CR10" s="47">
        <f t="shared" si="24"/>
        <v>0</v>
      </c>
      <c r="CS10" s="47">
        <f t="shared" si="25"/>
        <v>0</v>
      </c>
      <c r="CT10" s="47">
        <f t="shared" si="26"/>
        <v>0</v>
      </c>
      <c r="CU10" s="47">
        <f t="shared" si="27"/>
        <v>0</v>
      </c>
      <c r="CV10" s="47">
        <f t="shared" si="28"/>
        <v>0</v>
      </c>
      <c r="CW10" s="47">
        <f t="shared" si="29"/>
        <v>0</v>
      </c>
      <c r="CX10" s="47">
        <f t="shared" si="30"/>
        <v>0</v>
      </c>
    </row>
    <row r="11" spans="2:102" x14ac:dyDescent="0.25">
      <c r="B11" s="7"/>
      <c r="C11" s="7"/>
      <c r="D11" s="7"/>
      <c r="E11" s="7"/>
      <c r="F11" s="7"/>
      <c r="G11" s="7"/>
      <c r="H11" s="7"/>
      <c r="I11" s="7"/>
      <c r="J11" s="45"/>
      <c r="K11" s="45"/>
      <c r="L11" s="45"/>
      <c r="M11" s="45"/>
      <c r="N11" s="45"/>
      <c r="O11" s="45"/>
      <c r="P11" s="45"/>
      <c r="Q11" s="45"/>
      <c r="S11" s="47"/>
      <c r="T11" s="47"/>
      <c r="U11" s="47"/>
      <c r="V11" s="47"/>
      <c r="W11" s="47"/>
      <c r="X11" s="47"/>
      <c r="Y11" s="47"/>
      <c r="Z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Y11" s="47"/>
      <c r="BZ11" s="47"/>
      <c r="CA11" s="47"/>
      <c r="CB11" s="47"/>
      <c r="CC11" s="47"/>
      <c r="CD11" s="47"/>
      <c r="CE11" s="47"/>
      <c r="CF11" s="47"/>
      <c r="CH11" s="82"/>
      <c r="CI11" s="82"/>
      <c r="CJ11" s="82"/>
      <c r="CK11" s="82"/>
      <c r="CL11" s="82"/>
      <c r="CM11" s="82"/>
      <c r="CN11" s="82"/>
      <c r="CO11" s="82"/>
      <c r="CQ11" s="47">
        <f t="shared" si="23"/>
        <v>0</v>
      </c>
      <c r="CR11" s="47">
        <f t="shared" si="24"/>
        <v>0</v>
      </c>
      <c r="CS11" s="47">
        <f t="shared" si="25"/>
        <v>0</v>
      </c>
      <c r="CT11" s="47">
        <f t="shared" si="26"/>
        <v>0</v>
      </c>
      <c r="CU11" s="47">
        <f t="shared" si="27"/>
        <v>0</v>
      </c>
      <c r="CV11" s="47">
        <f t="shared" si="28"/>
        <v>0</v>
      </c>
      <c r="CW11" s="47">
        <f t="shared" si="29"/>
        <v>0</v>
      </c>
      <c r="CX11" s="47">
        <f t="shared" si="30"/>
        <v>0</v>
      </c>
    </row>
    <row r="12" spans="2:102" x14ac:dyDescent="0.25">
      <c r="B12" s="7"/>
      <c r="C12" s="7"/>
      <c r="D12" s="7"/>
      <c r="E12" s="7"/>
      <c r="F12" s="7"/>
      <c r="G12" s="7"/>
      <c r="H12" s="7"/>
      <c r="I12" s="7"/>
      <c r="J12" s="45"/>
      <c r="K12" s="45"/>
      <c r="L12" s="45"/>
      <c r="M12" s="45"/>
      <c r="N12" s="45"/>
      <c r="O12" s="45"/>
      <c r="P12" s="45"/>
      <c r="Q12" s="45"/>
      <c r="S12" s="47"/>
      <c r="T12" s="47"/>
      <c r="U12" s="47"/>
      <c r="V12" s="47"/>
      <c r="W12" s="47"/>
      <c r="X12" s="47"/>
      <c r="Y12" s="47"/>
      <c r="Z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Y12" s="47"/>
      <c r="BZ12" s="47"/>
      <c r="CA12" s="47"/>
      <c r="CB12" s="47"/>
      <c r="CC12" s="47"/>
      <c r="CD12" s="47"/>
      <c r="CE12" s="47"/>
      <c r="CF12" s="47"/>
      <c r="CH12" s="82"/>
      <c r="CI12" s="82"/>
      <c r="CJ12" s="82"/>
      <c r="CK12" s="82"/>
      <c r="CL12" s="82"/>
      <c r="CM12" s="82"/>
      <c r="CN12" s="82"/>
      <c r="CO12" s="82"/>
      <c r="CQ12" s="47">
        <f t="shared" si="23"/>
        <v>0</v>
      </c>
      <c r="CR12" s="47">
        <f t="shared" si="24"/>
        <v>0</v>
      </c>
      <c r="CS12" s="47">
        <f t="shared" si="25"/>
        <v>0</v>
      </c>
      <c r="CT12" s="47">
        <f t="shared" si="26"/>
        <v>0</v>
      </c>
      <c r="CU12" s="47">
        <f t="shared" si="27"/>
        <v>0</v>
      </c>
      <c r="CV12" s="47">
        <f t="shared" si="28"/>
        <v>0</v>
      </c>
      <c r="CW12" s="47">
        <f t="shared" si="29"/>
        <v>0</v>
      </c>
      <c r="CX12" s="47">
        <f t="shared" si="30"/>
        <v>0</v>
      </c>
    </row>
    <row r="13" spans="2:102" x14ac:dyDescent="0.25">
      <c r="B13" s="7"/>
      <c r="C13" s="7"/>
      <c r="D13" s="7"/>
      <c r="E13" s="7"/>
      <c r="F13" s="7"/>
      <c r="G13" s="7"/>
      <c r="H13" s="7"/>
      <c r="I13" s="7"/>
      <c r="J13" s="45"/>
      <c r="K13" s="45"/>
      <c r="L13" s="45"/>
      <c r="M13" s="45"/>
      <c r="N13" s="45"/>
      <c r="O13" s="45"/>
      <c r="P13" s="45"/>
      <c r="Q13" s="45"/>
      <c r="S13" s="47"/>
      <c r="T13" s="47"/>
      <c r="U13" s="47"/>
      <c r="V13" s="47"/>
      <c r="W13" s="47"/>
      <c r="X13" s="47"/>
      <c r="Y13" s="47"/>
      <c r="Z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Y13" s="47"/>
      <c r="BZ13" s="47"/>
      <c r="CA13" s="47"/>
      <c r="CB13" s="47"/>
      <c r="CC13" s="47"/>
      <c r="CD13" s="47"/>
      <c r="CE13" s="47"/>
      <c r="CF13" s="47"/>
      <c r="CH13" s="82"/>
      <c r="CI13" s="82"/>
      <c r="CJ13" s="82"/>
      <c r="CK13" s="82"/>
      <c r="CL13" s="82"/>
      <c r="CM13" s="82"/>
      <c r="CN13" s="82"/>
      <c r="CO13" s="82"/>
      <c r="CQ13" s="47">
        <f t="shared" si="23"/>
        <v>0</v>
      </c>
      <c r="CR13" s="47">
        <f t="shared" si="24"/>
        <v>0</v>
      </c>
      <c r="CS13" s="47">
        <f t="shared" si="25"/>
        <v>0</v>
      </c>
      <c r="CT13" s="47">
        <f t="shared" si="26"/>
        <v>0</v>
      </c>
      <c r="CU13" s="47">
        <f t="shared" si="27"/>
        <v>0</v>
      </c>
      <c r="CV13" s="47">
        <f t="shared" si="28"/>
        <v>0</v>
      </c>
      <c r="CW13" s="47">
        <f t="shared" si="29"/>
        <v>0</v>
      </c>
      <c r="CX13" s="47">
        <f t="shared" si="30"/>
        <v>0</v>
      </c>
    </row>
    <row r="14" spans="2:102" x14ac:dyDescent="0.25">
      <c r="B14" s="7"/>
      <c r="C14" s="7"/>
      <c r="D14" s="7"/>
      <c r="E14" s="7"/>
      <c r="F14" s="7"/>
      <c r="G14" s="7"/>
      <c r="H14" s="7"/>
      <c r="I14" s="7"/>
      <c r="J14" s="45"/>
      <c r="K14" s="45"/>
      <c r="L14" s="45"/>
      <c r="M14" s="45"/>
      <c r="N14" s="45"/>
      <c r="O14" s="45"/>
      <c r="P14" s="45"/>
      <c r="Q14" s="45"/>
      <c r="S14" s="47"/>
      <c r="T14" s="47"/>
      <c r="U14" s="47"/>
      <c r="V14" s="47"/>
      <c r="W14" s="47"/>
      <c r="X14" s="47"/>
      <c r="Y14" s="47"/>
      <c r="Z14" s="47"/>
      <c r="AB14" s="6"/>
      <c r="AC14" s="6"/>
      <c r="AD14" s="6"/>
      <c r="AE14" s="6"/>
      <c r="AF14" s="6"/>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Y14" s="47"/>
      <c r="BZ14" s="47"/>
      <c r="CA14" s="47"/>
      <c r="CB14" s="47"/>
      <c r="CC14" s="47"/>
      <c r="CD14" s="47"/>
      <c r="CE14" s="47"/>
      <c r="CF14" s="47"/>
      <c r="CH14" s="82"/>
      <c r="CI14" s="82"/>
      <c r="CJ14" s="82"/>
      <c r="CK14" s="82"/>
      <c r="CL14" s="82"/>
      <c r="CM14" s="82"/>
      <c r="CN14" s="82"/>
      <c r="CO14" s="82"/>
      <c r="CQ14" s="47">
        <f t="shared" si="23"/>
        <v>0</v>
      </c>
      <c r="CR14" s="47">
        <f t="shared" si="24"/>
        <v>0</v>
      </c>
      <c r="CS14" s="47">
        <f t="shared" si="25"/>
        <v>0</v>
      </c>
      <c r="CT14" s="47">
        <f t="shared" si="26"/>
        <v>0</v>
      </c>
      <c r="CU14" s="47">
        <f t="shared" si="27"/>
        <v>0</v>
      </c>
      <c r="CV14" s="47">
        <f t="shared" si="28"/>
        <v>0</v>
      </c>
      <c r="CW14" s="47">
        <f t="shared" si="29"/>
        <v>0</v>
      </c>
      <c r="CX14" s="47">
        <f t="shared" si="30"/>
        <v>0</v>
      </c>
    </row>
    <row r="15" spans="2:102" x14ac:dyDescent="0.25">
      <c r="B15" s="7"/>
      <c r="C15" s="7"/>
      <c r="D15" s="7"/>
      <c r="E15" s="7"/>
      <c r="F15" s="7"/>
      <c r="G15" s="7"/>
      <c r="H15" s="7"/>
      <c r="I15" s="7"/>
      <c r="J15" s="45"/>
      <c r="K15" s="45"/>
      <c r="L15" s="45"/>
      <c r="M15" s="45"/>
      <c r="N15" s="45"/>
      <c r="O15" s="45"/>
      <c r="P15" s="45"/>
      <c r="Q15" s="45"/>
      <c r="S15" s="47"/>
      <c r="T15" s="47"/>
      <c r="U15" s="47"/>
      <c r="V15" s="47"/>
      <c r="W15" s="47"/>
      <c r="X15" s="47"/>
      <c r="Y15" s="47"/>
      <c r="Z15" s="47"/>
      <c r="AB15" s="6"/>
      <c r="AC15" s="6"/>
      <c r="AD15" s="6"/>
      <c r="AE15" s="6"/>
      <c r="AF15" s="6"/>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Y15" s="47"/>
      <c r="BZ15" s="47"/>
      <c r="CA15" s="47"/>
      <c r="CB15" s="47"/>
      <c r="CC15" s="47"/>
      <c r="CD15" s="47"/>
      <c r="CE15" s="47"/>
      <c r="CF15" s="47"/>
      <c r="CH15" s="82"/>
      <c r="CI15" s="82"/>
      <c r="CJ15" s="82"/>
      <c r="CK15" s="82"/>
      <c r="CL15" s="82"/>
      <c r="CM15" s="82"/>
      <c r="CN15" s="82"/>
      <c r="CO15" s="82"/>
      <c r="CQ15" s="47">
        <f t="shared" si="23"/>
        <v>0</v>
      </c>
      <c r="CR15" s="47">
        <f t="shared" si="24"/>
        <v>0</v>
      </c>
      <c r="CS15" s="47">
        <f t="shared" si="25"/>
        <v>0</v>
      </c>
      <c r="CT15" s="47">
        <f t="shared" si="26"/>
        <v>0</v>
      </c>
      <c r="CU15" s="47">
        <f t="shared" si="27"/>
        <v>0</v>
      </c>
      <c r="CV15" s="47">
        <f t="shared" si="28"/>
        <v>0</v>
      </c>
      <c r="CW15" s="47">
        <f t="shared" si="29"/>
        <v>0</v>
      </c>
      <c r="CX15" s="47">
        <f t="shared" si="30"/>
        <v>0</v>
      </c>
    </row>
    <row r="16" spans="2:102" x14ac:dyDescent="0.25">
      <c r="B16" s="7"/>
      <c r="C16" s="7"/>
      <c r="D16" s="7"/>
      <c r="E16" s="7"/>
      <c r="F16" s="7"/>
      <c r="G16" s="7"/>
      <c r="H16" s="7"/>
      <c r="I16" s="7"/>
      <c r="J16" s="45"/>
      <c r="K16" s="45"/>
      <c r="L16" s="45"/>
      <c r="M16" s="45"/>
      <c r="N16" s="45"/>
      <c r="O16" s="45"/>
      <c r="P16" s="45"/>
      <c r="Q16" s="45"/>
      <c r="S16" s="47"/>
      <c r="T16" s="47"/>
      <c r="U16" s="47"/>
      <c r="V16" s="47"/>
      <c r="W16" s="47"/>
      <c r="X16" s="47"/>
      <c r="Y16" s="47"/>
      <c r="Z16" s="47"/>
      <c r="AB16" s="6"/>
      <c r="AC16" s="6"/>
      <c r="AD16" s="6"/>
      <c r="AE16" s="6"/>
      <c r="AF16" s="6"/>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Y16" s="47"/>
      <c r="BZ16" s="47"/>
      <c r="CA16" s="47"/>
      <c r="CB16" s="47"/>
      <c r="CC16" s="47"/>
      <c r="CD16" s="47"/>
      <c r="CE16" s="47"/>
      <c r="CF16" s="47"/>
      <c r="CH16" s="82"/>
      <c r="CI16" s="82"/>
      <c r="CJ16" s="82"/>
      <c r="CK16" s="82"/>
      <c r="CL16" s="82"/>
      <c r="CM16" s="82"/>
      <c r="CN16" s="82"/>
      <c r="CO16" s="82"/>
      <c r="CQ16" s="47">
        <f t="shared" si="23"/>
        <v>0</v>
      </c>
      <c r="CR16" s="47">
        <f t="shared" si="24"/>
        <v>0</v>
      </c>
      <c r="CS16" s="47">
        <f t="shared" si="25"/>
        <v>0</v>
      </c>
      <c r="CT16" s="47">
        <f t="shared" si="26"/>
        <v>0</v>
      </c>
      <c r="CU16" s="47">
        <f t="shared" si="27"/>
        <v>0</v>
      </c>
      <c r="CV16" s="47">
        <f t="shared" si="28"/>
        <v>0</v>
      </c>
      <c r="CW16" s="47">
        <f t="shared" si="29"/>
        <v>0</v>
      </c>
      <c r="CX16" s="47">
        <f t="shared" si="30"/>
        <v>0</v>
      </c>
    </row>
    <row r="17" spans="2:102" x14ac:dyDescent="0.25">
      <c r="B17" s="7"/>
      <c r="C17" s="7"/>
      <c r="D17" s="7"/>
      <c r="E17" s="7"/>
      <c r="F17" s="7"/>
      <c r="G17" s="7"/>
      <c r="H17" s="7"/>
      <c r="I17" s="7"/>
      <c r="J17" s="45"/>
      <c r="K17" s="45"/>
      <c r="L17" s="45"/>
      <c r="M17" s="45"/>
      <c r="N17" s="45"/>
      <c r="O17" s="45"/>
      <c r="P17" s="45"/>
      <c r="Q17" s="45"/>
      <c r="S17" s="47"/>
      <c r="T17" s="47"/>
      <c r="U17" s="47"/>
      <c r="V17" s="47"/>
      <c r="W17" s="47"/>
      <c r="X17" s="47"/>
      <c r="Y17" s="47"/>
      <c r="Z17" s="47"/>
      <c r="AB17" s="6"/>
      <c r="AC17" s="6"/>
      <c r="AD17" s="6"/>
      <c r="AE17" s="6"/>
      <c r="AF17" s="6"/>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Y17" s="47"/>
      <c r="BZ17" s="47"/>
      <c r="CA17" s="47"/>
      <c r="CB17" s="47"/>
      <c r="CC17" s="47"/>
      <c r="CD17" s="47"/>
      <c r="CE17" s="47"/>
      <c r="CF17" s="47"/>
      <c r="CH17" s="82"/>
      <c r="CI17" s="82"/>
      <c r="CJ17" s="82"/>
      <c r="CK17" s="82"/>
      <c r="CL17" s="82"/>
      <c r="CM17" s="82"/>
      <c r="CN17" s="82"/>
      <c r="CO17" s="82"/>
      <c r="CQ17" s="47">
        <f t="shared" si="23"/>
        <v>0</v>
      </c>
      <c r="CR17" s="47">
        <f t="shared" si="24"/>
        <v>0</v>
      </c>
      <c r="CS17" s="47">
        <f t="shared" si="25"/>
        <v>0</v>
      </c>
      <c r="CT17" s="47">
        <f t="shared" si="26"/>
        <v>0</v>
      </c>
      <c r="CU17" s="47">
        <f t="shared" si="27"/>
        <v>0</v>
      </c>
      <c r="CV17" s="47">
        <f t="shared" si="28"/>
        <v>0</v>
      </c>
      <c r="CW17" s="47">
        <f t="shared" si="29"/>
        <v>0</v>
      </c>
      <c r="CX17" s="47">
        <f t="shared" si="30"/>
        <v>0</v>
      </c>
    </row>
    <row r="18" spans="2:102" x14ac:dyDescent="0.25">
      <c r="B18" s="7"/>
      <c r="C18" s="7"/>
      <c r="D18" s="7"/>
      <c r="E18" s="7"/>
      <c r="F18" s="7"/>
      <c r="G18" s="7"/>
      <c r="H18" s="7"/>
      <c r="I18" s="7"/>
      <c r="J18" s="45"/>
      <c r="K18" s="45"/>
      <c r="L18" s="45"/>
      <c r="M18" s="45"/>
      <c r="N18" s="45"/>
      <c r="O18" s="45"/>
      <c r="P18" s="45"/>
      <c r="Q18" s="45"/>
      <c r="S18" s="47"/>
      <c r="T18" s="47"/>
      <c r="U18" s="47"/>
      <c r="V18" s="47"/>
      <c r="W18" s="47"/>
      <c r="X18" s="47"/>
      <c r="Y18" s="47"/>
      <c r="Z18" s="47"/>
      <c r="AB18" s="6"/>
      <c r="AC18" s="6"/>
      <c r="AD18" s="6"/>
      <c r="AE18" s="6"/>
      <c r="AF18" s="6"/>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Y18" s="47"/>
      <c r="BZ18" s="47"/>
      <c r="CA18" s="47"/>
      <c r="CB18" s="47"/>
      <c r="CC18" s="47"/>
      <c r="CD18" s="47"/>
      <c r="CE18" s="47"/>
      <c r="CF18" s="47"/>
      <c r="CH18" s="82"/>
      <c r="CI18" s="82"/>
      <c r="CJ18" s="82"/>
      <c r="CK18" s="82"/>
      <c r="CL18" s="82"/>
      <c r="CM18" s="82"/>
      <c r="CN18" s="82"/>
      <c r="CO18" s="82"/>
      <c r="CQ18" s="47">
        <f t="shared" si="23"/>
        <v>0</v>
      </c>
      <c r="CR18" s="47">
        <f t="shared" si="24"/>
        <v>0</v>
      </c>
      <c r="CS18" s="47">
        <f t="shared" si="25"/>
        <v>0</v>
      </c>
      <c r="CT18" s="47">
        <f t="shared" si="26"/>
        <v>0</v>
      </c>
      <c r="CU18" s="47">
        <f t="shared" si="27"/>
        <v>0</v>
      </c>
      <c r="CV18" s="47">
        <f t="shared" si="28"/>
        <v>0</v>
      </c>
      <c r="CW18" s="47">
        <f t="shared" si="29"/>
        <v>0</v>
      </c>
      <c r="CX18" s="47">
        <f t="shared" si="30"/>
        <v>0</v>
      </c>
    </row>
    <row r="19" spans="2:102" x14ac:dyDescent="0.25">
      <c r="B19" s="7"/>
      <c r="C19" s="7"/>
      <c r="D19" s="7"/>
      <c r="E19" s="7"/>
      <c r="F19" s="7"/>
      <c r="G19" s="7"/>
      <c r="H19" s="7"/>
      <c r="I19" s="7"/>
      <c r="J19" s="45"/>
      <c r="K19" s="45"/>
      <c r="L19" s="45"/>
      <c r="M19" s="45"/>
      <c r="N19" s="45"/>
      <c r="O19" s="45"/>
      <c r="P19" s="45"/>
      <c r="Q19" s="45"/>
      <c r="S19" s="47"/>
      <c r="T19" s="47"/>
      <c r="U19" s="47"/>
      <c r="V19" s="47"/>
      <c r="W19" s="47"/>
      <c r="X19" s="47"/>
      <c r="Y19" s="47"/>
      <c r="Z19" s="47"/>
      <c r="AB19" s="6"/>
      <c r="AC19" s="6"/>
      <c r="AD19" s="6"/>
      <c r="AE19" s="6"/>
      <c r="AF19" s="6"/>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Y19" s="47"/>
      <c r="BZ19" s="47"/>
      <c r="CA19" s="47"/>
      <c r="CB19" s="47"/>
      <c r="CC19" s="47"/>
      <c r="CD19" s="47"/>
      <c r="CE19" s="47"/>
      <c r="CF19" s="47"/>
      <c r="CH19" s="82"/>
      <c r="CI19" s="82"/>
      <c r="CJ19" s="82"/>
      <c r="CK19" s="82"/>
      <c r="CL19" s="82"/>
      <c r="CM19" s="82"/>
      <c r="CN19" s="82"/>
      <c r="CO19" s="82"/>
      <c r="CQ19" s="47">
        <f t="shared" si="23"/>
        <v>0</v>
      </c>
      <c r="CR19" s="47">
        <f t="shared" si="24"/>
        <v>0</v>
      </c>
      <c r="CS19" s="47">
        <f t="shared" si="25"/>
        <v>0</v>
      </c>
      <c r="CT19" s="47">
        <f t="shared" si="26"/>
        <v>0</v>
      </c>
      <c r="CU19" s="47">
        <f t="shared" si="27"/>
        <v>0</v>
      </c>
      <c r="CV19" s="47">
        <f t="shared" si="28"/>
        <v>0</v>
      </c>
      <c r="CW19" s="47">
        <f t="shared" si="29"/>
        <v>0</v>
      </c>
      <c r="CX19" s="47">
        <f t="shared" si="30"/>
        <v>0</v>
      </c>
    </row>
    <row r="20" spans="2:102" x14ac:dyDescent="0.25">
      <c r="B20" s="7"/>
      <c r="C20" s="7"/>
      <c r="D20" s="7"/>
      <c r="E20" s="7"/>
      <c r="F20" s="7"/>
      <c r="G20" s="7"/>
      <c r="H20" s="7"/>
      <c r="I20" s="7"/>
      <c r="J20" s="45"/>
      <c r="K20" s="45"/>
      <c r="L20" s="45"/>
      <c r="M20" s="45"/>
      <c r="N20" s="45"/>
      <c r="O20" s="45"/>
      <c r="P20" s="45"/>
      <c r="Q20" s="45"/>
      <c r="S20" s="47"/>
      <c r="T20" s="47"/>
      <c r="U20" s="47"/>
      <c r="V20" s="47"/>
      <c r="W20" s="47"/>
      <c r="X20" s="47"/>
      <c r="Y20" s="47"/>
      <c r="Z20" s="47"/>
      <c r="AB20" s="6"/>
      <c r="AC20" s="6"/>
      <c r="AD20" s="6"/>
      <c r="AE20" s="6"/>
      <c r="AF20" s="6"/>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Y20" s="47"/>
      <c r="BZ20" s="47"/>
      <c r="CA20" s="47"/>
      <c r="CB20" s="47"/>
      <c r="CC20" s="47"/>
      <c r="CD20" s="47"/>
      <c r="CE20" s="47"/>
      <c r="CF20" s="47"/>
      <c r="CH20" s="47"/>
      <c r="CI20" s="47"/>
      <c r="CJ20" s="47"/>
      <c r="CK20" s="47"/>
      <c r="CL20" s="47"/>
      <c r="CM20" s="47"/>
      <c r="CN20" s="47"/>
      <c r="CO20" s="47"/>
      <c r="CQ20" s="47">
        <f t="shared" si="23"/>
        <v>0</v>
      </c>
      <c r="CR20" s="47">
        <f t="shared" si="24"/>
        <v>0</v>
      </c>
      <c r="CS20" s="47">
        <f t="shared" si="25"/>
        <v>0</v>
      </c>
      <c r="CT20" s="47">
        <f t="shared" si="26"/>
        <v>0</v>
      </c>
      <c r="CU20" s="47">
        <f t="shared" si="27"/>
        <v>0</v>
      </c>
      <c r="CV20" s="47">
        <f t="shared" si="28"/>
        <v>0</v>
      </c>
      <c r="CW20" s="47">
        <f t="shared" si="29"/>
        <v>0</v>
      </c>
      <c r="CX20" s="47">
        <f t="shared" si="30"/>
        <v>0</v>
      </c>
    </row>
    <row r="21" spans="2:102" x14ac:dyDescent="0.25">
      <c r="B21" s="7"/>
      <c r="C21" s="7"/>
      <c r="D21" s="7"/>
      <c r="E21" s="7"/>
      <c r="F21" s="7"/>
      <c r="G21" s="7"/>
      <c r="H21" s="7"/>
      <c r="I21" s="7"/>
      <c r="J21" s="45"/>
      <c r="K21" s="45"/>
      <c r="L21" s="45"/>
      <c r="M21" s="45"/>
      <c r="N21" s="45"/>
      <c r="O21" s="45"/>
      <c r="P21" s="45"/>
      <c r="Q21" s="45"/>
      <c r="S21" s="47"/>
      <c r="T21" s="47"/>
      <c r="U21" s="47"/>
      <c r="V21" s="47"/>
      <c r="W21" s="47"/>
      <c r="X21" s="47"/>
      <c r="Y21" s="47"/>
      <c r="Z21" s="47"/>
      <c r="AB21" s="6"/>
      <c r="AC21" s="6"/>
      <c r="AD21" s="6"/>
      <c r="AE21" s="6"/>
      <c r="AF21" s="6"/>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Y21" s="47"/>
      <c r="BZ21" s="47"/>
      <c r="CA21" s="47"/>
      <c r="CB21" s="47"/>
      <c r="CC21" s="47"/>
      <c r="CD21" s="47"/>
      <c r="CE21" s="47"/>
      <c r="CF21" s="47"/>
      <c r="CH21" s="47"/>
      <c r="CI21" s="47"/>
      <c r="CJ21" s="47"/>
      <c r="CK21" s="47"/>
      <c r="CL21" s="47"/>
      <c r="CM21" s="47"/>
      <c r="CN21" s="47"/>
      <c r="CO21" s="47"/>
      <c r="CQ21" s="47">
        <f t="shared" si="23"/>
        <v>0</v>
      </c>
      <c r="CR21" s="47">
        <f t="shared" si="24"/>
        <v>0</v>
      </c>
      <c r="CS21" s="47">
        <f t="shared" si="25"/>
        <v>0</v>
      </c>
      <c r="CT21" s="47">
        <f t="shared" si="26"/>
        <v>0</v>
      </c>
      <c r="CU21" s="47">
        <f t="shared" si="27"/>
        <v>0</v>
      </c>
      <c r="CV21" s="47">
        <f t="shared" si="28"/>
        <v>0</v>
      </c>
      <c r="CW21" s="47">
        <f t="shared" si="29"/>
        <v>0</v>
      </c>
      <c r="CX21" s="47">
        <f t="shared" si="30"/>
        <v>0</v>
      </c>
    </row>
    <row r="22" spans="2:102" x14ac:dyDescent="0.25">
      <c r="B22" s="7"/>
      <c r="C22" s="7"/>
      <c r="D22" s="7"/>
      <c r="E22" s="7"/>
      <c r="F22" s="7"/>
      <c r="G22" s="7"/>
      <c r="H22" s="7"/>
      <c r="I22" s="7"/>
      <c r="J22" s="45"/>
      <c r="K22" s="45"/>
      <c r="L22" s="45"/>
      <c r="M22" s="45"/>
      <c r="N22" s="45"/>
      <c r="O22" s="45"/>
      <c r="P22" s="45"/>
      <c r="Q22" s="45"/>
      <c r="S22" s="47"/>
      <c r="T22" s="47"/>
      <c r="U22" s="47"/>
      <c r="V22" s="47"/>
      <c r="W22" s="47"/>
      <c r="X22" s="47"/>
      <c r="Y22" s="47"/>
      <c r="Z22" s="47"/>
      <c r="AB22" s="6"/>
      <c r="AC22" s="6"/>
      <c r="AD22" s="6"/>
      <c r="AE22" s="6"/>
      <c r="AF22" s="6"/>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Y22" s="47"/>
      <c r="BZ22" s="47"/>
      <c r="CA22" s="47"/>
      <c r="CB22" s="47"/>
      <c r="CC22" s="47"/>
      <c r="CD22" s="47"/>
      <c r="CE22" s="47"/>
      <c r="CF22" s="47"/>
      <c r="CH22" s="47"/>
      <c r="CI22" s="47"/>
      <c r="CJ22" s="47"/>
      <c r="CK22" s="47"/>
      <c r="CL22" s="47"/>
      <c r="CM22" s="47"/>
      <c r="CN22" s="47"/>
      <c r="CO22" s="47"/>
      <c r="CQ22" s="47">
        <f t="shared" si="23"/>
        <v>0</v>
      </c>
      <c r="CR22" s="47">
        <f t="shared" si="24"/>
        <v>0</v>
      </c>
      <c r="CS22" s="47">
        <f t="shared" si="25"/>
        <v>0</v>
      </c>
      <c r="CT22" s="47">
        <f t="shared" si="26"/>
        <v>0</v>
      </c>
      <c r="CU22" s="47">
        <f t="shared" si="27"/>
        <v>0</v>
      </c>
      <c r="CV22" s="47">
        <f t="shared" si="28"/>
        <v>0</v>
      </c>
      <c r="CW22" s="47">
        <f t="shared" si="29"/>
        <v>0</v>
      </c>
      <c r="CX22" s="47">
        <f t="shared" si="30"/>
        <v>0</v>
      </c>
    </row>
    <row r="23" spans="2:102" x14ac:dyDescent="0.25">
      <c r="B23" s="7"/>
      <c r="C23" s="7"/>
      <c r="D23" s="7"/>
      <c r="E23" s="7"/>
      <c r="F23" s="7"/>
      <c r="G23" s="7"/>
      <c r="H23" s="7"/>
      <c r="I23" s="7"/>
      <c r="J23" s="45"/>
      <c r="K23" s="45"/>
      <c r="L23" s="45"/>
      <c r="M23" s="45"/>
      <c r="N23" s="45"/>
      <c r="O23" s="45"/>
      <c r="P23" s="45"/>
      <c r="Q23" s="45"/>
      <c r="S23" s="47"/>
      <c r="T23" s="47"/>
      <c r="U23" s="47"/>
      <c r="V23" s="47"/>
      <c r="W23" s="47"/>
      <c r="X23" s="47"/>
      <c r="Y23" s="47"/>
      <c r="Z23" s="47"/>
      <c r="AB23" s="6"/>
      <c r="AC23" s="6"/>
      <c r="AD23" s="6"/>
      <c r="AE23" s="6"/>
      <c r="AF23" s="6"/>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Y23" s="47"/>
      <c r="BZ23" s="47"/>
      <c r="CA23" s="47"/>
      <c r="CB23" s="47"/>
      <c r="CC23" s="47"/>
      <c r="CD23" s="47"/>
      <c r="CE23" s="47"/>
      <c r="CF23" s="47"/>
      <c r="CH23" s="47"/>
      <c r="CI23" s="47"/>
      <c r="CJ23" s="47"/>
      <c r="CK23" s="47"/>
      <c r="CL23" s="47"/>
      <c r="CM23" s="47"/>
      <c r="CN23" s="47"/>
      <c r="CO23" s="47"/>
      <c r="CQ23" s="47">
        <f t="shared" si="23"/>
        <v>0</v>
      </c>
      <c r="CR23" s="47">
        <f t="shared" si="24"/>
        <v>0</v>
      </c>
      <c r="CS23" s="47">
        <f t="shared" si="25"/>
        <v>0</v>
      </c>
      <c r="CT23" s="47">
        <f t="shared" si="26"/>
        <v>0</v>
      </c>
      <c r="CU23" s="47">
        <f t="shared" si="27"/>
        <v>0</v>
      </c>
      <c r="CV23" s="47">
        <f t="shared" si="28"/>
        <v>0</v>
      </c>
      <c r="CW23" s="47">
        <f t="shared" si="29"/>
        <v>0</v>
      </c>
      <c r="CX23" s="47">
        <f t="shared" si="30"/>
        <v>0</v>
      </c>
    </row>
    <row r="24" spans="2:102" x14ac:dyDescent="0.25">
      <c r="B24" s="7"/>
      <c r="C24" s="7"/>
      <c r="D24" s="7"/>
      <c r="E24" s="7"/>
      <c r="F24" s="7"/>
      <c r="G24" s="7"/>
      <c r="H24" s="7"/>
      <c r="I24" s="7"/>
      <c r="J24" s="45"/>
      <c r="K24" s="45"/>
      <c r="L24" s="45"/>
      <c r="M24" s="45"/>
      <c r="N24" s="45"/>
      <c r="O24" s="45"/>
      <c r="P24" s="45"/>
      <c r="Q24" s="45"/>
      <c r="S24" s="47"/>
      <c r="T24" s="47"/>
      <c r="U24" s="47"/>
      <c r="V24" s="47"/>
      <c r="W24" s="47"/>
      <c r="X24" s="47"/>
      <c r="Y24" s="47"/>
      <c r="Z24" s="47"/>
      <c r="AB24" s="6"/>
      <c r="AC24" s="6"/>
      <c r="AD24" s="6"/>
      <c r="AE24" s="6"/>
      <c r="AF24" s="6"/>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Y24" s="47"/>
      <c r="BZ24" s="47"/>
      <c r="CA24" s="47"/>
      <c r="CB24" s="47"/>
      <c r="CC24" s="47"/>
      <c r="CD24" s="47"/>
      <c r="CE24" s="47"/>
      <c r="CF24" s="47"/>
      <c r="CH24" s="47"/>
      <c r="CI24" s="47"/>
      <c r="CJ24" s="47"/>
      <c r="CK24" s="47"/>
      <c r="CL24" s="47"/>
      <c r="CM24" s="47"/>
      <c r="CN24" s="47"/>
      <c r="CO24" s="47"/>
      <c r="CQ24" s="47">
        <f t="shared" si="23"/>
        <v>0</v>
      </c>
      <c r="CR24" s="47">
        <f t="shared" si="24"/>
        <v>0</v>
      </c>
      <c r="CS24" s="47">
        <f t="shared" si="25"/>
        <v>0</v>
      </c>
      <c r="CT24" s="47">
        <f t="shared" si="26"/>
        <v>0</v>
      </c>
      <c r="CU24" s="47">
        <f t="shared" si="27"/>
        <v>0</v>
      </c>
      <c r="CV24" s="47">
        <f t="shared" si="28"/>
        <v>0</v>
      </c>
      <c r="CW24" s="47">
        <f t="shared" si="29"/>
        <v>0</v>
      </c>
      <c r="CX24" s="47">
        <f t="shared" si="30"/>
        <v>0</v>
      </c>
    </row>
    <row r="25" spans="2:102" x14ac:dyDescent="0.25">
      <c r="B25" s="7"/>
      <c r="C25" s="7"/>
      <c r="D25" s="7"/>
      <c r="E25" s="7"/>
      <c r="F25" s="7"/>
      <c r="G25" s="7"/>
      <c r="H25" s="7"/>
      <c r="I25" s="7"/>
      <c r="J25" s="45"/>
      <c r="K25" s="45"/>
      <c r="L25" s="45"/>
      <c r="M25" s="45"/>
      <c r="N25" s="45"/>
      <c r="O25" s="45"/>
      <c r="P25" s="45"/>
      <c r="Q25" s="45"/>
      <c r="S25" s="47"/>
      <c r="T25" s="47"/>
      <c r="U25" s="47"/>
      <c r="V25" s="47"/>
      <c r="W25" s="47"/>
      <c r="X25" s="47"/>
      <c r="Y25" s="47"/>
      <c r="Z25" s="47"/>
      <c r="AB25" s="6"/>
      <c r="AC25" s="6"/>
      <c r="AD25" s="6"/>
      <c r="AE25" s="6"/>
      <c r="AF25" s="6"/>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Y25" s="47"/>
      <c r="BZ25" s="47"/>
      <c r="CA25" s="47"/>
      <c r="CB25" s="47"/>
      <c r="CC25" s="47"/>
      <c r="CD25" s="47"/>
      <c r="CE25" s="47"/>
      <c r="CF25" s="47"/>
      <c r="CH25" s="47"/>
      <c r="CI25" s="47"/>
      <c r="CJ25" s="47"/>
      <c r="CK25" s="47"/>
      <c r="CL25" s="47"/>
      <c r="CM25" s="47"/>
      <c r="CN25" s="47"/>
      <c r="CO25" s="47"/>
      <c r="CQ25" s="47">
        <f t="shared" si="23"/>
        <v>0</v>
      </c>
      <c r="CR25" s="47">
        <f t="shared" si="24"/>
        <v>0</v>
      </c>
      <c r="CS25" s="47">
        <f t="shared" si="25"/>
        <v>0</v>
      </c>
      <c r="CT25" s="47">
        <f t="shared" si="26"/>
        <v>0</v>
      </c>
      <c r="CU25" s="47">
        <f t="shared" si="27"/>
        <v>0</v>
      </c>
      <c r="CV25" s="47">
        <f t="shared" si="28"/>
        <v>0</v>
      </c>
      <c r="CW25" s="47">
        <f t="shared" si="29"/>
        <v>0</v>
      </c>
      <c r="CX25" s="47">
        <f t="shared" si="30"/>
        <v>0</v>
      </c>
    </row>
    <row r="26" spans="2:102" x14ac:dyDescent="0.25">
      <c r="B26" s="7"/>
      <c r="C26" s="7"/>
      <c r="D26" s="7"/>
      <c r="E26" s="7"/>
      <c r="F26" s="7"/>
      <c r="G26" s="7"/>
      <c r="H26" s="7"/>
      <c r="I26" s="7"/>
      <c r="J26" s="45"/>
      <c r="K26" s="45"/>
      <c r="L26" s="45"/>
      <c r="M26" s="45"/>
      <c r="N26" s="45"/>
      <c r="O26" s="45"/>
      <c r="P26" s="45"/>
      <c r="Q26" s="45"/>
      <c r="S26" s="47"/>
      <c r="T26" s="47"/>
      <c r="U26" s="47"/>
      <c r="V26" s="47"/>
      <c r="W26" s="47"/>
      <c r="X26" s="47"/>
      <c r="Y26" s="47"/>
      <c r="Z26" s="47"/>
      <c r="AB26" s="6"/>
      <c r="AC26" s="6"/>
      <c r="AD26" s="6"/>
      <c r="AE26" s="6"/>
      <c r="AF26" s="6"/>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Y26" s="47"/>
      <c r="BZ26" s="47"/>
      <c r="CA26" s="47"/>
      <c r="CB26" s="47"/>
      <c r="CC26" s="47"/>
      <c r="CD26" s="47"/>
      <c r="CE26" s="47"/>
      <c r="CF26" s="47"/>
      <c r="CH26" s="47"/>
      <c r="CI26" s="47"/>
      <c r="CJ26" s="47"/>
      <c r="CK26" s="47"/>
      <c r="CL26" s="47"/>
      <c r="CM26" s="47"/>
      <c r="CN26" s="47"/>
      <c r="CO26" s="47"/>
      <c r="CQ26" s="47">
        <f t="shared" si="23"/>
        <v>0</v>
      </c>
      <c r="CR26" s="47">
        <f t="shared" si="24"/>
        <v>0</v>
      </c>
      <c r="CS26" s="47">
        <f t="shared" si="25"/>
        <v>0</v>
      </c>
      <c r="CT26" s="47">
        <f t="shared" si="26"/>
        <v>0</v>
      </c>
      <c r="CU26" s="47">
        <f t="shared" si="27"/>
        <v>0</v>
      </c>
      <c r="CV26" s="47">
        <f t="shared" si="28"/>
        <v>0</v>
      </c>
      <c r="CW26" s="47">
        <f t="shared" si="29"/>
        <v>0</v>
      </c>
      <c r="CX26" s="47">
        <f t="shared" si="30"/>
        <v>0</v>
      </c>
    </row>
    <row r="27" spans="2:102" x14ac:dyDescent="0.25">
      <c r="B27" s="7"/>
      <c r="C27" s="7"/>
      <c r="D27" s="7"/>
      <c r="E27" s="7"/>
      <c r="F27" s="7"/>
      <c r="G27" s="7"/>
      <c r="H27" s="7"/>
      <c r="I27" s="7"/>
      <c r="J27" s="45"/>
      <c r="K27" s="45"/>
      <c r="L27" s="45"/>
      <c r="M27" s="45"/>
      <c r="N27" s="45"/>
      <c r="O27" s="45"/>
      <c r="P27" s="45"/>
      <c r="Q27" s="45"/>
      <c r="S27" s="47"/>
      <c r="T27" s="47"/>
      <c r="U27" s="47"/>
      <c r="V27" s="47"/>
      <c r="W27" s="47"/>
      <c r="X27" s="47"/>
      <c r="Y27" s="47"/>
      <c r="Z27" s="47"/>
      <c r="AB27" s="6"/>
      <c r="AC27" s="6"/>
      <c r="AD27" s="6"/>
      <c r="AE27" s="6"/>
      <c r="AF27" s="6"/>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Y27" s="47"/>
      <c r="BZ27" s="47"/>
      <c r="CA27" s="47"/>
      <c r="CB27" s="47"/>
      <c r="CC27" s="47"/>
      <c r="CD27" s="47"/>
      <c r="CE27" s="47"/>
      <c r="CF27" s="47"/>
      <c r="CH27" s="47"/>
      <c r="CI27" s="47"/>
      <c r="CJ27" s="47"/>
      <c r="CK27" s="47"/>
      <c r="CL27" s="47"/>
      <c r="CM27" s="47"/>
      <c r="CN27" s="47"/>
      <c r="CO27" s="47"/>
      <c r="CQ27" s="47">
        <f t="shared" si="23"/>
        <v>0</v>
      </c>
      <c r="CR27" s="47">
        <f t="shared" si="24"/>
        <v>0</v>
      </c>
      <c r="CS27" s="47">
        <f t="shared" si="25"/>
        <v>0</v>
      </c>
      <c r="CT27" s="47">
        <f t="shared" si="26"/>
        <v>0</v>
      </c>
      <c r="CU27" s="47">
        <f t="shared" si="27"/>
        <v>0</v>
      </c>
      <c r="CV27" s="47">
        <f t="shared" si="28"/>
        <v>0</v>
      </c>
      <c r="CW27" s="47">
        <f t="shared" si="29"/>
        <v>0</v>
      </c>
      <c r="CX27" s="47">
        <f t="shared" si="30"/>
        <v>0</v>
      </c>
    </row>
    <row r="28" spans="2:102" x14ac:dyDescent="0.25">
      <c r="B28" s="7"/>
      <c r="C28" s="7"/>
      <c r="D28" s="7"/>
      <c r="E28" s="7"/>
      <c r="F28" s="7"/>
      <c r="G28" s="7"/>
      <c r="H28" s="7"/>
      <c r="I28" s="7"/>
      <c r="J28" s="45"/>
      <c r="K28" s="45"/>
      <c r="L28" s="45"/>
      <c r="M28" s="45"/>
      <c r="N28" s="45"/>
      <c r="O28" s="45"/>
      <c r="P28" s="45"/>
      <c r="Q28" s="45"/>
      <c r="S28" s="47"/>
      <c r="T28" s="47"/>
      <c r="U28" s="47"/>
      <c r="V28" s="47"/>
      <c r="W28" s="47"/>
      <c r="X28" s="47"/>
      <c r="Y28" s="47"/>
      <c r="Z28" s="47"/>
      <c r="AB28" s="6"/>
      <c r="AC28" s="6"/>
      <c r="AD28" s="6"/>
      <c r="AE28" s="6"/>
      <c r="AF28" s="6"/>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Y28" s="47"/>
      <c r="BZ28" s="47"/>
      <c r="CA28" s="47"/>
      <c r="CB28" s="47"/>
      <c r="CC28" s="47"/>
      <c r="CD28" s="47"/>
      <c r="CE28" s="47"/>
      <c r="CF28" s="47"/>
      <c r="CH28" s="47"/>
      <c r="CI28" s="47"/>
      <c r="CJ28" s="47"/>
      <c r="CK28" s="47"/>
      <c r="CL28" s="47"/>
      <c r="CM28" s="47"/>
      <c r="CN28" s="47"/>
      <c r="CO28" s="47"/>
      <c r="CQ28" s="47">
        <f t="shared" si="23"/>
        <v>0</v>
      </c>
      <c r="CR28" s="47">
        <f t="shared" si="24"/>
        <v>0</v>
      </c>
      <c r="CS28" s="47">
        <f t="shared" si="25"/>
        <v>0</v>
      </c>
      <c r="CT28" s="47">
        <f t="shared" si="26"/>
        <v>0</v>
      </c>
      <c r="CU28" s="47">
        <f t="shared" si="27"/>
        <v>0</v>
      </c>
      <c r="CV28" s="47">
        <f t="shared" si="28"/>
        <v>0</v>
      </c>
      <c r="CW28" s="47">
        <f t="shared" si="29"/>
        <v>0</v>
      </c>
      <c r="CX28" s="47">
        <f t="shared" si="30"/>
        <v>0</v>
      </c>
    </row>
    <row r="29" spans="2:102" x14ac:dyDescent="0.25">
      <c r="B29" s="7"/>
      <c r="C29" s="7"/>
      <c r="D29" s="7"/>
      <c r="E29" s="7"/>
      <c r="F29" s="7"/>
      <c r="G29" s="7"/>
      <c r="H29" s="7"/>
      <c r="I29" s="7"/>
      <c r="J29" s="45"/>
      <c r="K29" s="45"/>
      <c r="L29" s="45"/>
      <c r="M29" s="45"/>
      <c r="N29" s="45"/>
      <c r="O29" s="45"/>
      <c r="P29" s="45"/>
      <c r="Q29" s="45"/>
      <c r="S29" s="47"/>
      <c r="T29" s="47"/>
      <c r="U29" s="47"/>
      <c r="V29" s="47"/>
      <c r="W29" s="47"/>
      <c r="X29" s="47"/>
      <c r="Y29" s="47"/>
      <c r="Z29" s="47"/>
      <c r="AB29" s="6"/>
      <c r="AC29" s="6"/>
      <c r="AD29" s="6"/>
      <c r="AE29" s="6"/>
      <c r="AF29" s="6"/>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Y29" s="47"/>
      <c r="BZ29" s="47"/>
      <c r="CA29" s="47"/>
      <c r="CB29" s="47"/>
      <c r="CC29" s="47"/>
      <c r="CD29" s="47"/>
      <c r="CE29" s="47"/>
      <c r="CF29" s="47"/>
      <c r="CH29" s="47"/>
      <c r="CI29" s="47"/>
      <c r="CJ29" s="47"/>
      <c r="CK29" s="47"/>
      <c r="CL29" s="47"/>
      <c r="CM29" s="47"/>
      <c r="CN29" s="47"/>
      <c r="CO29" s="47"/>
      <c r="CQ29" s="47">
        <f t="shared" si="23"/>
        <v>0</v>
      </c>
      <c r="CR29" s="47">
        <f t="shared" si="24"/>
        <v>0</v>
      </c>
      <c r="CS29" s="47">
        <f t="shared" si="25"/>
        <v>0</v>
      </c>
      <c r="CT29" s="47">
        <f t="shared" si="26"/>
        <v>0</v>
      </c>
      <c r="CU29" s="47">
        <f t="shared" si="27"/>
        <v>0</v>
      </c>
      <c r="CV29" s="47">
        <f t="shared" si="28"/>
        <v>0</v>
      </c>
      <c r="CW29" s="47">
        <f t="shared" si="29"/>
        <v>0</v>
      </c>
      <c r="CX29" s="47">
        <f t="shared" si="30"/>
        <v>0</v>
      </c>
    </row>
    <row r="30" spans="2:102" x14ac:dyDescent="0.25">
      <c r="B30" s="7"/>
      <c r="C30" s="7"/>
      <c r="D30" s="7"/>
      <c r="E30" s="7"/>
      <c r="F30" s="7"/>
      <c r="G30" s="7"/>
      <c r="H30" s="7"/>
      <c r="I30" s="7"/>
      <c r="J30" s="45"/>
      <c r="K30" s="45"/>
      <c r="L30" s="45"/>
      <c r="M30" s="45"/>
      <c r="N30" s="45"/>
      <c r="O30" s="45"/>
      <c r="P30" s="45"/>
      <c r="Q30" s="45"/>
      <c r="S30" s="47"/>
      <c r="T30" s="47"/>
      <c r="U30" s="47"/>
      <c r="V30" s="47"/>
      <c r="W30" s="47"/>
      <c r="X30" s="47"/>
      <c r="Y30" s="47"/>
      <c r="Z30" s="47"/>
      <c r="AB30" s="6"/>
      <c r="AC30" s="6"/>
      <c r="AD30" s="6"/>
      <c r="AE30" s="6"/>
      <c r="AF30" s="6"/>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Y30" s="47"/>
      <c r="BZ30" s="47"/>
      <c r="CA30" s="47"/>
      <c r="CB30" s="47"/>
      <c r="CC30" s="47"/>
      <c r="CD30" s="47"/>
      <c r="CE30" s="47"/>
      <c r="CF30" s="47"/>
      <c r="CH30" s="47"/>
      <c r="CI30" s="47"/>
      <c r="CJ30" s="47"/>
      <c r="CK30" s="47"/>
      <c r="CL30" s="47"/>
      <c r="CM30" s="47"/>
      <c r="CN30" s="47"/>
      <c r="CO30" s="47"/>
      <c r="CQ30" s="47">
        <f t="shared" si="23"/>
        <v>0</v>
      </c>
      <c r="CR30" s="47">
        <f t="shared" si="24"/>
        <v>0</v>
      </c>
      <c r="CS30" s="47">
        <f t="shared" si="25"/>
        <v>0</v>
      </c>
      <c r="CT30" s="47">
        <f t="shared" si="26"/>
        <v>0</v>
      </c>
      <c r="CU30" s="47">
        <f t="shared" si="27"/>
        <v>0</v>
      </c>
      <c r="CV30" s="47">
        <f t="shared" si="28"/>
        <v>0</v>
      </c>
      <c r="CW30" s="47">
        <f t="shared" si="29"/>
        <v>0</v>
      </c>
      <c r="CX30" s="47">
        <f t="shared" si="30"/>
        <v>0</v>
      </c>
    </row>
    <row r="31" spans="2:102" x14ac:dyDescent="0.25">
      <c r="B31" s="7"/>
      <c r="C31" s="7"/>
      <c r="D31" s="7"/>
      <c r="E31" s="7"/>
      <c r="F31" s="7"/>
      <c r="G31" s="7"/>
      <c r="H31" s="7"/>
      <c r="I31" s="7"/>
      <c r="J31" s="45"/>
      <c r="K31" s="45"/>
      <c r="L31" s="45"/>
      <c r="M31" s="45"/>
      <c r="N31" s="45"/>
      <c r="O31" s="45"/>
      <c r="P31" s="45"/>
      <c r="Q31" s="45"/>
      <c r="S31" s="47"/>
      <c r="T31" s="47"/>
      <c r="U31" s="47"/>
      <c r="V31" s="47"/>
      <c r="W31" s="47"/>
      <c r="X31" s="47"/>
      <c r="Y31" s="47"/>
      <c r="Z31" s="47"/>
      <c r="AB31" s="6"/>
      <c r="AC31" s="6"/>
      <c r="AD31" s="6"/>
      <c r="AE31" s="6"/>
      <c r="AF31" s="6"/>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Y31" s="47"/>
      <c r="BZ31" s="47"/>
      <c r="CA31" s="47"/>
      <c r="CB31" s="47"/>
      <c r="CC31" s="47"/>
      <c r="CD31" s="47"/>
      <c r="CE31" s="47"/>
      <c r="CF31" s="47"/>
      <c r="CH31" s="47"/>
      <c r="CI31" s="47"/>
      <c r="CJ31" s="47"/>
      <c r="CK31" s="47"/>
      <c r="CL31" s="47"/>
      <c r="CM31" s="47"/>
      <c r="CN31" s="47"/>
      <c r="CO31" s="47"/>
      <c r="CQ31" s="47">
        <f t="shared" si="23"/>
        <v>0</v>
      </c>
      <c r="CR31" s="47">
        <f t="shared" si="24"/>
        <v>0</v>
      </c>
      <c r="CS31" s="47">
        <f t="shared" si="25"/>
        <v>0</v>
      </c>
      <c r="CT31" s="47">
        <f t="shared" si="26"/>
        <v>0</v>
      </c>
      <c r="CU31" s="47">
        <f t="shared" si="27"/>
        <v>0</v>
      </c>
      <c r="CV31" s="47">
        <f t="shared" si="28"/>
        <v>0</v>
      </c>
      <c r="CW31" s="47">
        <f t="shared" si="29"/>
        <v>0</v>
      </c>
      <c r="CX31" s="47">
        <f t="shared" si="30"/>
        <v>0</v>
      </c>
    </row>
    <row r="32" spans="2:102" x14ac:dyDescent="0.25">
      <c r="B32" s="7"/>
      <c r="C32" s="7"/>
      <c r="D32" s="7"/>
      <c r="E32" s="7"/>
      <c r="F32" s="7"/>
      <c r="G32" s="7"/>
      <c r="H32" s="7"/>
      <c r="I32" s="7"/>
      <c r="J32" s="45"/>
      <c r="K32" s="45"/>
      <c r="L32" s="45"/>
      <c r="M32" s="45"/>
      <c r="N32" s="45"/>
      <c r="O32" s="45"/>
      <c r="P32" s="45"/>
      <c r="Q32" s="45"/>
      <c r="S32" s="47"/>
      <c r="T32" s="47"/>
      <c r="U32" s="47"/>
      <c r="V32" s="47"/>
      <c r="W32" s="47"/>
      <c r="X32" s="47"/>
      <c r="Y32" s="47"/>
      <c r="Z32" s="47"/>
      <c r="AB32" s="6"/>
      <c r="AC32" s="6"/>
      <c r="AD32" s="6"/>
      <c r="AE32" s="6"/>
      <c r="AF32" s="6"/>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Y32" s="47"/>
      <c r="BZ32" s="47"/>
      <c r="CA32" s="47"/>
      <c r="CB32" s="47"/>
      <c r="CC32" s="47"/>
      <c r="CD32" s="47"/>
      <c r="CE32" s="47"/>
      <c r="CF32" s="47"/>
      <c r="CH32" s="47"/>
      <c r="CI32" s="47"/>
      <c r="CJ32" s="47"/>
      <c r="CK32" s="47"/>
      <c r="CL32" s="47"/>
      <c r="CM32" s="47"/>
      <c r="CN32" s="47"/>
      <c r="CO32" s="47"/>
      <c r="CQ32" s="47">
        <f t="shared" si="23"/>
        <v>0</v>
      </c>
      <c r="CR32" s="47">
        <f t="shared" si="24"/>
        <v>0</v>
      </c>
      <c r="CS32" s="47">
        <f t="shared" si="25"/>
        <v>0</v>
      </c>
      <c r="CT32" s="47">
        <f t="shared" si="26"/>
        <v>0</v>
      </c>
      <c r="CU32" s="47">
        <f t="shared" si="27"/>
        <v>0</v>
      </c>
      <c r="CV32" s="47">
        <f t="shared" si="28"/>
        <v>0</v>
      </c>
      <c r="CW32" s="47">
        <f t="shared" si="29"/>
        <v>0</v>
      </c>
      <c r="CX32" s="47">
        <f t="shared" si="30"/>
        <v>0</v>
      </c>
    </row>
    <row r="33" spans="2:102" x14ac:dyDescent="0.25">
      <c r="B33" s="7"/>
      <c r="C33" s="7"/>
      <c r="D33" s="7"/>
      <c r="E33" s="7"/>
      <c r="F33" s="7"/>
      <c r="G33" s="7"/>
      <c r="H33" s="7"/>
      <c r="I33" s="7"/>
      <c r="J33" s="45"/>
      <c r="K33" s="45"/>
      <c r="L33" s="45"/>
      <c r="M33" s="45"/>
      <c r="N33" s="45"/>
      <c r="O33" s="45"/>
      <c r="P33" s="45"/>
      <c r="Q33" s="45"/>
      <c r="S33" s="47"/>
      <c r="T33" s="47"/>
      <c r="U33" s="47"/>
      <c r="V33" s="47"/>
      <c r="W33" s="47"/>
      <c r="X33" s="47"/>
      <c r="Y33" s="47"/>
      <c r="Z33" s="47"/>
      <c r="AB33" s="6"/>
      <c r="AC33" s="6"/>
      <c r="AD33" s="6"/>
      <c r="AE33" s="6"/>
      <c r="AF33" s="6"/>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Y33" s="47"/>
      <c r="BZ33" s="47"/>
      <c r="CA33" s="47"/>
      <c r="CB33" s="47"/>
      <c r="CC33" s="47"/>
      <c r="CD33" s="47"/>
      <c r="CE33" s="47"/>
      <c r="CF33" s="47"/>
      <c r="CH33" s="47"/>
      <c r="CI33" s="47"/>
      <c r="CJ33" s="47"/>
      <c r="CK33" s="47"/>
      <c r="CL33" s="47"/>
      <c r="CM33" s="47"/>
      <c r="CN33" s="47"/>
      <c r="CO33" s="47"/>
      <c r="CQ33" s="47">
        <f t="shared" si="23"/>
        <v>0</v>
      </c>
      <c r="CR33" s="47">
        <f t="shared" si="24"/>
        <v>0</v>
      </c>
      <c r="CS33" s="47">
        <f t="shared" si="25"/>
        <v>0</v>
      </c>
      <c r="CT33" s="47">
        <f t="shared" si="26"/>
        <v>0</v>
      </c>
      <c r="CU33" s="47">
        <f t="shared" si="27"/>
        <v>0</v>
      </c>
      <c r="CV33" s="47">
        <f t="shared" si="28"/>
        <v>0</v>
      </c>
      <c r="CW33" s="47">
        <f t="shared" si="29"/>
        <v>0</v>
      </c>
      <c r="CX33" s="47">
        <f t="shared" si="30"/>
        <v>0</v>
      </c>
    </row>
    <row r="34" spans="2:102" x14ac:dyDescent="0.25">
      <c r="B34" s="7"/>
      <c r="C34" s="7"/>
      <c r="D34" s="7"/>
      <c r="E34" s="7"/>
      <c r="F34" s="7"/>
      <c r="G34" s="7"/>
      <c r="H34" s="7"/>
      <c r="I34" s="7"/>
      <c r="J34" s="45"/>
      <c r="K34" s="45"/>
      <c r="L34" s="45"/>
      <c r="M34" s="45"/>
      <c r="N34" s="45"/>
      <c r="O34" s="45"/>
      <c r="P34" s="45"/>
      <c r="Q34" s="45"/>
      <c r="S34" s="47"/>
      <c r="T34" s="47"/>
      <c r="U34" s="47"/>
      <c r="V34" s="47"/>
      <c r="W34" s="47"/>
      <c r="X34" s="47"/>
      <c r="Y34" s="47"/>
      <c r="Z34" s="47"/>
      <c r="AB34" s="6"/>
      <c r="AC34" s="6"/>
      <c r="AD34" s="6"/>
      <c r="AE34" s="6"/>
      <c r="AF34" s="6"/>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Y34" s="47"/>
      <c r="BZ34" s="47"/>
      <c r="CA34" s="47"/>
      <c r="CB34" s="47"/>
      <c r="CC34" s="47"/>
      <c r="CD34" s="47"/>
      <c r="CE34" s="47"/>
      <c r="CF34" s="47"/>
      <c r="CH34" s="47"/>
      <c r="CI34" s="47"/>
      <c r="CJ34" s="47"/>
      <c r="CK34" s="47"/>
      <c r="CL34" s="47"/>
      <c r="CM34" s="47"/>
      <c r="CN34" s="47"/>
      <c r="CO34" s="47"/>
      <c r="CQ34" s="47">
        <f t="shared" si="23"/>
        <v>0</v>
      </c>
      <c r="CR34" s="47">
        <f t="shared" si="24"/>
        <v>0</v>
      </c>
      <c r="CS34" s="47">
        <f t="shared" si="25"/>
        <v>0</v>
      </c>
      <c r="CT34" s="47">
        <f t="shared" si="26"/>
        <v>0</v>
      </c>
      <c r="CU34" s="47">
        <f t="shared" si="27"/>
        <v>0</v>
      </c>
      <c r="CV34" s="47">
        <f t="shared" si="28"/>
        <v>0</v>
      </c>
      <c r="CW34" s="47">
        <f t="shared" si="29"/>
        <v>0</v>
      </c>
      <c r="CX34" s="47">
        <f t="shared" si="30"/>
        <v>0</v>
      </c>
    </row>
    <row r="35" spans="2:102" x14ac:dyDescent="0.25">
      <c r="B35" s="7"/>
      <c r="C35" s="7"/>
      <c r="D35" s="7"/>
      <c r="E35" s="7"/>
      <c r="F35" s="7"/>
      <c r="G35" s="7"/>
      <c r="H35" s="7"/>
      <c r="I35" s="7"/>
      <c r="J35" s="45"/>
      <c r="K35" s="45"/>
      <c r="L35" s="45"/>
      <c r="M35" s="45"/>
      <c r="N35" s="45"/>
      <c r="O35" s="45"/>
      <c r="P35" s="45"/>
      <c r="Q35" s="45"/>
      <c r="S35" s="47"/>
      <c r="T35" s="47"/>
      <c r="U35" s="47"/>
      <c r="V35" s="47"/>
      <c r="W35" s="47"/>
      <c r="X35" s="47"/>
      <c r="Y35" s="47"/>
      <c r="Z35" s="47"/>
      <c r="AB35" s="6"/>
      <c r="AC35" s="6"/>
      <c r="AD35" s="6"/>
      <c r="AE35" s="6"/>
      <c r="AF35" s="6"/>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Y35" s="47"/>
      <c r="BZ35" s="47"/>
      <c r="CA35" s="47"/>
      <c r="CB35" s="47"/>
      <c r="CC35" s="47"/>
      <c r="CD35" s="47"/>
      <c r="CE35" s="47"/>
      <c r="CF35" s="47"/>
      <c r="CH35" s="47"/>
      <c r="CI35" s="47"/>
      <c r="CJ35" s="47"/>
      <c r="CK35" s="47"/>
      <c r="CL35" s="47"/>
      <c r="CM35" s="47"/>
      <c r="CN35" s="47"/>
      <c r="CO35" s="47"/>
      <c r="CQ35" s="47">
        <f t="shared" si="23"/>
        <v>0</v>
      </c>
      <c r="CR35" s="47">
        <f t="shared" si="24"/>
        <v>0</v>
      </c>
      <c r="CS35" s="47">
        <f t="shared" si="25"/>
        <v>0</v>
      </c>
      <c r="CT35" s="47">
        <f t="shared" si="26"/>
        <v>0</v>
      </c>
      <c r="CU35" s="47">
        <f t="shared" si="27"/>
        <v>0</v>
      </c>
      <c r="CV35" s="47">
        <f t="shared" si="28"/>
        <v>0</v>
      </c>
      <c r="CW35" s="47">
        <f t="shared" si="29"/>
        <v>0</v>
      </c>
      <c r="CX35" s="47">
        <f t="shared" si="30"/>
        <v>0</v>
      </c>
    </row>
    <row r="36" spans="2:102" x14ac:dyDescent="0.25">
      <c r="B36" s="7"/>
      <c r="C36" s="7"/>
      <c r="D36" s="7"/>
      <c r="E36" s="7"/>
      <c r="F36" s="7"/>
      <c r="G36" s="7"/>
      <c r="H36" s="7"/>
      <c r="I36" s="7"/>
      <c r="J36" s="45"/>
      <c r="K36" s="45"/>
      <c r="L36" s="45"/>
      <c r="M36" s="45"/>
      <c r="N36" s="45"/>
      <c r="O36" s="45"/>
      <c r="P36" s="45"/>
      <c r="Q36" s="45"/>
      <c r="S36" s="47"/>
      <c r="T36" s="47"/>
      <c r="U36" s="47"/>
      <c r="V36" s="47"/>
      <c r="W36" s="47"/>
      <c r="X36" s="47"/>
      <c r="Y36" s="47"/>
      <c r="Z36" s="47"/>
      <c r="AB36" s="6"/>
      <c r="AC36" s="6"/>
      <c r="AD36" s="6"/>
      <c r="AE36" s="6"/>
      <c r="AF36" s="6"/>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Y36" s="47"/>
      <c r="BZ36" s="47"/>
      <c r="CA36" s="47"/>
      <c r="CB36" s="47"/>
      <c r="CC36" s="47"/>
      <c r="CD36" s="47"/>
      <c r="CE36" s="47"/>
      <c r="CF36" s="47"/>
      <c r="CH36" s="47"/>
      <c r="CI36" s="47"/>
      <c r="CJ36" s="47"/>
      <c r="CK36" s="47"/>
      <c r="CL36" s="47"/>
      <c r="CM36" s="47"/>
      <c r="CN36" s="47"/>
      <c r="CO36" s="47"/>
      <c r="CQ36" s="47">
        <f t="shared" si="23"/>
        <v>0</v>
      </c>
      <c r="CR36" s="47">
        <f t="shared" si="24"/>
        <v>0</v>
      </c>
      <c r="CS36" s="47">
        <f t="shared" si="25"/>
        <v>0</v>
      </c>
      <c r="CT36" s="47">
        <f t="shared" si="26"/>
        <v>0</v>
      </c>
      <c r="CU36" s="47">
        <f t="shared" si="27"/>
        <v>0</v>
      </c>
      <c r="CV36" s="47">
        <f t="shared" si="28"/>
        <v>0</v>
      </c>
      <c r="CW36" s="47">
        <f t="shared" si="29"/>
        <v>0</v>
      </c>
      <c r="CX36" s="47">
        <f t="shared" si="30"/>
        <v>0</v>
      </c>
    </row>
    <row r="37" spans="2:102" x14ac:dyDescent="0.25">
      <c r="J37" s="48">
        <f t="shared" ref="J37:Q37" si="31">SUM(J6:J36)</f>
        <v>0</v>
      </c>
      <c r="K37" s="48">
        <f t="shared" si="31"/>
        <v>0</v>
      </c>
      <c r="L37" s="48">
        <f t="shared" si="31"/>
        <v>0</v>
      </c>
      <c r="M37" s="764">
        <f t="shared" si="31"/>
        <v>5437</v>
      </c>
      <c r="N37" s="764">
        <f t="shared" si="31"/>
        <v>5397</v>
      </c>
      <c r="O37" s="764">
        <f t="shared" si="31"/>
        <v>5174</v>
      </c>
      <c r="P37" s="764">
        <f t="shared" si="31"/>
        <v>4657</v>
      </c>
      <c r="Q37" s="764">
        <f t="shared" si="31"/>
        <v>4637</v>
      </c>
      <c r="R37" s="129"/>
      <c r="S37" s="764">
        <f t="shared" ref="S37:Z37" si="32">SUM(S6:S36)</f>
        <v>0</v>
      </c>
      <c r="T37" s="764">
        <f t="shared" si="32"/>
        <v>0</v>
      </c>
      <c r="U37" s="764">
        <f t="shared" si="32"/>
        <v>0</v>
      </c>
      <c r="V37" s="764">
        <f t="shared" si="32"/>
        <v>552.72794327442966</v>
      </c>
      <c r="W37" s="764">
        <f t="shared" si="32"/>
        <v>547.29111283267889</v>
      </c>
      <c r="X37" s="764">
        <f t="shared" si="32"/>
        <v>524.29637705472408</v>
      </c>
      <c r="Y37" s="764">
        <f t="shared" si="32"/>
        <v>473.6404691145388</v>
      </c>
      <c r="Z37" s="764">
        <f t="shared" si="32"/>
        <v>476.30636564657704</v>
      </c>
      <c r="AA37" s="129"/>
      <c r="AB37" s="764">
        <f t="shared" ref="AB37:AF37" si="33">SUM(AB6:AB36)</f>
        <v>0</v>
      </c>
      <c r="AC37" s="764">
        <f t="shared" si="33"/>
        <v>0</v>
      </c>
      <c r="AD37" s="764">
        <f t="shared" si="33"/>
        <v>0</v>
      </c>
      <c r="AE37" s="764">
        <f t="shared" si="33"/>
        <v>0</v>
      </c>
      <c r="AF37" s="764">
        <f t="shared" si="33"/>
        <v>0</v>
      </c>
      <c r="AG37" s="764">
        <f t="shared" ref="AG37:BW37" si="34">SUM(AG6:AG36)</f>
        <v>0</v>
      </c>
      <c r="AH37" s="764">
        <f t="shared" ref="AH37:AM37" si="35">SUM(AH6:AH36)</f>
        <v>0</v>
      </c>
      <c r="AI37" s="764">
        <f t="shared" si="35"/>
        <v>0</v>
      </c>
      <c r="AJ37" s="764">
        <f t="shared" si="35"/>
        <v>0</v>
      </c>
      <c r="AK37" s="764">
        <f t="shared" si="35"/>
        <v>0</v>
      </c>
      <c r="AL37" s="764">
        <f t="shared" si="35"/>
        <v>0</v>
      </c>
      <c r="AM37" s="764">
        <f t="shared" si="35"/>
        <v>0</v>
      </c>
      <c r="AN37" s="764">
        <f t="shared" si="34"/>
        <v>0</v>
      </c>
      <c r="AO37" s="764">
        <f t="shared" si="34"/>
        <v>0</v>
      </c>
      <c r="AP37" s="764">
        <f t="shared" si="34"/>
        <v>0</v>
      </c>
      <c r="AQ37" s="764">
        <f t="shared" si="34"/>
        <v>0</v>
      </c>
      <c r="AR37" s="764">
        <f t="shared" si="34"/>
        <v>0</v>
      </c>
      <c r="AS37" s="764">
        <f t="shared" si="34"/>
        <v>0</v>
      </c>
      <c r="AT37" s="764">
        <f t="shared" si="34"/>
        <v>0</v>
      </c>
      <c r="AU37" s="764">
        <f t="shared" si="34"/>
        <v>0</v>
      </c>
      <c r="AV37" s="764">
        <f t="shared" si="34"/>
        <v>239.11830487803283</v>
      </c>
      <c r="AW37" s="764">
        <f t="shared" si="34"/>
        <v>0</v>
      </c>
      <c r="AX37" s="764">
        <f t="shared" si="34"/>
        <v>956.47321951213132</v>
      </c>
      <c r="AY37" s="764">
        <f t="shared" si="34"/>
        <v>1195.5915243901641</v>
      </c>
      <c r="AZ37" s="764">
        <f t="shared" si="34"/>
        <v>0</v>
      </c>
      <c r="BA37" s="764">
        <f t="shared" si="34"/>
        <v>0</v>
      </c>
      <c r="BB37" s="764">
        <f t="shared" si="34"/>
        <v>237.35911190486357</v>
      </c>
      <c r="BC37" s="764">
        <f t="shared" si="34"/>
        <v>0</v>
      </c>
      <c r="BD37" s="764">
        <f t="shared" si="34"/>
        <v>949.43644761945427</v>
      </c>
      <c r="BE37" s="764">
        <f t="shared" si="34"/>
        <v>1186.7955595243177</v>
      </c>
      <c r="BF37" s="764">
        <f t="shared" si="34"/>
        <v>0</v>
      </c>
      <c r="BG37" s="764">
        <f t="shared" si="34"/>
        <v>0</v>
      </c>
      <c r="BH37" s="764">
        <f t="shared" si="34"/>
        <v>227.55161107944488</v>
      </c>
      <c r="BI37" s="764">
        <f t="shared" si="34"/>
        <v>0</v>
      </c>
      <c r="BJ37" s="764">
        <f t="shared" si="34"/>
        <v>910.20644431777953</v>
      </c>
      <c r="BK37" s="764">
        <f t="shared" si="34"/>
        <v>1137.7580553972243</v>
      </c>
      <c r="BL37" s="764">
        <f t="shared" si="34"/>
        <v>0</v>
      </c>
      <c r="BM37" s="764">
        <f t="shared" si="34"/>
        <v>0</v>
      </c>
      <c r="BN37" s="764">
        <f t="shared" si="34"/>
        <v>204.81404190123209</v>
      </c>
      <c r="BO37" s="764">
        <f t="shared" si="34"/>
        <v>0</v>
      </c>
      <c r="BP37" s="764">
        <f t="shared" si="34"/>
        <v>819.25616760492835</v>
      </c>
      <c r="BQ37" s="764">
        <f t="shared" si="34"/>
        <v>1024.0702095061604</v>
      </c>
      <c r="BR37" s="764">
        <f t="shared" si="34"/>
        <v>0</v>
      </c>
      <c r="BS37" s="764">
        <f t="shared" si="34"/>
        <v>0</v>
      </c>
      <c r="BT37" s="764">
        <f t="shared" si="34"/>
        <v>203.93444541464746</v>
      </c>
      <c r="BU37" s="764">
        <f t="shared" si="34"/>
        <v>0</v>
      </c>
      <c r="BV37" s="764">
        <f t="shared" si="34"/>
        <v>815.73778165858982</v>
      </c>
      <c r="BW37" s="764">
        <f t="shared" si="34"/>
        <v>1019.6722270732373</v>
      </c>
      <c r="BX37" s="129"/>
      <c r="BY37" s="764">
        <f t="shared" ref="BY37:CF37" si="36">SUM(BY6:BY36)</f>
        <v>0</v>
      </c>
      <c r="BZ37" s="764">
        <f t="shared" si="36"/>
        <v>0</v>
      </c>
      <c r="CA37" s="764">
        <f t="shared" si="36"/>
        <v>0</v>
      </c>
      <c r="CB37" s="764">
        <f t="shared" si="36"/>
        <v>3202.8309108840385</v>
      </c>
      <c r="CC37" s="764">
        <f t="shared" si="36"/>
        <v>3179.2676891743895</v>
      </c>
      <c r="CD37" s="764">
        <f t="shared" si="36"/>
        <v>3047.9027281430963</v>
      </c>
      <c r="CE37" s="764">
        <f t="shared" si="36"/>
        <v>2743.3480875458831</v>
      </c>
      <c r="CF37" s="764">
        <f t="shared" si="36"/>
        <v>2731.5664766910586</v>
      </c>
      <c r="CG37" s="129"/>
      <c r="CH37" s="764">
        <f t="shared" ref="CH37:CO37" si="37">SUM(CH6:CH36)</f>
        <v>0</v>
      </c>
      <c r="CI37" s="764">
        <f t="shared" si="37"/>
        <v>0</v>
      </c>
      <c r="CJ37" s="764">
        <f t="shared" si="37"/>
        <v>0</v>
      </c>
      <c r="CK37" s="764">
        <f t="shared" si="37"/>
        <v>495.65405659521235</v>
      </c>
      <c r="CL37" s="764">
        <f t="shared" si="37"/>
        <v>492.00753052130972</v>
      </c>
      <c r="CM37" s="764">
        <f t="shared" si="37"/>
        <v>471.67814765930268</v>
      </c>
      <c r="CN37" s="764">
        <f t="shared" si="37"/>
        <v>424.54679815411146</v>
      </c>
      <c r="CO37" s="764">
        <f t="shared" si="37"/>
        <v>422.72353511716017</v>
      </c>
      <c r="CP37" s="129"/>
      <c r="CQ37" s="764">
        <f t="shared" ref="CQ37:CX37" si="38">SUM(CQ6:CQ36)</f>
        <v>0</v>
      </c>
      <c r="CR37" s="764">
        <f t="shared" ref="CR37" si="39">SUM(CR6:CR36)</f>
        <v>0</v>
      </c>
      <c r="CS37" s="764">
        <f t="shared" si="38"/>
        <v>0</v>
      </c>
      <c r="CT37" s="764">
        <f t="shared" si="38"/>
        <v>5446.8044351438448</v>
      </c>
      <c r="CU37" s="764">
        <f t="shared" si="38"/>
        <v>5405.361892052696</v>
      </c>
      <c r="CV37" s="764">
        <f t="shared" si="38"/>
        <v>5181.6353082543474</v>
      </c>
      <c r="CW37" s="764">
        <f t="shared" si="38"/>
        <v>4665.6055643206937</v>
      </c>
      <c r="CX37" s="764">
        <f t="shared" si="38"/>
        <v>4650.2686045280334</v>
      </c>
    </row>
    <row r="38" spans="2:102" x14ac:dyDescent="0.25">
      <c r="CQ38" s="84">
        <f t="shared" ref="CQ38:CX38" si="40">IF(ISERROR((CQ37-J37)/J37),0,(CQ37-J37)/J37)</f>
        <v>0</v>
      </c>
      <c r="CR38" s="84">
        <f t="shared" si="40"/>
        <v>0</v>
      </c>
      <c r="CS38" s="84">
        <f t="shared" si="40"/>
        <v>0</v>
      </c>
      <c r="CT38" s="84">
        <f t="shared" si="40"/>
        <v>1.8032803280935781E-3</v>
      </c>
      <c r="CU38" s="84">
        <f t="shared" si="40"/>
        <v>1.5493592834345045E-3</v>
      </c>
      <c r="CV38" s="84">
        <f t="shared" si="40"/>
        <v>1.4757070456798153E-3</v>
      </c>
      <c r="CW38" s="84">
        <f t="shared" si="40"/>
        <v>1.8478772430091694E-3</v>
      </c>
      <c r="CX38" s="84">
        <f t="shared" si="40"/>
        <v>2.8614631287542363E-3</v>
      </c>
    </row>
    <row r="39" spans="2:102" x14ac:dyDescent="0.25">
      <c r="H39" s="1" t="s">
        <v>133</v>
      </c>
      <c r="M39" s="160"/>
      <c r="N39" s="160"/>
      <c r="O39" s="160"/>
      <c r="P39" s="160"/>
      <c r="Q39" s="160"/>
    </row>
    <row r="40" spans="2:102" x14ac:dyDescent="0.25">
      <c r="M40" s="39"/>
      <c r="N40" s="39"/>
      <c r="O40" s="39"/>
      <c r="P40" s="39"/>
      <c r="Q40" s="39"/>
    </row>
  </sheetData>
  <mergeCells count="11">
    <mergeCell ref="J4:Q4"/>
    <mergeCell ref="S4:Z4"/>
    <mergeCell ref="BY4:CF4"/>
    <mergeCell ref="CH4:CO4"/>
    <mergeCell ref="CQ4:CX4"/>
    <mergeCell ref="M1:N1"/>
    <mergeCell ref="J3:Q3"/>
    <mergeCell ref="S3:Z3"/>
    <mergeCell ref="BY3:CF3"/>
    <mergeCell ref="CQ3:CX3"/>
    <mergeCell ref="CH3:CO3"/>
  </mergeCells>
  <hyperlinks>
    <hyperlink ref="B2" location="Contents!A1" display="Table of Contents"/>
  </hyperlink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xWindow="788" yWindow="547" count="5">
        <x14:dataValidation type="list" errorStyle="warning" showInputMessage="1" showErrorMessage="1" error="Invalid data entered" prompt="Select from drop down list">
          <x14:formula1>
            <xm:f>Lookups!$C$16:$C$27</xm:f>
          </x14:formula1>
          <xm:sqref>F6:F36</xm:sqref>
        </x14:dataValidation>
        <x14:dataValidation type="list" errorStyle="warning" showInputMessage="1" showErrorMessage="1" error="Invalid data entered" prompt="Select from drop down list">
          <x14:formula1>
            <xm:f>Lookups!$C$5:$C$13</xm:f>
          </x14:formula1>
          <xm:sqref>E6:E36</xm:sqref>
        </x14:dataValidation>
        <x14:dataValidation type="list" errorStyle="warning" allowBlank="1" showInputMessage="1" showErrorMessage="1" prompt="Select from drop down list">
          <x14:formula1>
            <xm:f>Lab_Mat!$C$62:$C$98</xm:f>
          </x14:formula1>
          <xm:sqref>I6:I36</xm:sqref>
        </x14:dataValidation>
        <x14:dataValidation type="list" errorStyle="warning" showInputMessage="1" showErrorMessage="1" error="Invalid data entered" prompt="Select from drop down list">
          <x14:formula1>
            <xm:f>Lookups!$I$5:$I$10</xm:f>
          </x14:formula1>
          <xm:sqref>G6:G36</xm:sqref>
        </x14:dataValidation>
        <x14:dataValidation type="list" errorStyle="warning" allowBlank="1" showInputMessage="1" showErrorMessage="1" prompt="Select from drop down list">
          <x14:formula1>
            <xm:f>Lab_Mat!$C$13:$C$22</xm:f>
          </x14:formula1>
          <xm:sqref>H6:H36</xm:sqref>
        </x14:dataValidation>
      </x14:dataValidation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B1:DT44"/>
  <sheetViews>
    <sheetView topLeftCell="A14" zoomScale="85" zoomScaleNormal="85" zoomScalePageLayoutView="125" workbookViewId="0">
      <pane xSplit="4" topLeftCell="DE1" activePane="topRight" state="frozen"/>
      <selection activeCell="V33" sqref="V33"/>
      <selection pane="topRight" activeCell="DM42" sqref="DH41:DM42"/>
    </sheetView>
  </sheetViews>
  <sheetFormatPr defaultColWidth="8.85546875" defaultRowHeight="15" outlineLevelRow="1" outlineLevelCol="1" x14ac:dyDescent="0.25"/>
  <cols>
    <col min="1" max="1" width="4" style="1" customWidth="1"/>
    <col min="2" max="2" width="12" style="1" customWidth="1"/>
    <col min="3" max="3" width="56.7109375" style="1" customWidth="1"/>
    <col min="4" max="4" width="17.28515625" style="1" customWidth="1"/>
    <col min="5" max="5" width="24.42578125" style="1" customWidth="1" outlineLevel="1"/>
    <col min="6" max="6" width="29.28515625" style="1" customWidth="1" outlineLevel="1"/>
    <col min="7" max="7" width="24.140625" style="1" customWidth="1" outlineLevel="1"/>
    <col min="8" max="8" width="23.42578125" style="1" customWidth="1" outlineLevel="1"/>
    <col min="9" max="9" width="28.42578125" style="1" customWidth="1" outlineLevel="1"/>
    <col min="10" max="17" width="8.7109375" style="1" customWidth="1"/>
    <col min="18" max="18" width="9.42578125" style="1" customWidth="1"/>
    <col min="19" max="19" width="3.140625" style="1" customWidth="1"/>
    <col min="20" max="27" width="8.42578125" style="1" customWidth="1"/>
    <col min="28" max="28" width="3.42578125" style="1" customWidth="1"/>
    <col min="29" max="30" width="8.85546875" style="1"/>
    <col min="31" max="32" width="9.140625" style="1" customWidth="1"/>
    <col min="33" max="33" width="3" style="1" customWidth="1"/>
    <col min="34" max="41" width="8.85546875" style="1"/>
    <col min="42" max="42" width="2.7109375" style="1" customWidth="1"/>
    <col min="43" max="47" width="10.42578125" style="1" hidden="1" customWidth="1" outlineLevel="1"/>
    <col min="48" max="48" width="8.85546875" style="1" collapsed="1"/>
    <col min="49" max="53" width="10.42578125" style="1" hidden="1" customWidth="1" outlineLevel="1"/>
    <col min="54" max="54" width="8.85546875" style="1" collapsed="1"/>
    <col min="55" max="59" width="10.42578125" style="1" hidden="1" customWidth="1" outlineLevel="1"/>
    <col min="60" max="60" width="8.85546875" style="1" collapsed="1"/>
    <col min="61" max="65" width="10.42578125" style="1" hidden="1" customWidth="1" outlineLevel="1"/>
    <col min="66" max="66" width="8.85546875" style="1" collapsed="1"/>
    <col min="67" max="71" width="9.140625" style="1" hidden="1" customWidth="1" outlineLevel="1"/>
    <col min="72" max="72" width="8.85546875" style="1" collapsed="1"/>
    <col min="73" max="77" width="9.140625" style="1" hidden="1" customWidth="1" outlineLevel="1"/>
    <col min="78" max="78" width="8.85546875" style="1" collapsed="1"/>
    <col min="79" max="83" width="9.140625" style="1" hidden="1" customWidth="1" outlineLevel="1"/>
    <col min="84" max="84" width="8.85546875" style="1" collapsed="1"/>
    <col min="85" max="89" width="9.140625" style="1" hidden="1" customWidth="1" outlineLevel="1"/>
    <col min="90" max="90" width="8.85546875" style="1" collapsed="1"/>
    <col min="91" max="91" width="2.7109375" style="1" customWidth="1"/>
    <col min="92" max="99" width="8.85546875" style="1"/>
    <col min="100" max="100" width="2.85546875" style="1" customWidth="1"/>
    <col min="101" max="108" width="8.85546875" style="1"/>
    <col min="109" max="109" width="2.85546875" style="1" customWidth="1"/>
    <col min="110" max="111" width="8.85546875" style="1"/>
    <col min="112" max="112" width="11" style="1" bestFit="1" customWidth="1"/>
    <col min="113" max="16384" width="8.85546875" style="1"/>
  </cols>
  <sheetData>
    <row r="1" spans="2:124" ht="18.75" x14ac:dyDescent="0.3">
      <c r="B1" s="10" t="s">
        <v>255</v>
      </c>
      <c r="M1" s="825" t="s">
        <v>749</v>
      </c>
      <c r="N1" s="825"/>
    </row>
    <row r="2" spans="2:124" x14ac:dyDescent="0.25">
      <c r="B2" s="25" t="s">
        <v>6</v>
      </c>
    </row>
    <row r="3" spans="2:124" x14ac:dyDescent="0.25">
      <c r="R3" s="66"/>
      <c r="T3" s="829"/>
      <c r="U3" s="829"/>
      <c r="V3" s="829"/>
      <c r="W3" s="829"/>
      <c r="X3" s="829"/>
      <c r="Y3" s="829"/>
      <c r="Z3" s="829"/>
      <c r="AA3" s="829"/>
      <c r="AH3" s="829"/>
      <c r="AI3" s="829"/>
      <c r="AJ3" s="829"/>
      <c r="AK3" s="829"/>
      <c r="AL3" s="829"/>
      <c r="AM3" s="829"/>
      <c r="AN3" s="829"/>
      <c r="AO3" s="829"/>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N3" s="829"/>
      <c r="CO3" s="829"/>
      <c r="CP3" s="829"/>
      <c r="CQ3" s="829"/>
      <c r="CR3" s="829"/>
      <c r="CS3" s="829"/>
      <c r="CT3" s="829"/>
      <c r="CU3" s="829"/>
      <c r="CW3" s="829"/>
      <c r="CX3" s="829"/>
      <c r="CY3" s="829"/>
      <c r="CZ3" s="829"/>
      <c r="DA3" s="829"/>
      <c r="DB3" s="829"/>
      <c r="DC3" s="829"/>
      <c r="DD3" s="829"/>
      <c r="DF3" s="829"/>
      <c r="DG3" s="829"/>
      <c r="DH3" s="829"/>
      <c r="DI3" s="829"/>
      <c r="DJ3" s="829"/>
      <c r="DK3" s="829"/>
      <c r="DL3" s="829"/>
      <c r="DM3" s="829"/>
    </row>
    <row r="4" spans="2:124" hidden="1" outlineLevel="1" x14ac:dyDescent="0.25">
      <c r="R4" s="66"/>
      <c r="T4" s="80"/>
      <c r="U4" s="221"/>
      <c r="V4" s="333"/>
      <c r="W4" s="80"/>
      <c r="X4" s="80"/>
      <c r="Y4" s="80"/>
      <c r="Z4" s="80"/>
      <c r="AA4" s="80"/>
      <c r="AC4" s="1" t="s">
        <v>174</v>
      </c>
      <c r="AD4" s="1" t="s">
        <v>173</v>
      </c>
      <c r="AE4" s="1" t="s">
        <v>299</v>
      </c>
      <c r="AF4" s="1" t="s">
        <v>175</v>
      </c>
      <c r="AH4" s="80"/>
      <c r="AI4" s="221"/>
      <c r="AJ4" s="333"/>
      <c r="AK4" s="80"/>
      <c r="AL4" s="80"/>
      <c r="AM4" s="80"/>
      <c r="AN4" s="80"/>
      <c r="AO4" s="80"/>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N4" s="80"/>
      <c r="CO4" s="221"/>
      <c r="CP4" s="333"/>
      <c r="CQ4" s="80"/>
      <c r="CR4" s="80"/>
      <c r="CS4" s="80"/>
      <c r="CT4" s="80"/>
      <c r="CU4" s="80"/>
      <c r="CW4" s="93"/>
      <c r="CX4" s="221"/>
      <c r="CY4" s="333"/>
      <c r="CZ4" s="93"/>
      <c r="DA4" s="93"/>
      <c r="DB4" s="93"/>
      <c r="DC4" s="93"/>
      <c r="DD4" s="93"/>
      <c r="DF4" s="80"/>
      <c r="DG4" s="221"/>
      <c r="DH4" s="333"/>
      <c r="DI4" s="80"/>
      <c r="DJ4" s="80"/>
      <c r="DK4" s="80"/>
      <c r="DL4" s="80"/>
      <c r="DM4" s="80"/>
    </row>
    <row r="5" spans="2:124" ht="75" collapsed="1" x14ac:dyDescent="0.25">
      <c r="B5" s="2" t="s">
        <v>289</v>
      </c>
      <c r="J5" s="826" t="s">
        <v>387</v>
      </c>
      <c r="K5" s="827"/>
      <c r="L5" s="827"/>
      <c r="M5" s="827"/>
      <c r="N5" s="827"/>
      <c r="O5" s="827"/>
      <c r="P5" s="827"/>
      <c r="Q5" s="828"/>
      <c r="R5" s="9" t="s">
        <v>379</v>
      </c>
      <c r="T5" s="826" t="s">
        <v>388</v>
      </c>
      <c r="U5" s="827"/>
      <c r="V5" s="827"/>
      <c r="W5" s="827"/>
      <c r="X5" s="827"/>
      <c r="Y5" s="827"/>
      <c r="Z5" s="827"/>
      <c r="AA5" s="828"/>
      <c r="AC5" s="9" t="s">
        <v>383</v>
      </c>
      <c r="AD5" s="9" t="s">
        <v>384</v>
      </c>
      <c r="AE5" s="9" t="s">
        <v>385</v>
      </c>
      <c r="AF5" s="9" t="s">
        <v>386</v>
      </c>
      <c r="AG5" s="57"/>
      <c r="AH5" s="826" t="s">
        <v>174</v>
      </c>
      <c r="AI5" s="827"/>
      <c r="AJ5" s="827"/>
      <c r="AK5" s="827"/>
      <c r="AL5" s="827"/>
      <c r="AM5" s="827"/>
      <c r="AN5" s="827"/>
      <c r="AO5" s="828"/>
      <c r="AP5" s="57"/>
      <c r="AQ5" s="9" t="s">
        <v>180</v>
      </c>
      <c r="AR5" s="9" t="s">
        <v>181</v>
      </c>
      <c r="AS5" s="9" t="s">
        <v>182</v>
      </c>
      <c r="AT5" s="9" t="s">
        <v>183</v>
      </c>
      <c r="AU5" s="9" t="s">
        <v>5</v>
      </c>
      <c r="AV5" s="9" t="s">
        <v>173</v>
      </c>
      <c r="AW5" s="9" t="s">
        <v>180</v>
      </c>
      <c r="AX5" s="9" t="s">
        <v>181</v>
      </c>
      <c r="AY5" s="9" t="s">
        <v>182</v>
      </c>
      <c r="AZ5" s="9" t="s">
        <v>183</v>
      </c>
      <c r="BA5" s="9" t="s">
        <v>5</v>
      </c>
      <c r="BB5" s="9" t="s">
        <v>173</v>
      </c>
      <c r="BC5" s="9" t="s">
        <v>180</v>
      </c>
      <c r="BD5" s="9" t="s">
        <v>181</v>
      </c>
      <c r="BE5" s="9" t="s">
        <v>182</v>
      </c>
      <c r="BF5" s="9" t="s">
        <v>183</v>
      </c>
      <c r="BG5" s="9" t="s">
        <v>5</v>
      </c>
      <c r="BH5" s="9" t="s">
        <v>173</v>
      </c>
      <c r="BI5" s="9" t="s">
        <v>180</v>
      </c>
      <c r="BJ5" s="9" t="s">
        <v>181</v>
      </c>
      <c r="BK5" s="9" t="s">
        <v>182</v>
      </c>
      <c r="BL5" s="9" t="s">
        <v>183</v>
      </c>
      <c r="BM5" s="9" t="s">
        <v>5</v>
      </c>
      <c r="BN5" s="9" t="s">
        <v>173</v>
      </c>
      <c r="BO5" s="9" t="s">
        <v>180</v>
      </c>
      <c r="BP5" s="9" t="s">
        <v>181</v>
      </c>
      <c r="BQ5" s="9" t="s">
        <v>182</v>
      </c>
      <c r="BR5" s="9" t="s">
        <v>183</v>
      </c>
      <c r="BS5" s="9" t="s">
        <v>5</v>
      </c>
      <c r="BT5" s="9" t="s">
        <v>173</v>
      </c>
      <c r="BU5" s="9" t="s">
        <v>180</v>
      </c>
      <c r="BV5" s="9" t="s">
        <v>181</v>
      </c>
      <c r="BW5" s="9" t="s">
        <v>182</v>
      </c>
      <c r="BX5" s="9" t="s">
        <v>183</v>
      </c>
      <c r="BY5" s="9" t="s">
        <v>5</v>
      </c>
      <c r="BZ5" s="9" t="s">
        <v>173</v>
      </c>
      <c r="CA5" s="9" t="s">
        <v>180</v>
      </c>
      <c r="CB5" s="9" t="s">
        <v>181</v>
      </c>
      <c r="CC5" s="9" t="s">
        <v>182</v>
      </c>
      <c r="CD5" s="9" t="s">
        <v>183</v>
      </c>
      <c r="CE5" s="9" t="s">
        <v>5</v>
      </c>
      <c r="CF5" s="9" t="s">
        <v>173</v>
      </c>
      <c r="CG5" s="9" t="s">
        <v>180</v>
      </c>
      <c r="CH5" s="9" t="s">
        <v>181</v>
      </c>
      <c r="CI5" s="9" t="s">
        <v>182</v>
      </c>
      <c r="CJ5" s="9" t="s">
        <v>183</v>
      </c>
      <c r="CK5" s="9" t="s">
        <v>5</v>
      </c>
      <c r="CL5" s="9" t="s">
        <v>173</v>
      </c>
      <c r="CM5" s="57"/>
      <c r="CN5" s="826" t="s">
        <v>299</v>
      </c>
      <c r="CO5" s="827"/>
      <c r="CP5" s="827"/>
      <c r="CQ5" s="827"/>
      <c r="CR5" s="827"/>
      <c r="CS5" s="827"/>
      <c r="CT5" s="827"/>
      <c r="CU5" s="828"/>
      <c r="CV5" s="57"/>
      <c r="CW5" s="826" t="s">
        <v>175</v>
      </c>
      <c r="CX5" s="827"/>
      <c r="CY5" s="827"/>
      <c r="CZ5" s="827"/>
      <c r="DA5" s="827"/>
      <c r="DB5" s="827"/>
      <c r="DC5" s="827"/>
      <c r="DD5" s="828"/>
      <c r="DE5" s="57"/>
      <c r="DF5" s="826" t="s">
        <v>381</v>
      </c>
      <c r="DG5" s="827"/>
      <c r="DH5" s="827"/>
      <c r="DI5" s="827"/>
      <c r="DJ5" s="827"/>
      <c r="DK5" s="827"/>
      <c r="DL5" s="827"/>
      <c r="DM5" s="828"/>
    </row>
    <row r="6" spans="2:124" x14ac:dyDescent="0.25">
      <c r="B6" s="8" t="s">
        <v>23</v>
      </c>
      <c r="C6" s="8" t="s">
        <v>24</v>
      </c>
      <c r="D6" s="17" t="s">
        <v>98</v>
      </c>
      <c r="E6" s="17" t="s">
        <v>76</v>
      </c>
      <c r="F6" s="17" t="s">
        <v>77</v>
      </c>
      <c r="G6" s="17" t="s">
        <v>324</v>
      </c>
      <c r="H6" s="17" t="s">
        <v>212</v>
      </c>
      <c r="I6" s="17" t="s">
        <v>177</v>
      </c>
      <c r="J6" s="335">
        <f>CP_Yr_4</f>
        <v>43800</v>
      </c>
      <c r="K6" s="335">
        <f>CP_Yr_5</f>
        <v>44166</v>
      </c>
      <c r="L6" s="335">
        <f>Stub</f>
        <v>44377</v>
      </c>
      <c r="M6" s="335">
        <f>Yr_1</f>
        <v>44742</v>
      </c>
      <c r="N6" s="335">
        <f>Yr_2</f>
        <v>45107</v>
      </c>
      <c r="O6" s="335">
        <f>Yr_3</f>
        <v>45473</v>
      </c>
      <c r="P6" s="335">
        <f>Yr_4</f>
        <v>45838</v>
      </c>
      <c r="Q6" s="335">
        <f>Yr_5</f>
        <v>46203</v>
      </c>
      <c r="R6" s="335"/>
      <c r="S6" s="336"/>
      <c r="T6" s="335">
        <f>CP_Yr_4</f>
        <v>43800</v>
      </c>
      <c r="U6" s="335">
        <f>CP_Yr_5</f>
        <v>44166</v>
      </c>
      <c r="V6" s="335">
        <f>Stub</f>
        <v>44377</v>
      </c>
      <c r="W6" s="335">
        <f>Yr_1</f>
        <v>44742</v>
      </c>
      <c r="X6" s="335">
        <f>Yr_2</f>
        <v>45107</v>
      </c>
      <c r="Y6" s="335">
        <f>Yr_3</f>
        <v>45473</v>
      </c>
      <c r="Z6" s="335">
        <f>Yr_4</f>
        <v>45838</v>
      </c>
      <c r="AA6" s="335">
        <f>Yr_5</f>
        <v>46203</v>
      </c>
      <c r="AB6" s="336"/>
      <c r="AC6" s="335"/>
      <c r="AD6" s="335"/>
      <c r="AE6" s="335"/>
      <c r="AF6" s="335"/>
      <c r="AG6" s="223"/>
      <c r="AH6" s="335">
        <f>CP_Yr_4</f>
        <v>43800</v>
      </c>
      <c r="AI6" s="335">
        <f>CP_Yr_5</f>
        <v>44166</v>
      </c>
      <c r="AJ6" s="335">
        <f>Stub</f>
        <v>44377</v>
      </c>
      <c r="AK6" s="335">
        <f>Yr_1</f>
        <v>44742</v>
      </c>
      <c r="AL6" s="335">
        <f>Yr_2</f>
        <v>45107</v>
      </c>
      <c r="AM6" s="335">
        <f>Yr_3</f>
        <v>45473</v>
      </c>
      <c r="AN6" s="335">
        <f>Yr_4</f>
        <v>45838</v>
      </c>
      <c r="AO6" s="335">
        <f>Yr_5</f>
        <v>46203</v>
      </c>
      <c r="AP6" s="336"/>
      <c r="AQ6" s="335">
        <f t="shared" ref="AQ6:AV6" si="0">CP_Yr_4</f>
        <v>43800</v>
      </c>
      <c r="AR6" s="335">
        <f t="shared" si="0"/>
        <v>43800</v>
      </c>
      <c r="AS6" s="335">
        <f t="shared" si="0"/>
        <v>43800</v>
      </c>
      <c r="AT6" s="335">
        <f t="shared" si="0"/>
        <v>43800</v>
      </c>
      <c r="AU6" s="335">
        <f t="shared" si="0"/>
        <v>43800</v>
      </c>
      <c r="AV6" s="335">
        <f t="shared" si="0"/>
        <v>43800</v>
      </c>
      <c r="AW6" s="335">
        <f t="shared" ref="AW6:BB6" si="1">CP_Yr_5</f>
        <v>44166</v>
      </c>
      <c r="AX6" s="335">
        <f t="shared" si="1"/>
        <v>44166</v>
      </c>
      <c r="AY6" s="335">
        <f t="shared" si="1"/>
        <v>44166</v>
      </c>
      <c r="AZ6" s="335">
        <f t="shared" si="1"/>
        <v>44166</v>
      </c>
      <c r="BA6" s="335">
        <f t="shared" si="1"/>
        <v>44166</v>
      </c>
      <c r="BB6" s="335">
        <f t="shared" si="1"/>
        <v>44166</v>
      </c>
      <c r="BC6" s="335">
        <f t="shared" ref="BC6:BH6" si="2">Stub</f>
        <v>44377</v>
      </c>
      <c r="BD6" s="335">
        <f t="shared" si="2"/>
        <v>44377</v>
      </c>
      <c r="BE6" s="335">
        <f t="shared" si="2"/>
        <v>44377</v>
      </c>
      <c r="BF6" s="335">
        <f t="shared" si="2"/>
        <v>44377</v>
      </c>
      <c r="BG6" s="335">
        <f t="shared" si="2"/>
        <v>44377</v>
      </c>
      <c r="BH6" s="335">
        <f t="shared" si="2"/>
        <v>44377</v>
      </c>
      <c r="BI6" s="335">
        <f t="shared" ref="BI6:BN6" si="3">Yr_1</f>
        <v>44742</v>
      </c>
      <c r="BJ6" s="335">
        <f t="shared" si="3"/>
        <v>44742</v>
      </c>
      <c r="BK6" s="335">
        <f t="shared" si="3"/>
        <v>44742</v>
      </c>
      <c r="BL6" s="335">
        <f t="shared" si="3"/>
        <v>44742</v>
      </c>
      <c r="BM6" s="335">
        <f t="shared" si="3"/>
        <v>44742</v>
      </c>
      <c r="BN6" s="335">
        <f t="shared" si="3"/>
        <v>44742</v>
      </c>
      <c r="BO6" s="335">
        <f t="shared" ref="BO6:BT6" si="4">Yr_2</f>
        <v>45107</v>
      </c>
      <c r="BP6" s="335">
        <f t="shared" si="4"/>
        <v>45107</v>
      </c>
      <c r="BQ6" s="335">
        <f t="shared" si="4"/>
        <v>45107</v>
      </c>
      <c r="BR6" s="335">
        <f t="shared" si="4"/>
        <v>45107</v>
      </c>
      <c r="BS6" s="335">
        <f t="shared" si="4"/>
        <v>45107</v>
      </c>
      <c r="BT6" s="335">
        <f t="shared" si="4"/>
        <v>45107</v>
      </c>
      <c r="BU6" s="335">
        <f t="shared" ref="BU6:BZ6" si="5">Yr_3</f>
        <v>45473</v>
      </c>
      <c r="BV6" s="335">
        <f t="shared" si="5"/>
        <v>45473</v>
      </c>
      <c r="BW6" s="335">
        <f t="shared" si="5"/>
        <v>45473</v>
      </c>
      <c r="BX6" s="335">
        <f t="shared" si="5"/>
        <v>45473</v>
      </c>
      <c r="BY6" s="335">
        <f t="shared" si="5"/>
        <v>45473</v>
      </c>
      <c r="BZ6" s="335">
        <f t="shared" si="5"/>
        <v>45473</v>
      </c>
      <c r="CA6" s="335">
        <f t="shared" ref="CA6:CF6" si="6">Yr_4</f>
        <v>45838</v>
      </c>
      <c r="CB6" s="335">
        <f t="shared" si="6"/>
        <v>45838</v>
      </c>
      <c r="CC6" s="335">
        <f t="shared" si="6"/>
        <v>45838</v>
      </c>
      <c r="CD6" s="335">
        <f t="shared" si="6"/>
        <v>45838</v>
      </c>
      <c r="CE6" s="335">
        <f t="shared" si="6"/>
        <v>45838</v>
      </c>
      <c r="CF6" s="335">
        <f t="shared" si="6"/>
        <v>45838</v>
      </c>
      <c r="CG6" s="335">
        <f t="shared" ref="CG6:CL6" si="7">Yr_5</f>
        <v>46203</v>
      </c>
      <c r="CH6" s="335">
        <f t="shared" si="7"/>
        <v>46203</v>
      </c>
      <c r="CI6" s="335">
        <f t="shared" si="7"/>
        <v>46203</v>
      </c>
      <c r="CJ6" s="335">
        <f t="shared" si="7"/>
        <v>46203</v>
      </c>
      <c r="CK6" s="335">
        <f t="shared" si="7"/>
        <v>46203</v>
      </c>
      <c r="CL6" s="335">
        <f t="shared" si="7"/>
        <v>46203</v>
      </c>
      <c r="CM6" s="336"/>
      <c r="CN6" s="335">
        <f>CP_Yr_4</f>
        <v>43800</v>
      </c>
      <c r="CO6" s="335">
        <f>CP_Yr_5</f>
        <v>44166</v>
      </c>
      <c r="CP6" s="335">
        <f>Stub</f>
        <v>44377</v>
      </c>
      <c r="CQ6" s="335">
        <f>Yr_1</f>
        <v>44742</v>
      </c>
      <c r="CR6" s="335">
        <f>Yr_2</f>
        <v>45107</v>
      </c>
      <c r="CS6" s="335">
        <f>Yr_3</f>
        <v>45473</v>
      </c>
      <c r="CT6" s="335">
        <f>Yr_4</f>
        <v>45838</v>
      </c>
      <c r="CU6" s="335">
        <f>Yr_5</f>
        <v>46203</v>
      </c>
      <c r="CV6" s="336"/>
      <c r="CW6" s="335">
        <f>CP_Yr_4</f>
        <v>43800</v>
      </c>
      <c r="CX6" s="335">
        <f>CP_Yr_5</f>
        <v>44166</v>
      </c>
      <c r="CY6" s="335">
        <f>Stub</f>
        <v>44377</v>
      </c>
      <c r="CZ6" s="335">
        <f>Yr_1</f>
        <v>44742</v>
      </c>
      <c r="DA6" s="335">
        <f>Yr_2</f>
        <v>45107</v>
      </c>
      <c r="DB6" s="335">
        <f>Yr_3</f>
        <v>45473</v>
      </c>
      <c r="DC6" s="335">
        <f>Yr_4</f>
        <v>45838</v>
      </c>
      <c r="DD6" s="335">
        <f>Yr_5</f>
        <v>46203</v>
      </c>
      <c r="DE6" s="336"/>
      <c r="DF6" s="335">
        <f>CP_Yr_4</f>
        <v>43800</v>
      </c>
      <c r="DG6" s="335">
        <f>CP_Yr_5</f>
        <v>44166</v>
      </c>
      <c r="DH6" s="335">
        <f>Stub</f>
        <v>44377</v>
      </c>
      <c r="DI6" s="335">
        <f>Yr_1</f>
        <v>44742</v>
      </c>
      <c r="DJ6" s="335">
        <f>Yr_2</f>
        <v>45107</v>
      </c>
      <c r="DK6" s="335">
        <f>Yr_3</f>
        <v>45473</v>
      </c>
      <c r="DL6" s="335">
        <f>Yr_4</f>
        <v>45838</v>
      </c>
      <c r="DM6" s="335">
        <f>Yr_5</f>
        <v>46203</v>
      </c>
    </row>
    <row r="7" spans="2:124" x14ac:dyDescent="0.25">
      <c r="B7" s="7"/>
      <c r="C7" s="7" t="s">
        <v>113</v>
      </c>
      <c r="D7" s="7" t="s">
        <v>128</v>
      </c>
      <c r="E7" s="7" t="s">
        <v>45</v>
      </c>
      <c r="F7" s="7" t="s">
        <v>55</v>
      </c>
      <c r="G7" s="7" t="s">
        <v>150</v>
      </c>
      <c r="H7" s="7" t="s">
        <v>5</v>
      </c>
      <c r="I7" s="7" t="s">
        <v>209</v>
      </c>
      <c r="J7" s="45"/>
      <c r="K7" s="45"/>
      <c r="L7" s="45"/>
      <c r="M7" s="540"/>
      <c r="N7" s="540"/>
      <c r="O7" s="540"/>
      <c r="P7" s="540"/>
      <c r="Q7" s="540"/>
      <c r="R7" s="540"/>
      <c r="S7" s="241"/>
      <c r="T7" s="539"/>
      <c r="U7" s="539"/>
      <c r="V7" s="539"/>
      <c r="W7" s="539"/>
      <c r="X7" s="539"/>
      <c r="Y7" s="539"/>
      <c r="Z7" s="539"/>
      <c r="AA7" s="539"/>
      <c r="AB7" s="241"/>
      <c r="AC7" s="540"/>
      <c r="AD7" s="540"/>
      <c r="AE7" s="540"/>
      <c r="AF7" s="540"/>
      <c r="AG7" s="241"/>
      <c r="AH7" s="539"/>
      <c r="AI7" s="539"/>
      <c r="AJ7" s="539"/>
      <c r="AK7" s="539"/>
      <c r="AL7" s="539"/>
      <c r="AM7" s="539"/>
      <c r="AN7" s="539"/>
      <c r="AO7" s="539"/>
      <c r="AP7" s="241"/>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241"/>
      <c r="CN7" s="539"/>
      <c r="CO7" s="539"/>
      <c r="CP7" s="539"/>
      <c r="CQ7" s="539"/>
      <c r="CR7" s="539"/>
      <c r="CS7" s="539"/>
      <c r="CT7" s="539"/>
      <c r="CU7" s="539"/>
      <c r="CV7" s="241"/>
      <c r="CW7" s="539"/>
      <c r="CX7" s="539"/>
      <c r="CY7" s="539"/>
      <c r="CZ7" s="539"/>
      <c r="DA7" s="539"/>
      <c r="DB7" s="539"/>
      <c r="DC7" s="539"/>
      <c r="DD7" s="539"/>
      <c r="DE7" s="241"/>
      <c r="DF7" s="539"/>
      <c r="DG7" s="539"/>
      <c r="DH7" s="539"/>
      <c r="DI7" s="539"/>
      <c r="DJ7" s="539"/>
      <c r="DK7" s="539"/>
      <c r="DL7" s="539"/>
      <c r="DM7" s="539"/>
      <c r="DO7" s="39"/>
      <c r="DP7" s="39"/>
      <c r="DQ7" s="39"/>
      <c r="DR7" s="39"/>
      <c r="DS7" s="39"/>
      <c r="DT7" s="39"/>
    </row>
    <row r="8" spans="2:124" x14ac:dyDescent="0.25">
      <c r="B8" s="7"/>
      <c r="C8" s="7" t="s">
        <v>114</v>
      </c>
      <c r="D8" s="7" t="s">
        <v>128</v>
      </c>
      <c r="E8" s="7" t="s">
        <v>45</v>
      </c>
      <c r="F8" s="7" t="s">
        <v>55</v>
      </c>
      <c r="G8" s="7" t="s">
        <v>150</v>
      </c>
      <c r="H8" s="7" t="s">
        <v>5</v>
      </c>
      <c r="I8" s="7" t="s">
        <v>209</v>
      </c>
      <c r="J8" s="45"/>
      <c r="K8" s="45"/>
      <c r="L8" s="45"/>
      <c r="M8" s="540"/>
      <c r="N8" s="540"/>
      <c r="O8" s="540"/>
      <c r="P8" s="540"/>
      <c r="Q8" s="540"/>
      <c r="R8" s="540"/>
      <c r="S8" s="241"/>
      <c r="T8" s="539"/>
      <c r="U8" s="539"/>
      <c r="V8" s="539"/>
      <c r="W8" s="539"/>
      <c r="X8" s="539"/>
      <c r="Y8" s="539"/>
      <c r="Z8" s="539"/>
      <c r="AA8" s="539"/>
      <c r="AB8" s="241"/>
      <c r="AC8" s="540"/>
      <c r="AD8" s="540"/>
      <c r="AE8" s="540"/>
      <c r="AF8" s="540"/>
      <c r="AG8" s="241"/>
      <c r="AH8" s="539"/>
      <c r="AI8" s="539"/>
      <c r="AJ8" s="539"/>
      <c r="AK8" s="539"/>
      <c r="AL8" s="539"/>
      <c r="AM8" s="539"/>
      <c r="AN8" s="539"/>
      <c r="AO8" s="539"/>
      <c r="AP8" s="241"/>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241"/>
      <c r="CN8" s="539"/>
      <c r="CO8" s="539"/>
      <c r="CP8" s="539"/>
      <c r="CQ8" s="539"/>
      <c r="CR8" s="539"/>
      <c r="CS8" s="539"/>
      <c r="CT8" s="539"/>
      <c r="CU8" s="539"/>
      <c r="CV8" s="241"/>
      <c r="CW8" s="539"/>
      <c r="CX8" s="539"/>
      <c r="CY8" s="539"/>
      <c r="CZ8" s="539"/>
      <c r="DA8" s="539"/>
      <c r="DB8" s="539"/>
      <c r="DC8" s="539"/>
      <c r="DD8" s="539"/>
      <c r="DE8" s="241"/>
      <c r="DF8" s="539"/>
      <c r="DG8" s="539"/>
      <c r="DH8" s="539"/>
      <c r="DI8" s="539"/>
      <c r="DJ8" s="539"/>
      <c r="DK8" s="539"/>
      <c r="DL8" s="539"/>
      <c r="DM8" s="539"/>
      <c r="DO8" s="39"/>
      <c r="DP8" s="39"/>
      <c r="DQ8" s="39"/>
      <c r="DR8" s="39"/>
      <c r="DS8" s="39"/>
      <c r="DT8" s="39"/>
    </row>
    <row r="9" spans="2:124" x14ac:dyDescent="0.25">
      <c r="B9" s="7"/>
      <c r="C9" s="7" t="s">
        <v>115</v>
      </c>
      <c r="D9" s="7" t="s">
        <v>128</v>
      </c>
      <c r="E9" s="7" t="s">
        <v>45</v>
      </c>
      <c r="F9" s="7" t="s">
        <v>55</v>
      </c>
      <c r="G9" s="7" t="s">
        <v>150</v>
      </c>
      <c r="H9" s="7" t="s">
        <v>5</v>
      </c>
      <c r="I9" s="7" t="s">
        <v>209</v>
      </c>
      <c r="J9" s="45"/>
      <c r="K9" s="45"/>
      <c r="L9" s="45"/>
      <c r="M9" s="540"/>
      <c r="N9" s="540"/>
      <c r="O9" s="540"/>
      <c r="P9" s="540"/>
      <c r="Q9" s="540"/>
      <c r="R9" s="540"/>
      <c r="S9" s="241"/>
      <c r="T9" s="539"/>
      <c r="U9" s="539"/>
      <c r="V9" s="539"/>
      <c r="W9" s="539"/>
      <c r="X9" s="539"/>
      <c r="Y9" s="539"/>
      <c r="Z9" s="539"/>
      <c r="AA9" s="539"/>
      <c r="AB9" s="241"/>
      <c r="AC9" s="540"/>
      <c r="AD9" s="540"/>
      <c r="AE9" s="540"/>
      <c r="AF9" s="540"/>
      <c r="AG9" s="241"/>
      <c r="AH9" s="539"/>
      <c r="AI9" s="539"/>
      <c r="AJ9" s="539"/>
      <c r="AK9" s="539"/>
      <c r="AL9" s="539"/>
      <c r="AM9" s="539"/>
      <c r="AN9" s="539"/>
      <c r="AO9" s="539"/>
      <c r="AP9" s="241"/>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241"/>
      <c r="CN9" s="539"/>
      <c r="CO9" s="539"/>
      <c r="CP9" s="539"/>
      <c r="CQ9" s="539"/>
      <c r="CR9" s="539"/>
      <c r="CS9" s="539"/>
      <c r="CT9" s="539"/>
      <c r="CU9" s="539"/>
      <c r="CV9" s="241"/>
      <c r="CW9" s="539"/>
      <c r="CX9" s="539"/>
      <c r="CY9" s="539"/>
      <c r="CZ9" s="539"/>
      <c r="DA9" s="539"/>
      <c r="DB9" s="539"/>
      <c r="DC9" s="539"/>
      <c r="DD9" s="539"/>
      <c r="DE9" s="241"/>
      <c r="DF9" s="539"/>
      <c r="DG9" s="539"/>
      <c r="DH9" s="539"/>
      <c r="DI9" s="539"/>
      <c r="DJ9" s="539"/>
      <c r="DK9" s="539"/>
      <c r="DL9" s="539"/>
      <c r="DM9" s="539"/>
      <c r="DO9" s="39"/>
      <c r="DP9" s="39"/>
      <c r="DQ9" s="39"/>
      <c r="DR9" s="39"/>
      <c r="DS9" s="39"/>
      <c r="DT9" s="39"/>
    </row>
    <row r="10" spans="2:124" x14ac:dyDescent="0.25">
      <c r="B10" s="7"/>
      <c r="C10" s="7" t="s">
        <v>116</v>
      </c>
      <c r="D10" s="7" t="s">
        <v>128</v>
      </c>
      <c r="E10" s="7" t="s">
        <v>45</v>
      </c>
      <c r="F10" s="7" t="s">
        <v>55</v>
      </c>
      <c r="G10" s="7" t="s">
        <v>150</v>
      </c>
      <c r="H10" s="7" t="s">
        <v>5</v>
      </c>
      <c r="I10" s="7" t="s">
        <v>209</v>
      </c>
      <c r="J10" s="45"/>
      <c r="K10" s="45"/>
      <c r="L10" s="45"/>
      <c r="M10" s="540"/>
      <c r="N10" s="540"/>
      <c r="O10" s="540"/>
      <c r="P10" s="540"/>
      <c r="Q10" s="540"/>
      <c r="R10" s="540"/>
      <c r="S10" s="241"/>
      <c r="T10" s="539"/>
      <c r="U10" s="539"/>
      <c r="V10" s="539"/>
      <c r="W10" s="539"/>
      <c r="X10" s="539"/>
      <c r="Y10" s="539"/>
      <c r="Z10" s="539"/>
      <c r="AA10" s="539"/>
      <c r="AB10" s="241"/>
      <c r="AC10" s="540"/>
      <c r="AD10" s="540"/>
      <c r="AE10" s="540"/>
      <c r="AF10" s="540"/>
      <c r="AG10" s="241"/>
      <c r="AH10" s="539"/>
      <c r="AI10" s="539"/>
      <c r="AJ10" s="539"/>
      <c r="AK10" s="539"/>
      <c r="AL10" s="539"/>
      <c r="AM10" s="539"/>
      <c r="AN10" s="539"/>
      <c r="AO10" s="539"/>
      <c r="AP10" s="241"/>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241"/>
      <c r="CN10" s="539"/>
      <c r="CO10" s="539"/>
      <c r="CP10" s="539"/>
      <c r="CQ10" s="539"/>
      <c r="CR10" s="539"/>
      <c r="CS10" s="539"/>
      <c r="CT10" s="539"/>
      <c r="CU10" s="539"/>
      <c r="CV10" s="241"/>
      <c r="CW10" s="539"/>
      <c r="CX10" s="539"/>
      <c r="CY10" s="539"/>
      <c r="CZ10" s="539"/>
      <c r="DA10" s="539"/>
      <c r="DB10" s="539"/>
      <c r="DC10" s="539"/>
      <c r="DD10" s="539"/>
      <c r="DE10" s="241"/>
      <c r="DF10" s="539"/>
      <c r="DG10" s="539"/>
      <c r="DH10" s="539"/>
      <c r="DI10" s="539"/>
      <c r="DJ10" s="539"/>
      <c r="DK10" s="539"/>
      <c r="DL10" s="539"/>
      <c r="DM10" s="539"/>
      <c r="DO10" s="39"/>
      <c r="DP10" s="39"/>
      <c r="DQ10" s="39"/>
      <c r="DR10" s="39"/>
      <c r="DS10" s="39"/>
      <c r="DT10" s="39"/>
    </row>
    <row r="11" spans="2:124" x14ac:dyDescent="0.25">
      <c r="B11" s="7"/>
      <c r="C11" s="7"/>
      <c r="D11" s="7"/>
      <c r="E11" s="7"/>
      <c r="F11" s="7"/>
      <c r="G11" s="7"/>
      <c r="H11" s="7"/>
      <c r="I11" s="7"/>
      <c r="J11" s="45"/>
      <c r="K11" s="45"/>
      <c r="L11" s="45"/>
      <c r="M11" s="540"/>
      <c r="N11" s="540"/>
      <c r="O11" s="540"/>
      <c r="P11" s="540"/>
      <c r="Q11" s="540"/>
      <c r="R11" s="540"/>
      <c r="S11" s="241"/>
      <c r="T11" s="539"/>
      <c r="U11" s="539"/>
      <c r="V11" s="539"/>
      <c r="W11" s="539"/>
      <c r="X11" s="539"/>
      <c r="Y11" s="539"/>
      <c r="Z11" s="539"/>
      <c r="AA11" s="539"/>
      <c r="AB11" s="519"/>
      <c r="AC11" s="540"/>
      <c r="AD11" s="540"/>
      <c r="AE11" s="540"/>
      <c r="AF11" s="540"/>
      <c r="AG11" s="241"/>
      <c r="AH11" s="539"/>
      <c r="AI11" s="539"/>
      <c r="AJ11" s="539"/>
      <c r="AK11" s="539"/>
      <c r="AL11" s="539"/>
      <c r="AM11" s="539"/>
      <c r="AN11" s="539"/>
      <c r="AO11" s="539"/>
      <c r="AP11" s="241"/>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241"/>
      <c r="CN11" s="539"/>
      <c r="CO11" s="539"/>
      <c r="CP11" s="539"/>
      <c r="CQ11" s="539"/>
      <c r="CR11" s="539"/>
      <c r="CS11" s="539"/>
      <c r="CT11" s="539"/>
      <c r="CU11" s="539"/>
      <c r="CV11" s="241"/>
      <c r="CW11" s="539"/>
      <c r="CX11" s="539"/>
      <c r="CY11" s="539"/>
      <c r="CZ11" s="539"/>
      <c r="DA11" s="539"/>
      <c r="DB11" s="539"/>
      <c r="DC11" s="539"/>
      <c r="DD11" s="539"/>
      <c r="DE11" s="241"/>
      <c r="DF11" s="539"/>
      <c r="DG11" s="539"/>
      <c r="DH11" s="539"/>
      <c r="DI11" s="539"/>
      <c r="DJ11" s="539"/>
      <c r="DK11" s="539"/>
      <c r="DL11" s="539"/>
      <c r="DM11" s="539"/>
      <c r="DO11" s="39"/>
      <c r="DP11" s="39"/>
      <c r="DQ11" s="39"/>
      <c r="DR11" s="39"/>
      <c r="DS11" s="39"/>
      <c r="DT11" s="39"/>
    </row>
    <row r="12" spans="2:124" x14ac:dyDescent="0.25">
      <c r="B12" s="7"/>
      <c r="C12" s="7" t="s">
        <v>120</v>
      </c>
      <c r="D12" s="7" t="s">
        <v>58</v>
      </c>
      <c r="E12" s="7" t="s">
        <v>45</v>
      </c>
      <c r="F12" s="7" t="s">
        <v>55</v>
      </c>
      <c r="G12" s="7" t="s">
        <v>10</v>
      </c>
      <c r="H12" s="7" t="s">
        <v>164</v>
      </c>
      <c r="I12" s="7" t="s">
        <v>253</v>
      </c>
      <c r="J12" s="45"/>
      <c r="K12" s="45"/>
      <c r="L12" s="45"/>
      <c r="M12" s="540"/>
      <c r="N12" s="540"/>
      <c r="O12" s="540"/>
      <c r="P12" s="540"/>
      <c r="Q12" s="540"/>
      <c r="R12" s="540"/>
      <c r="S12" s="241"/>
      <c r="T12" s="539"/>
      <c r="U12" s="539"/>
      <c r="V12" s="539"/>
      <c r="W12" s="539"/>
      <c r="X12" s="539"/>
      <c r="Y12" s="539"/>
      <c r="Z12" s="539"/>
      <c r="AA12" s="539"/>
      <c r="AB12" s="519"/>
      <c r="AC12" s="540"/>
      <c r="AD12" s="540"/>
      <c r="AE12" s="540"/>
      <c r="AF12" s="540"/>
      <c r="AG12" s="241"/>
      <c r="AH12" s="539"/>
      <c r="AI12" s="539"/>
      <c r="AJ12" s="539"/>
      <c r="AK12" s="539"/>
      <c r="AL12" s="539"/>
      <c r="AM12" s="539"/>
      <c r="AN12" s="539"/>
      <c r="AO12" s="539"/>
      <c r="AP12" s="241"/>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241"/>
      <c r="CN12" s="539"/>
      <c r="CO12" s="539"/>
      <c r="CP12" s="539"/>
      <c r="CQ12" s="539"/>
      <c r="CR12" s="539"/>
      <c r="CS12" s="539"/>
      <c r="CT12" s="539"/>
      <c r="CU12" s="539"/>
      <c r="CV12" s="241"/>
      <c r="CW12" s="539"/>
      <c r="CX12" s="539"/>
      <c r="CY12" s="539"/>
      <c r="CZ12" s="539"/>
      <c r="DA12" s="539"/>
      <c r="DB12" s="539"/>
      <c r="DC12" s="539"/>
      <c r="DD12" s="539"/>
      <c r="DE12" s="241"/>
      <c r="DF12" s="539"/>
      <c r="DG12" s="539"/>
      <c r="DH12" s="539"/>
      <c r="DI12" s="539"/>
      <c r="DJ12" s="539"/>
      <c r="DK12" s="539"/>
      <c r="DL12" s="539"/>
      <c r="DM12" s="539"/>
      <c r="DO12" s="39"/>
      <c r="DP12" s="39"/>
      <c r="DQ12" s="39"/>
      <c r="DR12" s="39"/>
      <c r="DS12" s="39"/>
      <c r="DT12" s="39"/>
    </row>
    <row r="13" spans="2:124" x14ac:dyDescent="0.25">
      <c r="B13" s="7"/>
      <c r="C13" s="7" t="s">
        <v>121</v>
      </c>
      <c r="D13" s="7" t="s">
        <v>58</v>
      </c>
      <c r="E13" s="7" t="s">
        <v>45</v>
      </c>
      <c r="F13" s="7" t="s">
        <v>55</v>
      </c>
      <c r="G13" s="7" t="s">
        <v>10</v>
      </c>
      <c r="H13" s="7" t="s">
        <v>164</v>
      </c>
      <c r="I13" s="7" t="s">
        <v>240</v>
      </c>
      <c r="J13" s="45"/>
      <c r="K13" s="45"/>
      <c r="L13" s="45"/>
      <c r="M13" s="540"/>
      <c r="N13" s="540"/>
      <c r="O13" s="540"/>
      <c r="P13" s="540"/>
      <c r="Q13" s="540"/>
      <c r="R13" s="540"/>
      <c r="S13" s="241"/>
      <c r="T13" s="539"/>
      <c r="U13" s="539"/>
      <c r="V13" s="539"/>
      <c r="W13" s="539"/>
      <c r="X13" s="539"/>
      <c r="Y13" s="539"/>
      <c r="Z13" s="539"/>
      <c r="AA13" s="539"/>
      <c r="AB13" s="519"/>
      <c r="AC13" s="540"/>
      <c r="AD13" s="540"/>
      <c r="AE13" s="540"/>
      <c r="AF13" s="540"/>
      <c r="AG13" s="241"/>
      <c r="AH13" s="539"/>
      <c r="AI13" s="539"/>
      <c r="AJ13" s="539"/>
      <c r="AK13" s="539"/>
      <c r="AL13" s="539"/>
      <c r="AM13" s="539"/>
      <c r="AN13" s="539"/>
      <c r="AO13" s="539"/>
      <c r="AP13" s="241"/>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241"/>
      <c r="CN13" s="539"/>
      <c r="CO13" s="539"/>
      <c r="CP13" s="539"/>
      <c r="CQ13" s="539"/>
      <c r="CR13" s="539"/>
      <c r="CS13" s="539"/>
      <c r="CT13" s="539"/>
      <c r="CU13" s="539"/>
      <c r="CV13" s="241"/>
      <c r="CW13" s="539"/>
      <c r="CX13" s="539"/>
      <c r="CY13" s="539"/>
      <c r="CZ13" s="539"/>
      <c r="DA13" s="539"/>
      <c r="DB13" s="539"/>
      <c r="DC13" s="539"/>
      <c r="DD13" s="539"/>
      <c r="DE13" s="241"/>
      <c r="DF13" s="539"/>
      <c r="DG13" s="539"/>
      <c r="DH13" s="539"/>
      <c r="DI13" s="539"/>
      <c r="DJ13" s="539"/>
      <c r="DK13" s="539"/>
      <c r="DL13" s="539"/>
      <c r="DM13" s="539"/>
      <c r="DO13" s="39"/>
      <c r="DP13" s="39"/>
      <c r="DQ13" s="39"/>
      <c r="DR13" s="39"/>
      <c r="DS13" s="39"/>
      <c r="DT13" s="39"/>
    </row>
    <row r="14" spans="2:124" x14ac:dyDescent="0.25">
      <c r="B14" s="7"/>
      <c r="C14" s="7" t="s">
        <v>122</v>
      </c>
      <c r="D14" s="7" t="s">
        <v>58</v>
      </c>
      <c r="E14" s="7" t="s">
        <v>45</v>
      </c>
      <c r="F14" s="7" t="s">
        <v>55</v>
      </c>
      <c r="G14" s="7" t="s">
        <v>150</v>
      </c>
      <c r="H14" s="7" t="s">
        <v>5</v>
      </c>
      <c r="I14" s="7" t="s">
        <v>202</v>
      </c>
      <c r="J14" s="45"/>
      <c r="K14" s="45"/>
      <c r="L14" s="45"/>
      <c r="M14" s="540"/>
      <c r="N14" s="540"/>
      <c r="O14" s="540"/>
      <c r="P14" s="540"/>
      <c r="Q14" s="540"/>
      <c r="R14" s="540"/>
      <c r="S14" s="241"/>
      <c r="T14" s="539"/>
      <c r="U14" s="539"/>
      <c r="V14" s="539"/>
      <c r="W14" s="539"/>
      <c r="X14" s="539"/>
      <c r="Y14" s="539"/>
      <c r="Z14" s="539"/>
      <c r="AA14" s="539"/>
      <c r="AB14" s="519"/>
      <c r="AC14" s="540"/>
      <c r="AD14" s="540"/>
      <c r="AE14" s="540"/>
      <c r="AF14" s="540"/>
      <c r="AG14" s="241"/>
      <c r="AH14" s="539"/>
      <c r="AI14" s="539"/>
      <c r="AJ14" s="539"/>
      <c r="AK14" s="539"/>
      <c r="AL14" s="539"/>
      <c r="AM14" s="539"/>
      <c r="AN14" s="539"/>
      <c r="AO14" s="539"/>
      <c r="AP14" s="241"/>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241"/>
      <c r="CN14" s="539"/>
      <c r="CO14" s="539"/>
      <c r="CP14" s="539"/>
      <c r="CQ14" s="539"/>
      <c r="CR14" s="539"/>
      <c r="CS14" s="539"/>
      <c r="CT14" s="539"/>
      <c r="CU14" s="539"/>
      <c r="CV14" s="241"/>
      <c r="CW14" s="539"/>
      <c r="CX14" s="539"/>
      <c r="CY14" s="539"/>
      <c r="CZ14" s="539"/>
      <c r="DA14" s="539"/>
      <c r="DB14" s="539"/>
      <c r="DC14" s="539"/>
      <c r="DD14" s="539"/>
      <c r="DE14" s="241"/>
      <c r="DF14" s="539"/>
      <c r="DG14" s="539"/>
      <c r="DH14" s="539"/>
      <c r="DI14" s="539"/>
      <c r="DJ14" s="539"/>
      <c r="DK14" s="539"/>
      <c r="DL14" s="539"/>
      <c r="DM14" s="539"/>
      <c r="DO14" s="39"/>
      <c r="DP14" s="39"/>
      <c r="DQ14" s="39"/>
      <c r="DR14" s="39"/>
      <c r="DS14" s="39"/>
      <c r="DT14" s="39"/>
    </row>
    <row r="15" spans="2:124" x14ac:dyDescent="0.25">
      <c r="B15" s="7"/>
      <c r="C15" s="7" t="s">
        <v>352</v>
      </c>
      <c r="D15" s="7" t="s">
        <v>58</v>
      </c>
      <c r="E15" s="7" t="s">
        <v>45</v>
      </c>
      <c r="F15" s="7" t="s">
        <v>55</v>
      </c>
      <c r="G15" s="7" t="s">
        <v>150</v>
      </c>
      <c r="H15" s="7" t="s">
        <v>102</v>
      </c>
      <c r="I15" s="7" t="s">
        <v>190</v>
      </c>
      <c r="J15" s="45"/>
      <c r="K15" s="45"/>
      <c r="L15" s="45"/>
      <c r="M15" s="540"/>
      <c r="N15" s="540"/>
      <c r="O15" s="540"/>
      <c r="P15" s="540"/>
      <c r="Q15" s="540"/>
      <c r="R15" s="540"/>
      <c r="S15" s="241"/>
      <c r="T15" s="539"/>
      <c r="U15" s="539"/>
      <c r="V15" s="539"/>
      <c r="W15" s="539"/>
      <c r="X15" s="539"/>
      <c r="Y15" s="539"/>
      <c r="Z15" s="539"/>
      <c r="AA15" s="539"/>
      <c r="AB15" s="519"/>
      <c r="AC15" s="540"/>
      <c r="AD15" s="540"/>
      <c r="AE15" s="540"/>
      <c r="AF15" s="540"/>
      <c r="AG15" s="241"/>
      <c r="AH15" s="539"/>
      <c r="AI15" s="539"/>
      <c r="AJ15" s="539"/>
      <c r="AK15" s="539"/>
      <c r="AL15" s="539"/>
      <c r="AM15" s="539"/>
      <c r="AN15" s="539"/>
      <c r="AO15" s="539"/>
      <c r="AP15" s="241"/>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241"/>
      <c r="CN15" s="539"/>
      <c r="CO15" s="539"/>
      <c r="CP15" s="539"/>
      <c r="CQ15" s="539"/>
      <c r="CR15" s="539"/>
      <c r="CS15" s="539"/>
      <c r="CT15" s="539"/>
      <c r="CU15" s="539"/>
      <c r="CV15" s="241"/>
      <c r="CW15" s="539"/>
      <c r="CX15" s="539"/>
      <c r="CY15" s="539"/>
      <c r="CZ15" s="539"/>
      <c r="DA15" s="539"/>
      <c r="DB15" s="539"/>
      <c r="DC15" s="539"/>
      <c r="DD15" s="539"/>
      <c r="DE15" s="241"/>
      <c r="DF15" s="539"/>
      <c r="DG15" s="539"/>
      <c r="DH15" s="539"/>
      <c r="DI15" s="539"/>
      <c r="DJ15" s="539"/>
      <c r="DK15" s="539"/>
      <c r="DL15" s="539"/>
      <c r="DM15" s="539"/>
      <c r="DO15" s="39"/>
      <c r="DP15" s="39"/>
      <c r="DQ15" s="39"/>
      <c r="DR15" s="39"/>
      <c r="DS15" s="39"/>
      <c r="DT15" s="39"/>
    </row>
    <row r="16" spans="2:124" x14ac:dyDescent="0.25">
      <c r="B16" s="7"/>
      <c r="C16" s="7" t="s">
        <v>123</v>
      </c>
      <c r="D16" s="7" t="s">
        <v>58</v>
      </c>
      <c r="E16" s="7" t="s">
        <v>45</v>
      </c>
      <c r="F16" s="7" t="s">
        <v>55</v>
      </c>
      <c r="G16" s="7" t="s">
        <v>150</v>
      </c>
      <c r="H16" s="7" t="s">
        <v>102</v>
      </c>
      <c r="I16" s="7" t="s">
        <v>190</v>
      </c>
      <c r="J16" s="45"/>
      <c r="K16" s="45"/>
      <c r="L16" s="45"/>
      <c r="M16" s="540"/>
      <c r="N16" s="540"/>
      <c r="O16" s="540"/>
      <c r="P16" s="540"/>
      <c r="Q16" s="540"/>
      <c r="R16" s="540"/>
      <c r="S16" s="241"/>
      <c r="T16" s="539"/>
      <c r="U16" s="539"/>
      <c r="V16" s="539"/>
      <c r="W16" s="539"/>
      <c r="X16" s="539"/>
      <c r="Y16" s="539"/>
      <c r="Z16" s="539"/>
      <c r="AA16" s="539"/>
      <c r="AB16" s="241"/>
      <c r="AC16" s="540"/>
      <c r="AD16" s="540"/>
      <c r="AE16" s="540"/>
      <c r="AF16" s="540"/>
      <c r="AG16" s="241"/>
      <c r="AH16" s="539"/>
      <c r="AI16" s="539"/>
      <c r="AJ16" s="539"/>
      <c r="AK16" s="539"/>
      <c r="AL16" s="539"/>
      <c r="AM16" s="539"/>
      <c r="AN16" s="539"/>
      <c r="AO16" s="539"/>
      <c r="AP16" s="241"/>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241"/>
      <c r="CN16" s="539"/>
      <c r="CO16" s="539"/>
      <c r="CP16" s="539"/>
      <c r="CQ16" s="539"/>
      <c r="CR16" s="539"/>
      <c r="CS16" s="539"/>
      <c r="CT16" s="539"/>
      <c r="CU16" s="539"/>
      <c r="CV16" s="241"/>
      <c r="CW16" s="539"/>
      <c r="CX16" s="539"/>
      <c r="CY16" s="539"/>
      <c r="CZ16" s="539"/>
      <c r="DA16" s="539"/>
      <c r="DB16" s="539"/>
      <c r="DC16" s="539"/>
      <c r="DD16" s="539"/>
      <c r="DE16" s="241"/>
      <c r="DF16" s="539"/>
      <c r="DG16" s="539"/>
      <c r="DH16" s="539"/>
      <c r="DI16" s="539"/>
      <c r="DJ16" s="539"/>
      <c r="DK16" s="539"/>
      <c r="DL16" s="539"/>
      <c r="DM16" s="539"/>
      <c r="DO16" s="39"/>
      <c r="DP16" s="39"/>
      <c r="DQ16" s="39"/>
      <c r="DR16" s="39"/>
      <c r="DS16" s="39"/>
      <c r="DT16" s="39"/>
    </row>
    <row r="17" spans="2:124" x14ac:dyDescent="0.25">
      <c r="B17" s="7"/>
      <c r="C17" s="7" t="s">
        <v>124</v>
      </c>
      <c r="D17" s="7" t="s">
        <v>58</v>
      </c>
      <c r="E17" s="7" t="s">
        <v>45</v>
      </c>
      <c r="F17" s="7" t="s">
        <v>55</v>
      </c>
      <c r="G17" s="7" t="s">
        <v>10</v>
      </c>
      <c r="H17" s="7" t="s">
        <v>164</v>
      </c>
      <c r="I17" s="7" t="s">
        <v>248</v>
      </c>
      <c r="J17" s="45"/>
      <c r="K17" s="45"/>
      <c r="L17" s="45"/>
      <c r="M17" s="540"/>
      <c r="N17" s="540"/>
      <c r="O17" s="540"/>
      <c r="P17" s="540"/>
      <c r="Q17" s="540"/>
      <c r="R17" s="540"/>
      <c r="S17" s="241"/>
      <c r="T17" s="539"/>
      <c r="U17" s="539"/>
      <c r="V17" s="539"/>
      <c r="W17" s="539"/>
      <c r="X17" s="539"/>
      <c r="Y17" s="539"/>
      <c r="Z17" s="539"/>
      <c r="AA17" s="539"/>
      <c r="AB17" s="241"/>
      <c r="AC17" s="540"/>
      <c r="AD17" s="540"/>
      <c r="AE17" s="540"/>
      <c r="AF17" s="540"/>
      <c r="AG17" s="241"/>
      <c r="AH17" s="539"/>
      <c r="AI17" s="539"/>
      <c r="AJ17" s="539"/>
      <c r="AK17" s="539"/>
      <c r="AL17" s="539"/>
      <c r="AM17" s="539"/>
      <c r="AN17" s="539"/>
      <c r="AO17" s="539"/>
      <c r="AP17" s="241"/>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241"/>
      <c r="CN17" s="539"/>
      <c r="CO17" s="539"/>
      <c r="CP17" s="539"/>
      <c r="CQ17" s="539"/>
      <c r="CR17" s="539"/>
      <c r="CS17" s="539"/>
      <c r="CT17" s="539"/>
      <c r="CU17" s="539"/>
      <c r="CV17" s="241"/>
      <c r="CW17" s="539"/>
      <c r="CX17" s="539"/>
      <c r="CY17" s="539"/>
      <c r="CZ17" s="539"/>
      <c r="DA17" s="539"/>
      <c r="DB17" s="539"/>
      <c r="DC17" s="539"/>
      <c r="DD17" s="539"/>
      <c r="DE17" s="241"/>
      <c r="DF17" s="539"/>
      <c r="DG17" s="539"/>
      <c r="DH17" s="539"/>
      <c r="DI17" s="539"/>
      <c r="DJ17" s="539"/>
      <c r="DK17" s="539"/>
      <c r="DL17" s="539"/>
      <c r="DM17" s="539"/>
      <c r="DO17" s="39"/>
      <c r="DP17" s="39"/>
      <c r="DQ17" s="39"/>
      <c r="DR17" s="39"/>
      <c r="DS17" s="39"/>
      <c r="DT17" s="39"/>
    </row>
    <row r="18" spans="2:124" x14ac:dyDescent="0.25">
      <c r="B18" s="7"/>
      <c r="C18" s="7" t="s">
        <v>125</v>
      </c>
      <c r="D18" s="7" t="s">
        <v>58</v>
      </c>
      <c r="E18" s="7" t="s">
        <v>44</v>
      </c>
      <c r="F18" s="7" t="s">
        <v>55</v>
      </c>
      <c r="G18" s="7" t="s">
        <v>10</v>
      </c>
      <c r="H18" s="7" t="s">
        <v>153</v>
      </c>
      <c r="I18" s="7" t="s">
        <v>254</v>
      </c>
      <c r="J18" s="45"/>
      <c r="K18" s="45"/>
      <c r="L18" s="45"/>
      <c r="M18" s="539"/>
      <c r="N18" s="539"/>
      <c r="O18" s="539"/>
      <c r="P18" s="539"/>
      <c r="Q18" s="539"/>
      <c r="R18" s="540"/>
      <c r="S18" s="241"/>
      <c r="T18" s="539"/>
      <c r="U18" s="539"/>
      <c r="V18" s="539"/>
      <c r="W18" s="539"/>
      <c r="X18" s="539"/>
      <c r="Y18" s="539"/>
      <c r="Z18" s="539"/>
      <c r="AA18" s="539"/>
      <c r="AB18" s="241"/>
      <c r="AC18" s="540"/>
      <c r="AD18" s="540"/>
      <c r="AE18" s="540"/>
      <c r="AF18" s="540"/>
      <c r="AG18" s="241"/>
      <c r="AH18" s="539"/>
      <c r="AI18" s="539"/>
      <c r="AJ18" s="539"/>
      <c r="AK18" s="539"/>
      <c r="AL18" s="539"/>
      <c r="AM18" s="539"/>
      <c r="AN18" s="539"/>
      <c r="AO18" s="539"/>
      <c r="AP18" s="241"/>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241"/>
      <c r="CN18" s="539"/>
      <c r="CO18" s="539"/>
      <c r="CP18" s="539"/>
      <c r="CQ18" s="539"/>
      <c r="CR18" s="539"/>
      <c r="CS18" s="539"/>
      <c r="CT18" s="539"/>
      <c r="CU18" s="539"/>
      <c r="CV18" s="241"/>
      <c r="CW18" s="539"/>
      <c r="CX18" s="539"/>
      <c r="CY18" s="539"/>
      <c r="CZ18" s="539"/>
      <c r="DA18" s="539"/>
      <c r="DB18" s="539"/>
      <c r="DC18" s="539"/>
      <c r="DD18" s="539"/>
      <c r="DE18" s="241"/>
      <c r="DF18" s="539"/>
      <c r="DG18" s="539"/>
      <c r="DH18" s="539"/>
      <c r="DI18" s="539"/>
      <c r="DJ18" s="539"/>
      <c r="DK18" s="539"/>
      <c r="DL18" s="539"/>
      <c r="DM18" s="539"/>
      <c r="DO18" s="39"/>
      <c r="DP18" s="39"/>
      <c r="DQ18" s="39"/>
      <c r="DR18" s="39"/>
      <c r="DS18" s="39"/>
      <c r="DT18" s="39"/>
    </row>
    <row r="19" spans="2:124" x14ac:dyDescent="0.25">
      <c r="B19" s="7"/>
      <c r="C19" s="7" t="s">
        <v>126</v>
      </c>
      <c r="D19" s="7" t="s">
        <v>58</v>
      </c>
      <c r="E19" s="7" t="s">
        <v>45</v>
      </c>
      <c r="F19" s="7" t="s">
        <v>55</v>
      </c>
      <c r="G19" s="7" t="s">
        <v>150</v>
      </c>
      <c r="H19" s="7" t="s">
        <v>160</v>
      </c>
      <c r="I19" s="7" t="s">
        <v>187</v>
      </c>
      <c r="J19" s="45"/>
      <c r="K19" s="45"/>
      <c r="L19" s="45"/>
      <c r="M19" s="539"/>
      <c r="N19" s="539"/>
      <c r="O19" s="539"/>
      <c r="P19" s="539"/>
      <c r="Q19" s="539"/>
      <c r="R19" s="540"/>
      <c r="S19" s="241"/>
      <c r="T19" s="539"/>
      <c r="U19" s="539"/>
      <c r="V19" s="539"/>
      <c r="W19" s="539"/>
      <c r="X19" s="539"/>
      <c r="Y19" s="539"/>
      <c r="Z19" s="539"/>
      <c r="AA19" s="539"/>
      <c r="AB19" s="241"/>
      <c r="AC19" s="540"/>
      <c r="AD19" s="540"/>
      <c r="AE19" s="540"/>
      <c r="AF19" s="540"/>
      <c r="AG19" s="241"/>
      <c r="AH19" s="539"/>
      <c r="AI19" s="539"/>
      <c r="AJ19" s="539"/>
      <c r="AK19" s="539"/>
      <c r="AL19" s="539"/>
      <c r="AM19" s="539"/>
      <c r="AN19" s="539"/>
      <c r="AO19" s="539"/>
      <c r="AP19" s="241"/>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241"/>
      <c r="CN19" s="539"/>
      <c r="CO19" s="539"/>
      <c r="CP19" s="539"/>
      <c r="CQ19" s="539"/>
      <c r="CR19" s="539"/>
      <c r="CS19" s="539"/>
      <c r="CT19" s="539"/>
      <c r="CU19" s="539"/>
      <c r="CV19" s="241"/>
      <c r="CW19" s="539"/>
      <c r="CX19" s="539"/>
      <c r="CY19" s="539"/>
      <c r="CZ19" s="539"/>
      <c r="DA19" s="539"/>
      <c r="DB19" s="539"/>
      <c r="DC19" s="539"/>
      <c r="DD19" s="539"/>
      <c r="DE19" s="241"/>
      <c r="DF19" s="539"/>
      <c r="DG19" s="539"/>
      <c r="DH19" s="539"/>
      <c r="DI19" s="539"/>
      <c r="DJ19" s="539"/>
      <c r="DK19" s="539"/>
      <c r="DL19" s="539"/>
      <c r="DM19" s="539"/>
      <c r="DO19" s="39"/>
      <c r="DP19" s="39"/>
      <c r="DQ19" s="39"/>
      <c r="DR19" s="39"/>
      <c r="DS19" s="39"/>
      <c r="DT19" s="39"/>
    </row>
    <row r="20" spans="2:124" x14ac:dyDescent="0.25">
      <c r="B20" s="7"/>
      <c r="C20" s="7" t="s">
        <v>127</v>
      </c>
      <c r="D20" s="7" t="s">
        <v>58</v>
      </c>
      <c r="E20" s="7" t="s">
        <v>45</v>
      </c>
      <c r="F20" s="7" t="s">
        <v>55</v>
      </c>
      <c r="G20" s="7" t="s">
        <v>150</v>
      </c>
      <c r="H20" s="7" t="s">
        <v>160</v>
      </c>
      <c r="I20" s="7" t="s">
        <v>187</v>
      </c>
      <c r="J20" s="45"/>
      <c r="K20" s="45"/>
      <c r="L20" s="45"/>
      <c r="M20" s="539"/>
      <c r="N20" s="539"/>
      <c r="O20" s="539"/>
      <c r="P20" s="539"/>
      <c r="Q20" s="539"/>
      <c r="R20" s="540"/>
      <c r="S20" s="241"/>
      <c r="T20" s="539"/>
      <c r="U20" s="539"/>
      <c r="V20" s="539"/>
      <c r="W20" s="539"/>
      <c r="X20" s="539"/>
      <c r="Y20" s="539"/>
      <c r="Z20" s="539"/>
      <c r="AA20" s="539"/>
      <c r="AB20" s="241"/>
      <c r="AC20" s="540"/>
      <c r="AD20" s="540"/>
      <c r="AE20" s="540"/>
      <c r="AF20" s="540"/>
      <c r="AG20" s="241"/>
      <c r="AH20" s="539"/>
      <c r="AI20" s="539"/>
      <c r="AJ20" s="539"/>
      <c r="AK20" s="539"/>
      <c r="AL20" s="539"/>
      <c r="AM20" s="539"/>
      <c r="AN20" s="539"/>
      <c r="AO20" s="539"/>
      <c r="AP20" s="241"/>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241"/>
      <c r="CN20" s="539"/>
      <c r="CO20" s="539"/>
      <c r="CP20" s="539"/>
      <c r="CQ20" s="539"/>
      <c r="CR20" s="539"/>
      <c r="CS20" s="539"/>
      <c r="CT20" s="539"/>
      <c r="CU20" s="539"/>
      <c r="CV20" s="241"/>
      <c r="CW20" s="539"/>
      <c r="CX20" s="539"/>
      <c r="CY20" s="539"/>
      <c r="CZ20" s="539"/>
      <c r="DA20" s="539"/>
      <c r="DB20" s="539"/>
      <c r="DC20" s="539"/>
      <c r="DD20" s="539"/>
      <c r="DE20" s="241"/>
      <c r="DF20" s="539"/>
      <c r="DG20" s="539"/>
      <c r="DH20" s="539"/>
      <c r="DI20" s="539"/>
      <c r="DJ20" s="539"/>
      <c r="DK20" s="539"/>
      <c r="DL20" s="539"/>
      <c r="DM20" s="539"/>
      <c r="DO20" s="39"/>
      <c r="DP20" s="39"/>
      <c r="DQ20" s="39"/>
      <c r="DR20" s="39"/>
      <c r="DS20" s="39"/>
      <c r="DT20" s="39"/>
    </row>
    <row r="21" spans="2:124" x14ac:dyDescent="0.25">
      <c r="B21" s="7"/>
      <c r="C21" s="7" t="s">
        <v>278</v>
      </c>
      <c r="D21" s="7" t="s">
        <v>58</v>
      </c>
      <c r="E21" s="7" t="s">
        <v>45</v>
      </c>
      <c r="F21" s="7" t="s">
        <v>55</v>
      </c>
      <c r="G21" s="7" t="s">
        <v>150</v>
      </c>
      <c r="H21" s="7" t="s">
        <v>157</v>
      </c>
      <c r="I21" s="7" t="s">
        <v>197</v>
      </c>
      <c r="J21" s="45"/>
      <c r="K21" s="45"/>
      <c r="L21" s="45"/>
      <c r="M21" s="539"/>
      <c r="N21" s="539"/>
      <c r="O21" s="539"/>
      <c r="P21" s="539"/>
      <c r="Q21" s="539"/>
      <c r="R21" s="540"/>
      <c r="S21" s="241"/>
      <c r="T21" s="539"/>
      <c r="U21" s="539"/>
      <c r="V21" s="539"/>
      <c r="W21" s="539"/>
      <c r="X21" s="539"/>
      <c r="Y21" s="539"/>
      <c r="Z21" s="539"/>
      <c r="AA21" s="539"/>
      <c r="AB21" s="241"/>
      <c r="AC21" s="540"/>
      <c r="AD21" s="540"/>
      <c r="AE21" s="540"/>
      <c r="AF21" s="540"/>
      <c r="AG21" s="241"/>
      <c r="AH21" s="539"/>
      <c r="AI21" s="539"/>
      <c r="AJ21" s="539"/>
      <c r="AK21" s="539"/>
      <c r="AL21" s="539"/>
      <c r="AM21" s="539"/>
      <c r="AN21" s="539"/>
      <c r="AO21" s="539"/>
      <c r="AP21" s="241"/>
      <c r="AQ21" s="255"/>
      <c r="AR21" s="255"/>
      <c r="AS21" s="255"/>
      <c r="AT21" s="255"/>
      <c r="AU21" s="255"/>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241"/>
      <c r="CN21" s="539"/>
      <c r="CO21" s="539"/>
      <c r="CP21" s="539"/>
      <c r="CQ21" s="539"/>
      <c r="CR21" s="539"/>
      <c r="CS21" s="539"/>
      <c r="CT21" s="539"/>
      <c r="CU21" s="539"/>
      <c r="CV21" s="241"/>
      <c r="CW21" s="539"/>
      <c r="CX21" s="539"/>
      <c r="CY21" s="539"/>
      <c r="CZ21" s="539"/>
      <c r="DA21" s="539"/>
      <c r="DB21" s="539"/>
      <c r="DC21" s="539"/>
      <c r="DD21" s="539"/>
      <c r="DE21" s="241"/>
      <c r="DF21" s="539"/>
      <c r="DG21" s="539"/>
      <c r="DH21" s="539"/>
      <c r="DI21" s="539"/>
      <c r="DJ21" s="539"/>
      <c r="DK21" s="539"/>
      <c r="DL21" s="539"/>
      <c r="DM21" s="539"/>
      <c r="DO21" s="39"/>
    </row>
    <row r="22" spans="2:124" x14ac:dyDescent="0.25">
      <c r="B22" s="7"/>
      <c r="C22" s="7" t="s">
        <v>279</v>
      </c>
      <c r="D22" s="7" t="s">
        <v>58</v>
      </c>
      <c r="E22" s="7" t="s">
        <v>45</v>
      </c>
      <c r="F22" s="7" t="s">
        <v>55</v>
      </c>
      <c r="G22" s="7" t="s">
        <v>150</v>
      </c>
      <c r="H22" s="7" t="s">
        <v>157</v>
      </c>
      <c r="I22" s="7" t="s">
        <v>272</v>
      </c>
      <c r="J22" s="45"/>
      <c r="K22" s="45"/>
      <c r="L22" s="45"/>
      <c r="M22" s="539"/>
      <c r="N22" s="539"/>
      <c r="O22" s="539"/>
      <c r="P22" s="539"/>
      <c r="Q22" s="539"/>
      <c r="R22" s="540"/>
      <c r="S22" s="241"/>
      <c r="T22" s="539"/>
      <c r="U22" s="539"/>
      <c r="V22" s="539"/>
      <c r="W22" s="539"/>
      <c r="X22" s="539"/>
      <c r="Y22" s="539"/>
      <c r="Z22" s="539"/>
      <c r="AA22" s="539"/>
      <c r="AB22" s="241"/>
      <c r="AC22" s="540"/>
      <c r="AD22" s="540"/>
      <c r="AE22" s="540"/>
      <c r="AF22" s="540"/>
      <c r="AG22" s="241"/>
      <c r="AH22" s="539"/>
      <c r="AI22" s="539"/>
      <c r="AJ22" s="539"/>
      <c r="AK22" s="539"/>
      <c r="AL22" s="539"/>
      <c r="AM22" s="539"/>
      <c r="AN22" s="539"/>
      <c r="AO22" s="539"/>
      <c r="AP22" s="241"/>
      <c r="AQ22" s="255"/>
      <c r="AR22" s="255"/>
      <c r="AS22" s="255"/>
      <c r="AT22" s="255"/>
      <c r="AU22" s="255"/>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241"/>
      <c r="CN22" s="539"/>
      <c r="CO22" s="539"/>
      <c r="CP22" s="539"/>
      <c r="CQ22" s="539"/>
      <c r="CR22" s="539"/>
      <c r="CS22" s="539"/>
      <c r="CT22" s="539"/>
      <c r="CU22" s="539"/>
      <c r="CV22" s="241"/>
      <c r="CW22" s="539"/>
      <c r="CX22" s="539"/>
      <c r="CY22" s="539"/>
      <c r="CZ22" s="539"/>
      <c r="DA22" s="539"/>
      <c r="DB22" s="539"/>
      <c r="DC22" s="539"/>
      <c r="DD22" s="539"/>
      <c r="DE22" s="241"/>
      <c r="DF22" s="539"/>
      <c r="DG22" s="539"/>
      <c r="DH22" s="539"/>
      <c r="DI22" s="539"/>
      <c r="DJ22" s="539"/>
      <c r="DK22" s="539"/>
      <c r="DL22" s="539"/>
      <c r="DM22" s="539"/>
      <c r="DO22" s="39"/>
    </row>
    <row r="23" spans="2:124" x14ac:dyDescent="0.25">
      <c r="B23" s="7"/>
      <c r="C23" s="7" t="s">
        <v>280</v>
      </c>
      <c r="D23" s="7" t="s">
        <v>58</v>
      </c>
      <c r="E23" s="7" t="s">
        <v>45</v>
      </c>
      <c r="F23" s="7" t="s">
        <v>55</v>
      </c>
      <c r="G23" s="7" t="s">
        <v>150</v>
      </c>
      <c r="H23" s="7" t="s">
        <v>157</v>
      </c>
      <c r="I23" s="7" t="s">
        <v>274</v>
      </c>
      <c r="J23" s="45"/>
      <c r="K23" s="45"/>
      <c r="L23" s="45"/>
      <c r="M23" s="539"/>
      <c r="N23" s="539"/>
      <c r="O23" s="539"/>
      <c r="P23" s="539"/>
      <c r="Q23" s="539"/>
      <c r="R23" s="540"/>
      <c r="S23" s="241"/>
      <c r="T23" s="539"/>
      <c r="U23" s="539"/>
      <c r="V23" s="539"/>
      <c r="W23" s="539"/>
      <c r="X23" s="539"/>
      <c r="Y23" s="539"/>
      <c r="Z23" s="539"/>
      <c r="AA23" s="539"/>
      <c r="AB23" s="241"/>
      <c r="AC23" s="540"/>
      <c r="AD23" s="540"/>
      <c r="AE23" s="540"/>
      <c r="AF23" s="540"/>
      <c r="AG23" s="241"/>
      <c r="AH23" s="539"/>
      <c r="AI23" s="539"/>
      <c r="AJ23" s="539"/>
      <c r="AK23" s="539"/>
      <c r="AL23" s="539"/>
      <c r="AM23" s="539"/>
      <c r="AN23" s="539"/>
      <c r="AO23" s="539"/>
      <c r="AP23" s="241"/>
      <c r="AQ23" s="255"/>
      <c r="AR23" s="255"/>
      <c r="AS23" s="255"/>
      <c r="AT23" s="255"/>
      <c r="AU23" s="255"/>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241"/>
      <c r="CN23" s="539"/>
      <c r="CO23" s="539"/>
      <c r="CP23" s="539"/>
      <c r="CQ23" s="539"/>
      <c r="CR23" s="539"/>
      <c r="CS23" s="539"/>
      <c r="CT23" s="539"/>
      <c r="CU23" s="539"/>
      <c r="CV23" s="241"/>
      <c r="CW23" s="539"/>
      <c r="CX23" s="539"/>
      <c r="CY23" s="539"/>
      <c r="CZ23" s="539"/>
      <c r="DA23" s="539"/>
      <c r="DB23" s="539"/>
      <c r="DC23" s="539"/>
      <c r="DD23" s="539"/>
      <c r="DE23" s="241"/>
      <c r="DF23" s="539"/>
      <c r="DG23" s="539"/>
      <c r="DH23" s="539"/>
      <c r="DI23" s="539"/>
      <c r="DJ23" s="539"/>
      <c r="DK23" s="539"/>
      <c r="DL23" s="539"/>
      <c r="DM23" s="539"/>
      <c r="DO23" s="39"/>
    </row>
    <row r="24" spans="2:124" x14ac:dyDescent="0.25">
      <c r="B24" s="7"/>
      <c r="C24" s="7" t="s">
        <v>281</v>
      </c>
      <c r="D24" s="7" t="s">
        <v>58</v>
      </c>
      <c r="E24" s="7" t="s">
        <v>45</v>
      </c>
      <c r="F24" s="7" t="s">
        <v>55</v>
      </c>
      <c r="G24" s="7" t="s">
        <v>150</v>
      </c>
      <c r="H24" s="7" t="s">
        <v>157</v>
      </c>
      <c r="I24" s="7" t="s">
        <v>192</v>
      </c>
      <c r="J24" s="45"/>
      <c r="K24" s="45"/>
      <c r="L24" s="45"/>
      <c r="M24" s="539"/>
      <c r="N24" s="539"/>
      <c r="O24" s="539"/>
      <c r="P24" s="539"/>
      <c r="Q24" s="539"/>
      <c r="R24" s="540"/>
      <c r="S24" s="241"/>
      <c r="T24" s="539"/>
      <c r="U24" s="539"/>
      <c r="V24" s="539"/>
      <c r="W24" s="539"/>
      <c r="X24" s="539"/>
      <c r="Y24" s="539"/>
      <c r="Z24" s="539"/>
      <c r="AA24" s="539"/>
      <c r="AB24" s="241"/>
      <c r="AC24" s="540"/>
      <c r="AD24" s="540"/>
      <c r="AE24" s="540"/>
      <c r="AF24" s="540"/>
      <c r="AG24" s="241"/>
      <c r="AH24" s="539"/>
      <c r="AI24" s="539"/>
      <c r="AJ24" s="539"/>
      <c r="AK24" s="539"/>
      <c r="AL24" s="539"/>
      <c r="AM24" s="539"/>
      <c r="AN24" s="539"/>
      <c r="AO24" s="539"/>
      <c r="AP24" s="241"/>
      <c r="AQ24" s="255"/>
      <c r="AR24" s="255"/>
      <c r="AS24" s="255"/>
      <c r="AT24" s="255"/>
      <c r="AU24" s="255"/>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241"/>
      <c r="CN24" s="539"/>
      <c r="CO24" s="539"/>
      <c r="CP24" s="539"/>
      <c r="CQ24" s="539"/>
      <c r="CR24" s="539"/>
      <c r="CS24" s="539"/>
      <c r="CT24" s="539"/>
      <c r="CU24" s="539"/>
      <c r="CV24" s="241"/>
      <c r="CW24" s="539"/>
      <c r="CX24" s="539"/>
      <c r="CY24" s="539"/>
      <c r="CZ24" s="539"/>
      <c r="DA24" s="539"/>
      <c r="DB24" s="539"/>
      <c r="DC24" s="539"/>
      <c r="DD24" s="539"/>
      <c r="DE24" s="241"/>
      <c r="DF24" s="539"/>
      <c r="DG24" s="539"/>
      <c r="DH24" s="539"/>
      <c r="DI24" s="539"/>
      <c r="DJ24" s="539"/>
      <c r="DK24" s="539"/>
      <c r="DL24" s="539"/>
      <c r="DM24" s="539"/>
      <c r="DO24" s="39"/>
    </row>
    <row r="25" spans="2:124" x14ac:dyDescent="0.25">
      <c r="B25" s="7"/>
      <c r="C25" s="7" t="s">
        <v>451</v>
      </c>
      <c r="D25" s="7" t="s">
        <v>58</v>
      </c>
      <c r="E25" s="7" t="s">
        <v>45</v>
      </c>
      <c r="F25" s="7" t="s">
        <v>55</v>
      </c>
      <c r="G25" s="7" t="s">
        <v>150</v>
      </c>
      <c r="H25" s="7" t="s">
        <v>157</v>
      </c>
      <c r="I25" s="7" t="s">
        <v>192</v>
      </c>
      <c r="J25" s="7"/>
      <c r="K25" s="7"/>
      <c r="L25" s="7"/>
      <c r="M25" s="255"/>
      <c r="N25" s="255"/>
      <c r="O25" s="255"/>
      <c r="P25" s="255"/>
      <c r="Q25" s="255"/>
      <c r="R25" s="540"/>
      <c r="S25" s="241"/>
      <c r="T25" s="539"/>
      <c r="U25" s="539"/>
      <c r="V25" s="539"/>
      <c r="W25" s="539"/>
      <c r="X25" s="539"/>
      <c r="Y25" s="539"/>
      <c r="Z25" s="539"/>
      <c r="AA25" s="539"/>
      <c r="AB25" s="241"/>
      <c r="AC25" s="540"/>
      <c r="AD25" s="540"/>
      <c r="AE25" s="540"/>
      <c r="AF25" s="540"/>
      <c r="AG25" s="241"/>
      <c r="AH25" s="539"/>
      <c r="AI25" s="539"/>
      <c r="AJ25" s="539"/>
      <c r="AK25" s="539"/>
      <c r="AL25" s="539"/>
      <c r="AM25" s="539"/>
      <c r="AN25" s="539"/>
      <c r="AO25" s="539"/>
      <c r="AP25" s="241"/>
      <c r="AQ25" s="255"/>
      <c r="AR25" s="255"/>
      <c r="AS25" s="255"/>
      <c r="AT25" s="255"/>
      <c r="AU25" s="255"/>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241"/>
      <c r="CN25" s="539"/>
      <c r="CO25" s="539"/>
      <c r="CP25" s="539"/>
      <c r="CQ25" s="539"/>
      <c r="CR25" s="539"/>
      <c r="CS25" s="539"/>
      <c r="CT25" s="539"/>
      <c r="CU25" s="539"/>
      <c r="CV25" s="241"/>
      <c r="CW25" s="539"/>
      <c r="CX25" s="539"/>
      <c r="CY25" s="539"/>
      <c r="CZ25" s="539"/>
      <c r="DA25" s="539"/>
      <c r="DB25" s="539"/>
      <c r="DC25" s="539"/>
      <c r="DD25" s="539"/>
      <c r="DE25" s="241"/>
      <c r="DF25" s="539"/>
      <c r="DG25" s="539"/>
      <c r="DH25" s="539"/>
      <c r="DI25" s="539"/>
      <c r="DJ25" s="539"/>
      <c r="DK25" s="539"/>
      <c r="DL25" s="539"/>
      <c r="DM25" s="539"/>
      <c r="DO25" s="39"/>
    </row>
    <row r="26" spans="2:124" x14ac:dyDescent="0.25">
      <c r="B26" s="7"/>
      <c r="C26" s="7" t="s">
        <v>452</v>
      </c>
      <c r="D26" s="7" t="s">
        <v>58</v>
      </c>
      <c r="E26" s="7" t="s">
        <v>45</v>
      </c>
      <c r="F26" s="7" t="s">
        <v>55</v>
      </c>
      <c r="G26" s="7" t="s">
        <v>150</v>
      </c>
      <c r="H26" s="7" t="s">
        <v>157</v>
      </c>
      <c r="I26" s="7" t="s">
        <v>197</v>
      </c>
      <c r="J26" s="7"/>
      <c r="K26" s="7"/>
      <c r="L26" s="356"/>
      <c r="M26" s="541"/>
      <c r="N26" s="541"/>
      <c r="O26" s="541"/>
      <c r="P26" s="541"/>
      <c r="Q26" s="541"/>
      <c r="R26" s="540"/>
      <c r="S26" s="241"/>
      <c r="T26" s="539"/>
      <c r="U26" s="539"/>
      <c r="V26" s="539"/>
      <c r="W26" s="539"/>
      <c r="X26" s="539"/>
      <c r="Y26" s="539"/>
      <c r="Z26" s="539"/>
      <c r="AA26" s="539"/>
      <c r="AB26" s="241"/>
      <c r="AC26" s="540"/>
      <c r="AD26" s="540"/>
      <c r="AE26" s="540"/>
      <c r="AF26" s="540"/>
      <c r="AG26" s="241"/>
      <c r="AH26" s="539"/>
      <c r="AI26" s="539"/>
      <c r="AJ26" s="539"/>
      <c r="AK26" s="539"/>
      <c r="AL26" s="539"/>
      <c r="AM26" s="539"/>
      <c r="AN26" s="539"/>
      <c r="AO26" s="539"/>
      <c r="AP26" s="241"/>
      <c r="AQ26" s="255"/>
      <c r="AR26" s="255"/>
      <c r="AS26" s="255"/>
      <c r="AT26" s="255"/>
      <c r="AU26" s="255"/>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241"/>
      <c r="CN26" s="539"/>
      <c r="CO26" s="539"/>
      <c r="CP26" s="539"/>
      <c r="CQ26" s="539"/>
      <c r="CR26" s="539"/>
      <c r="CS26" s="539"/>
      <c r="CT26" s="539"/>
      <c r="CU26" s="539"/>
      <c r="CV26" s="241"/>
      <c r="CW26" s="539"/>
      <c r="CX26" s="539"/>
      <c r="CY26" s="539"/>
      <c r="CZ26" s="539"/>
      <c r="DA26" s="539"/>
      <c r="DB26" s="539"/>
      <c r="DC26" s="539"/>
      <c r="DD26" s="539"/>
      <c r="DE26" s="241"/>
      <c r="DF26" s="539"/>
      <c r="DG26" s="539"/>
      <c r="DH26" s="539"/>
      <c r="DI26" s="539"/>
      <c r="DJ26" s="539"/>
      <c r="DK26" s="539"/>
      <c r="DL26" s="539"/>
      <c r="DM26" s="539"/>
      <c r="DO26" s="39"/>
    </row>
    <row r="27" spans="2:124" x14ac:dyDescent="0.25">
      <c r="B27" s="7"/>
      <c r="C27" s="7" t="s">
        <v>575</v>
      </c>
      <c r="D27" s="7" t="s">
        <v>58</v>
      </c>
      <c r="E27" s="7" t="s">
        <v>45</v>
      </c>
      <c r="F27" s="7" t="s">
        <v>55</v>
      </c>
      <c r="G27" s="7" t="s">
        <v>150</v>
      </c>
      <c r="H27" s="7" t="s">
        <v>157</v>
      </c>
      <c r="I27" s="7" t="s">
        <v>197</v>
      </c>
      <c r="J27" s="7"/>
      <c r="K27" s="7"/>
      <c r="L27" s="7"/>
      <c r="M27" s="255"/>
      <c r="N27" s="255"/>
      <c r="O27" s="255"/>
      <c r="P27" s="255"/>
      <c r="Q27" s="255"/>
      <c r="R27" s="540"/>
      <c r="S27" s="241"/>
      <c r="T27" s="539"/>
      <c r="U27" s="539"/>
      <c r="V27" s="539"/>
      <c r="W27" s="539"/>
      <c r="X27" s="539"/>
      <c r="Y27" s="539"/>
      <c r="Z27" s="539"/>
      <c r="AA27" s="539"/>
      <c r="AB27" s="241"/>
      <c r="AC27" s="540"/>
      <c r="AD27" s="540"/>
      <c r="AE27" s="540"/>
      <c r="AF27" s="540"/>
      <c r="AG27" s="241"/>
      <c r="AH27" s="539"/>
      <c r="AI27" s="539"/>
      <c r="AJ27" s="539"/>
      <c r="AK27" s="539"/>
      <c r="AL27" s="539"/>
      <c r="AM27" s="539"/>
      <c r="AN27" s="539"/>
      <c r="AO27" s="539"/>
      <c r="AP27" s="241"/>
      <c r="AQ27" s="255"/>
      <c r="AR27" s="255"/>
      <c r="AS27" s="255"/>
      <c r="AT27" s="255"/>
      <c r="AU27" s="255"/>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241"/>
      <c r="CN27" s="539"/>
      <c r="CO27" s="539"/>
      <c r="CP27" s="539"/>
      <c r="CQ27" s="539"/>
      <c r="CR27" s="539"/>
      <c r="CS27" s="539"/>
      <c r="CT27" s="539"/>
      <c r="CU27" s="539"/>
      <c r="CV27" s="241"/>
      <c r="CW27" s="539"/>
      <c r="CX27" s="539"/>
      <c r="CY27" s="539"/>
      <c r="CZ27" s="539"/>
      <c r="DA27" s="539"/>
      <c r="DB27" s="539"/>
      <c r="DC27" s="539"/>
      <c r="DD27" s="539"/>
      <c r="DE27" s="241"/>
      <c r="DF27" s="539"/>
      <c r="DG27" s="539"/>
      <c r="DH27" s="539"/>
      <c r="DI27" s="539"/>
      <c r="DJ27" s="539"/>
      <c r="DK27" s="539"/>
      <c r="DL27" s="539"/>
      <c r="DM27" s="539"/>
      <c r="DO27" s="39"/>
    </row>
    <row r="28" spans="2:124" x14ac:dyDescent="0.25">
      <c r="B28" s="7"/>
      <c r="C28" s="7" t="s">
        <v>576</v>
      </c>
      <c r="D28" s="7" t="s">
        <v>58</v>
      </c>
      <c r="E28" s="7" t="s">
        <v>45</v>
      </c>
      <c r="F28" s="7" t="s">
        <v>55</v>
      </c>
      <c r="G28" s="7" t="s">
        <v>150</v>
      </c>
      <c r="H28" s="7" t="s">
        <v>157</v>
      </c>
      <c r="I28" s="7" t="s">
        <v>197</v>
      </c>
      <c r="J28" s="7"/>
      <c r="K28" s="7"/>
      <c r="L28" s="7"/>
      <c r="M28" s="255"/>
      <c r="N28" s="255"/>
      <c r="O28" s="255"/>
      <c r="P28" s="255"/>
      <c r="Q28" s="255"/>
      <c r="R28" s="540"/>
      <c r="S28" s="241"/>
      <c r="T28" s="539"/>
      <c r="U28" s="539"/>
      <c r="V28" s="539"/>
      <c r="W28" s="539"/>
      <c r="X28" s="539"/>
      <c r="Y28" s="539"/>
      <c r="Z28" s="539"/>
      <c r="AA28" s="539"/>
      <c r="AB28" s="241"/>
      <c r="AC28" s="540"/>
      <c r="AD28" s="540"/>
      <c r="AE28" s="540"/>
      <c r="AF28" s="540"/>
      <c r="AG28" s="241"/>
      <c r="AH28" s="539"/>
      <c r="AI28" s="539"/>
      <c r="AJ28" s="539"/>
      <c r="AK28" s="539"/>
      <c r="AL28" s="539"/>
      <c r="AM28" s="539"/>
      <c r="AN28" s="539"/>
      <c r="AO28" s="539"/>
      <c r="AP28" s="241"/>
      <c r="AQ28" s="255"/>
      <c r="AR28" s="255"/>
      <c r="AS28" s="255"/>
      <c r="AT28" s="255"/>
      <c r="AU28" s="255"/>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241"/>
      <c r="CN28" s="539"/>
      <c r="CO28" s="539"/>
      <c r="CP28" s="539"/>
      <c r="CQ28" s="539"/>
      <c r="CR28" s="539"/>
      <c r="CS28" s="539"/>
      <c r="CT28" s="539"/>
      <c r="CU28" s="539"/>
      <c r="CV28" s="241"/>
      <c r="CW28" s="539"/>
      <c r="CX28" s="539"/>
      <c r="CY28" s="539"/>
      <c r="CZ28" s="539"/>
      <c r="DA28" s="539"/>
      <c r="DB28" s="539"/>
      <c r="DC28" s="539"/>
      <c r="DD28" s="539"/>
      <c r="DE28" s="241"/>
      <c r="DF28" s="539"/>
      <c r="DG28" s="539"/>
      <c r="DH28" s="539"/>
      <c r="DI28" s="539"/>
      <c r="DJ28" s="539"/>
      <c r="DK28" s="539"/>
      <c r="DL28" s="539"/>
      <c r="DM28" s="539"/>
      <c r="DO28" s="39"/>
    </row>
    <row r="29" spans="2:124" x14ac:dyDescent="0.25">
      <c r="B29" s="7"/>
      <c r="C29" s="7"/>
      <c r="D29" s="7"/>
      <c r="E29" s="7"/>
      <c r="F29" s="7"/>
      <c r="G29" s="7"/>
      <c r="H29" s="7"/>
      <c r="I29" s="7"/>
      <c r="J29" s="7"/>
      <c r="K29" s="7"/>
      <c r="L29" s="7"/>
      <c r="M29" s="7"/>
      <c r="N29" s="7"/>
      <c r="O29" s="7"/>
      <c r="P29" s="7"/>
      <c r="Q29" s="7"/>
      <c r="R29" s="46"/>
      <c r="T29" s="47">
        <f t="shared" ref="T29:T37" si="8">J29*$R29</f>
        <v>0</v>
      </c>
      <c r="U29" s="47">
        <f t="shared" ref="U29:U37" si="9">K29*$R29</f>
        <v>0</v>
      </c>
      <c r="V29" s="47">
        <f t="shared" ref="V29:V37" si="10">L29*$R29</f>
        <v>0</v>
      </c>
      <c r="W29" s="47">
        <f t="shared" ref="W29:W37" si="11">M29*$R29</f>
        <v>0</v>
      </c>
      <c r="X29" s="47">
        <f t="shared" ref="X29:X37" si="12">N29*$R29</f>
        <v>0</v>
      </c>
      <c r="Y29" s="47">
        <f t="shared" ref="Y29:Y37" si="13">O29*$R29</f>
        <v>0</v>
      </c>
      <c r="Z29" s="47">
        <f t="shared" ref="Z29:Z37" si="14">P29*$R29</f>
        <v>0</v>
      </c>
      <c r="AA29" s="47">
        <f t="shared" ref="AA29:AA37" si="15">Q29*$R29</f>
        <v>0</v>
      </c>
      <c r="AC29" s="82">
        <f t="shared" ref="AC29:AF37" si="16">IF($R29="",0,INDEX(Direct_Cost_Splits_Network,MATCH($H29,RIN_Asset_Cat_Network,0),MATCH(AC$4,Direct_Cost_Type,0))*$R29)</f>
        <v>0</v>
      </c>
      <c r="AD29" s="82">
        <f t="shared" si="16"/>
        <v>0</v>
      </c>
      <c r="AE29" s="82">
        <f t="shared" si="16"/>
        <v>0</v>
      </c>
      <c r="AF29" s="82">
        <f t="shared" si="16"/>
        <v>0</v>
      </c>
      <c r="AH29" s="47">
        <f>IF($R29="",0,J29*$AC29*HLOOKUP(AH$6,Escalators!$I$25:$U$30,3,FALSE))</f>
        <v>0</v>
      </c>
      <c r="AI29" s="47">
        <f>IF($R29="",0,K29*$AC29*HLOOKUP(AI$6,Escalators!$I$25:$U$30,3,FALSE))</f>
        <v>0</v>
      </c>
      <c r="AJ29" s="47">
        <f>IF($R29="",0,L29*$AC29*HLOOKUP(AJ$6,Escalators!$I$25:$U$30,3,FALSE))</f>
        <v>0</v>
      </c>
      <c r="AK29" s="47">
        <f>IF($R29="",0,M29*$AC29*HLOOKUP(AK$6,Escalators!$I$25:$U$30,3,FALSE))</f>
        <v>0</v>
      </c>
      <c r="AL29" s="47">
        <f>IF($R29="",0,N29*$AC29*HLOOKUP(AL$6,Escalators!$I$25:$U$30,3,FALSE))</f>
        <v>0</v>
      </c>
      <c r="AM29" s="47">
        <f>IF($R29="",0,O29*$AC29*HLOOKUP(AM$6,Escalators!$I$25:$U$30,3,FALSE))</f>
        <v>0</v>
      </c>
      <c r="AN29" s="47">
        <f>IF($R29="",0,P29*$AC29*HLOOKUP(AN$6,Escalators!$I$25:$U$30,3,FALSE))</f>
        <v>0</v>
      </c>
      <c r="AO29" s="47">
        <f>IF($R29="",0,Q29*$AC29*HLOOKUP(AO$6,Escalators!$I$25:$U$30,3,FALSE))</f>
        <v>0</v>
      </c>
      <c r="AQ29" s="6">
        <f>IF($R29="",0,$J29*$AD29*INDEX(Act_Type_Repex_Splits,MATCH($I29,Act_Type_Repex,0),MATCH(AQ$5,Mat_Type,0))*INDEX(Escalators!$I$44:$Q$49,MATCH(AQ$5,Escalators!$C$44:$C$49,0),MATCH(AQ$6,Escalators!$I$43:$Q$43,0)))</f>
        <v>0</v>
      </c>
      <c r="AR29" s="6">
        <f>IF($R29="",0,$J29*$AD29*INDEX(Act_Type_Repex_Splits,MATCH($I29,Act_Type_Repex,0),MATCH(AR$5,Mat_Type,0))*INDEX(Escalators!$I$44:$Q$49,MATCH(AR$5,Escalators!$C$44:$C$49,0),MATCH(AR$6,Escalators!$I$43:$Q$43,0)))</f>
        <v>0</v>
      </c>
      <c r="AS29" s="6">
        <f>IF($R29="",0,$J29*$AD29*INDEX(Act_Type_Repex_Splits,MATCH($I29,Act_Type_Repex,0),MATCH(AS$5,Mat_Type,0))*INDEX(Escalators!$I$44:$Q$49,MATCH(AS$5,Escalators!$C$44:$C$49,0),MATCH(AS$6,Escalators!$I$43:$Q$43,0)))</f>
        <v>0</v>
      </c>
      <c r="AT29" s="6">
        <f>IF($R29="",0,$J29*$AD29*INDEX(Act_Type_Repex_Splits,MATCH($I29,Act_Type_Repex,0),MATCH(AT$5,Mat_Type,0))*INDEX(Escalators!$I$44:$Q$49,MATCH(AT$5,Escalators!$C$44:$C$49,0),MATCH(AT$6,Escalators!$I$43:$Q$43,0)))</f>
        <v>0</v>
      </c>
      <c r="AU29" s="6">
        <f>IF($R29="",0,$J29*$AD29*INDEX(Act_Type_Repex_Splits,MATCH($I29,Act_Type_Repex,0),MATCH(AU$5,Mat_Type,0))*INDEX(Escalators!$I$44:$Q$49,MATCH(AU$5,Escalators!$C$44:$C$49,0),MATCH(AU$6,Escalators!$I$43:$Q$43,0)))</f>
        <v>0</v>
      </c>
      <c r="AV29" s="47">
        <f t="shared" ref="AV29:AV37" si="17">SUM(AQ29:AU29)</f>
        <v>0</v>
      </c>
      <c r="AW29" s="47">
        <f>IF($R29="",0,$K29*$AD29*INDEX(Act_Type_Repex_Splits,MATCH($I29,Act_Type_Repex,0),MATCH(AW$5,Mat_Type,0))*INDEX(Escalators!$I$44:$U$49,MATCH(AW$5,Escalators!$C$44:$C$49,0),MATCH(AW$6,Escalators!$I$43:$U$43,0)))</f>
        <v>0</v>
      </c>
      <c r="AX29" s="47">
        <f>IF($R29="",0,$K29*$AD29*INDEX(Act_Type_Repex_Splits,MATCH($I29,Act_Type_Repex,0),MATCH(AX$5,Mat_Type,0))*INDEX(Escalators!$I$44:$U$49,MATCH(AX$5,Escalators!$C$44:$C$49,0),MATCH(AX$6,Escalators!$I$43:$U$43,0)))</f>
        <v>0</v>
      </c>
      <c r="AY29" s="47">
        <f>IF($R29="",0,$K29*$AD29*INDEX(Act_Type_Repex_Splits,MATCH($I29,Act_Type_Repex,0),MATCH(AY$5,Mat_Type,0))*INDEX(Escalators!$I$44:$U$49,MATCH(AY$5,Escalators!$C$44:$C$49,0),MATCH(AY$6,Escalators!$I$43:$U$43,0)))</f>
        <v>0</v>
      </c>
      <c r="AZ29" s="47">
        <f>IF($R29="",0,$K29*$AD29*INDEX(Act_Type_Repex_Splits,MATCH($I29,Act_Type_Repex,0),MATCH(AZ$5,Mat_Type,0))*INDEX(Escalators!$I$44:$U$49,MATCH(AZ$5,Escalators!$C$44:$C$49,0),MATCH(AZ$6,Escalators!$I$43:$U$43,0)))</f>
        <v>0</v>
      </c>
      <c r="BA29" s="47">
        <f>IF($R29="",0,$K29*$AD29*INDEX(Act_Type_Repex_Splits,MATCH($I29,Act_Type_Repex,0),MATCH(BA$5,Mat_Type,0))*INDEX(Escalators!$I$44:$U$49,MATCH(BA$5,Escalators!$C$44:$C$49,0),MATCH(BA$6,Escalators!$I$43:$U$43,0)))</f>
        <v>0</v>
      </c>
      <c r="BB29" s="47">
        <f t="shared" ref="BB29:BB37" si="18">SUM(AW29:BA29)</f>
        <v>0</v>
      </c>
      <c r="BC29" s="47">
        <f>IF($R29="",0,$L29*$AD29*INDEX(Act_Type_Repex_Splits,MATCH($I29,Act_Type_Repex,0),MATCH(BC$5,Mat_Type,0))*INDEX(Escalators!$I$44:$U$49,MATCH(BC$5,Escalators!$C$44:$C$49,0),MATCH(BC$6,Escalators!$I$43:$U$43,0)))</f>
        <v>0</v>
      </c>
      <c r="BD29" s="47">
        <f>IF($R29="",0,$L29*$AD29*INDEX(Act_Type_Repex_Splits,MATCH($I29,Act_Type_Repex,0),MATCH(BD$5,Mat_Type,0))*INDEX(Escalators!$I$44:$U$49,MATCH(BD$5,Escalators!$C$44:$C$49,0),MATCH(BD$6,Escalators!$I$43:$U$43,0)))</f>
        <v>0</v>
      </c>
      <c r="BE29" s="47">
        <f>IF($R29="",0,$L29*$AD29*INDEX(Act_Type_Repex_Splits,MATCH($I29,Act_Type_Repex,0),MATCH(BE$5,Mat_Type,0))*INDEX(Escalators!$I$44:$U$49,MATCH(BE$5,Escalators!$C$44:$C$49,0),MATCH(BE$6,Escalators!$I$43:$U$43,0)))</f>
        <v>0</v>
      </c>
      <c r="BF29" s="47">
        <f>IF($R29="",0,$L29*$AD29*INDEX(Act_Type_Repex_Splits,MATCH($I29,Act_Type_Repex,0),MATCH(BF$5,Mat_Type,0))*INDEX(Escalators!$I$44:$U$49,MATCH(BF$5,Escalators!$C$44:$C$49,0),MATCH(BF$6,Escalators!$I$43:$U$43,0)))</f>
        <v>0</v>
      </c>
      <c r="BG29" s="47">
        <f>IF($R29="",0,$L29*$AD29*INDEX(Act_Type_Repex_Splits,MATCH($I29,Act_Type_Repex,0),MATCH(BG$5,Mat_Type,0))*INDEX(Escalators!$I$44:$U$49,MATCH(BG$5,Escalators!$C$44:$C$49,0),MATCH(BG$6,Escalators!$I$43:$U$43,0)))</f>
        <v>0</v>
      </c>
      <c r="BH29" s="47">
        <f t="shared" ref="BH29:BH37" si="19">SUM(BC29:BG29)</f>
        <v>0</v>
      </c>
      <c r="BI29" s="47">
        <f>IF($R29="",0,$M29*$AD29*INDEX(Act_Type_Repex_Splits,MATCH($I29,Act_Type_Repex,0),MATCH(BI$5,Mat_Type,0))*INDEX(Escalators!$I$44:$U$49,MATCH(BI$5,Escalators!$C$44:$C$49,0),MATCH(BI$6,Escalators!$I$43:$U$43,0)))</f>
        <v>0</v>
      </c>
      <c r="BJ29" s="47">
        <f>IF($R29="",0,$M29*$AD29*INDEX(Act_Type_Repex_Splits,MATCH($I29,Act_Type_Repex,0),MATCH(BJ$5,Mat_Type,0))*INDEX(Escalators!$I$44:$U$49,MATCH(BJ$5,Escalators!$C$44:$C$49,0),MATCH(BJ$6,Escalators!$I$43:$U$43,0)))</f>
        <v>0</v>
      </c>
      <c r="BK29" s="47">
        <f>IF($R29="",0,$M29*$AD29*INDEX(Act_Type_Repex_Splits,MATCH($I29,Act_Type_Repex,0),MATCH(BK$5,Mat_Type,0))*INDEX(Escalators!$I$44:$U$49,MATCH(BK$5,Escalators!$C$44:$C$49,0),MATCH(BK$6,Escalators!$I$43:$U$43,0)))</f>
        <v>0</v>
      </c>
      <c r="BL29" s="47">
        <f>IF($R29="",0,$M29*$AD29*INDEX(Act_Type_Repex_Splits,MATCH($I29,Act_Type_Repex,0),MATCH(BL$5,Mat_Type,0))*INDEX(Escalators!$I$44:$U$49,MATCH(BL$5,Escalators!$C$44:$C$49,0),MATCH(BL$6,Escalators!$I$43:$U$43,0)))</f>
        <v>0</v>
      </c>
      <c r="BM29" s="47">
        <f>IF($R29="",0,$M29*$AD29*INDEX(Act_Type_Repex_Splits,MATCH($I29,Act_Type_Repex,0),MATCH(BM$5,Mat_Type,0))*INDEX(Escalators!$I$44:$U$49,MATCH(BM$5,Escalators!$C$44:$C$49,0),MATCH(BM$6,Escalators!$I$43:$U$43,0)))</f>
        <v>0</v>
      </c>
      <c r="BN29" s="47">
        <f t="shared" ref="BN29:BN37" si="20">SUM(BI29:BM29)</f>
        <v>0</v>
      </c>
      <c r="BO29" s="47">
        <f>IF($R29="",0,$N29*$AD29*INDEX(Act_Type_Repex_Splits,MATCH($I29,Act_Type_Repex,0),MATCH(BO$5,Mat_Type,0))*INDEX(Escalators!$I$44:$U$49,MATCH(BO$5,Escalators!$C$44:$C$49,0),MATCH(BO$6,Escalators!$I$43:$U$43,0)))</f>
        <v>0</v>
      </c>
      <c r="BP29" s="47">
        <f>IF($R29="",0,$N29*$AD29*INDEX(Act_Type_Repex_Splits,MATCH($I29,Act_Type_Repex,0),MATCH(BP$5,Mat_Type,0))*INDEX(Escalators!$I$44:$U$49,MATCH(BP$5,Escalators!$C$44:$C$49,0),MATCH(BP$6,Escalators!$I$43:$U$43,0)))</f>
        <v>0</v>
      </c>
      <c r="BQ29" s="47">
        <f>IF($R29="",0,$N29*$AD29*INDEX(Act_Type_Repex_Splits,MATCH($I29,Act_Type_Repex,0),MATCH(BQ$5,Mat_Type,0))*INDEX(Escalators!$I$44:$U$49,MATCH(BQ$5,Escalators!$C$44:$C$49,0),MATCH(BQ$6,Escalators!$I$43:$U$43,0)))</f>
        <v>0</v>
      </c>
      <c r="BR29" s="47">
        <f>IF($R29="",0,$N29*$AD29*INDEX(Act_Type_Repex_Splits,MATCH($I29,Act_Type_Repex,0),MATCH(BR$5,Mat_Type,0))*INDEX(Escalators!$I$44:$U$49,MATCH(BR$5,Escalators!$C$44:$C$49,0),MATCH(BR$6,Escalators!$I$43:$U$43,0)))</f>
        <v>0</v>
      </c>
      <c r="BS29" s="47">
        <f>IF($R29="",0,$N29*$AD29*INDEX(Act_Type_Repex_Splits,MATCH($I29,Act_Type_Repex,0),MATCH(BS$5,Mat_Type,0))*INDEX(Escalators!$I$44:$U$49,MATCH(BS$5,Escalators!$C$44:$C$49,0),MATCH(BS$6,Escalators!$I$43:$U$43,0)))</f>
        <v>0</v>
      </c>
      <c r="BT29" s="47">
        <f t="shared" ref="BT29:BT37" si="21">SUM(BO29:BS29)</f>
        <v>0</v>
      </c>
      <c r="BU29" s="47">
        <f>IF($R29="",0,$O29*$AD29*INDEX(Act_Type_Repex_Splits,MATCH($I29,Act_Type_Repex,0),MATCH(BU$5,Mat_Type,0))*INDEX(Escalators!$I$44:$U$49,MATCH(BU$5,Escalators!$C$44:$C$49,0),MATCH(BU$6,Escalators!$I$43:$U$43,0)))</f>
        <v>0</v>
      </c>
      <c r="BV29" s="47">
        <f>IF($R29="",0,$O29*$AD29*INDEX(Act_Type_Repex_Splits,MATCH($I29,Act_Type_Repex,0),MATCH(BV$5,Mat_Type,0))*INDEX(Escalators!$I$44:$U$49,MATCH(BV$5,Escalators!$C$44:$C$49,0),MATCH(BV$6,Escalators!$I$43:$U$43,0)))</f>
        <v>0</v>
      </c>
      <c r="BW29" s="47">
        <f>IF($R29="",0,$O29*$AD29*INDEX(Act_Type_Repex_Splits,MATCH($I29,Act_Type_Repex,0),MATCH(BW$5,Mat_Type,0))*INDEX(Escalators!$I$44:$U$49,MATCH(BW$5,Escalators!$C$44:$C$49,0),MATCH(BW$6,Escalators!$I$43:$U$43,0)))</f>
        <v>0</v>
      </c>
      <c r="BX29" s="47">
        <f>IF($R29="",0,$O29*$AD29*INDEX(Act_Type_Repex_Splits,MATCH($I29,Act_Type_Repex,0),MATCH(BX$5,Mat_Type,0))*INDEX(Escalators!$I$44:$U$49,MATCH(BX$5,Escalators!$C$44:$C$49,0),MATCH(BX$6,Escalators!$I$43:$U$43,0)))</f>
        <v>0</v>
      </c>
      <c r="BY29" s="47">
        <f>IF($R29="",0,$O29*$AD29*INDEX(Act_Type_Repex_Splits,MATCH($I29,Act_Type_Repex,0),MATCH(BY$5,Mat_Type,0))*INDEX(Escalators!$I$44:$U$49,MATCH(BY$5,Escalators!$C$44:$C$49,0),MATCH(BY$6,Escalators!$I$43:$U$43,0)))</f>
        <v>0</v>
      </c>
      <c r="BZ29" s="47">
        <f t="shared" ref="BZ29:BZ37" si="22">SUM(BU29:BY29)</f>
        <v>0</v>
      </c>
      <c r="CA29" s="47">
        <f>IF($R29="",0,$P29*$AD29*INDEX(Act_Type_Repex_Splits,MATCH($I29,Act_Type_Repex,0),MATCH(CA$5,Mat_Type,0))*INDEX(Escalators!$I$44:$U$49,MATCH(CA$5,Escalators!$C$44:$C$49,0),MATCH(CA$6,Escalators!$I$43:$U$43,0)))</f>
        <v>0</v>
      </c>
      <c r="CB29" s="47">
        <f>IF($R29="",0,$P29*$AD29*INDEX(Act_Type_Repex_Splits,MATCH($I29,Act_Type_Repex,0),MATCH(CB$5,Mat_Type,0))*INDEX(Escalators!$I$44:$U$49,MATCH(CB$5,Escalators!$C$44:$C$49,0),MATCH(CB$6,Escalators!$I$43:$U$43,0)))</f>
        <v>0</v>
      </c>
      <c r="CC29" s="47">
        <f>IF($R29="",0,$P29*$AD29*INDEX(Act_Type_Repex_Splits,MATCH($I29,Act_Type_Repex,0),MATCH(CC$5,Mat_Type,0))*INDEX(Escalators!$I$44:$U$49,MATCH(CC$5,Escalators!$C$44:$C$49,0),MATCH(CC$6,Escalators!$I$43:$U$43,0)))</f>
        <v>0</v>
      </c>
      <c r="CD29" s="47">
        <f>IF($R29="",0,$P29*$AD29*INDEX(Act_Type_Repex_Splits,MATCH($I29,Act_Type_Repex,0),MATCH(CD$5,Mat_Type,0))*INDEX(Escalators!$I$44:$U$49,MATCH(CD$5,Escalators!$C$44:$C$49,0),MATCH(CD$6,Escalators!$I$43:$U$43,0)))</f>
        <v>0</v>
      </c>
      <c r="CE29" s="47">
        <f>IF($R29="",0,$P29*$AD29*INDEX(Act_Type_Repex_Splits,MATCH($I29,Act_Type_Repex,0),MATCH(CE$5,Mat_Type,0))*INDEX(Escalators!$I$44:$U$49,MATCH(CE$5,Escalators!$C$44:$C$49,0),MATCH(CE$6,Escalators!$I$43:$U$43,0)))</f>
        <v>0</v>
      </c>
      <c r="CF29" s="47">
        <f t="shared" ref="CF29:CF37" si="23">SUM(CA29:CE29)</f>
        <v>0</v>
      </c>
      <c r="CG29" s="47">
        <f>IF($R29="",0,$Q29*$AD29*INDEX(Act_Type_Repex_Splits,MATCH($I29,Act_Type_Repex,0),MATCH(CG$5,Mat_Type,0))*INDEX(Escalators!$I$44:$U$49,MATCH(CG$5,Escalators!$C$44:$C$49,0),MATCH(CG$6,Escalators!$I$43:$U$43,0)))</f>
        <v>0</v>
      </c>
      <c r="CH29" s="47">
        <f>IF($R29="",0,$Q29*$AD29*INDEX(Act_Type_Repex_Splits,MATCH($I29,Act_Type_Repex,0),MATCH(CH$5,Mat_Type,0))*INDEX(Escalators!$I$44:$U$49,MATCH(CH$5,Escalators!$C$44:$C$49,0),MATCH(CH$6,Escalators!$I$43:$U$43,0)))</f>
        <v>0</v>
      </c>
      <c r="CI29" s="47">
        <f>IF($R29="",0,$Q29*$AD29*INDEX(Act_Type_Repex_Splits,MATCH($I29,Act_Type_Repex,0),MATCH(CI$5,Mat_Type,0))*INDEX(Escalators!$I$44:$U$49,MATCH(CI$5,Escalators!$C$44:$C$49,0),MATCH(CI$6,Escalators!$I$43:$U$43,0)))</f>
        <v>0</v>
      </c>
      <c r="CJ29" s="47">
        <f>IF($R29="",0,$Q29*$AD29*INDEX(Act_Type_Repex_Splits,MATCH($I29,Act_Type_Repex,0),MATCH(CJ$5,Mat_Type,0))*INDEX(Escalators!$I$44:$U$49,MATCH(CJ$5,Escalators!$C$44:$C$49,0),MATCH(CJ$6,Escalators!$I$43:$U$43,0)))</f>
        <v>0</v>
      </c>
      <c r="CK29" s="47">
        <f>IF($R29="",0,$Q29*$AD29*INDEX(Act_Type_Repex_Splits,MATCH($I29,Act_Type_Repex,0),MATCH(CK$5,Mat_Type,0))*INDEX(Escalators!$I$44:$U$49,MATCH(CK$5,Escalators!$C$44:$C$49,0),MATCH(CK$6,Escalators!$I$43:$U$43,0)))</f>
        <v>0</v>
      </c>
      <c r="CL29" s="47">
        <f t="shared" ref="CL29:CL37" si="24">SUM(CG29:CK29)</f>
        <v>0</v>
      </c>
      <c r="CN29" s="47">
        <f>IF($R29="",0,J29*$AE29*HLOOKUP(CN$6,Escalators!$I$25:$U$30,6,FALSE))</f>
        <v>0</v>
      </c>
      <c r="CO29" s="47">
        <f>IF($R29="",0,K29*$AE29*HLOOKUP(CO$6,Escalators!$I$25:$U$30,6,FALSE))</f>
        <v>0</v>
      </c>
      <c r="CP29" s="47">
        <f>IF($R29="",0,L29*$AE29*HLOOKUP(CP$6,Escalators!$I$25:$U$30,6,FALSE))</f>
        <v>0</v>
      </c>
      <c r="CQ29" s="47">
        <f>IF($R29="",0,M29*$AE29*HLOOKUP(CQ$6,Escalators!$I$25:$U$30,6,FALSE))</f>
        <v>0</v>
      </c>
      <c r="CR29" s="47">
        <f>IF($R29="",0,N29*$AE29*HLOOKUP(CR$6,Escalators!$I$25:$U$30,6,FALSE))</f>
        <v>0</v>
      </c>
      <c r="CS29" s="47">
        <f>IF($R29="",0,O29*$AE29*HLOOKUP(CS$6,Escalators!$I$25:$U$30,6,FALSE))</f>
        <v>0</v>
      </c>
      <c r="CT29" s="47">
        <f>IF($R29="",0,P29*$AE29*HLOOKUP(CT$6,Escalators!$I$25:$U$30,6,FALSE))</f>
        <v>0</v>
      </c>
      <c r="CU29" s="47">
        <f>IF($R29="",0,Q29*$AE29*HLOOKUP(CU$6,Escalators!$I$25:$U$30,6,FALSE))</f>
        <v>0</v>
      </c>
      <c r="CW29" s="47">
        <f t="shared" ref="CW29:CW37" si="25">IF($R29="",0,J29*$AF29)</f>
        <v>0</v>
      </c>
      <c r="CX29" s="47">
        <f t="shared" ref="CX29:CX37" si="26">IF($R29="",0,K29*$AF29)</f>
        <v>0</v>
      </c>
      <c r="CY29" s="47">
        <f t="shared" ref="CY29:CY37" si="27">IF($R29="",0,L29*$AF29)</f>
        <v>0</v>
      </c>
      <c r="CZ29" s="47">
        <f t="shared" ref="CZ29:CZ37" si="28">IF($R29="",0,M29*$AF29)</f>
        <v>0</v>
      </c>
      <c r="DA29" s="47">
        <f t="shared" ref="DA29:DA37" si="29">IF($R29="",0,N29*$AF29)</f>
        <v>0</v>
      </c>
      <c r="DB29" s="47">
        <f t="shared" ref="DB29:DB37" si="30">IF($R29="",0,O29*$AF29)</f>
        <v>0</v>
      </c>
      <c r="DC29" s="47">
        <f t="shared" ref="DC29:DC37" si="31">IF($R29="",0,P29*$AF29)</f>
        <v>0</v>
      </c>
      <c r="DD29" s="47">
        <f t="shared" ref="DD29:DD37" si="32">IF($R29="",0,Q29*$AF29)</f>
        <v>0</v>
      </c>
      <c r="DF29" s="47">
        <f t="shared" ref="DF29:DF37" si="33">AH29+AV29+CN29+CW29</f>
        <v>0</v>
      </c>
      <c r="DG29" s="47">
        <f t="shared" ref="DG29:DG37" si="34">AI29+BB29+CO29+CX29</f>
        <v>0</v>
      </c>
      <c r="DH29" s="47">
        <f t="shared" ref="DH29:DH37" si="35">AJ29+BH29+CP29+CY29</f>
        <v>0</v>
      </c>
      <c r="DI29" s="47">
        <f t="shared" ref="DI29:DI37" si="36">AK29+BN29+CQ29+CZ29</f>
        <v>0</v>
      </c>
      <c r="DJ29" s="47">
        <f t="shared" ref="DJ29:DJ37" si="37">AL29+BT29+CR29+DA29</f>
        <v>0</v>
      </c>
      <c r="DK29" s="47">
        <f t="shared" ref="DK29:DK37" si="38">AM29+BZ29+CS29+DB29</f>
        <v>0</v>
      </c>
      <c r="DL29" s="47">
        <f t="shared" ref="DL29:DL37" si="39">AN29+CF29+CT29+DC29</f>
        <v>0</v>
      </c>
      <c r="DM29" s="47">
        <f t="shared" ref="DM29:DM37" si="40">AO29+CL29+CU29+DD29</f>
        <v>0</v>
      </c>
      <c r="DO29" s="39"/>
    </row>
    <row r="30" spans="2:124" x14ac:dyDescent="0.25">
      <c r="B30" s="7"/>
      <c r="C30" s="7"/>
      <c r="D30" s="7"/>
      <c r="E30" s="7"/>
      <c r="F30" s="7"/>
      <c r="G30" s="7"/>
      <c r="H30" s="7"/>
      <c r="I30" s="7"/>
      <c r="J30" s="7"/>
      <c r="K30" s="7"/>
      <c r="L30" s="7"/>
      <c r="M30" s="7"/>
      <c r="N30" s="7"/>
      <c r="O30" s="7"/>
      <c r="P30" s="7"/>
      <c r="Q30" s="7"/>
      <c r="R30" s="46"/>
      <c r="T30" s="47">
        <f t="shared" si="8"/>
        <v>0</v>
      </c>
      <c r="U30" s="47">
        <f t="shared" si="9"/>
        <v>0</v>
      </c>
      <c r="V30" s="47">
        <f t="shared" si="10"/>
        <v>0</v>
      </c>
      <c r="W30" s="47">
        <f t="shared" si="11"/>
        <v>0</v>
      </c>
      <c r="X30" s="47">
        <f t="shared" si="12"/>
        <v>0</v>
      </c>
      <c r="Y30" s="47">
        <f t="shared" si="13"/>
        <v>0</v>
      </c>
      <c r="Z30" s="47">
        <f t="shared" si="14"/>
        <v>0</v>
      </c>
      <c r="AA30" s="47">
        <f t="shared" si="15"/>
        <v>0</v>
      </c>
      <c r="AC30" s="82">
        <f t="shared" si="16"/>
        <v>0</v>
      </c>
      <c r="AD30" s="82">
        <f t="shared" si="16"/>
        <v>0</v>
      </c>
      <c r="AE30" s="82">
        <f t="shared" si="16"/>
        <v>0</v>
      </c>
      <c r="AF30" s="82">
        <f t="shared" si="16"/>
        <v>0</v>
      </c>
      <c r="AH30" s="47">
        <f>IF($R30="",0,J30*$AC30*HLOOKUP(AH$6,Escalators!$I$25:$U$30,3,FALSE))</f>
        <v>0</v>
      </c>
      <c r="AI30" s="47">
        <f>IF($R30="",0,K30*$AC30*HLOOKUP(AI$6,Escalators!$I$25:$U$30,3,FALSE))</f>
        <v>0</v>
      </c>
      <c r="AJ30" s="47">
        <f>IF($R30="",0,L30*$AC30*HLOOKUP(AJ$6,Escalators!$I$25:$U$30,3,FALSE))</f>
        <v>0</v>
      </c>
      <c r="AK30" s="47">
        <f>IF($R30="",0,M30*$AC30*HLOOKUP(AK$6,Escalators!$I$25:$U$30,3,FALSE))</f>
        <v>0</v>
      </c>
      <c r="AL30" s="47">
        <f>IF($R30="",0,N30*$AC30*HLOOKUP(AL$6,Escalators!$I$25:$U$30,3,FALSE))</f>
        <v>0</v>
      </c>
      <c r="AM30" s="47">
        <f>IF($R30="",0,O30*$AC30*HLOOKUP(AM$6,Escalators!$I$25:$U$30,3,FALSE))</f>
        <v>0</v>
      </c>
      <c r="AN30" s="47">
        <f>IF($R30="",0,P30*$AC30*HLOOKUP(AN$6,Escalators!$I$25:$U$30,3,FALSE))</f>
        <v>0</v>
      </c>
      <c r="AO30" s="47">
        <f>IF($R30="",0,Q30*$AC30*HLOOKUP(AO$6,Escalators!$I$25:$U$30,3,FALSE))</f>
        <v>0</v>
      </c>
      <c r="AQ30" s="6">
        <f>IF($R30="",0,$J30*$AD30*INDEX(Act_Type_Repex_Splits,MATCH($I30,Act_Type_Repex,0),MATCH(AQ$5,Mat_Type,0))*INDEX(Escalators!$I$44:$Q$49,MATCH(AQ$5,Escalators!$C$44:$C$49,0),MATCH(AQ$6,Escalators!$I$43:$Q$43,0)))</f>
        <v>0</v>
      </c>
      <c r="AR30" s="6">
        <f>IF($R30="",0,$J30*$AD30*INDEX(Act_Type_Repex_Splits,MATCH($I30,Act_Type_Repex,0),MATCH(AR$5,Mat_Type,0))*INDEX(Escalators!$I$44:$Q$49,MATCH(AR$5,Escalators!$C$44:$C$49,0),MATCH(AR$6,Escalators!$I$43:$Q$43,0)))</f>
        <v>0</v>
      </c>
      <c r="AS30" s="6">
        <f>IF($R30="",0,$J30*$AD30*INDEX(Act_Type_Repex_Splits,MATCH($I30,Act_Type_Repex,0),MATCH(AS$5,Mat_Type,0))*INDEX(Escalators!$I$44:$Q$49,MATCH(AS$5,Escalators!$C$44:$C$49,0),MATCH(AS$6,Escalators!$I$43:$Q$43,0)))</f>
        <v>0</v>
      </c>
      <c r="AT30" s="6">
        <f>IF($R30="",0,$J30*$AD30*INDEX(Act_Type_Repex_Splits,MATCH($I30,Act_Type_Repex,0),MATCH(AT$5,Mat_Type,0))*INDEX(Escalators!$I$44:$Q$49,MATCH(AT$5,Escalators!$C$44:$C$49,0),MATCH(AT$6,Escalators!$I$43:$Q$43,0)))</f>
        <v>0</v>
      </c>
      <c r="AU30" s="6">
        <f>IF($R30="",0,$J30*$AD30*INDEX(Act_Type_Repex_Splits,MATCH($I30,Act_Type_Repex,0),MATCH(AU$5,Mat_Type,0))*INDEX(Escalators!$I$44:$Q$49,MATCH(AU$5,Escalators!$C$44:$C$49,0),MATCH(AU$6,Escalators!$I$43:$Q$43,0)))</f>
        <v>0</v>
      </c>
      <c r="AV30" s="47">
        <f t="shared" si="17"/>
        <v>0</v>
      </c>
      <c r="AW30" s="47">
        <f>IF($R30="",0,$K30*$AD30*INDEX(Act_Type_Repex_Splits,MATCH($I30,Act_Type_Repex,0),MATCH(AW$5,Mat_Type,0))*INDEX(Escalators!$I$44:$U$49,MATCH(AW$5,Escalators!$C$44:$C$49,0),MATCH(AW$6,Escalators!$I$43:$U$43,0)))</f>
        <v>0</v>
      </c>
      <c r="AX30" s="47">
        <f>IF($R30="",0,$K30*$AD30*INDEX(Act_Type_Repex_Splits,MATCH($I30,Act_Type_Repex,0),MATCH(AX$5,Mat_Type,0))*INDEX(Escalators!$I$44:$U$49,MATCH(AX$5,Escalators!$C$44:$C$49,0),MATCH(AX$6,Escalators!$I$43:$U$43,0)))</f>
        <v>0</v>
      </c>
      <c r="AY30" s="47">
        <f>IF($R30="",0,$K30*$AD30*INDEX(Act_Type_Repex_Splits,MATCH($I30,Act_Type_Repex,0),MATCH(AY$5,Mat_Type,0))*INDEX(Escalators!$I$44:$U$49,MATCH(AY$5,Escalators!$C$44:$C$49,0),MATCH(AY$6,Escalators!$I$43:$U$43,0)))</f>
        <v>0</v>
      </c>
      <c r="AZ30" s="47">
        <f>IF($R30="",0,$K30*$AD30*INDEX(Act_Type_Repex_Splits,MATCH($I30,Act_Type_Repex,0),MATCH(AZ$5,Mat_Type,0))*INDEX(Escalators!$I$44:$U$49,MATCH(AZ$5,Escalators!$C$44:$C$49,0),MATCH(AZ$6,Escalators!$I$43:$U$43,0)))</f>
        <v>0</v>
      </c>
      <c r="BA30" s="47">
        <f>IF($R30="",0,$K30*$AD30*INDEX(Act_Type_Repex_Splits,MATCH($I30,Act_Type_Repex,0),MATCH(BA$5,Mat_Type,0))*INDEX(Escalators!$I$44:$U$49,MATCH(BA$5,Escalators!$C$44:$C$49,0),MATCH(BA$6,Escalators!$I$43:$U$43,0)))</f>
        <v>0</v>
      </c>
      <c r="BB30" s="47">
        <f t="shared" si="18"/>
        <v>0</v>
      </c>
      <c r="BC30" s="47">
        <f>IF($R30="",0,$L30*$AD30*INDEX(Act_Type_Repex_Splits,MATCH($I30,Act_Type_Repex,0),MATCH(BC$5,Mat_Type,0))*INDEX(Escalators!$I$44:$U$49,MATCH(BC$5,Escalators!$C$44:$C$49,0),MATCH(BC$6,Escalators!$I$43:$U$43,0)))</f>
        <v>0</v>
      </c>
      <c r="BD30" s="47">
        <f>IF($R30="",0,$L30*$AD30*INDEX(Act_Type_Repex_Splits,MATCH($I30,Act_Type_Repex,0),MATCH(BD$5,Mat_Type,0))*INDEX(Escalators!$I$44:$U$49,MATCH(BD$5,Escalators!$C$44:$C$49,0),MATCH(BD$6,Escalators!$I$43:$U$43,0)))</f>
        <v>0</v>
      </c>
      <c r="BE30" s="47">
        <f>IF($R30="",0,$L30*$AD30*INDEX(Act_Type_Repex_Splits,MATCH($I30,Act_Type_Repex,0),MATCH(BE$5,Mat_Type,0))*INDEX(Escalators!$I$44:$U$49,MATCH(BE$5,Escalators!$C$44:$C$49,0),MATCH(BE$6,Escalators!$I$43:$U$43,0)))</f>
        <v>0</v>
      </c>
      <c r="BF30" s="47">
        <f>IF($R30="",0,$L30*$AD30*INDEX(Act_Type_Repex_Splits,MATCH($I30,Act_Type_Repex,0),MATCH(BF$5,Mat_Type,0))*INDEX(Escalators!$I$44:$U$49,MATCH(BF$5,Escalators!$C$44:$C$49,0),MATCH(BF$6,Escalators!$I$43:$U$43,0)))</f>
        <v>0</v>
      </c>
      <c r="BG30" s="47">
        <f>IF($R30="",0,$L30*$AD30*INDEX(Act_Type_Repex_Splits,MATCH($I30,Act_Type_Repex,0),MATCH(BG$5,Mat_Type,0))*INDEX(Escalators!$I$44:$U$49,MATCH(BG$5,Escalators!$C$44:$C$49,0),MATCH(BG$6,Escalators!$I$43:$U$43,0)))</f>
        <v>0</v>
      </c>
      <c r="BH30" s="47">
        <f t="shared" si="19"/>
        <v>0</v>
      </c>
      <c r="BI30" s="47">
        <f>IF($R30="",0,$M30*$AD30*INDEX(Act_Type_Repex_Splits,MATCH($I30,Act_Type_Repex,0),MATCH(BI$5,Mat_Type,0))*INDEX(Escalators!$I$44:$U$49,MATCH(BI$5,Escalators!$C$44:$C$49,0),MATCH(BI$6,Escalators!$I$43:$U$43,0)))</f>
        <v>0</v>
      </c>
      <c r="BJ30" s="47">
        <f>IF($R30="",0,$M30*$AD30*INDEX(Act_Type_Repex_Splits,MATCH($I30,Act_Type_Repex,0),MATCH(BJ$5,Mat_Type,0))*INDEX(Escalators!$I$44:$U$49,MATCH(BJ$5,Escalators!$C$44:$C$49,0),MATCH(BJ$6,Escalators!$I$43:$U$43,0)))</f>
        <v>0</v>
      </c>
      <c r="BK30" s="47">
        <f>IF($R30="",0,$M30*$AD30*INDEX(Act_Type_Repex_Splits,MATCH($I30,Act_Type_Repex,0),MATCH(BK$5,Mat_Type,0))*INDEX(Escalators!$I$44:$U$49,MATCH(BK$5,Escalators!$C$44:$C$49,0),MATCH(BK$6,Escalators!$I$43:$U$43,0)))</f>
        <v>0</v>
      </c>
      <c r="BL30" s="47">
        <f>IF($R30="",0,$M30*$AD30*INDEX(Act_Type_Repex_Splits,MATCH($I30,Act_Type_Repex,0),MATCH(BL$5,Mat_Type,0))*INDEX(Escalators!$I$44:$U$49,MATCH(BL$5,Escalators!$C$44:$C$49,0),MATCH(BL$6,Escalators!$I$43:$U$43,0)))</f>
        <v>0</v>
      </c>
      <c r="BM30" s="47">
        <f>IF($R30="",0,$M30*$AD30*INDEX(Act_Type_Repex_Splits,MATCH($I30,Act_Type_Repex,0),MATCH(BM$5,Mat_Type,0))*INDEX(Escalators!$I$44:$U$49,MATCH(BM$5,Escalators!$C$44:$C$49,0),MATCH(BM$6,Escalators!$I$43:$U$43,0)))</f>
        <v>0</v>
      </c>
      <c r="BN30" s="47">
        <f t="shared" si="20"/>
        <v>0</v>
      </c>
      <c r="BO30" s="47">
        <f>IF($R30="",0,$N30*$AD30*INDEX(Act_Type_Repex_Splits,MATCH($I30,Act_Type_Repex,0),MATCH(BO$5,Mat_Type,0))*INDEX(Escalators!$I$44:$U$49,MATCH(BO$5,Escalators!$C$44:$C$49,0),MATCH(BO$6,Escalators!$I$43:$U$43,0)))</f>
        <v>0</v>
      </c>
      <c r="BP30" s="47">
        <f>IF($R30="",0,$N30*$AD30*INDEX(Act_Type_Repex_Splits,MATCH($I30,Act_Type_Repex,0),MATCH(BP$5,Mat_Type,0))*INDEX(Escalators!$I$44:$U$49,MATCH(BP$5,Escalators!$C$44:$C$49,0),MATCH(BP$6,Escalators!$I$43:$U$43,0)))</f>
        <v>0</v>
      </c>
      <c r="BQ30" s="47">
        <f>IF($R30="",0,$N30*$AD30*INDEX(Act_Type_Repex_Splits,MATCH($I30,Act_Type_Repex,0),MATCH(BQ$5,Mat_Type,0))*INDEX(Escalators!$I$44:$U$49,MATCH(BQ$5,Escalators!$C$44:$C$49,0),MATCH(BQ$6,Escalators!$I$43:$U$43,0)))</f>
        <v>0</v>
      </c>
      <c r="BR30" s="47">
        <f>IF($R30="",0,$N30*$AD30*INDEX(Act_Type_Repex_Splits,MATCH($I30,Act_Type_Repex,0),MATCH(BR$5,Mat_Type,0))*INDEX(Escalators!$I$44:$U$49,MATCH(BR$5,Escalators!$C$44:$C$49,0),MATCH(BR$6,Escalators!$I$43:$U$43,0)))</f>
        <v>0</v>
      </c>
      <c r="BS30" s="47">
        <f>IF($R30="",0,$N30*$AD30*INDEX(Act_Type_Repex_Splits,MATCH($I30,Act_Type_Repex,0),MATCH(BS$5,Mat_Type,0))*INDEX(Escalators!$I$44:$U$49,MATCH(BS$5,Escalators!$C$44:$C$49,0),MATCH(BS$6,Escalators!$I$43:$U$43,0)))</f>
        <v>0</v>
      </c>
      <c r="BT30" s="47">
        <f t="shared" si="21"/>
        <v>0</v>
      </c>
      <c r="BU30" s="47">
        <f>IF($R30="",0,$O30*$AD30*INDEX(Act_Type_Repex_Splits,MATCH($I30,Act_Type_Repex,0),MATCH(BU$5,Mat_Type,0))*INDEX(Escalators!$I$44:$U$49,MATCH(BU$5,Escalators!$C$44:$C$49,0),MATCH(BU$6,Escalators!$I$43:$U$43,0)))</f>
        <v>0</v>
      </c>
      <c r="BV30" s="47">
        <f>IF($R30="",0,$O30*$AD30*INDEX(Act_Type_Repex_Splits,MATCH($I30,Act_Type_Repex,0),MATCH(BV$5,Mat_Type,0))*INDEX(Escalators!$I$44:$U$49,MATCH(BV$5,Escalators!$C$44:$C$49,0),MATCH(BV$6,Escalators!$I$43:$U$43,0)))</f>
        <v>0</v>
      </c>
      <c r="BW30" s="47">
        <f>IF($R30="",0,$O30*$AD30*INDEX(Act_Type_Repex_Splits,MATCH($I30,Act_Type_Repex,0),MATCH(BW$5,Mat_Type,0))*INDEX(Escalators!$I$44:$U$49,MATCH(BW$5,Escalators!$C$44:$C$49,0),MATCH(BW$6,Escalators!$I$43:$U$43,0)))</f>
        <v>0</v>
      </c>
      <c r="BX30" s="47">
        <f>IF($R30="",0,$O30*$AD30*INDEX(Act_Type_Repex_Splits,MATCH($I30,Act_Type_Repex,0),MATCH(BX$5,Mat_Type,0))*INDEX(Escalators!$I$44:$U$49,MATCH(BX$5,Escalators!$C$44:$C$49,0),MATCH(BX$6,Escalators!$I$43:$U$43,0)))</f>
        <v>0</v>
      </c>
      <c r="BY30" s="47">
        <f>IF($R30="",0,$O30*$AD30*INDEX(Act_Type_Repex_Splits,MATCH($I30,Act_Type_Repex,0),MATCH(BY$5,Mat_Type,0))*INDEX(Escalators!$I$44:$U$49,MATCH(BY$5,Escalators!$C$44:$C$49,0),MATCH(BY$6,Escalators!$I$43:$U$43,0)))</f>
        <v>0</v>
      </c>
      <c r="BZ30" s="47">
        <f t="shared" si="22"/>
        <v>0</v>
      </c>
      <c r="CA30" s="47">
        <f>IF($R30="",0,$P30*$AD30*INDEX(Act_Type_Repex_Splits,MATCH($I30,Act_Type_Repex,0),MATCH(CA$5,Mat_Type,0))*INDEX(Escalators!$I$44:$U$49,MATCH(CA$5,Escalators!$C$44:$C$49,0),MATCH(CA$6,Escalators!$I$43:$U$43,0)))</f>
        <v>0</v>
      </c>
      <c r="CB30" s="47">
        <f>IF($R30="",0,$P30*$AD30*INDEX(Act_Type_Repex_Splits,MATCH($I30,Act_Type_Repex,0),MATCH(CB$5,Mat_Type,0))*INDEX(Escalators!$I$44:$U$49,MATCH(CB$5,Escalators!$C$44:$C$49,0),MATCH(CB$6,Escalators!$I$43:$U$43,0)))</f>
        <v>0</v>
      </c>
      <c r="CC30" s="47">
        <f>IF($R30="",0,$P30*$AD30*INDEX(Act_Type_Repex_Splits,MATCH($I30,Act_Type_Repex,0),MATCH(CC$5,Mat_Type,0))*INDEX(Escalators!$I$44:$U$49,MATCH(CC$5,Escalators!$C$44:$C$49,0),MATCH(CC$6,Escalators!$I$43:$U$43,0)))</f>
        <v>0</v>
      </c>
      <c r="CD30" s="47">
        <f>IF($R30="",0,$P30*$AD30*INDEX(Act_Type_Repex_Splits,MATCH($I30,Act_Type_Repex,0),MATCH(CD$5,Mat_Type,0))*INDEX(Escalators!$I$44:$U$49,MATCH(CD$5,Escalators!$C$44:$C$49,0),MATCH(CD$6,Escalators!$I$43:$U$43,0)))</f>
        <v>0</v>
      </c>
      <c r="CE30" s="47">
        <f>IF($R30="",0,$P30*$AD30*INDEX(Act_Type_Repex_Splits,MATCH($I30,Act_Type_Repex,0),MATCH(CE$5,Mat_Type,0))*INDEX(Escalators!$I$44:$U$49,MATCH(CE$5,Escalators!$C$44:$C$49,0),MATCH(CE$6,Escalators!$I$43:$U$43,0)))</f>
        <v>0</v>
      </c>
      <c r="CF30" s="47">
        <f t="shared" si="23"/>
        <v>0</v>
      </c>
      <c r="CG30" s="47">
        <f>IF($R30="",0,$Q30*$AD30*INDEX(Act_Type_Repex_Splits,MATCH($I30,Act_Type_Repex,0),MATCH(CG$5,Mat_Type,0))*INDEX(Escalators!$I$44:$U$49,MATCH(CG$5,Escalators!$C$44:$C$49,0),MATCH(CG$6,Escalators!$I$43:$U$43,0)))</f>
        <v>0</v>
      </c>
      <c r="CH30" s="47">
        <f>IF($R30="",0,$Q30*$AD30*INDEX(Act_Type_Repex_Splits,MATCH($I30,Act_Type_Repex,0),MATCH(CH$5,Mat_Type,0))*INDEX(Escalators!$I$44:$U$49,MATCH(CH$5,Escalators!$C$44:$C$49,0),MATCH(CH$6,Escalators!$I$43:$U$43,0)))</f>
        <v>0</v>
      </c>
      <c r="CI30" s="47">
        <f>IF($R30="",0,$Q30*$AD30*INDEX(Act_Type_Repex_Splits,MATCH($I30,Act_Type_Repex,0),MATCH(CI$5,Mat_Type,0))*INDEX(Escalators!$I$44:$U$49,MATCH(CI$5,Escalators!$C$44:$C$49,0),MATCH(CI$6,Escalators!$I$43:$U$43,0)))</f>
        <v>0</v>
      </c>
      <c r="CJ30" s="47">
        <f>IF($R30="",0,$Q30*$AD30*INDEX(Act_Type_Repex_Splits,MATCH($I30,Act_Type_Repex,0),MATCH(CJ$5,Mat_Type,0))*INDEX(Escalators!$I$44:$U$49,MATCH(CJ$5,Escalators!$C$44:$C$49,0),MATCH(CJ$6,Escalators!$I$43:$U$43,0)))</f>
        <v>0</v>
      </c>
      <c r="CK30" s="47">
        <f>IF($R30="",0,$Q30*$AD30*INDEX(Act_Type_Repex_Splits,MATCH($I30,Act_Type_Repex,0),MATCH(CK$5,Mat_Type,0))*INDEX(Escalators!$I$44:$U$49,MATCH(CK$5,Escalators!$C$44:$C$49,0),MATCH(CK$6,Escalators!$I$43:$U$43,0)))</f>
        <v>0</v>
      </c>
      <c r="CL30" s="47">
        <f t="shared" si="24"/>
        <v>0</v>
      </c>
      <c r="CN30" s="47">
        <f>IF($R30="",0,J30*$AE30*HLOOKUP(CN$6,Escalators!$I$25:$U$30,6,FALSE))</f>
        <v>0</v>
      </c>
      <c r="CO30" s="47">
        <f>IF($R30="",0,K30*$AE30*HLOOKUP(CO$6,Escalators!$I$25:$U$30,6,FALSE))</f>
        <v>0</v>
      </c>
      <c r="CP30" s="47">
        <f>IF($R30="",0,L30*$AE30*HLOOKUP(CP$6,Escalators!$I$25:$U$30,6,FALSE))</f>
        <v>0</v>
      </c>
      <c r="CQ30" s="47">
        <f>IF($R30="",0,M30*$AE30*HLOOKUP(CQ$6,Escalators!$I$25:$U$30,6,FALSE))</f>
        <v>0</v>
      </c>
      <c r="CR30" s="47">
        <f>IF($R30="",0,N30*$AE30*HLOOKUP(CR$6,Escalators!$I$25:$U$30,6,FALSE))</f>
        <v>0</v>
      </c>
      <c r="CS30" s="47">
        <f>IF($R30="",0,O30*$AE30*HLOOKUP(CS$6,Escalators!$I$25:$U$30,6,FALSE))</f>
        <v>0</v>
      </c>
      <c r="CT30" s="47">
        <f>IF($R30="",0,P30*$AE30*HLOOKUP(CT$6,Escalators!$I$25:$U$30,6,FALSE))</f>
        <v>0</v>
      </c>
      <c r="CU30" s="47">
        <f>IF($R30="",0,Q30*$AE30*HLOOKUP(CU$6,Escalators!$I$25:$U$30,6,FALSE))</f>
        <v>0</v>
      </c>
      <c r="CW30" s="47">
        <f t="shared" si="25"/>
        <v>0</v>
      </c>
      <c r="CX30" s="47">
        <f t="shared" si="26"/>
        <v>0</v>
      </c>
      <c r="CY30" s="47">
        <f t="shared" si="27"/>
        <v>0</v>
      </c>
      <c r="CZ30" s="47">
        <f t="shared" si="28"/>
        <v>0</v>
      </c>
      <c r="DA30" s="47">
        <f t="shared" si="29"/>
        <v>0</v>
      </c>
      <c r="DB30" s="47">
        <f t="shared" si="30"/>
        <v>0</v>
      </c>
      <c r="DC30" s="47">
        <f t="shared" si="31"/>
        <v>0</v>
      </c>
      <c r="DD30" s="47">
        <f t="shared" si="32"/>
        <v>0</v>
      </c>
      <c r="DF30" s="47">
        <f t="shared" si="33"/>
        <v>0</v>
      </c>
      <c r="DG30" s="47">
        <f t="shared" si="34"/>
        <v>0</v>
      </c>
      <c r="DH30" s="47">
        <f t="shared" si="35"/>
        <v>0</v>
      </c>
      <c r="DI30" s="47">
        <f t="shared" si="36"/>
        <v>0</v>
      </c>
      <c r="DJ30" s="47">
        <f t="shared" si="37"/>
        <v>0</v>
      </c>
      <c r="DK30" s="47">
        <f t="shared" si="38"/>
        <v>0</v>
      </c>
      <c r="DL30" s="47">
        <f t="shared" si="39"/>
        <v>0</v>
      </c>
      <c r="DM30" s="47">
        <f t="shared" si="40"/>
        <v>0</v>
      </c>
      <c r="DO30" s="39"/>
    </row>
    <row r="31" spans="2:124" x14ac:dyDescent="0.25">
      <c r="B31" s="7"/>
      <c r="C31" s="7"/>
      <c r="D31" s="7"/>
      <c r="E31" s="7"/>
      <c r="F31" s="7"/>
      <c r="G31" s="7"/>
      <c r="H31" s="7"/>
      <c r="I31" s="7"/>
      <c r="J31" s="7"/>
      <c r="K31" s="7"/>
      <c r="L31" s="7"/>
      <c r="M31" s="7"/>
      <c r="N31" s="7"/>
      <c r="O31" s="7"/>
      <c r="P31" s="7"/>
      <c r="Q31" s="7"/>
      <c r="R31" s="46"/>
      <c r="T31" s="47">
        <f t="shared" si="8"/>
        <v>0</v>
      </c>
      <c r="U31" s="47">
        <f t="shared" si="9"/>
        <v>0</v>
      </c>
      <c r="V31" s="47">
        <f t="shared" si="10"/>
        <v>0</v>
      </c>
      <c r="W31" s="47">
        <f t="shared" si="11"/>
        <v>0</v>
      </c>
      <c r="X31" s="47">
        <f t="shared" si="12"/>
        <v>0</v>
      </c>
      <c r="Y31" s="47">
        <f t="shared" si="13"/>
        <v>0</v>
      </c>
      <c r="Z31" s="47">
        <f t="shared" si="14"/>
        <v>0</v>
      </c>
      <c r="AA31" s="47">
        <f t="shared" si="15"/>
        <v>0</v>
      </c>
      <c r="AC31" s="82">
        <f t="shared" si="16"/>
        <v>0</v>
      </c>
      <c r="AD31" s="82">
        <f t="shared" si="16"/>
        <v>0</v>
      </c>
      <c r="AE31" s="82">
        <f t="shared" si="16"/>
        <v>0</v>
      </c>
      <c r="AF31" s="82">
        <f t="shared" si="16"/>
        <v>0</v>
      </c>
      <c r="AH31" s="47">
        <f>IF($R31="",0,J31*$AC31*HLOOKUP(AH$6,Escalators!$I$25:$U$30,3,FALSE))</f>
        <v>0</v>
      </c>
      <c r="AI31" s="47">
        <f>IF($R31="",0,K31*$AC31*HLOOKUP(AI$6,Escalators!$I$25:$U$30,3,FALSE))</f>
        <v>0</v>
      </c>
      <c r="AJ31" s="47">
        <f>IF($R31="",0,L31*$AC31*HLOOKUP(AJ$6,Escalators!$I$25:$U$30,3,FALSE))</f>
        <v>0</v>
      </c>
      <c r="AK31" s="47">
        <f>IF($R31="",0,M31*$AC31*HLOOKUP(AK$6,Escalators!$I$25:$U$30,3,FALSE))</f>
        <v>0</v>
      </c>
      <c r="AL31" s="47">
        <f>IF($R31="",0,N31*$AC31*HLOOKUP(AL$6,Escalators!$I$25:$U$30,3,FALSE))</f>
        <v>0</v>
      </c>
      <c r="AM31" s="47">
        <f>IF($R31="",0,O31*$AC31*HLOOKUP(AM$6,Escalators!$I$25:$U$30,3,FALSE))</f>
        <v>0</v>
      </c>
      <c r="AN31" s="47">
        <f>IF($R31="",0,P31*$AC31*HLOOKUP(AN$6,Escalators!$I$25:$U$30,3,FALSE))</f>
        <v>0</v>
      </c>
      <c r="AO31" s="47">
        <f>IF($R31="",0,Q31*$AC31*HLOOKUP(AO$6,Escalators!$I$25:$U$30,3,FALSE))</f>
        <v>0</v>
      </c>
      <c r="AQ31" s="6">
        <f>IF($R31="",0,$J31*$AD31*INDEX(Act_Type_Repex_Splits,MATCH($I31,Act_Type_Repex,0),MATCH(AQ$5,Mat_Type,0))*INDEX(Escalators!$I$44:$Q$49,MATCH(AQ$5,Escalators!$C$44:$C$49,0),MATCH(AQ$6,Escalators!$I$43:$Q$43,0)))</f>
        <v>0</v>
      </c>
      <c r="AR31" s="6">
        <f>IF($R31="",0,$J31*$AD31*INDEX(Act_Type_Repex_Splits,MATCH($I31,Act_Type_Repex,0),MATCH(AR$5,Mat_Type,0))*INDEX(Escalators!$I$44:$Q$49,MATCH(AR$5,Escalators!$C$44:$C$49,0),MATCH(AR$6,Escalators!$I$43:$Q$43,0)))</f>
        <v>0</v>
      </c>
      <c r="AS31" s="6">
        <f>IF($R31="",0,$J31*$AD31*INDEX(Act_Type_Repex_Splits,MATCH($I31,Act_Type_Repex,0),MATCH(AS$5,Mat_Type,0))*INDEX(Escalators!$I$44:$Q$49,MATCH(AS$5,Escalators!$C$44:$C$49,0),MATCH(AS$6,Escalators!$I$43:$Q$43,0)))</f>
        <v>0</v>
      </c>
      <c r="AT31" s="6">
        <f>IF($R31="",0,$J31*$AD31*INDEX(Act_Type_Repex_Splits,MATCH($I31,Act_Type_Repex,0),MATCH(AT$5,Mat_Type,0))*INDEX(Escalators!$I$44:$Q$49,MATCH(AT$5,Escalators!$C$44:$C$49,0),MATCH(AT$6,Escalators!$I$43:$Q$43,0)))</f>
        <v>0</v>
      </c>
      <c r="AU31" s="6">
        <f>IF($R31="",0,$J31*$AD31*INDEX(Act_Type_Repex_Splits,MATCH($I31,Act_Type_Repex,0),MATCH(AU$5,Mat_Type,0))*INDEX(Escalators!$I$44:$Q$49,MATCH(AU$5,Escalators!$C$44:$C$49,0),MATCH(AU$6,Escalators!$I$43:$Q$43,0)))</f>
        <v>0</v>
      </c>
      <c r="AV31" s="47">
        <f t="shared" si="17"/>
        <v>0</v>
      </c>
      <c r="AW31" s="47">
        <f>IF($R31="",0,$K31*$AD31*INDEX(Act_Type_Repex_Splits,MATCH($I31,Act_Type_Repex,0),MATCH(AW$5,Mat_Type,0))*INDEX(Escalators!$I$44:$U$49,MATCH(AW$5,Escalators!$C$44:$C$49,0),MATCH(AW$6,Escalators!$I$43:$U$43,0)))</f>
        <v>0</v>
      </c>
      <c r="AX31" s="47">
        <f>IF($R31="",0,$K31*$AD31*INDEX(Act_Type_Repex_Splits,MATCH($I31,Act_Type_Repex,0),MATCH(AX$5,Mat_Type,0))*INDEX(Escalators!$I$44:$U$49,MATCH(AX$5,Escalators!$C$44:$C$49,0),MATCH(AX$6,Escalators!$I$43:$U$43,0)))</f>
        <v>0</v>
      </c>
      <c r="AY31" s="47">
        <f>IF($R31="",0,$K31*$AD31*INDEX(Act_Type_Repex_Splits,MATCH($I31,Act_Type_Repex,0),MATCH(AY$5,Mat_Type,0))*INDEX(Escalators!$I$44:$U$49,MATCH(AY$5,Escalators!$C$44:$C$49,0),MATCH(AY$6,Escalators!$I$43:$U$43,0)))</f>
        <v>0</v>
      </c>
      <c r="AZ31" s="47">
        <f>IF($R31="",0,$K31*$AD31*INDEX(Act_Type_Repex_Splits,MATCH($I31,Act_Type_Repex,0),MATCH(AZ$5,Mat_Type,0))*INDEX(Escalators!$I$44:$U$49,MATCH(AZ$5,Escalators!$C$44:$C$49,0),MATCH(AZ$6,Escalators!$I$43:$U$43,0)))</f>
        <v>0</v>
      </c>
      <c r="BA31" s="47">
        <f>IF($R31="",0,$K31*$AD31*INDEX(Act_Type_Repex_Splits,MATCH($I31,Act_Type_Repex,0),MATCH(BA$5,Mat_Type,0))*INDEX(Escalators!$I$44:$U$49,MATCH(BA$5,Escalators!$C$44:$C$49,0),MATCH(BA$6,Escalators!$I$43:$U$43,0)))</f>
        <v>0</v>
      </c>
      <c r="BB31" s="47">
        <f t="shared" si="18"/>
        <v>0</v>
      </c>
      <c r="BC31" s="47">
        <f>IF($R31="",0,$L31*$AD31*INDEX(Act_Type_Repex_Splits,MATCH($I31,Act_Type_Repex,0),MATCH(BC$5,Mat_Type,0))*INDEX(Escalators!$I$44:$U$49,MATCH(BC$5,Escalators!$C$44:$C$49,0),MATCH(BC$6,Escalators!$I$43:$U$43,0)))</f>
        <v>0</v>
      </c>
      <c r="BD31" s="47">
        <f>IF($R31="",0,$L31*$AD31*INDEX(Act_Type_Repex_Splits,MATCH($I31,Act_Type_Repex,0),MATCH(BD$5,Mat_Type,0))*INDEX(Escalators!$I$44:$U$49,MATCH(BD$5,Escalators!$C$44:$C$49,0),MATCH(BD$6,Escalators!$I$43:$U$43,0)))</f>
        <v>0</v>
      </c>
      <c r="BE31" s="47">
        <f>IF($R31="",0,$L31*$AD31*INDEX(Act_Type_Repex_Splits,MATCH($I31,Act_Type_Repex,0),MATCH(BE$5,Mat_Type,0))*INDEX(Escalators!$I$44:$U$49,MATCH(BE$5,Escalators!$C$44:$C$49,0),MATCH(BE$6,Escalators!$I$43:$U$43,0)))</f>
        <v>0</v>
      </c>
      <c r="BF31" s="47">
        <f>IF($R31="",0,$L31*$AD31*INDEX(Act_Type_Repex_Splits,MATCH($I31,Act_Type_Repex,0),MATCH(BF$5,Mat_Type,0))*INDEX(Escalators!$I$44:$U$49,MATCH(BF$5,Escalators!$C$44:$C$49,0),MATCH(BF$6,Escalators!$I$43:$U$43,0)))</f>
        <v>0</v>
      </c>
      <c r="BG31" s="47">
        <f>IF($R31="",0,$L31*$AD31*INDEX(Act_Type_Repex_Splits,MATCH($I31,Act_Type_Repex,0),MATCH(BG$5,Mat_Type,0))*INDEX(Escalators!$I$44:$U$49,MATCH(BG$5,Escalators!$C$44:$C$49,0),MATCH(BG$6,Escalators!$I$43:$U$43,0)))</f>
        <v>0</v>
      </c>
      <c r="BH31" s="47">
        <f t="shared" si="19"/>
        <v>0</v>
      </c>
      <c r="BI31" s="47">
        <f>IF($R31="",0,$M31*$AD31*INDEX(Act_Type_Repex_Splits,MATCH($I31,Act_Type_Repex,0),MATCH(BI$5,Mat_Type,0))*INDEX(Escalators!$I$44:$U$49,MATCH(BI$5,Escalators!$C$44:$C$49,0),MATCH(BI$6,Escalators!$I$43:$U$43,0)))</f>
        <v>0</v>
      </c>
      <c r="BJ31" s="47">
        <f>IF($R31="",0,$M31*$AD31*INDEX(Act_Type_Repex_Splits,MATCH($I31,Act_Type_Repex,0),MATCH(BJ$5,Mat_Type,0))*INDEX(Escalators!$I$44:$U$49,MATCH(BJ$5,Escalators!$C$44:$C$49,0),MATCH(BJ$6,Escalators!$I$43:$U$43,0)))</f>
        <v>0</v>
      </c>
      <c r="BK31" s="47">
        <f>IF($R31="",0,$M31*$AD31*INDEX(Act_Type_Repex_Splits,MATCH($I31,Act_Type_Repex,0),MATCH(BK$5,Mat_Type,0))*INDEX(Escalators!$I$44:$U$49,MATCH(BK$5,Escalators!$C$44:$C$49,0),MATCH(BK$6,Escalators!$I$43:$U$43,0)))</f>
        <v>0</v>
      </c>
      <c r="BL31" s="47">
        <f>IF($R31="",0,$M31*$AD31*INDEX(Act_Type_Repex_Splits,MATCH($I31,Act_Type_Repex,0),MATCH(BL$5,Mat_Type,0))*INDEX(Escalators!$I$44:$U$49,MATCH(BL$5,Escalators!$C$44:$C$49,0),MATCH(BL$6,Escalators!$I$43:$U$43,0)))</f>
        <v>0</v>
      </c>
      <c r="BM31" s="47">
        <f>IF($R31="",0,$M31*$AD31*INDEX(Act_Type_Repex_Splits,MATCH($I31,Act_Type_Repex,0),MATCH(BM$5,Mat_Type,0))*INDEX(Escalators!$I$44:$U$49,MATCH(BM$5,Escalators!$C$44:$C$49,0),MATCH(BM$6,Escalators!$I$43:$U$43,0)))</f>
        <v>0</v>
      </c>
      <c r="BN31" s="47">
        <f t="shared" si="20"/>
        <v>0</v>
      </c>
      <c r="BO31" s="47">
        <f>IF($R31="",0,$N31*$AD31*INDEX(Act_Type_Repex_Splits,MATCH($I31,Act_Type_Repex,0),MATCH(BO$5,Mat_Type,0))*INDEX(Escalators!$I$44:$U$49,MATCH(BO$5,Escalators!$C$44:$C$49,0),MATCH(BO$6,Escalators!$I$43:$U$43,0)))</f>
        <v>0</v>
      </c>
      <c r="BP31" s="47">
        <f>IF($R31="",0,$N31*$AD31*INDEX(Act_Type_Repex_Splits,MATCH($I31,Act_Type_Repex,0),MATCH(BP$5,Mat_Type,0))*INDEX(Escalators!$I$44:$U$49,MATCH(BP$5,Escalators!$C$44:$C$49,0),MATCH(BP$6,Escalators!$I$43:$U$43,0)))</f>
        <v>0</v>
      </c>
      <c r="BQ31" s="47">
        <f>IF($R31="",0,$N31*$AD31*INDEX(Act_Type_Repex_Splits,MATCH($I31,Act_Type_Repex,0),MATCH(BQ$5,Mat_Type,0))*INDEX(Escalators!$I$44:$U$49,MATCH(BQ$5,Escalators!$C$44:$C$49,0),MATCH(BQ$6,Escalators!$I$43:$U$43,0)))</f>
        <v>0</v>
      </c>
      <c r="BR31" s="47">
        <f>IF($R31="",0,$N31*$AD31*INDEX(Act_Type_Repex_Splits,MATCH($I31,Act_Type_Repex,0),MATCH(BR$5,Mat_Type,0))*INDEX(Escalators!$I$44:$U$49,MATCH(BR$5,Escalators!$C$44:$C$49,0),MATCH(BR$6,Escalators!$I$43:$U$43,0)))</f>
        <v>0</v>
      </c>
      <c r="BS31" s="47">
        <f>IF($R31="",0,$N31*$AD31*INDEX(Act_Type_Repex_Splits,MATCH($I31,Act_Type_Repex,0),MATCH(BS$5,Mat_Type,0))*INDEX(Escalators!$I$44:$U$49,MATCH(BS$5,Escalators!$C$44:$C$49,0),MATCH(BS$6,Escalators!$I$43:$U$43,0)))</f>
        <v>0</v>
      </c>
      <c r="BT31" s="47">
        <f t="shared" si="21"/>
        <v>0</v>
      </c>
      <c r="BU31" s="47">
        <f>IF($R31="",0,$O31*$AD31*INDEX(Act_Type_Repex_Splits,MATCH($I31,Act_Type_Repex,0),MATCH(BU$5,Mat_Type,0))*INDEX(Escalators!$I$44:$U$49,MATCH(BU$5,Escalators!$C$44:$C$49,0),MATCH(BU$6,Escalators!$I$43:$U$43,0)))</f>
        <v>0</v>
      </c>
      <c r="BV31" s="47">
        <f>IF($R31="",0,$O31*$AD31*INDEX(Act_Type_Repex_Splits,MATCH($I31,Act_Type_Repex,0),MATCH(BV$5,Mat_Type,0))*INDEX(Escalators!$I$44:$U$49,MATCH(BV$5,Escalators!$C$44:$C$49,0),MATCH(BV$6,Escalators!$I$43:$U$43,0)))</f>
        <v>0</v>
      </c>
      <c r="BW31" s="47">
        <f>IF($R31="",0,$O31*$AD31*INDEX(Act_Type_Repex_Splits,MATCH($I31,Act_Type_Repex,0),MATCH(BW$5,Mat_Type,0))*INDEX(Escalators!$I$44:$U$49,MATCH(BW$5,Escalators!$C$44:$C$49,0),MATCH(BW$6,Escalators!$I$43:$U$43,0)))</f>
        <v>0</v>
      </c>
      <c r="BX31" s="47">
        <f>IF($R31="",0,$O31*$AD31*INDEX(Act_Type_Repex_Splits,MATCH($I31,Act_Type_Repex,0),MATCH(BX$5,Mat_Type,0))*INDEX(Escalators!$I$44:$U$49,MATCH(BX$5,Escalators!$C$44:$C$49,0),MATCH(BX$6,Escalators!$I$43:$U$43,0)))</f>
        <v>0</v>
      </c>
      <c r="BY31" s="47">
        <f>IF($R31="",0,$O31*$AD31*INDEX(Act_Type_Repex_Splits,MATCH($I31,Act_Type_Repex,0),MATCH(BY$5,Mat_Type,0))*INDEX(Escalators!$I$44:$U$49,MATCH(BY$5,Escalators!$C$44:$C$49,0),MATCH(BY$6,Escalators!$I$43:$U$43,0)))</f>
        <v>0</v>
      </c>
      <c r="BZ31" s="47">
        <f t="shared" si="22"/>
        <v>0</v>
      </c>
      <c r="CA31" s="47">
        <f>IF($R31="",0,$P31*$AD31*INDEX(Act_Type_Repex_Splits,MATCH($I31,Act_Type_Repex,0),MATCH(CA$5,Mat_Type,0))*INDEX(Escalators!$I$44:$U$49,MATCH(CA$5,Escalators!$C$44:$C$49,0),MATCH(CA$6,Escalators!$I$43:$U$43,0)))</f>
        <v>0</v>
      </c>
      <c r="CB31" s="47">
        <f>IF($R31="",0,$P31*$AD31*INDEX(Act_Type_Repex_Splits,MATCH($I31,Act_Type_Repex,0),MATCH(CB$5,Mat_Type,0))*INDEX(Escalators!$I$44:$U$49,MATCH(CB$5,Escalators!$C$44:$C$49,0),MATCH(CB$6,Escalators!$I$43:$U$43,0)))</f>
        <v>0</v>
      </c>
      <c r="CC31" s="47">
        <f>IF($R31="",0,$P31*$AD31*INDEX(Act_Type_Repex_Splits,MATCH($I31,Act_Type_Repex,0),MATCH(CC$5,Mat_Type,0))*INDEX(Escalators!$I$44:$U$49,MATCH(CC$5,Escalators!$C$44:$C$49,0),MATCH(CC$6,Escalators!$I$43:$U$43,0)))</f>
        <v>0</v>
      </c>
      <c r="CD31" s="47">
        <f>IF($R31="",0,$P31*$AD31*INDEX(Act_Type_Repex_Splits,MATCH($I31,Act_Type_Repex,0),MATCH(CD$5,Mat_Type,0))*INDEX(Escalators!$I$44:$U$49,MATCH(CD$5,Escalators!$C$44:$C$49,0),MATCH(CD$6,Escalators!$I$43:$U$43,0)))</f>
        <v>0</v>
      </c>
      <c r="CE31" s="47">
        <f>IF($R31="",0,$P31*$AD31*INDEX(Act_Type_Repex_Splits,MATCH($I31,Act_Type_Repex,0),MATCH(CE$5,Mat_Type,0))*INDEX(Escalators!$I$44:$U$49,MATCH(CE$5,Escalators!$C$44:$C$49,0),MATCH(CE$6,Escalators!$I$43:$U$43,0)))</f>
        <v>0</v>
      </c>
      <c r="CF31" s="47">
        <f t="shared" si="23"/>
        <v>0</v>
      </c>
      <c r="CG31" s="47">
        <f>IF($R31="",0,$Q31*$AD31*INDEX(Act_Type_Repex_Splits,MATCH($I31,Act_Type_Repex,0),MATCH(CG$5,Mat_Type,0))*INDEX(Escalators!$I$44:$U$49,MATCH(CG$5,Escalators!$C$44:$C$49,0),MATCH(CG$6,Escalators!$I$43:$U$43,0)))</f>
        <v>0</v>
      </c>
      <c r="CH31" s="47">
        <f>IF($R31="",0,$Q31*$AD31*INDEX(Act_Type_Repex_Splits,MATCH($I31,Act_Type_Repex,0),MATCH(CH$5,Mat_Type,0))*INDEX(Escalators!$I$44:$U$49,MATCH(CH$5,Escalators!$C$44:$C$49,0),MATCH(CH$6,Escalators!$I$43:$U$43,0)))</f>
        <v>0</v>
      </c>
      <c r="CI31" s="47">
        <f>IF($R31="",0,$Q31*$AD31*INDEX(Act_Type_Repex_Splits,MATCH($I31,Act_Type_Repex,0),MATCH(CI$5,Mat_Type,0))*INDEX(Escalators!$I$44:$U$49,MATCH(CI$5,Escalators!$C$44:$C$49,0),MATCH(CI$6,Escalators!$I$43:$U$43,0)))</f>
        <v>0</v>
      </c>
      <c r="CJ31" s="47">
        <f>IF($R31="",0,$Q31*$AD31*INDEX(Act_Type_Repex_Splits,MATCH($I31,Act_Type_Repex,0),MATCH(CJ$5,Mat_Type,0))*INDEX(Escalators!$I$44:$U$49,MATCH(CJ$5,Escalators!$C$44:$C$49,0),MATCH(CJ$6,Escalators!$I$43:$U$43,0)))</f>
        <v>0</v>
      </c>
      <c r="CK31" s="47">
        <f>IF($R31="",0,$Q31*$AD31*INDEX(Act_Type_Repex_Splits,MATCH($I31,Act_Type_Repex,0),MATCH(CK$5,Mat_Type,0))*INDEX(Escalators!$I$44:$U$49,MATCH(CK$5,Escalators!$C$44:$C$49,0),MATCH(CK$6,Escalators!$I$43:$U$43,0)))</f>
        <v>0</v>
      </c>
      <c r="CL31" s="47">
        <f t="shared" si="24"/>
        <v>0</v>
      </c>
      <c r="CN31" s="47">
        <f>IF($R31="",0,J31*$AE31*HLOOKUP(CN$6,Escalators!$I$25:$U$30,6,FALSE))</f>
        <v>0</v>
      </c>
      <c r="CO31" s="47">
        <f>IF($R31="",0,K31*$AE31*HLOOKUP(CO$6,Escalators!$I$25:$U$30,6,FALSE))</f>
        <v>0</v>
      </c>
      <c r="CP31" s="47">
        <f>IF($R31="",0,L31*$AE31*HLOOKUP(CP$6,Escalators!$I$25:$U$30,6,FALSE))</f>
        <v>0</v>
      </c>
      <c r="CQ31" s="47">
        <f>IF($R31="",0,M31*$AE31*HLOOKUP(CQ$6,Escalators!$I$25:$U$30,6,FALSE))</f>
        <v>0</v>
      </c>
      <c r="CR31" s="47">
        <f>IF($R31="",0,N31*$AE31*HLOOKUP(CR$6,Escalators!$I$25:$U$30,6,FALSE))</f>
        <v>0</v>
      </c>
      <c r="CS31" s="47">
        <f>IF($R31="",0,O31*$AE31*HLOOKUP(CS$6,Escalators!$I$25:$U$30,6,FALSE))</f>
        <v>0</v>
      </c>
      <c r="CT31" s="47">
        <f>IF($R31="",0,P31*$AE31*HLOOKUP(CT$6,Escalators!$I$25:$U$30,6,FALSE))</f>
        <v>0</v>
      </c>
      <c r="CU31" s="47">
        <f>IF($R31="",0,Q31*$AE31*HLOOKUP(CU$6,Escalators!$I$25:$U$30,6,FALSE))</f>
        <v>0</v>
      </c>
      <c r="CW31" s="47">
        <f t="shared" si="25"/>
        <v>0</v>
      </c>
      <c r="CX31" s="47">
        <f t="shared" si="26"/>
        <v>0</v>
      </c>
      <c r="CY31" s="47">
        <f t="shared" si="27"/>
        <v>0</v>
      </c>
      <c r="CZ31" s="47">
        <f t="shared" si="28"/>
        <v>0</v>
      </c>
      <c r="DA31" s="47">
        <f t="shared" si="29"/>
        <v>0</v>
      </c>
      <c r="DB31" s="47">
        <f t="shared" si="30"/>
        <v>0</v>
      </c>
      <c r="DC31" s="47">
        <f t="shared" si="31"/>
        <v>0</v>
      </c>
      <c r="DD31" s="47">
        <f t="shared" si="32"/>
        <v>0</v>
      </c>
      <c r="DF31" s="47">
        <f t="shared" si="33"/>
        <v>0</v>
      </c>
      <c r="DG31" s="47">
        <f t="shared" si="34"/>
        <v>0</v>
      </c>
      <c r="DH31" s="47">
        <f t="shared" si="35"/>
        <v>0</v>
      </c>
      <c r="DI31" s="47">
        <f t="shared" si="36"/>
        <v>0</v>
      </c>
      <c r="DJ31" s="47">
        <f t="shared" si="37"/>
        <v>0</v>
      </c>
      <c r="DK31" s="47">
        <f t="shared" si="38"/>
        <v>0</v>
      </c>
      <c r="DL31" s="47">
        <f t="shared" si="39"/>
        <v>0</v>
      </c>
      <c r="DM31" s="47">
        <f t="shared" si="40"/>
        <v>0</v>
      </c>
      <c r="DO31" s="39"/>
    </row>
    <row r="32" spans="2:124" x14ac:dyDescent="0.25">
      <c r="B32" s="7"/>
      <c r="C32" s="7"/>
      <c r="D32" s="7"/>
      <c r="E32" s="7"/>
      <c r="F32" s="7"/>
      <c r="G32" s="7"/>
      <c r="H32" s="7"/>
      <c r="I32" s="7"/>
      <c r="J32" s="7"/>
      <c r="K32" s="7"/>
      <c r="L32" s="7"/>
      <c r="M32" s="7"/>
      <c r="N32" s="7"/>
      <c r="O32" s="7"/>
      <c r="P32" s="7"/>
      <c r="Q32" s="7"/>
      <c r="R32" s="46"/>
      <c r="T32" s="47">
        <f t="shared" si="8"/>
        <v>0</v>
      </c>
      <c r="U32" s="47">
        <f t="shared" si="9"/>
        <v>0</v>
      </c>
      <c r="V32" s="47">
        <f t="shared" si="10"/>
        <v>0</v>
      </c>
      <c r="W32" s="47">
        <f t="shared" si="11"/>
        <v>0</v>
      </c>
      <c r="X32" s="47">
        <f t="shared" si="12"/>
        <v>0</v>
      </c>
      <c r="Y32" s="47">
        <f t="shared" si="13"/>
        <v>0</v>
      </c>
      <c r="Z32" s="47">
        <f t="shared" si="14"/>
        <v>0</v>
      </c>
      <c r="AA32" s="47">
        <f t="shared" si="15"/>
        <v>0</v>
      </c>
      <c r="AC32" s="82">
        <f t="shared" si="16"/>
        <v>0</v>
      </c>
      <c r="AD32" s="82">
        <f t="shared" si="16"/>
        <v>0</v>
      </c>
      <c r="AE32" s="82">
        <f t="shared" si="16"/>
        <v>0</v>
      </c>
      <c r="AF32" s="82">
        <f t="shared" si="16"/>
        <v>0</v>
      </c>
      <c r="AH32" s="47">
        <f>IF($R32="",0,J32*$AC32*HLOOKUP(AH$6,Escalators!$I$25:$U$30,3,FALSE))</f>
        <v>0</v>
      </c>
      <c r="AI32" s="47">
        <f>IF($R32="",0,K32*$AC32*HLOOKUP(AI$6,Escalators!$I$25:$U$30,3,FALSE))</f>
        <v>0</v>
      </c>
      <c r="AJ32" s="47">
        <f>IF($R32="",0,L32*$AC32*HLOOKUP(AJ$6,Escalators!$I$25:$U$30,3,FALSE))</f>
        <v>0</v>
      </c>
      <c r="AK32" s="47">
        <f>IF($R32="",0,M32*$AC32*HLOOKUP(AK$6,Escalators!$I$25:$U$30,3,FALSE))</f>
        <v>0</v>
      </c>
      <c r="AL32" s="47">
        <f>IF($R32="",0,N32*$AC32*HLOOKUP(AL$6,Escalators!$I$25:$U$30,3,FALSE))</f>
        <v>0</v>
      </c>
      <c r="AM32" s="47">
        <f>IF($R32="",0,O32*$AC32*HLOOKUP(AM$6,Escalators!$I$25:$U$30,3,FALSE))</f>
        <v>0</v>
      </c>
      <c r="AN32" s="47">
        <f>IF($R32="",0,P32*$AC32*HLOOKUP(AN$6,Escalators!$I$25:$U$30,3,FALSE))</f>
        <v>0</v>
      </c>
      <c r="AO32" s="47">
        <f>IF($R32="",0,Q32*$AC32*HLOOKUP(AO$6,Escalators!$I$25:$U$30,3,FALSE))</f>
        <v>0</v>
      </c>
      <c r="AQ32" s="6">
        <f>IF($R32="",0,$J32*$AD32*INDEX(Act_Type_Repex_Splits,MATCH($I32,Act_Type_Repex,0),MATCH(AQ$5,Mat_Type,0))*INDEX(Escalators!$I$44:$Q$49,MATCH(AQ$5,Escalators!$C$44:$C$49,0),MATCH(AQ$6,Escalators!$I$43:$Q$43,0)))</f>
        <v>0</v>
      </c>
      <c r="AR32" s="6">
        <f>IF($R32="",0,$J32*$AD32*INDEX(Act_Type_Repex_Splits,MATCH($I32,Act_Type_Repex,0),MATCH(AR$5,Mat_Type,0))*INDEX(Escalators!$I$44:$Q$49,MATCH(AR$5,Escalators!$C$44:$C$49,0),MATCH(AR$6,Escalators!$I$43:$Q$43,0)))</f>
        <v>0</v>
      </c>
      <c r="AS32" s="6">
        <f>IF($R32="",0,$J32*$AD32*INDEX(Act_Type_Repex_Splits,MATCH($I32,Act_Type_Repex,0),MATCH(AS$5,Mat_Type,0))*INDEX(Escalators!$I$44:$Q$49,MATCH(AS$5,Escalators!$C$44:$C$49,0),MATCH(AS$6,Escalators!$I$43:$Q$43,0)))</f>
        <v>0</v>
      </c>
      <c r="AT32" s="6">
        <f>IF($R32="",0,$J32*$AD32*INDEX(Act_Type_Repex_Splits,MATCH($I32,Act_Type_Repex,0),MATCH(AT$5,Mat_Type,0))*INDEX(Escalators!$I$44:$Q$49,MATCH(AT$5,Escalators!$C$44:$C$49,0),MATCH(AT$6,Escalators!$I$43:$Q$43,0)))</f>
        <v>0</v>
      </c>
      <c r="AU32" s="6">
        <f>IF($R32="",0,$J32*$AD32*INDEX(Act_Type_Repex_Splits,MATCH($I32,Act_Type_Repex,0),MATCH(AU$5,Mat_Type,0))*INDEX(Escalators!$I$44:$Q$49,MATCH(AU$5,Escalators!$C$44:$C$49,0),MATCH(AU$6,Escalators!$I$43:$Q$43,0)))</f>
        <v>0</v>
      </c>
      <c r="AV32" s="47">
        <f t="shared" si="17"/>
        <v>0</v>
      </c>
      <c r="AW32" s="47">
        <f>IF($R32="",0,$K32*$AD32*INDEX(Act_Type_Repex_Splits,MATCH($I32,Act_Type_Repex,0),MATCH(AW$5,Mat_Type,0))*INDEX(Escalators!$I$44:$U$49,MATCH(AW$5,Escalators!$C$44:$C$49,0),MATCH(AW$6,Escalators!$I$43:$U$43,0)))</f>
        <v>0</v>
      </c>
      <c r="AX32" s="47">
        <f>IF($R32="",0,$K32*$AD32*INDEX(Act_Type_Repex_Splits,MATCH($I32,Act_Type_Repex,0),MATCH(AX$5,Mat_Type,0))*INDEX(Escalators!$I$44:$U$49,MATCH(AX$5,Escalators!$C$44:$C$49,0),MATCH(AX$6,Escalators!$I$43:$U$43,0)))</f>
        <v>0</v>
      </c>
      <c r="AY32" s="47">
        <f>IF($R32="",0,$K32*$AD32*INDEX(Act_Type_Repex_Splits,MATCH($I32,Act_Type_Repex,0),MATCH(AY$5,Mat_Type,0))*INDEX(Escalators!$I$44:$U$49,MATCH(AY$5,Escalators!$C$44:$C$49,0),MATCH(AY$6,Escalators!$I$43:$U$43,0)))</f>
        <v>0</v>
      </c>
      <c r="AZ32" s="47">
        <f>IF($R32="",0,$K32*$AD32*INDEX(Act_Type_Repex_Splits,MATCH($I32,Act_Type_Repex,0),MATCH(AZ$5,Mat_Type,0))*INDEX(Escalators!$I$44:$U$49,MATCH(AZ$5,Escalators!$C$44:$C$49,0),MATCH(AZ$6,Escalators!$I$43:$U$43,0)))</f>
        <v>0</v>
      </c>
      <c r="BA32" s="47">
        <f>IF($R32="",0,$K32*$AD32*INDEX(Act_Type_Repex_Splits,MATCH($I32,Act_Type_Repex,0),MATCH(BA$5,Mat_Type,0))*INDEX(Escalators!$I$44:$U$49,MATCH(BA$5,Escalators!$C$44:$C$49,0),MATCH(BA$6,Escalators!$I$43:$U$43,0)))</f>
        <v>0</v>
      </c>
      <c r="BB32" s="47">
        <f t="shared" si="18"/>
        <v>0</v>
      </c>
      <c r="BC32" s="47">
        <f>IF($R32="",0,$L32*$AD32*INDEX(Act_Type_Repex_Splits,MATCH($I32,Act_Type_Repex,0),MATCH(BC$5,Mat_Type,0))*INDEX(Escalators!$I$44:$U$49,MATCH(BC$5,Escalators!$C$44:$C$49,0),MATCH(BC$6,Escalators!$I$43:$U$43,0)))</f>
        <v>0</v>
      </c>
      <c r="BD32" s="47">
        <f>IF($R32="",0,$L32*$AD32*INDEX(Act_Type_Repex_Splits,MATCH($I32,Act_Type_Repex,0),MATCH(BD$5,Mat_Type,0))*INDEX(Escalators!$I$44:$U$49,MATCH(BD$5,Escalators!$C$44:$C$49,0),MATCH(BD$6,Escalators!$I$43:$U$43,0)))</f>
        <v>0</v>
      </c>
      <c r="BE32" s="47">
        <f>IF($R32="",0,$L32*$AD32*INDEX(Act_Type_Repex_Splits,MATCH($I32,Act_Type_Repex,0),MATCH(BE$5,Mat_Type,0))*INDEX(Escalators!$I$44:$U$49,MATCH(BE$5,Escalators!$C$44:$C$49,0),MATCH(BE$6,Escalators!$I$43:$U$43,0)))</f>
        <v>0</v>
      </c>
      <c r="BF32" s="47">
        <f>IF($R32="",0,$L32*$AD32*INDEX(Act_Type_Repex_Splits,MATCH($I32,Act_Type_Repex,0),MATCH(BF$5,Mat_Type,0))*INDEX(Escalators!$I$44:$U$49,MATCH(BF$5,Escalators!$C$44:$C$49,0),MATCH(BF$6,Escalators!$I$43:$U$43,0)))</f>
        <v>0</v>
      </c>
      <c r="BG32" s="47">
        <f>IF($R32="",0,$L32*$AD32*INDEX(Act_Type_Repex_Splits,MATCH($I32,Act_Type_Repex,0),MATCH(BG$5,Mat_Type,0))*INDEX(Escalators!$I$44:$U$49,MATCH(BG$5,Escalators!$C$44:$C$49,0),MATCH(BG$6,Escalators!$I$43:$U$43,0)))</f>
        <v>0</v>
      </c>
      <c r="BH32" s="47">
        <f t="shared" si="19"/>
        <v>0</v>
      </c>
      <c r="BI32" s="47">
        <f>IF($R32="",0,$M32*$AD32*INDEX(Act_Type_Repex_Splits,MATCH($I32,Act_Type_Repex,0),MATCH(BI$5,Mat_Type,0))*INDEX(Escalators!$I$44:$U$49,MATCH(BI$5,Escalators!$C$44:$C$49,0),MATCH(BI$6,Escalators!$I$43:$U$43,0)))</f>
        <v>0</v>
      </c>
      <c r="BJ32" s="47">
        <f>IF($R32="",0,$M32*$AD32*INDEX(Act_Type_Repex_Splits,MATCH($I32,Act_Type_Repex,0),MATCH(BJ$5,Mat_Type,0))*INDEX(Escalators!$I$44:$U$49,MATCH(BJ$5,Escalators!$C$44:$C$49,0),MATCH(BJ$6,Escalators!$I$43:$U$43,0)))</f>
        <v>0</v>
      </c>
      <c r="BK32" s="47">
        <f>IF($R32="",0,$M32*$AD32*INDEX(Act_Type_Repex_Splits,MATCH($I32,Act_Type_Repex,0),MATCH(BK$5,Mat_Type,0))*INDEX(Escalators!$I$44:$U$49,MATCH(BK$5,Escalators!$C$44:$C$49,0),MATCH(BK$6,Escalators!$I$43:$U$43,0)))</f>
        <v>0</v>
      </c>
      <c r="BL32" s="47">
        <f>IF($R32="",0,$M32*$AD32*INDEX(Act_Type_Repex_Splits,MATCH($I32,Act_Type_Repex,0),MATCH(BL$5,Mat_Type,0))*INDEX(Escalators!$I$44:$U$49,MATCH(BL$5,Escalators!$C$44:$C$49,0),MATCH(BL$6,Escalators!$I$43:$U$43,0)))</f>
        <v>0</v>
      </c>
      <c r="BM32" s="47">
        <f>IF($R32="",0,$M32*$AD32*INDEX(Act_Type_Repex_Splits,MATCH($I32,Act_Type_Repex,0),MATCH(BM$5,Mat_Type,0))*INDEX(Escalators!$I$44:$U$49,MATCH(BM$5,Escalators!$C$44:$C$49,0),MATCH(BM$6,Escalators!$I$43:$U$43,0)))</f>
        <v>0</v>
      </c>
      <c r="BN32" s="47">
        <f t="shared" si="20"/>
        <v>0</v>
      </c>
      <c r="BO32" s="47">
        <f>IF($R32="",0,$N32*$AD32*INDEX(Act_Type_Repex_Splits,MATCH($I32,Act_Type_Repex,0),MATCH(BO$5,Mat_Type,0))*INDEX(Escalators!$I$44:$U$49,MATCH(BO$5,Escalators!$C$44:$C$49,0),MATCH(BO$6,Escalators!$I$43:$U$43,0)))</f>
        <v>0</v>
      </c>
      <c r="BP32" s="47">
        <f>IF($R32="",0,$N32*$AD32*INDEX(Act_Type_Repex_Splits,MATCH($I32,Act_Type_Repex,0),MATCH(BP$5,Mat_Type,0))*INDEX(Escalators!$I$44:$U$49,MATCH(BP$5,Escalators!$C$44:$C$49,0),MATCH(BP$6,Escalators!$I$43:$U$43,0)))</f>
        <v>0</v>
      </c>
      <c r="BQ32" s="47">
        <f>IF($R32="",0,$N32*$AD32*INDEX(Act_Type_Repex_Splits,MATCH($I32,Act_Type_Repex,0),MATCH(BQ$5,Mat_Type,0))*INDEX(Escalators!$I$44:$U$49,MATCH(BQ$5,Escalators!$C$44:$C$49,0),MATCH(BQ$6,Escalators!$I$43:$U$43,0)))</f>
        <v>0</v>
      </c>
      <c r="BR32" s="47">
        <f>IF($R32="",0,$N32*$AD32*INDEX(Act_Type_Repex_Splits,MATCH($I32,Act_Type_Repex,0),MATCH(BR$5,Mat_Type,0))*INDEX(Escalators!$I$44:$U$49,MATCH(BR$5,Escalators!$C$44:$C$49,0),MATCH(BR$6,Escalators!$I$43:$U$43,0)))</f>
        <v>0</v>
      </c>
      <c r="BS32" s="47">
        <f>IF($R32="",0,$N32*$AD32*INDEX(Act_Type_Repex_Splits,MATCH($I32,Act_Type_Repex,0),MATCH(BS$5,Mat_Type,0))*INDEX(Escalators!$I$44:$U$49,MATCH(BS$5,Escalators!$C$44:$C$49,0),MATCH(BS$6,Escalators!$I$43:$U$43,0)))</f>
        <v>0</v>
      </c>
      <c r="BT32" s="47">
        <f t="shared" si="21"/>
        <v>0</v>
      </c>
      <c r="BU32" s="47">
        <f>IF($R32="",0,$O32*$AD32*INDEX(Act_Type_Repex_Splits,MATCH($I32,Act_Type_Repex,0),MATCH(BU$5,Mat_Type,0))*INDEX(Escalators!$I$44:$U$49,MATCH(BU$5,Escalators!$C$44:$C$49,0),MATCH(BU$6,Escalators!$I$43:$U$43,0)))</f>
        <v>0</v>
      </c>
      <c r="BV32" s="47">
        <f>IF($R32="",0,$O32*$AD32*INDEX(Act_Type_Repex_Splits,MATCH($I32,Act_Type_Repex,0),MATCH(BV$5,Mat_Type,0))*INDEX(Escalators!$I$44:$U$49,MATCH(BV$5,Escalators!$C$44:$C$49,0),MATCH(BV$6,Escalators!$I$43:$U$43,0)))</f>
        <v>0</v>
      </c>
      <c r="BW32" s="47">
        <f>IF($R32="",0,$O32*$AD32*INDEX(Act_Type_Repex_Splits,MATCH($I32,Act_Type_Repex,0),MATCH(BW$5,Mat_Type,0))*INDEX(Escalators!$I$44:$U$49,MATCH(BW$5,Escalators!$C$44:$C$49,0),MATCH(BW$6,Escalators!$I$43:$U$43,0)))</f>
        <v>0</v>
      </c>
      <c r="BX32" s="47">
        <f>IF($R32="",0,$O32*$AD32*INDEX(Act_Type_Repex_Splits,MATCH($I32,Act_Type_Repex,0),MATCH(BX$5,Mat_Type,0))*INDEX(Escalators!$I$44:$U$49,MATCH(BX$5,Escalators!$C$44:$C$49,0),MATCH(BX$6,Escalators!$I$43:$U$43,0)))</f>
        <v>0</v>
      </c>
      <c r="BY32" s="47">
        <f>IF($R32="",0,$O32*$AD32*INDEX(Act_Type_Repex_Splits,MATCH($I32,Act_Type_Repex,0),MATCH(BY$5,Mat_Type,0))*INDEX(Escalators!$I$44:$U$49,MATCH(BY$5,Escalators!$C$44:$C$49,0),MATCH(BY$6,Escalators!$I$43:$U$43,0)))</f>
        <v>0</v>
      </c>
      <c r="BZ32" s="47">
        <f t="shared" si="22"/>
        <v>0</v>
      </c>
      <c r="CA32" s="47">
        <f>IF($R32="",0,$P32*$AD32*INDEX(Act_Type_Repex_Splits,MATCH($I32,Act_Type_Repex,0),MATCH(CA$5,Mat_Type,0))*INDEX(Escalators!$I$44:$U$49,MATCH(CA$5,Escalators!$C$44:$C$49,0),MATCH(CA$6,Escalators!$I$43:$U$43,0)))</f>
        <v>0</v>
      </c>
      <c r="CB32" s="47">
        <f>IF($R32="",0,$P32*$AD32*INDEX(Act_Type_Repex_Splits,MATCH($I32,Act_Type_Repex,0),MATCH(CB$5,Mat_Type,0))*INDEX(Escalators!$I$44:$U$49,MATCH(CB$5,Escalators!$C$44:$C$49,0),MATCH(CB$6,Escalators!$I$43:$U$43,0)))</f>
        <v>0</v>
      </c>
      <c r="CC32" s="47">
        <f>IF($R32="",0,$P32*$AD32*INDEX(Act_Type_Repex_Splits,MATCH($I32,Act_Type_Repex,0),MATCH(CC$5,Mat_Type,0))*INDEX(Escalators!$I$44:$U$49,MATCH(CC$5,Escalators!$C$44:$C$49,0),MATCH(CC$6,Escalators!$I$43:$U$43,0)))</f>
        <v>0</v>
      </c>
      <c r="CD32" s="47">
        <f>IF($R32="",0,$P32*$AD32*INDEX(Act_Type_Repex_Splits,MATCH($I32,Act_Type_Repex,0),MATCH(CD$5,Mat_Type,0))*INDEX(Escalators!$I$44:$U$49,MATCH(CD$5,Escalators!$C$44:$C$49,0),MATCH(CD$6,Escalators!$I$43:$U$43,0)))</f>
        <v>0</v>
      </c>
      <c r="CE32" s="47">
        <f>IF($R32="",0,$P32*$AD32*INDEX(Act_Type_Repex_Splits,MATCH($I32,Act_Type_Repex,0),MATCH(CE$5,Mat_Type,0))*INDEX(Escalators!$I$44:$U$49,MATCH(CE$5,Escalators!$C$44:$C$49,0),MATCH(CE$6,Escalators!$I$43:$U$43,0)))</f>
        <v>0</v>
      </c>
      <c r="CF32" s="47">
        <f t="shared" si="23"/>
        <v>0</v>
      </c>
      <c r="CG32" s="47">
        <f>IF($R32="",0,$Q32*$AD32*INDEX(Act_Type_Repex_Splits,MATCH($I32,Act_Type_Repex,0),MATCH(CG$5,Mat_Type,0))*INDEX(Escalators!$I$44:$U$49,MATCH(CG$5,Escalators!$C$44:$C$49,0),MATCH(CG$6,Escalators!$I$43:$U$43,0)))</f>
        <v>0</v>
      </c>
      <c r="CH32" s="47">
        <f>IF($R32="",0,$Q32*$AD32*INDEX(Act_Type_Repex_Splits,MATCH($I32,Act_Type_Repex,0),MATCH(CH$5,Mat_Type,0))*INDEX(Escalators!$I$44:$U$49,MATCH(CH$5,Escalators!$C$44:$C$49,0),MATCH(CH$6,Escalators!$I$43:$U$43,0)))</f>
        <v>0</v>
      </c>
      <c r="CI32" s="47">
        <f>IF($R32="",0,$Q32*$AD32*INDEX(Act_Type_Repex_Splits,MATCH($I32,Act_Type_Repex,0),MATCH(CI$5,Mat_Type,0))*INDEX(Escalators!$I$44:$U$49,MATCH(CI$5,Escalators!$C$44:$C$49,0),MATCH(CI$6,Escalators!$I$43:$U$43,0)))</f>
        <v>0</v>
      </c>
      <c r="CJ32" s="47">
        <f>IF($R32="",0,$Q32*$AD32*INDEX(Act_Type_Repex_Splits,MATCH($I32,Act_Type_Repex,0),MATCH(CJ$5,Mat_Type,0))*INDEX(Escalators!$I$44:$U$49,MATCH(CJ$5,Escalators!$C$44:$C$49,0),MATCH(CJ$6,Escalators!$I$43:$U$43,0)))</f>
        <v>0</v>
      </c>
      <c r="CK32" s="47">
        <f>IF($R32="",0,$Q32*$AD32*INDEX(Act_Type_Repex_Splits,MATCH($I32,Act_Type_Repex,0),MATCH(CK$5,Mat_Type,0))*INDEX(Escalators!$I$44:$U$49,MATCH(CK$5,Escalators!$C$44:$C$49,0),MATCH(CK$6,Escalators!$I$43:$U$43,0)))</f>
        <v>0</v>
      </c>
      <c r="CL32" s="47">
        <f t="shared" si="24"/>
        <v>0</v>
      </c>
      <c r="CN32" s="47">
        <f>IF($R32="",0,J32*$AE32*HLOOKUP(CN$6,Escalators!$I$25:$U$30,6,FALSE))</f>
        <v>0</v>
      </c>
      <c r="CO32" s="47">
        <f>IF($R32="",0,K32*$AE32*HLOOKUP(CO$6,Escalators!$I$25:$U$30,6,FALSE))</f>
        <v>0</v>
      </c>
      <c r="CP32" s="47">
        <f>IF($R32="",0,L32*$AE32*HLOOKUP(CP$6,Escalators!$I$25:$U$30,6,FALSE))</f>
        <v>0</v>
      </c>
      <c r="CQ32" s="47">
        <f>IF($R32="",0,M32*$AE32*HLOOKUP(CQ$6,Escalators!$I$25:$U$30,6,FALSE))</f>
        <v>0</v>
      </c>
      <c r="CR32" s="47">
        <f>IF($R32="",0,N32*$AE32*HLOOKUP(CR$6,Escalators!$I$25:$U$30,6,FALSE))</f>
        <v>0</v>
      </c>
      <c r="CS32" s="47">
        <f>IF($R32="",0,O32*$AE32*HLOOKUP(CS$6,Escalators!$I$25:$U$30,6,FALSE))</f>
        <v>0</v>
      </c>
      <c r="CT32" s="47">
        <f>IF($R32="",0,P32*$AE32*HLOOKUP(CT$6,Escalators!$I$25:$U$30,6,FALSE))</f>
        <v>0</v>
      </c>
      <c r="CU32" s="47">
        <f>IF($R32="",0,Q32*$AE32*HLOOKUP(CU$6,Escalators!$I$25:$U$30,6,FALSE))</f>
        <v>0</v>
      </c>
      <c r="CW32" s="47">
        <f t="shared" si="25"/>
        <v>0</v>
      </c>
      <c r="CX32" s="47">
        <f t="shared" si="26"/>
        <v>0</v>
      </c>
      <c r="CY32" s="47">
        <f t="shared" si="27"/>
        <v>0</v>
      </c>
      <c r="CZ32" s="47">
        <f t="shared" si="28"/>
        <v>0</v>
      </c>
      <c r="DA32" s="47">
        <f t="shared" si="29"/>
        <v>0</v>
      </c>
      <c r="DB32" s="47">
        <f t="shared" si="30"/>
        <v>0</v>
      </c>
      <c r="DC32" s="47">
        <f t="shared" si="31"/>
        <v>0</v>
      </c>
      <c r="DD32" s="47">
        <f t="shared" si="32"/>
        <v>0</v>
      </c>
      <c r="DF32" s="47">
        <f t="shared" si="33"/>
        <v>0</v>
      </c>
      <c r="DG32" s="47">
        <f t="shared" si="34"/>
        <v>0</v>
      </c>
      <c r="DH32" s="47">
        <f t="shared" si="35"/>
        <v>0</v>
      </c>
      <c r="DI32" s="47">
        <f t="shared" si="36"/>
        <v>0</v>
      </c>
      <c r="DJ32" s="47">
        <f t="shared" si="37"/>
        <v>0</v>
      </c>
      <c r="DK32" s="47">
        <f t="shared" si="38"/>
        <v>0</v>
      </c>
      <c r="DL32" s="47">
        <f t="shared" si="39"/>
        <v>0</v>
      </c>
      <c r="DM32" s="47">
        <f t="shared" si="40"/>
        <v>0</v>
      </c>
      <c r="DO32" s="39"/>
    </row>
    <row r="33" spans="2:119" x14ac:dyDescent="0.25">
      <c r="B33" s="7"/>
      <c r="C33" s="7"/>
      <c r="D33" s="7"/>
      <c r="E33" s="7"/>
      <c r="F33" s="7"/>
      <c r="G33" s="7"/>
      <c r="H33" s="7"/>
      <c r="I33" s="7"/>
      <c r="J33" s="7"/>
      <c r="K33" s="7"/>
      <c r="L33" s="7"/>
      <c r="M33" s="7"/>
      <c r="N33" s="7"/>
      <c r="O33" s="7"/>
      <c r="P33" s="7"/>
      <c r="Q33" s="7"/>
      <c r="R33" s="46"/>
      <c r="T33" s="47">
        <f t="shared" si="8"/>
        <v>0</v>
      </c>
      <c r="U33" s="47">
        <f t="shared" si="9"/>
        <v>0</v>
      </c>
      <c r="V33" s="47">
        <f t="shared" si="10"/>
        <v>0</v>
      </c>
      <c r="W33" s="47">
        <f t="shared" si="11"/>
        <v>0</v>
      </c>
      <c r="X33" s="47">
        <f t="shared" si="12"/>
        <v>0</v>
      </c>
      <c r="Y33" s="47">
        <f t="shared" si="13"/>
        <v>0</v>
      </c>
      <c r="Z33" s="47">
        <f t="shared" si="14"/>
        <v>0</v>
      </c>
      <c r="AA33" s="47">
        <f t="shared" si="15"/>
        <v>0</v>
      </c>
      <c r="AC33" s="82">
        <f t="shared" si="16"/>
        <v>0</v>
      </c>
      <c r="AD33" s="82">
        <f t="shared" si="16"/>
        <v>0</v>
      </c>
      <c r="AE33" s="82">
        <f t="shared" si="16"/>
        <v>0</v>
      </c>
      <c r="AF33" s="82">
        <f t="shared" si="16"/>
        <v>0</v>
      </c>
      <c r="AH33" s="47">
        <f>IF($R33="",0,J33*$AC33*HLOOKUP(AH$6,Escalators!$I$25:$U$30,3,FALSE))</f>
        <v>0</v>
      </c>
      <c r="AI33" s="47">
        <f>IF($R33="",0,K33*$AC33*HLOOKUP(AI$6,Escalators!$I$25:$U$30,3,FALSE))</f>
        <v>0</v>
      </c>
      <c r="AJ33" s="47">
        <f>IF($R33="",0,L33*$AC33*HLOOKUP(AJ$6,Escalators!$I$25:$U$30,3,FALSE))</f>
        <v>0</v>
      </c>
      <c r="AK33" s="47">
        <f>IF($R33="",0,M33*$AC33*HLOOKUP(AK$6,Escalators!$I$25:$U$30,3,FALSE))</f>
        <v>0</v>
      </c>
      <c r="AL33" s="47">
        <f>IF($R33="",0,N33*$AC33*HLOOKUP(AL$6,Escalators!$I$25:$U$30,3,FALSE))</f>
        <v>0</v>
      </c>
      <c r="AM33" s="47">
        <f>IF($R33="",0,O33*$AC33*HLOOKUP(AM$6,Escalators!$I$25:$U$30,3,FALSE))</f>
        <v>0</v>
      </c>
      <c r="AN33" s="47">
        <f>IF($R33="",0,P33*$AC33*HLOOKUP(AN$6,Escalators!$I$25:$U$30,3,FALSE))</f>
        <v>0</v>
      </c>
      <c r="AO33" s="47">
        <f>IF($R33="",0,Q33*$AC33*HLOOKUP(AO$6,Escalators!$I$25:$U$30,3,FALSE))</f>
        <v>0</v>
      </c>
      <c r="AQ33" s="6">
        <f>IF($R33="",0,$J33*$AD33*INDEX(Act_Type_Repex_Splits,MATCH($I33,Act_Type_Repex,0),MATCH(AQ$5,Mat_Type,0))*INDEX(Escalators!$I$44:$Q$49,MATCH(AQ$5,Escalators!$C$44:$C$49,0),MATCH(AQ$6,Escalators!$I$43:$Q$43,0)))</f>
        <v>0</v>
      </c>
      <c r="AR33" s="6">
        <f>IF($R33="",0,$J33*$AD33*INDEX(Act_Type_Repex_Splits,MATCH($I33,Act_Type_Repex,0),MATCH(AR$5,Mat_Type,0))*INDEX(Escalators!$I$44:$Q$49,MATCH(AR$5,Escalators!$C$44:$C$49,0),MATCH(AR$6,Escalators!$I$43:$Q$43,0)))</f>
        <v>0</v>
      </c>
      <c r="AS33" s="6">
        <f>IF($R33="",0,$J33*$AD33*INDEX(Act_Type_Repex_Splits,MATCH($I33,Act_Type_Repex,0),MATCH(AS$5,Mat_Type,0))*INDEX(Escalators!$I$44:$Q$49,MATCH(AS$5,Escalators!$C$44:$C$49,0),MATCH(AS$6,Escalators!$I$43:$Q$43,0)))</f>
        <v>0</v>
      </c>
      <c r="AT33" s="6">
        <f>IF($R33="",0,$J33*$AD33*INDEX(Act_Type_Repex_Splits,MATCH($I33,Act_Type_Repex,0),MATCH(AT$5,Mat_Type,0))*INDEX(Escalators!$I$44:$Q$49,MATCH(AT$5,Escalators!$C$44:$C$49,0),MATCH(AT$6,Escalators!$I$43:$Q$43,0)))</f>
        <v>0</v>
      </c>
      <c r="AU33" s="6">
        <f>IF($R33="",0,$J33*$AD33*INDEX(Act_Type_Repex_Splits,MATCH($I33,Act_Type_Repex,0),MATCH(AU$5,Mat_Type,0))*INDEX(Escalators!$I$44:$Q$49,MATCH(AU$5,Escalators!$C$44:$C$49,0),MATCH(AU$6,Escalators!$I$43:$Q$43,0)))</f>
        <v>0</v>
      </c>
      <c r="AV33" s="47">
        <f t="shared" si="17"/>
        <v>0</v>
      </c>
      <c r="AW33" s="47">
        <f>IF($R33="",0,$K33*$AD33*INDEX(Act_Type_Repex_Splits,MATCH($I33,Act_Type_Repex,0),MATCH(AW$5,Mat_Type,0))*INDEX(Escalators!$I$44:$U$49,MATCH(AW$5,Escalators!$C$44:$C$49,0),MATCH(AW$6,Escalators!$I$43:$U$43,0)))</f>
        <v>0</v>
      </c>
      <c r="AX33" s="47">
        <f>IF($R33="",0,$K33*$AD33*INDEX(Act_Type_Repex_Splits,MATCH($I33,Act_Type_Repex,0),MATCH(AX$5,Mat_Type,0))*INDEX(Escalators!$I$44:$U$49,MATCH(AX$5,Escalators!$C$44:$C$49,0),MATCH(AX$6,Escalators!$I$43:$U$43,0)))</f>
        <v>0</v>
      </c>
      <c r="AY33" s="47">
        <f>IF($R33="",0,$K33*$AD33*INDEX(Act_Type_Repex_Splits,MATCH($I33,Act_Type_Repex,0),MATCH(AY$5,Mat_Type,0))*INDEX(Escalators!$I$44:$U$49,MATCH(AY$5,Escalators!$C$44:$C$49,0),MATCH(AY$6,Escalators!$I$43:$U$43,0)))</f>
        <v>0</v>
      </c>
      <c r="AZ33" s="47">
        <f>IF($R33="",0,$K33*$AD33*INDEX(Act_Type_Repex_Splits,MATCH($I33,Act_Type_Repex,0),MATCH(AZ$5,Mat_Type,0))*INDEX(Escalators!$I$44:$U$49,MATCH(AZ$5,Escalators!$C$44:$C$49,0),MATCH(AZ$6,Escalators!$I$43:$U$43,0)))</f>
        <v>0</v>
      </c>
      <c r="BA33" s="47">
        <f>IF($R33="",0,$K33*$AD33*INDEX(Act_Type_Repex_Splits,MATCH($I33,Act_Type_Repex,0),MATCH(BA$5,Mat_Type,0))*INDEX(Escalators!$I$44:$U$49,MATCH(BA$5,Escalators!$C$44:$C$49,0),MATCH(BA$6,Escalators!$I$43:$U$43,0)))</f>
        <v>0</v>
      </c>
      <c r="BB33" s="47">
        <f t="shared" si="18"/>
        <v>0</v>
      </c>
      <c r="BC33" s="47">
        <f>IF($R33="",0,$L33*$AD33*INDEX(Act_Type_Repex_Splits,MATCH($I33,Act_Type_Repex,0),MATCH(BC$5,Mat_Type,0))*INDEX(Escalators!$I$44:$U$49,MATCH(BC$5,Escalators!$C$44:$C$49,0),MATCH(BC$6,Escalators!$I$43:$U$43,0)))</f>
        <v>0</v>
      </c>
      <c r="BD33" s="47">
        <f>IF($R33="",0,$L33*$AD33*INDEX(Act_Type_Repex_Splits,MATCH($I33,Act_Type_Repex,0),MATCH(BD$5,Mat_Type,0))*INDEX(Escalators!$I$44:$U$49,MATCH(BD$5,Escalators!$C$44:$C$49,0),MATCH(BD$6,Escalators!$I$43:$U$43,0)))</f>
        <v>0</v>
      </c>
      <c r="BE33" s="47">
        <f>IF($R33="",0,$L33*$AD33*INDEX(Act_Type_Repex_Splits,MATCH($I33,Act_Type_Repex,0),MATCH(BE$5,Mat_Type,0))*INDEX(Escalators!$I$44:$U$49,MATCH(BE$5,Escalators!$C$44:$C$49,0),MATCH(BE$6,Escalators!$I$43:$U$43,0)))</f>
        <v>0</v>
      </c>
      <c r="BF33" s="47">
        <f>IF($R33="",0,$L33*$AD33*INDEX(Act_Type_Repex_Splits,MATCH($I33,Act_Type_Repex,0),MATCH(BF$5,Mat_Type,0))*INDEX(Escalators!$I$44:$U$49,MATCH(BF$5,Escalators!$C$44:$C$49,0),MATCH(BF$6,Escalators!$I$43:$U$43,0)))</f>
        <v>0</v>
      </c>
      <c r="BG33" s="47">
        <f>IF($R33="",0,$L33*$AD33*INDEX(Act_Type_Repex_Splits,MATCH($I33,Act_Type_Repex,0),MATCH(BG$5,Mat_Type,0))*INDEX(Escalators!$I$44:$U$49,MATCH(BG$5,Escalators!$C$44:$C$49,0),MATCH(BG$6,Escalators!$I$43:$U$43,0)))</f>
        <v>0</v>
      </c>
      <c r="BH33" s="47">
        <f t="shared" si="19"/>
        <v>0</v>
      </c>
      <c r="BI33" s="47">
        <f>IF($R33="",0,$M33*$AD33*INDEX(Act_Type_Repex_Splits,MATCH($I33,Act_Type_Repex,0),MATCH(BI$5,Mat_Type,0))*INDEX(Escalators!$I$44:$U$49,MATCH(BI$5,Escalators!$C$44:$C$49,0),MATCH(BI$6,Escalators!$I$43:$U$43,0)))</f>
        <v>0</v>
      </c>
      <c r="BJ33" s="47">
        <f>IF($R33="",0,$M33*$AD33*INDEX(Act_Type_Repex_Splits,MATCH($I33,Act_Type_Repex,0),MATCH(BJ$5,Mat_Type,0))*INDEX(Escalators!$I$44:$U$49,MATCH(BJ$5,Escalators!$C$44:$C$49,0),MATCH(BJ$6,Escalators!$I$43:$U$43,0)))</f>
        <v>0</v>
      </c>
      <c r="BK33" s="47">
        <f>IF($R33="",0,$M33*$AD33*INDEX(Act_Type_Repex_Splits,MATCH($I33,Act_Type_Repex,0),MATCH(BK$5,Mat_Type,0))*INDEX(Escalators!$I$44:$U$49,MATCH(BK$5,Escalators!$C$44:$C$49,0),MATCH(BK$6,Escalators!$I$43:$U$43,0)))</f>
        <v>0</v>
      </c>
      <c r="BL33" s="47">
        <f>IF($R33="",0,$M33*$AD33*INDEX(Act_Type_Repex_Splits,MATCH($I33,Act_Type_Repex,0),MATCH(BL$5,Mat_Type,0))*INDEX(Escalators!$I$44:$U$49,MATCH(BL$5,Escalators!$C$44:$C$49,0),MATCH(BL$6,Escalators!$I$43:$U$43,0)))</f>
        <v>0</v>
      </c>
      <c r="BM33" s="47">
        <f>IF($R33="",0,$M33*$AD33*INDEX(Act_Type_Repex_Splits,MATCH($I33,Act_Type_Repex,0),MATCH(BM$5,Mat_Type,0))*INDEX(Escalators!$I$44:$U$49,MATCH(BM$5,Escalators!$C$44:$C$49,0),MATCH(BM$6,Escalators!$I$43:$U$43,0)))</f>
        <v>0</v>
      </c>
      <c r="BN33" s="47">
        <f t="shared" si="20"/>
        <v>0</v>
      </c>
      <c r="BO33" s="47">
        <f>IF($R33="",0,$N33*$AD33*INDEX(Act_Type_Repex_Splits,MATCH($I33,Act_Type_Repex,0),MATCH(BO$5,Mat_Type,0))*INDEX(Escalators!$I$44:$U$49,MATCH(BO$5,Escalators!$C$44:$C$49,0),MATCH(BO$6,Escalators!$I$43:$U$43,0)))</f>
        <v>0</v>
      </c>
      <c r="BP33" s="47">
        <f>IF($R33="",0,$N33*$AD33*INDEX(Act_Type_Repex_Splits,MATCH($I33,Act_Type_Repex,0),MATCH(BP$5,Mat_Type,0))*INDEX(Escalators!$I$44:$U$49,MATCH(BP$5,Escalators!$C$44:$C$49,0),MATCH(BP$6,Escalators!$I$43:$U$43,0)))</f>
        <v>0</v>
      </c>
      <c r="BQ33" s="47">
        <f>IF($R33="",0,$N33*$AD33*INDEX(Act_Type_Repex_Splits,MATCH($I33,Act_Type_Repex,0),MATCH(BQ$5,Mat_Type,0))*INDEX(Escalators!$I$44:$U$49,MATCH(BQ$5,Escalators!$C$44:$C$49,0),MATCH(BQ$6,Escalators!$I$43:$U$43,0)))</f>
        <v>0</v>
      </c>
      <c r="BR33" s="47">
        <f>IF($R33="",0,$N33*$AD33*INDEX(Act_Type_Repex_Splits,MATCH($I33,Act_Type_Repex,0),MATCH(BR$5,Mat_Type,0))*INDEX(Escalators!$I$44:$U$49,MATCH(BR$5,Escalators!$C$44:$C$49,0),MATCH(BR$6,Escalators!$I$43:$U$43,0)))</f>
        <v>0</v>
      </c>
      <c r="BS33" s="47">
        <f>IF($R33="",0,$N33*$AD33*INDEX(Act_Type_Repex_Splits,MATCH($I33,Act_Type_Repex,0),MATCH(BS$5,Mat_Type,0))*INDEX(Escalators!$I$44:$U$49,MATCH(BS$5,Escalators!$C$44:$C$49,0),MATCH(BS$6,Escalators!$I$43:$U$43,0)))</f>
        <v>0</v>
      </c>
      <c r="BT33" s="47">
        <f t="shared" si="21"/>
        <v>0</v>
      </c>
      <c r="BU33" s="47">
        <f>IF($R33="",0,$O33*$AD33*INDEX(Act_Type_Repex_Splits,MATCH($I33,Act_Type_Repex,0),MATCH(BU$5,Mat_Type,0))*INDEX(Escalators!$I$44:$U$49,MATCH(BU$5,Escalators!$C$44:$C$49,0),MATCH(BU$6,Escalators!$I$43:$U$43,0)))</f>
        <v>0</v>
      </c>
      <c r="BV33" s="47">
        <f>IF($R33="",0,$O33*$AD33*INDEX(Act_Type_Repex_Splits,MATCH($I33,Act_Type_Repex,0),MATCH(BV$5,Mat_Type,0))*INDEX(Escalators!$I$44:$U$49,MATCH(BV$5,Escalators!$C$44:$C$49,0),MATCH(BV$6,Escalators!$I$43:$U$43,0)))</f>
        <v>0</v>
      </c>
      <c r="BW33" s="47">
        <f>IF($R33="",0,$O33*$AD33*INDEX(Act_Type_Repex_Splits,MATCH($I33,Act_Type_Repex,0),MATCH(BW$5,Mat_Type,0))*INDEX(Escalators!$I$44:$U$49,MATCH(BW$5,Escalators!$C$44:$C$49,0),MATCH(BW$6,Escalators!$I$43:$U$43,0)))</f>
        <v>0</v>
      </c>
      <c r="BX33" s="47">
        <f>IF($R33="",0,$O33*$AD33*INDEX(Act_Type_Repex_Splits,MATCH($I33,Act_Type_Repex,0),MATCH(BX$5,Mat_Type,0))*INDEX(Escalators!$I$44:$U$49,MATCH(BX$5,Escalators!$C$44:$C$49,0),MATCH(BX$6,Escalators!$I$43:$U$43,0)))</f>
        <v>0</v>
      </c>
      <c r="BY33" s="47">
        <f>IF($R33="",0,$O33*$AD33*INDEX(Act_Type_Repex_Splits,MATCH($I33,Act_Type_Repex,0),MATCH(BY$5,Mat_Type,0))*INDEX(Escalators!$I$44:$U$49,MATCH(BY$5,Escalators!$C$44:$C$49,0),MATCH(BY$6,Escalators!$I$43:$U$43,0)))</f>
        <v>0</v>
      </c>
      <c r="BZ33" s="47">
        <f t="shared" si="22"/>
        <v>0</v>
      </c>
      <c r="CA33" s="47">
        <f>IF($R33="",0,$P33*$AD33*INDEX(Act_Type_Repex_Splits,MATCH($I33,Act_Type_Repex,0),MATCH(CA$5,Mat_Type,0))*INDEX(Escalators!$I$44:$U$49,MATCH(CA$5,Escalators!$C$44:$C$49,0),MATCH(CA$6,Escalators!$I$43:$U$43,0)))</f>
        <v>0</v>
      </c>
      <c r="CB33" s="47">
        <f>IF($R33="",0,$P33*$AD33*INDEX(Act_Type_Repex_Splits,MATCH($I33,Act_Type_Repex,0),MATCH(CB$5,Mat_Type,0))*INDEX(Escalators!$I$44:$U$49,MATCH(CB$5,Escalators!$C$44:$C$49,0),MATCH(CB$6,Escalators!$I$43:$U$43,0)))</f>
        <v>0</v>
      </c>
      <c r="CC33" s="47">
        <f>IF($R33="",0,$P33*$AD33*INDEX(Act_Type_Repex_Splits,MATCH($I33,Act_Type_Repex,0),MATCH(CC$5,Mat_Type,0))*INDEX(Escalators!$I$44:$U$49,MATCH(CC$5,Escalators!$C$44:$C$49,0),MATCH(CC$6,Escalators!$I$43:$U$43,0)))</f>
        <v>0</v>
      </c>
      <c r="CD33" s="47">
        <f>IF($R33="",0,$P33*$AD33*INDEX(Act_Type_Repex_Splits,MATCH($I33,Act_Type_Repex,0),MATCH(CD$5,Mat_Type,0))*INDEX(Escalators!$I$44:$U$49,MATCH(CD$5,Escalators!$C$44:$C$49,0),MATCH(CD$6,Escalators!$I$43:$U$43,0)))</f>
        <v>0</v>
      </c>
      <c r="CE33" s="47">
        <f>IF($R33="",0,$P33*$AD33*INDEX(Act_Type_Repex_Splits,MATCH($I33,Act_Type_Repex,0),MATCH(CE$5,Mat_Type,0))*INDEX(Escalators!$I$44:$U$49,MATCH(CE$5,Escalators!$C$44:$C$49,0),MATCH(CE$6,Escalators!$I$43:$U$43,0)))</f>
        <v>0</v>
      </c>
      <c r="CF33" s="47">
        <f t="shared" si="23"/>
        <v>0</v>
      </c>
      <c r="CG33" s="47">
        <f>IF($R33="",0,$Q33*$AD33*INDEX(Act_Type_Repex_Splits,MATCH($I33,Act_Type_Repex,0),MATCH(CG$5,Mat_Type,0))*INDEX(Escalators!$I$44:$U$49,MATCH(CG$5,Escalators!$C$44:$C$49,0),MATCH(CG$6,Escalators!$I$43:$U$43,0)))</f>
        <v>0</v>
      </c>
      <c r="CH33" s="47">
        <f>IF($R33="",0,$Q33*$AD33*INDEX(Act_Type_Repex_Splits,MATCH($I33,Act_Type_Repex,0),MATCH(CH$5,Mat_Type,0))*INDEX(Escalators!$I$44:$U$49,MATCH(CH$5,Escalators!$C$44:$C$49,0),MATCH(CH$6,Escalators!$I$43:$U$43,0)))</f>
        <v>0</v>
      </c>
      <c r="CI33" s="47">
        <f>IF($R33="",0,$Q33*$AD33*INDEX(Act_Type_Repex_Splits,MATCH($I33,Act_Type_Repex,0),MATCH(CI$5,Mat_Type,0))*INDEX(Escalators!$I$44:$U$49,MATCH(CI$5,Escalators!$C$44:$C$49,0),MATCH(CI$6,Escalators!$I$43:$U$43,0)))</f>
        <v>0</v>
      </c>
      <c r="CJ33" s="47">
        <f>IF($R33="",0,$Q33*$AD33*INDEX(Act_Type_Repex_Splits,MATCH($I33,Act_Type_Repex,0),MATCH(CJ$5,Mat_Type,0))*INDEX(Escalators!$I$44:$U$49,MATCH(CJ$5,Escalators!$C$44:$C$49,0),MATCH(CJ$6,Escalators!$I$43:$U$43,0)))</f>
        <v>0</v>
      </c>
      <c r="CK33" s="47">
        <f>IF($R33="",0,$Q33*$AD33*INDEX(Act_Type_Repex_Splits,MATCH($I33,Act_Type_Repex,0),MATCH(CK$5,Mat_Type,0))*INDEX(Escalators!$I$44:$U$49,MATCH(CK$5,Escalators!$C$44:$C$49,0),MATCH(CK$6,Escalators!$I$43:$U$43,0)))</f>
        <v>0</v>
      </c>
      <c r="CL33" s="47">
        <f t="shared" si="24"/>
        <v>0</v>
      </c>
      <c r="CN33" s="47">
        <f>IF($R33="",0,J33*$AE33*HLOOKUP(CN$6,Escalators!$I$25:$U$30,6,FALSE))</f>
        <v>0</v>
      </c>
      <c r="CO33" s="47">
        <f>IF($R33="",0,K33*$AE33*HLOOKUP(CO$6,Escalators!$I$25:$U$30,6,FALSE))</f>
        <v>0</v>
      </c>
      <c r="CP33" s="47">
        <f>IF($R33="",0,L33*$AE33*HLOOKUP(CP$6,Escalators!$I$25:$U$30,6,FALSE))</f>
        <v>0</v>
      </c>
      <c r="CQ33" s="47">
        <f>IF($R33="",0,M33*$AE33*HLOOKUP(CQ$6,Escalators!$I$25:$U$30,6,FALSE))</f>
        <v>0</v>
      </c>
      <c r="CR33" s="47">
        <f>IF($R33="",0,N33*$AE33*HLOOKUP(CR$6,Escalators!$I$25:$U$30,6,FALSE))</f>
        <v>0</v>
      </c>
      <c r="CS33" s="47">
        <f>IF($R33="",0,O33*$AE33*HLOOKUP(CS$6,Escalators!$I$25:$U$30,6,FALSE))</f>
        <v>0</v>
      </c>
      <c r="CT33" s="47">
        <f>IF($R33="",0,P33*$AE33*HLOOKUP(CT$6,Escalators!$I$25:$U$30,6,FALSE))</f>
        <v>0</v>
      </c>
      <c r="CU33" s="47">
        <f>IF($R33="",0,Q33*$AE33*HLOOKUP(CU$6,Escalators!$I$25:$U$30,6,FALSE))</f>
        <v>0</v>
      </c>
      <c r="CW33" s="47">
        <f t="shared" si="25"/>
        <v>0</v>
      </c>
      <c r="CX33" s="47">
        <f t="shared" si="26"/>
        <v>0</v>
      </c>
      <c r="CY33" s="47">
        <f t="shared" si="27"/>
        <v>0</v>
      </c>
      <c r="CZ33" s="47">
        <f t="shared" si="28"/>
        <v>0</v>
      </c>
      <c r="DA33" s="47">
        <f t="shared" si="29"/>
        <v>0</v>
      </c>
      <c r="DB33" s="47">
        <f t="shared" si="30"/>
        <v>0</v>
      </c>
      <c r="DC33" s="47">
        <f t="shared" si="31"/>
        <v>0</v>
      </c>
      <c r="DD33" s="47">
        <f t="shared" si="32"/>
        <v>0</v>
      </c>
      <c r="DF33" s="47">
        <f t="shared" si="33"/>
        <v>0</v>
      </c>
      <c r="DG33" s="47">
        <f t="shared" si="34"/>
        <v>0</v>
      </c>
      <c r="DH33" s="47">
        <f t="shared" si="35"/>
        <v>0</v>
      </c>
      <c r="DI33" s="47">
        <f t="shared" si="36"/>
        <v>0</v>
      </c>
      <c r="DJ33" s="47">
        <f t="shared" si="37"/>
        <v>0</v>
      </c>
      <c r="DK33" s="47">
        <f t="shared" si="38"/>
        <v>0</v>
      </c>
      <c r="DL33" s="47">
        <f t="shared" si="39"/>
        <v>0</v>
      </c>
      <c r="DM33" s="47">
        <f t="shared" si="40"/>
        <v>0</v>
      </c>
      <c r="DO33" s="39"/>
    </row>
    <row r="34" spans="2:119" x14ac:dyDescent="0.25">
      <c r="B34" s="7"/>
      <c r="C34" s="7"/>
      <c r="D34" s="7"/>
      <c r="E34" s="7"/>
      <c r="F34" s="7"/>
      <c r="G34" s="7"/>
      <c r="H34" s="7"/>
      <c r="I34" s="7"/>
      <c r="J34" s="7"/>
      <c r="K34" s="7"/>
      <c r="L34" s="7"/>
      <c r="M34" s="7"/>
      <c r="N34" s="7"/>
      <c r="O34" s="7"/>
      <c r="P34" s="7"/>
      <c r="Q34" s="7"/>
      <c r="R34" s="46"/>
      <c r="T34" s="47">
        <f t="shared" si="8"/>
        <v>0</v>
      </c>
      <c r="U34" s="47">
        <f t="shared" si="9"/>
        <v>0</v>
      </c>
      <c r="V34" s="47">
        <f t="shared" si="10"/>
        <v>0</v>
      </c>
      <c r="W34" s="47">
        <f t="shared" si="11"/>
        <v>0</v>
      </c>
      <c r="X34" s="47">
        <f t="shared" si="12"/>
        <v>0</v>
      </c>
      <c r="Y34" s="47">
        <f t="shared" si="13"/>
        <v>0</v>
      </c>
      <c r="Z34" s="47">
        <f t="shared" si="14"/>
        <v>0</v>
      </c>
      <c r="AA34" s="47">
        <f t="shared" si="15"/>
        <v>0</v>
      </c>
      <c r="AC34" s="82">
        <f t="shared" si="16"/>
        <v>0</v>
      </c>
      <c r="AD34" s="82">
        <f t="shared" si="16"/>
        <v>0</v>
      </c>
      <c r="AE34" s="82">
        <f t="shared" si="16"/>
        <v>0</v>
      </c>
      <c r="AF34" s="82">
        <f t="shared" si="16"/>
        <v>0</v>
      </c>
      <c r="AH34" s="47">
        <f>IF($R34="",0,J34*$AC34*HLOOKUP(AH$6,Escalators!$I$25:$U$30,3,FALSE))</f>
        <v>0</v>
      </c>
      <c r="AI34" s="47">
        <f>IF($R34="",0,K34*$AC34*HLOOKUP(AI$6,Escalators!$I$25:$U$30,3,FALSE))</f>
        <v>0</v>
      </c>
      <c r="AJ34" s="47">
        <f>IF($R34="",0,L34*$AC34*HLOOKUP(AJ$6,Escalators!$I$25:$U$30,3,FALSE))</f>
        <v>0</v>
      </c>
      <c r="AK34" s="47">
        <f>IF($R34="",0,M34*$AC34*HLOOKUP(AK$6,Escalators!$I$25:$U$30,3,FALSE))</f>
        <v>0</v>
      </c>
      <c r="AL34" s="47">
        <f>IF($R34="",0,N34*$AC34*HLOOKUP(AL$6,Escalators!$I$25:$U$30,3,FALSE))</f>
        <v>0</v>
      </c>
      <c r="AM34" s="47">
        <f>IF($R34="",0,O34*$AC34*HLOOKUP(AM$6,Escalators!$I$25:$U$30,3,FALSE))</f>
        <v>0</v>
      </c>
      <c r="AN34" s="47">
        <f>IF($R34="",0,P34*$AC34*HLOOKUP(AN$6,Escalators!$I$25:$U$30,3,FALSE))</f>
        <v>0</v>
      </c>
      <c r="AO34" s="47">
        <f>IF($R34="",0,Q34*$AC34*HLOOKUP(AO$6,Escalators!$I$25:$U$30,3,FALSE))</f>
        <v>0</v>
      </c>
      <c r="AQ34" s="6">
        <f>IF($R34="",0,$J34*$AD34*INDEX(Act_Type_Repex_Splits,MATCH($I34,Act_Type_Repex,0),MATCH(AQ$5,Mat_Type,0))*INDEX(Escalators!$I$44:$Q$49,MATCH(AQ$5,Escalators!$C$44:$C$49,0),MATCH(AQ$6,Escalators!$I$43:$Q$43,0)))</f>
        <v>0</v>
      </c>
      <c r="AR34" s="6">
        <f>IF($R34="",0,$J34*$AD34*INDEX(Act_Type_Repex_Splits,MATCH($I34,Act_Type_Repex,0),MATCH(AR$5,Mat_Type,0))*INDEX(Escalators!$I$44:$Q$49,MATCH(AR$5,Escalators!$C$44:$C$49,0),MATCH(AR$6,Escalators!$I$43:$Q$43,0)))</f>
        <v>0</v>
      </c>
      <c r="AS34" s="6">
        <f>IF($R34="",0,$J34*$AD34*INDEX(Act_Type_Repex_Splits,MATCH($I34,Act_Type_Repex,0),MATCH(AS$5,Mat_Type,0))*INDEX(Escalators!$I$44:$Q$49,MATCH(AS$5,Escalators!$C$44:$C$49,0),MATCH(AS$6,Escalators!$I$43:$Q$43,0)))</f>
        <v>0</v>
      </c>
      <c r="AT34" s="6">
        <f>IF($R34="",0,$J34*$AD34*INDEX(Act_Type_Repex_Splits,MATCH($I34,Act_Type_Repex,0),MATCH(AT$5,Mat_Type,0))*INDEX(Escalators!$I$44:$Q$49,MATCH(AT$5,Escalators!$C$44:$C$49,0),MATCH(AT$6,Escalators!$I$43:$Q$43,0)))</f>
        <v>0</v>
      </c>
      <c r="AU34" s="6">
        <f>IF($R34="",0,$J34*$AD34*INDEX(Act_Type_Repex_Splits,MATCH($I34,Act_Type_Repex,0),MATCH(AU$5,Mat_Type,0))*INDEX(Escalators!$I$44:$Q$49,MATCH(AU$5,Escalators!$C$44:$C$49,0),MATCH(AU$6,Escalators!$I$43:$Q$43,0)))</f>
        <v>0</v>
      </c>
      <c r="AV34" s="47">
        <f t="shared" si="17"/>
        <v>0</v>
      </c>
      <c r="AW34" s="47">
        <f>IF($R34="",0,$K34*$AD34*INDEX(Act_Type_Repex_Splits,MATCH($I34,Act_Type_Repex,0),MATCH(AW$5,Mat_Type,0))*INDEX(Escalators!$I$44:$U$49,MATCH(AW$5,Escalators!$C$44:$C$49,0),MATCH(AW$6,Escalators!$I$43:$U$43,0)))</f>
        <v>0</v>
      </c>
      <c r="AX34" s="47">
        <f>IF($R34="",0,$K34*$AD34*INDEX(Act_Type_Repex_Splits,MATCH($I34,Act_Type_Repex,0),MATCH(AX$5,Mat_Type,0))*INDEX(Escalators!$I$44:$U$49,MATCH(AX$5,Escalators!$C$44:$C$49,0),MATCH(AX$6,Escalators!$I$43:$U$43,0)))</f>
        <v>0</v>
      </c>
      <c r="AY34" s="47">
        <f>IF($R34="",0,$K34*$AD34*INDEX(Act_Type_Repex_Splits,MATCH($I34,Act_Type_Repex,0),MATCH(AY$5,Mat_Type,0))*INDEX(Escalators!$I$44:$U$49,MATCH(AY$5,Escalators!$C$44:$C$49,0),MATCH(AY$6,Escalators!$I$43:$U$43,0)))</f>
        <v>0</v>
      </c>
      <c r="AZ34" s="47">
        <f>IF($R34="",0,$K34*$AD34*INDEX(Act_Type_Repex_Splits,MATCH($I34,Act_Type_Repex,0),MATCH(AZ$5,Mat_Type,0))*INDEX(Escalators!$I$44:$U$49,MATCH(AZ$5,Escalators!$C$44:$C$49,0),MATCH(AZ$6,Escalators!$I$43:$U$43,0)))</f>
        <v>0</v>
      </c>
      <c r="BA34" s="47">
        <f>IF($R34="",0,$K34*$AD34*INDEX(Act_Type_Repex_Splits,MATCH($I34,Act_Type_Repex,0),MATCH(BA$5,Mat_Type,0))*INDEX(Escalators!$I$44:$U$49,MATCH(BA$5,Escalators!$C$44:$C$49,0),MATCH(BA$6,Escalators!$I$43:$U$43,0)))</f>
        <v>0</v>
      </c>
      <c r="BB34" s="47">
        <f t="shared" si="18"/>
        <v>0</v>
      </c>
      <c r="BC34" s="47">
        <f>IF($R34="",0,$L34*$AD34*INDEX(Act_Type_Repex_Splits,MATCH($I34,Act_Type_Repex,0),MATCH(BC$5,Mat_Type,0))*INDEX(Escalators!$I$44:$U$49,MATCH(BC$5,Escalators!$C$44:$C$49,0),MATCH(BC$6,Escalators!$I$43:$U$43,0)))</f>
        <v>0</v>
      </c>
      <c r="BD34" s="47">
        <f>IF($R34="",0,$L34*$AD34*INDEX(Act_Type_Repex_Splits,MATCH($I34,Act_Type_Repex,0),MATCH(BD$5,Mat_Type,0))*INDEX(Escalators!$I$44:$U$49,MATCH(BD$5,Escalators!$C$44:$C$49,0),MATCH(BD$6,Escalators!$I$43:$U$43,0)))</f>
        <v>0</v>
      </c>
      <c r="BE34" s="47">
        <f>IF($R34="",0,$L34*$AD34*INDEX(Act_Type_Repex_Splits,MATCH($I34,Act_Type_Repex,0),MATCH(BE$5,Mat_Type,0))*INDEX(Escalators!$I$44:$U$49,MATCH(BE$5,Escalators!$C$44:$C$49,0),MATCH(BE$6,Escalators!$I$43:$U$43,0)))</f>
        <v>0</v>
      </c>
      <c r="BF34" s="47">
        <f>IF($R34="",0,$L34*$AD34*INDEX(Act_Type_Repex_Splits,MATCH($I34,Act_Type_Repex,0),MATCH(BF$5,Mat_Type,0))*INDEX(Escalators!$I$44:$U$49,MATCH(BF$5,Escalators!$C$44:$C$49,0),MATCH(BF$6,Escalators!$I$43:$U$43,0)))</f>
        <v>0</v>
      </c>
      <c r="BG34" s="47">
        <f>IF($R34="",0,$L34*$AD34*INDEX(Act_Type_Repex_Splits,MATCH($I34,Act_Type_Repex,0),MATCH(BG$5,Mat_Type,0))*INDEX(Escalators!$I$44:$U$49,MATCH(BG$5,Escalators!$C$44:$C$49,0),MATCH(BG$6,Escalators!$I$43:$U$43,0)))</f>
        <v>0</v>
      </c>
      <c r="BH34" s="47">
        <f t="shared" si="19"/>
        <v>0</v>
      </c>
      <c r="BI34" s="47">
        <f>IF($R34="",0,$M34*$AD34*INDEX(Act_Type_Repex_Splits,MATCH($I34,Act_Type_Repex,0),MATCH(BI$5,Mat_Type,0))*INDEX(Escalators!$I$44:$U$49,MATCH(BI$5,Escalators!$C$44:$C$49,0),MATCH(BI$6,Escalators!$I$43:$U$43,0)))</f>
        <v>0</v>
      </c>
      <c r="BJ34" s="47">
        <f>IF($R34="",0,$M34*$AD34*INDEX(Act_Type_Repex_Splits,MATCH($I34,Act_Type_Repex,0),MATCH(BJ$5,Mat_Type,0))*INDEX(Escalators!$I$44:$U$49,MATCH(BJ$5,Escalators!$C$44:$C$49,0),MATCH(BJ$6,Escalators!$I$43:$U$43,0)))</f>
        <v>0</v>
      </c>
      <c r="BK34" s="47">
        <f>IF($R34="",0,$M34*$AD34*INDEX(Act_Type_Repex_Splits,MATCH($I34,Act_Type_Repex,0),MATCH(BK$5,Mat_Type,0))*INDEX(Escalators!$I$44:$U$49,MATCH(BK$5,Escalators!$C$44:$C$49,0),MATCH(BK$6,Escalators!$I$43:$U$43,0)))</f>
        <v>0</v>
      </c>
      <c r="BL34" s="47">
        <f>IF($R34="",0,$M34*$AD34*INDEX(Act_Type_Repex_Splits,MATCH($I34,Act_Type_Repex,0),MATCH(BL$5,Mat_Type,0))*INDEX(Escalators!$I$44:$U$49,MATCH(BL$5,Escalators!$C$44:$C$49,0),MATCH(BL$6,Escalators!$I$43:$U$43,0)))</f>
        <v>0</v>
      </c>
      <c r="BM34" s="47">
        <f>IF($R34="",0,$M34*$AD34*INDEX(Act_Type_Repex_Splits,MATCH($I34,Act_Type_Repex,0),MATCH(BM$5,Mat_Type,0))*INDEX(Escalators!$I$44:$U$49,MATCH(BM$5,Escalators!$C$44:$C$49,0),MATCH(BM$6,Escalators!$I$43:$U$43,0)))</f>
        <v>0</v>
      </c>
      <c r="BN34" s="47">
        <f t="shared" si="20"/>
        <v>0</v>
      </c>
      <c r="BO34" s="47">
        <f>IF($R34="",0,$N34*$AD34*INDEX(Act_Type_Repex_Splits,MATCH($I34,Act_Type_Repex,0),MATCH(BO$5,Mat_Type,0))*INDEX(Escalators!$I$44:$U$49,MATCH(BO$5,Escalators!$C$44:$C$49,0),MATCH(BO$6,Escalators!$I$43:$U$43,0)))</f>
        <v>0</v>
      </c>
      <c r="BP34" s="47">
        <f>IF($R34="",0,$N34*$AD34*INDEX(Act_Type_Repex_Splits,MATCH($I34,Act_Type_Repex,0),MATCH(BP$5,Mat_Type,0))*INDEX(Escalators!$I$44:$U$49,MATCH(BP$5,Escalators!$C$44:$C$49,0),MATCH(BP$6,Escalators!$I$43:$U$43,0)))</f>
        <v>0</v>
      </c>
      <c r="BQ34" s="47">
        <f>IF($R34="",0,$N34*$AD34*INDEX(Act_Type_Repex_Splits,MATCH($I34,Act_Type_Repex,0),MATCH(BQ$5,Mat_Type,0))*INDEX(Escalators!$I$44:$U$49,MATCH(BQ$5,Escalators!$C$44:$C$49,0),MATCH(BQ$6,Escalators!$I$43:$U$43,0)))</f>
        <v>0</v>
      </c>
      <c r="BR34" s="47">
        <f>IF($R34="",0,$N34*$AD34*INDEX(Act_Type_Repex_Splits,MATCH($I34,Act_Type_Repex,0),MATCH(BR$5,Mat_Type,0))*INDEX(Escalators!$I$44:$U$49,MATCH(BR$5,Escalators!$C$44:$C$49,0),MATCH(BR$6,Escalators!$I$43:$U$43,0)))</f>
        <v>0</v>
      </c>
      <c r="BS34" s="47">
        <f>IF($R34="",0,$N34*$AD34*INDEX(Act_Type_Repex_Splits,MATCH($I34,Act_Type_Repex,0),MATCH(BS$5,Mat_Type,0))*INDEX(Escalators!$I$44:$U$49,MATCH(BS$5,Escalators!$C$44:$C$49,0),MATCH(BS$6,Escalators!$I$43:$U$43,0)))</f>
        <v>0</v>
      </c>
      <c r="BT34" s="47">
        <f t="shared" si="21"/>
        <v>0</v>
      </c>
      <c r="BU34" s="47">
        <f>IF($R34="",0,$O34*$AD34*INDEX(Act_Type_Repex_Splits,MATCH($I34,Act_Type_Repex,0),MATCH(BU$5,Mat_Type,0))*INDEX(Escalators!$I$44:$U$49,MATCH(BU$5,Escalators!$C$44:$C$49,0),MATCH(BU$6,Escalators!$I$43:$U$43,0)))</f>
        <v>0</v>
      </c>
      <c r="BV34" s="47">
        <f>IF($R34="",0,$O34*$AD34*INDEX(Act_Type_Repex_Splits,MATCH($I34,Act_Type_Repex,0),MATCH(BV$5,Mat_Type,0))*INDEX(Escalators!$I$44:$U$49,MATCH(BV$5,Escalators!$C$44:$C$49,0),MATCH(BV$6,Escalators!$I$43:$U$43,0)))</f>
        <v>0</v>
      </c>
      <c r="BW34" s="47">
        <f>IF($R34="",0,$O34*$AD34*INDEX(Act_Type_Repex_Splits,MATCH($I34,Act_Type_Repex,0),MATCH(BW$5,Mat_Type,0))*INDEX(Escalators!$I$44:$U$49,MATCH(BW$5,Escalators!$C$44:$C$49,0),MATCH(BW$6,Escalators!$I$43:$U$43,0)))</f>
        <v>0</v>
      </c>
      <c r="BX34" s="47">
        <f>IF($R34="",0,$O34*$AD34*INDEX(Act_Type_Repex_Splits,MATCH($I34,Act_Type_Repex,0),MATCH(BX$5,Mat_Type,0))*INDEX(Escalators!$I$44:$U$49,MATCH(BX$5,Escalators!$C$44:$C$49,0),MATCH(BX$6,Escalators!$I$43:$U$43,0)))</f>
        <v>0</v>
      </c>
      <c r="BY34" s="47">
        <f>IF($R34="",0,$O34*$AD34*INDEX(Act_Type_Repex_Splits,MATCH($I34,Act_Type_Repex,0),MATCH(BY$5,Mat_Type,0))*INDEX(Escalators!$I$44:$U$49,MATCH(BY$5,Escalators!$C$44:$C$49,0),MATCH(BY$6,Escalators!$I$43:$U$43,0)))</f>
        <v>0</v>
      </c>
      <c r="BZ34" s="47">
        <f t="shared" si="22"/>
        <v>0</v>
      </c>
      <c r="CA34" s="47">
        <f>IF($R34="",0,$P34*$AD34*INDEX(Act_Type_Repex_Splits,MATCH($I34,Act_Type_Repex,0),MATCH(CA$5,Mat_Type,0))*INDEX(Escalators!$I$44:$U$49,MATCH(CA$5,Escalators!$C$44:$C$49,0),MATCH(CA$6,Escalators!$I$43:$U$43,0)))</f>
        <v>0</v>
      </c>
      <c r="CB34" s="47">
        <f>IF($R34="",0,$P34*$AD34*INDEX(Act_Type_Repex_Splits,MATCH($I34,Act_Type_Repex,0),MATCH(CB$5,Mat_Type,0))*INDEX(Escalators!$I$44:$U$49,MATCH(CB$5,Escalators!$C$44:$C$49,0),MATCH(CB$6,Escalators!$I$43:$U$43,0)))</f>
        <v>0</v>
      </c>
      <c r="CC34" s="47">
        <f>IF($R34="",0,$P34*$AD34*INDEX(Act_Type_Repex_Splits,MATCH($I34,Act_Type_Repex,0),MATCH(CC$5,Mat_Type,0))*INDEX(Escalators!$I$44:$U$49,MATCH(CC$5,Escalators!$C$44:$C$49,0),MATCH(CC$6,Escalators!$I$43:$U$43,0)))</f>
        <v>0</v>
      </c>
      <c r="CD34" s="47">
        <f>IF($R34="",0,$P34*$AD34*INDEX(Act_Type_Repex_Splits,MATCH($I34,Act_Type_Repex,0),MATCH(CD$5,Mat_Type,0))*INDEX(Escalators!$I$44:$U$49,MATCH(CD$5,Escalators!$C$44:$C$49,0),MATCH(CD$6,Escalators!$I$43:$U$43,0)))</f>
        <v>0</v>
      </c>
      <c r="CE34" s="47">
        <f>IF($R34="",0,$P34*$AD34*INDEX(Act_Type_Repex_Splits,MATCH($I34,Act_Type_Repex,0),MATCH(CE$5,Mat_Type,0))*INDEX(Escalators!$I$44:$U$49,MATCH(CE$5,Escalators!$C$44:$C$49,0),MATCH(CE$6,Escalators!$I$43:$U$43,0)))</f>
        <v>0</v>
      </c>
      <c r="CF34" s="47">
        <f t="shared" si="23"/>
        <v>0</v>
      </c>
      <c r="CG34" s="47">
        <f>IF($R34="",0,$Q34*$AD34*INDEX(Act_Type_Repex_Splits,MATCH($I34,Act_Type_Repex,0),MATCH(CG$5,Mat_Type,0))*INDEX(Escalators!$I$44:$U$49,MATCH(CG$5,Escalators!$C$44:$C$49,0),MATCH(CG$6,Escalators!$I$43:$U$43,0)))</f>
        <v>0</v>
      </c>
      <c r="CH34" s="47">
        <f>IF($R34="",0,$Q34*$AD34*INDEX(Act_Type_Repex_Splits,MATCH($I34,Act_Type_Repex,0),MATCH(CH$5,Mat_Type,0))*INDEX(Escalators!$I$44:$U$49,MATCH(CH$5,Escalators!$C$44:$C$49,0),MATCH(CH$6,Escalators!$I$43:$U$43,0)))</f>
        <v>0</v>
      </c>
      <c r="CI34" s="47">
        <f>IF($R34="",0,$Q34*$AD34*INDEX(Act_Type_Repex_Splits,MATCH($I34,Act_Type_Repex,0),MATCH(CI$5,Mat_Type,0))*INDEX(Escalators!$I$44:$U$49,MATCH(CI$5,Escalators!$C$44:$C$49,0),MATCH(CI$6,Escalators!$I$43:$U$43,0)))</f>
        <v>0</v>
      </c>
      <c r="CJ34" s="47">
        <f>IF($R34="",0,$Q34*$AD34*INDEX(Act_Type_Repex_Splits,MATCH($I34,Act_Type_Repex,0),MATCH(CJ$5,Mat_Type,0))*INDEX(Escalators!$I$44:$U$49,MATCH(CJ$5,Escalators!$C$44:$C$49,0),MATCH(CJ$6,Escalators!$I$43:$U$43,0)))</f>
        <v>0</v>
      </c>
      <c r="CK34" s="47">
        <f>IF($R34="",0,$Q34*$AD34*INDEX(Act_Type_Repex_Splits,MATCH($I34,Act_Type_Repex,0),MATCH(CK$5,Mat_Type,0))*INDEX(Escalators!$I$44:$U$49,MATCH(CK$5,Escalators!$C$44:$C$49,0),MATCH(CK$6,Escalators!$I$43:$U$43,0)))</f>
        <v>0</v>
      </c>
      <c r="CL34" s="47">
        <f t="shared" si="24"/>
        <v>0</v>
      </c>
      <c r="CN34" s="47">
        <f>IF($R34="",0,J34*$AE34*HLOOKUP(CN$6,Escalators!$I$25:$U$30,6,FALSE))</f>
        <v>0</v>
      </c>
      <c r="CO34" s="47">
        <f>IF($R34="",0,K34*$AE34*HLOOKUP(CO$6,Escalators!$I$25:$U$30,6,FALSE))</f>
        <v>0</v>
      </c>
      <c r="CP34" s="47">
        <f>IF($R34="",0,L34*$AE34*HLOOKUP(CP$6,Escalators!$I$25:$U$30,6,FALSE))</f>
        <v>0</v>
      </c>
      <c r="CQ34" s="47">
        <f>IF($R34="",0,M34*$AE34*HLOOKUP(CQ$6,Escalators!$I$25:$U$30,6,FALSE))</f>
        <v>0</v>
      </c>
      <c r="CR34" s="47">
        <f>IF($R34="",0,N34*$AE34*HLOOKUP(CR$6,Escalators!$I$25:$U$30,6,FALSE))</f>
        <v>0</v>
      </c>
      <c r="CS34" s="47">
        <f>IF($R34="",0,O34*$AE34*HLOOKUP(CS$6,Escalators!$I$25:$U$30,6,FALSE))</f>
        <v>0</v>
      </c>
      <c r="CT34" s="47">
        <f>IF($R34="",0,P34*$AE34*HLOOKUP(CT$6,Escalators!$I$25:$U$30,6,FALSE))</f>
        <v>0</v>
      </c>
      <c r="CU34" s="47">
        <f>IF($R34="",0,Q34*$AE34*HLOOKUP(CU$6,Escalators!$I$25:$U$30,6,FALSE))</f>
        <v>0</v>
      </c>
      <c r="CW34" s="47">
        <f t="shared" si="25"/>
        <v>0</v>
      </c>
      <c r="CX34" s="47">
        <f t="shared" si="26"/>
        <v>0</v>
      </c>
      <c r="CY34" s="47">
        <f t="shared" si="27"/>
        <v>0</v>
      </c>
      <c r="CZ34" s="47">
        <f t="shared" si="28"/>
        <v>0</v>
      </c>
      <c r="DA34" s="47">
        <f t="shared" si="29"/>
        <v>0</v>
      </c>
      <c r="DB34" s="47">
        <f t="shared" si="30"/>
        <v>0</v>
      </c>
      <c r="DC34" s="47">
        <f t="shared" si="31"/>
        <v>0</v>
      </c>
      <c r="DD34" s="47">
        <f t="shared" si="32"/>
        <v>0</v>
      </c>
      <c r="DF34" s="47">
        <f t="shared" si="33"/>
        <v>0</v>
      </c>
      <c r="DG34" s="47">
        <f t="shared" si="34"/>
        <v>0</v>
      </c>
      <c r="DH34" s="47">
        <f t="shared" si="35"/>
        <v>0</v>
      </c>
      <c r="DI34" s="47">
        <f t="shared" si="36"/>
        <v>0</v>
      </c>
      <c r="DJ34" s="47">
        <f t="shared" si="37"/>
        <v>0</v>
      </c>
      <c r="DK34" s="47">
        <f t="shared" si="38"/>
        <v>0</v>
      </c>
      <c r="DL34" s="47">
        <f t="shared" si="39"/>
        <v>0</v>
      </c>
      <c r="DM34" s="47">
        <f t="shared" si="40"/>
        <v>0</v>
      </c>
      <c r="DO34" s="39"/>
    </row>
    <row r="35" spans="2:119" x14ac:dyDescent="0.25">
      <c r="B35" s="7"/>
      <c r="C35" s="7"/>
      <c r="D35" s="7"/>
      <c r="E35" s="7"/>
      <c r="F35" s="7"/>
      <c r="G35" s="7"/>
      <c r="H35" s="7"/>
      <c r="I35" s="7"/>
      <c r="J35" s="7"/>
      <c r="K35" s="7"/>
      <c r="L35" s="7"/>
      <c r="M35" s="7"/>
      <c r="N35" s="7"/>
      <c r="O35" s="7"/>
      <c r="P35" s="7"/>
      <c r="Q35" s="7"/>
      <c r="R35" s="46"/>
      <c r="T35" s="47">
        <f t="shared" si="8"/>
        <v>0</v>
      </c>
      <c r="U35" s="47">
        <f t="shared" si="9"/>
        <v>0</v>
      </c>
      <c r="V35" s="47">
        <f t="shared" si="10"/>
        <v>0</v>
      </c>
      <c r="W35" s="47">
        <f t="shared" si="11"/>
        <v>0</v>
      </c>
      <c r="X35" s="47">
        <f t="shared" si="12"/>
        <v>0</v>
      </c>
      <c r="Y35" s="47">
        <f t="shared" si="13"/>
        <v>0</v>
      </c>
      <c r="Z35" s="47">
        <f t="shared" si="14"/>
        <v>0</v>
      </c>
      <c r="AA35" s="47">
        <f t="shared" si="15"/>
        <v>0</v>
      </c>
      <c r="AC35" s="82">
        <f t="shared" si="16"/>
        <v>0</v>
      </c>
      <c r="AD35" s="82">
        <f t="shared" si="16"/>
        <v>0</v>
      </c>
      <c r="AE35" s="82">
        <f t="shared" si="16"/>
        <v>0</v>
      </c>
      <c r="AF35" s="82">
        <f t="shared" si="16"/>
        <v>0</v>
      </c>
      <c r="AH35" s="47">
        <f>IF($R35="",0,J35*$AC35*HLOOKUP(AH$6,Escalators!$I$25:$U$30,3,FALSE))</f>
        <v>0</v>
      </c>
      <c r="AI35" s="47">
        <f>IF($R35="",0,K35*$AC35*HLOOKUP(AI$6,Escalators!$I$25:$U$30,3,FALSE))</f>
        <v>0</v>
      </c>
      <c r="AJ35" s="47">
        <f>IF($R35="",0,L35*$AC35*HLOOKUP(AJ$6,Escalators!$I$25:$U$30,3,FALSE))</f>
        <v>0</v>
      </c>
      <c r="AK35" s="47">
        <f>IF($R35="",0,M35*$AC35*HLOOKUP(AK$6,Escalators!$I$25:$U$30,3,FALSE))</f>
        <v>0</v>
      </c>
      <c r="AL35" s="47">
        <f>IF($R35="",0,N35*$AC35*HLOOKUP(AL$6,Escalators!$I$25:$U$30,3,FALSE))</f>
        <v>0</v>
      </c>
      <c r="AM35" s="47">
        <f>IF($R35="",0,O35*$AC35*HLOOKUP(AM$6,Escalators!$I$25:$U$30,3,FALSE))</f>
        <v>0</v>
      </c>
      <c r="AN35" s="47">
        <f>IF($R35="",0,P35*$AC35*HLOOKUP(AN$6,Escalators!$I$25:$U$30,3,FALSE))</f>
        <v>0</v>
      </c>
      <c r="AO35" s="47">
        <f>IF($R35="",0,Q35*$AC35*HLOOKUP(AO$6,Escalators!$I$25:$U$30,3,FALSE))</f>
        <v>0</v>
      </c>
      <c r="AQ35" s="6">
        <f>IF($R35="",0,$J35*$AD35*INDEX(Act_Type_Repex_Splits,MATCH($I35,Act_Type_Repex,0),MATCH(AQ$5,Mat_Type,0))*INDEX(Escalators!$I$44:$Q$49,MATCH(AQ$5,Escalators!$C$44:$C$49,0),MATCH(AQ$6,Escalators!$I$43:$Q$43,0)))</f>
        <v>0</v>
      </c>
      <c r="AR35" s="6">
        <f>IF($R35="",0,$J35*$AD35*INDEX(Act_Type_Repex_Splits,MATCH($I35,Act_Type_Repex,0),MATCH(AR$5,Mat_Type,0))*INDEX(Escalators!$I$44:$Q$49,MATCH(AR$5,Escalators!$C$44:$C$49,0),MATCH(AR$6,Escalators!$I$43:$Q$43,0)))</f>
        <v>0</v>
      </c>
      <c r="AS35" s="6">
        <f>IF($R35="",0,$J35*$AD35*INDEX(Act_Type_Repex_Splits,MATCH($I35,Act_Type_Repex,0),MATCH(AS$5,Mat_Type,0))*INDEX(Escalators!$I$44:$Q$49,MATCH(AS$5,Escalators!$C$44:$C$49,0),MATCH(AS$6,Escalators!$I$43:$Q$43,0)))</f>
        <v>0</v>
      </c>
      <c r="AT35" s="6">
        <f>IF($R35="",0,$J35*$AD35*INDEX(Act_Type_Repex_Splits,MATCH($I35,Act_Type_Repex,0),MATCH(AT$5,Mat_Type,0))*INDEX(Escalators!$I$44:$Q$49,MATCH(AT$5,Escalators!$C$44:$C$49,0),MATCH(AT$6,Escalators!$I$43:$Q$43,0)))</f>
        <v>0</v>
      </c>
      <c r="AU35" s="6">
        <f>IF($R35="",0,$J35*$AD35*INDEX(Act_Type_Repex_Splits,MATCH($I35,Act_Type_Repex,0),MATCH(AU$5,Mat_Type,0))*INDEX(Escalators!$I$44:$Q$49,MATCH(AU$5,Escalators!$C$44:$C$49,0),MATCH(AU$6,Escalators!$I$43:$Q$43,0)))</f>
        <v>0</v>
      </c>
      <c r="AV35" s="47">
        <f t="shared" si="17"/>
        <v>0</v>
      </c>
      <c r="AW35" s="47">
        <f>IF($R35="",0,$K35*$AD35*INDEX(Act_Type_Repex_Splits,MATCH($I35,Act_Type_Repex,0),MATCH(AW$5,Mat_Type,0))*INDEX(Escalators!$I$44:$U$49,MATCH(AW$5,Escalators!$C$44:$C$49,0),MATCH(AW$6,Escalators!$I$43:$U$43,0)))</f>
        <v>0</v>
      </c>
      <c r="AX35" s="47">
        <f>IF($R35="",0,$K35*$AD35*INDEX(Act_Type_Repex_Splits,MATCH($I35,Act_Type_Repex,0),MATCH(AX$5,Mat_Type,0))*INDEX(Escalators!$I$44:$U$49,MATCH(AX$5,Escalators!$C$44:$C$49,0),MATCH(AX$6,Escalators!$I$43:$U$43,0)))</f>
        <v>0</v>
      </c>
      <c r="AY35" s="47">
        <f>IF($R35="",0,$K35*$AD35*INDEX(Act_Type_Repex_Splits,MATCH($I35,Act_Type_Repex,0),MATCH(AY$5,Mat_Type,0))*INDEX(Escalators!$I$44:$U$49,MATCH(AY$5,Escalators!$C$44:$C$49,0),MATCH(AY$6,Escalators!$I$43:$U$43,0)))</f>
        <v>0</v>
      </c>
      <c r="AZ35" s="47">
        <f>IF($R35="",0,$K35*$AD35*INDEX(Act_Type_Repex_Splits,MATCH($I35,Act_Type_Repex,0),MATCH(AZ$5,Mat_Type,0))*INDEX(Escalators!$I$44:$U$49,MATCH(AZ$5,Escalators!$C$44:$C$49,0),MATCH(AZ$6,Escalators!$I$43:$U$43,0)))</f>
        <v>0</v>
      </c>
      <c r="BA35" s="47">
        <f>IF($R35="",0,$K35*$AD35*INDEX(Act_Type_Repex_Splits,MATCH($I35,Act_Type_Repex,0),MATCH(BA$5,Mat_Type,0))*INDEX(Escalators!$I$44:$U$49,MATCH(BA$5,Escalators!$C$44:$C$49,0),MATCH(BA$6,Escalators!$I$43:$U$43,0)))</f>
        <v>0</v>
      </c>
      <c r="BB35" s="47">
        <f t="shared" si="18"/>
        <v>0</v>
      </c>
      <c r="BC35" s="47">
        <f>IF($R35="",0,$L35*$AD35*INDEX(Act_Type_Repex_Splits,MATCH($I35,Act_Type_Repex,0),MATCH(BC$5,Mat_Type,0))*INDEX(Escalators!$I$44:$U$49,MATCH(BC$5,Escalators!$C$44:$C$49,0),MATCH(BC$6,Escalators!$I$43:$U$43,0)))</f>
        <v>0</v>
      </c>
      <c r="BD35" s="47">
        <f>IF($R35="",0,$L35*$AD35*INDEX(Act_Type_Repex_Splits,MATCH($I35,Act_Type_Repex,0),MATCH(BD$5,Mat_Type,0))*INDEX(Escalators!$I$44:$U$49,MATCH(BD$5,Escalators!$C$44:$C$49,0),MATCH(BD$6,Escalators!$I$43:$U$43,0)))</f>
        <v>0</v>
      </c>
      <c r="BE35" s="47">
        <f>IF($R35="",0,$L35*$AD35*INDEX(Act_Type_Repex_Splits,MATCH($I35,Act_Type_Repex,0),MATCH(BE$5,Mat_Type,0))*INDEX(Escalators!$I$44:$U$49,MATCH(BE$5,Escalators!$C$44:$C$49,0),MATCH(BE$6,Escalators!$I$43:$U$43,0)))</f>
        <v>0</v>
      </c>
      <c r="BF35" s="47">
        <f>IF($R35="",0,$L35*$AD35*INDEX(Act_Type_Repex_Splits,MATCH($I35,Act_Type_Repex,0),MATCH(BF$5,Mat_Type,0))*INDEX(Escalators!$I$44:$U$49,MATCH(BF$5,Escalators!$C$44:$C$49,0),MATCH(BF$6,Escalators!$I$43:$U$43,0)))</f>
        <v>0</v>
      </c>
      <c r="BG35" s="47">
        <f>IF($R35="",0,$L35*$AD35*INDEX(Act_Type_Repex_Splits,MATCH($I35,Act_Type_Repex,0),MATCH(BG$5,Mat_Type,0))*INDEX(Escalators!$I$44:$U$49,MATCH(BG$5,Escalators!$C$44:$C$49,0),MATCH(BG$6,Escalators!$I$43:$U$43,0)))</f>
        <v>0</v>
      </c>
      <c r="BH35" s="47">
        <f t="shared" si="19"/>
        <v>0</v>
      </c>
      <c r="BI35" s="47">
        <f>IF($R35="",0,$M35*$AD35*INDEX(Act_Type_Repex_Splits,MATCH($I35,Act_Type_Repex,0),MATCH(BI$5,Mat_Type,0))*INDEX(Escalators!$I$44:$U$49,MATCH(BI$5,Escalators!$C$44:$C$49,0),MATCH(BI$6,Escalators!$I$43:$U$43,0)))</f>
        <v>0</v>
      </c>
      <c r="BJ35" s="47">
        <f>IF($R35="",0,$M35*$AD35*INDEX(Act_Type_Repex_Splits,MATCH($I35,Act_Type_Repex,0),MATCH(BJ$5,Mat_Type,0))*INDEX(Escalators!$I$44:$U$49,MATCH(BJ$5,Escalators!$C$44:$C$49,0),MATCH(BJ$6,Escalators!$I$43:$U$43,0)))</f>
        <v>0</v>
      </c>
      <c r="BK35" s="47">
        <f>IF($R35="",0,$M35*$AD35*INDEX(Act_Type_Repex_Splits,MATCH($I35,Act_Type_Repex,0),MATCH(BK$5,Mat_Type,0))*INDEX(Escalators!$I$44:$U$49,MATCH(BK$5,Escalators!$C$44:$C$49,0),MATCH(BK$6,Escalators!$I$43:$U$43,0)))</f>
        <v>0</v>
      </c>
      <c r="BL35" s="47">
        <f>IF($R35="",0,$M35*$AD35*INDEX(Act_Type_Repex_Splits,MATCH($I35,Act_Type_Repex,0),MATCH(BL$5,Mat_Type,0))*INDEX(Escalators!$I$44:$U$49,MATCH(BL$5,Escalators!$C$44:$C$49,0),MATCH(BL$6,Escalators!$I$43:$U$43,0)))</f>
        <v>0</v>
      </c>
      <c r="BM35" s="47">
        <f>IF($R35="",0,$M35*$AD35*INDEX(Act_Type_Repex_Splits,MATCH($I35,Act_Type_Repex,0),MATCH(BM$5,Mat_Type,0))*INDEX(Escalators!$I$44:$U$49,MATCH(BM$5,Escalators!$C$44:$C$49,0),MATCH(BM$6,Escalators!$I$43:$U$43,0)))</f>
        <v>0</v>
      </c>
      <c r="BN35" s="47">
        <f t="shared" si="20"/>
        <v>0</v>
      </c>
      <c r="BO35" s="47">
        <f>IF($R35="",0,$N35*$AD35*INDEX(Act_Type_Repex_Splits,MATCH($I35,Act_Type_Repex,0),MATCH(BO$5,Mat_Type,0))*INDEX(Escalators!$I$44:$U$49,MATCH(BO$5,Escalators!$C$44:$C$49,0),MATCH(BO$6,Escalators!$I$43:$U$43,0)))</f>
        <v>0</v>
      </c>
      <c r="BP35" s="47">
        <f>IF($R35="",0,$N35*$AD35*INDEX(Act_Type_Repex_Splits,MATCH($I35,Act_Type_Repex,0),MATCH(BP$5,Mat_Type,0))*INDEX(Escalators!$I$44:$U$49,MATCH(BP$5,Escalators!$C$44:$C$49,0),MATCH(BP$6,Escalators!$I$43:$U$43,0)))</f>
        <v>0</v>
      </c>
      <c r="BQ35" s="47">
        <f>IF($R35="",0,$N35*$AD35*INDEX(Act_Type_Repex_Splits,MATCH($I35,Act_Type_Repex,0),MATCH(BQ$5,Mat_Type,0))*INDEX(Escalators!$I$44:$U$49,MATCH(BQ$5,Escalators!$C$44:$C$49,0),MATCH(BQ$6,Escalators!$I$43:$U$43,0)))</f>
        <v>0</v>
      </c>
      <c r="BR35" s="47">
        <f>IF($R35="",0,$N35*$AD35*INDEX(Act_Type_Repex_Splits,MATCH($I35,Act_Type_Repex,0),MATCH(BR$5,Mat_Type,0))*INDEX(Escalators!$I$44:$U$49,MATCH(BR$5,Escalators!$C$44:$C$49,0),MATCH(BR$6,Escalators!$I$43:$U$43,0)))</f>
        <v>0</v>
      </c>
      <c r="BS35" s="47">
        <f>IF($R35="",0,$N35*$AD35*INDEX(Act_Type_Repex_Splits,MATCH($I35,Act_Type_Repex,0),MATCH(BS$5,Mat_Type,0))*INDEX(Escalators!$I$44:$U$49,MATCH(BS$5,Escalators!$C$44:$C$49,0),MATCH(BS$6,Escalators!$I$43:$U$43,0)))</f>
        <v>0</v>
      </c>
      <c r="BT35" s="47">
        <f t="shared" si="21"/>
        <v>0</v>
      </c>
      <c r="BU35" s="47">
        <f>IF($R35="",0,$O35*$AD35*INDEX(Act_Type_Repex_Splits,MATCH($I35,Act_Type_Repex,0),MATCH(BU$5,Mat_Type,0))*INDEX(Escalators!$I$44:$U$49,MATCH(BU$5,Escalators!$C$44:$C$49,0),MATCH(BU$6,Escalators!$I$43:$U$43,0)))</f>
        <v>0</v>
      </c>
      <c r="BV35" s="47">
        <f>IF($R35="",0,$O35*$AD35*INDEX(Act_Type_Repex_Splits,MATCH($I35,Act_Type_Repex,0),MATCH(BV$5,Mat_Type,0))*INDEX(Escalators!$I$44:$U$49,MATCH(BV$5,Escalators!$C$44:$C$49,0),MATCH(BV$6,Escalators!$I$43:$U$43,0)))</f>
        <v>0</v>
      </c>
      <c r="BW35" s="47">
        <f>IF($R35="",0,$O35*$AD35*INDEX(Act_Type_Repex_Splits,MATCH($I35,Act_Type_Repex,0),MATCH(BW$5,Mat_Type,0))*INDEX(Escalators!$I$44:$U$49,MATCH(BW$5,Escalators!$C$44:$C$49,0),MATCH(BW$6,Escalators!$I$43:$U$43,0)))</f>
        <v>0</v>
      </c>
      <c r="BX35" s="47">
        <f>IF($R35="",0,$O35*$AD35*INDEX(Act_Type_Repex_Splits,MATCH($I35,Act_Type_Repex,0),MATCH(BX$5,Mat_Type,0))*INDEX(Escalators!$I$44:$U$49,MATCH(BX$5,Escalators!$C$44:$C$49,0),MATCH(BX$6,Escalators!$I$43:$U$43,0)))</f>
        <v>0</v>
      </c>
      <c r="BY35" s="47">
        <f>IF($R35="",0,$O35*$AD35*INDEX(Act_Type_Repex_Splits,MATCH($I35,Act_Type_Repex,0),MATCH(BY$5,Mat_Type,0))*INDEX(Escalators!$I$44:$U$49,MATCH(BY$5,Escalators!$C$44:$C$49,0),MATCH(BY$6,Escalators!$I$43:$U$43,0)))</f>
        <v>0</v>
      </c>
      <c r="BZ35" s="47">
        <f t="shared" si="22"/>
        <v>0</v>
      </c>
      <c r="CA35" s="47">
        <f>IF($R35="",0,$P35*$AD35*INDEX(Act_Type_Repex_Splits,MATCH($I35,Act_Type_Repex,0),MATCH(CA$5,Mat_Type,0))*INDEX(Escalators!$I$44:$U$49,MATCH(CA$5,Escalators!$C$44:$C$49,0),MATCH(CA$6,Escalators!$I$43:$U$43,0)))</f>
        <v>0</v>
      </c>
      <c r="CB35" s="47">
        <f>IF($R35="",0,$P35*$AD35*INDEX(Act_Type_Repex_Splits,MATCH($I35,Act_Type_Repex,0),MATCH(CB$5,Mat_Type,0))*INDEX(Escalators!$I$44:$U$49,MATCH(CB$5,Escalators!$C$44:$C$49,0),MATCH(CB$6,Escalators!$I$43:$U$43,0)))</f>
        <v>0</v>
      </c>
      <c r="CC35" s="47">
        <f>IF($R35="",0,$P35*$AD35*INDEX(Act_Type_Repex_Splits,MATCH($I35,Act_Type_Repex,0),MATCH(CC$5,Mat_Type,0))*INDEX(Escalators!$I$44:$U$49,MATCH(CC$5,Escalators!$C$44:$C$49,0),MATCH(CC$6,Escalators!$I$43:$U$43,0)))</f>
        <v>0</v>
      </c>
      <c r="CD35" s="47">
        <f>IF($R35="",0,$P35*$AD35*INDEX(Act_Type_Repex_Splits,MATCH($I35,Act_Type_Repex,0),MATCH(CD$5,Mat_Type,0))*INDEX(Escalators!$I$44:$U$49,MATCH(CD$5,Escalators!$C$44:$C$49,0),MATCH(CD$6,Escalators!$I$43:$U$43,0)))</f>
        <v>0</v>
      </c>
      <c r="CE35" s="47">
        <f>IF($R35="",0,$P35*$AD35*INDEX(Act_Type_Repex_Splits,MATCH($I35,Act_Type_Repex,0),MATCH(CE$5,Mat_Type,0))*INDEX(Escalators!$I$44:$U$49,MATCH(CE$5,Escalators!$C$44:$C$49,0),MATCH(CE$6,Escalators!$I$43:$U$43,0)))</f>
        <v>0</v>
      </c>
      <c r="CF35" s="47">
        <f t="shared" si="23"/>
        <v>0</v>
      </c>
      <c r="CG35" s="47">
        <f>IF($R35="",0,$Q35*$AD35*INDEX(Act_Type_Repex_Splits,MATCH($I35,Act_Type_Repex,0),MATCH(CG$5,Mat_Type,0))*INDEX(Escalators!$I$44:$U$49,MATCH(CG$5,Escalators!$C$44:$C$49,0),MATCH(CG$6,Escalators!$I$43:$U$43,0)))</f>
        <v>0</v>
      </c>
      <c r="CH35" s="47">
        <f>IF($R35="",0,$Q35*$AD35*INDEX(Act_Type_Repex_Splits,MATCH($I35,Act_Type_Repex,0),MATCH(CH$5,Mat_Type,0))*INDEX(Escalators!$I$44:$U$49,MATCH(CH$5,Escalators!$C$44:$C$49,0),MATCH(CH$6,Escalators!$I$43:$U$43,0)))</f>
        <v>0</v>
      </c>
      <c r="CI35" s="47">
        <f>IF($R35="",0,$Q35*$AD35*INDEX(Act_Type_Repex_Splits,MATCH($I35,Act_Type_Repex,0),MATCH(CI$5,Mat_Type,0))*INDEX(Escalators!$I$44:$U$49,MATCH(CI$5,Escalators!$C$44:$C$49,0),MATCH(CI$6,Escalators!$I$43:$U$43,0)))</f>
        <v>0</v>
      </c>
      <c r="CJ35" s="47">
        <f>IF($R35="",0,$Q35*$AD35*INDEX(Act_Type_Repex_Splits,MATCH($I35,Act_Type_Repex,0),MATCH(CJ$5,Mat_Type,0))*INDEX(Escalators!$I$44:$U$49,MATCH(CJ$5,Escalators!$C$44:$C$49,0),MATCH(CJ$6,Escalators!$I$43:$U$43,0)))</f>
        <v>0</v>
      </c>
      <c r="CK35" s="47">
        <f>IF($R35="",0,$Q35*$AD35*INDEX(Act_Type_Repex_Splits,MATCH($I35,Act_Type_Repex,0),MATCH(CK$5,Mat_Type,0))*INDEX(Escalators!$I$44:$U$49,MATCH(CK$5,Escalators!$C$44:$C$49,0),MATCH(CK$6,Escalators!$I$43:$U$43,0)))</f>
        <v>0</v>
      </c>
      <c r="CL35" s="47">
        <f t="shared" si="24"/>
        <v>0</v>
      </c>
      <c r="CN35" s="47">
        <f>IF($R35="",0,J35*$AE35*HLOOKUP(CN$6,Escalators!$I$25:$U$30,6,FALSE))</f>
        <v>0</v>
      </c>
      <c r="CO35" s="47">
        <f>IF($R35="",0,K35*$AE35*HLOOKUP(CO$6,Escalators!$I$25:$U$30,6,FALSE))</f>
        <v>0</v>
      </c>
      <c r="CP35" s="47">
        <f>IF($R35="",0,L35*$AE35*HLOOKUP(CP$6,Escalators!$I$25:$U$30,6,FALSE))</f>
        <v>0</v>
      </c>
      <c r="CQ35" s="47">
        <f>IF($R35="",0,M35*$AE35*HLOOKUP(CQ$6,Escalators!$I$25:$U$30,6,FALSE))</f>
        <v>0</v>
      </c>
      <c r="CR35" s="47">
        <f>IF($R35="",0,N35*$AE35*HLOOKUP(CR$6,Escalators!$I$25:$U$30,6,FALSE))</f>
        <v>0</v>
      </c>
      <c r="CS35" s="47">
        <f>IF($R35="",0,O35*$AE35*HLOOKUP(CS$6,Escalators!$I$25:$U$30,6,FALSE))</f>
        <v>0</v>
      </c>
      <c r="CT35" s="47">
        <f>IF($R35="",0,P35*$AE35*HLOOKUP(CT$6,Escalators!$I$25:$U$30,6,FALSE))</f>
        <v>0</v>
      </c>
      <c r="CU35" s="47">
        <f>IF($R35="",0,Q35*$AE35*HLOOKUP(CU$6,Escalators!$I$25:$U$30,6,FALSE))</f>
        <v>0</v>
      </c>
      <c r="CW35" s="47">
        <f t="shared" si="25"/>
        <v>0</v>
      </c>
      <c r="CX35" s="47">
        <f t="shared" si="26"/>
        <v>0</v>
      </c>
      <c r="CY35" s="47">
        <f t="shared" si="27"/>
        <v>0</v>
      </c>
      <c r="CZ35" s="47">
        <f t="shared" si="28"/>
        <v>0</v>
      </c>
      <c r="DA35" s="47">
        <f t="shared" si="29"/>
        <v>0</v>
      </c>
      <c r="DB35" s="47">
        <f t="shared" si="30"/>
        <v>0</v>
      </c>
      <c r="DC35" s="47">
        <f t="shared" si="31"/>
        <v>0</v>
      </c>
      <c r="DD35" s="47">
        <f t="shared" si="32"/>
        <v>0</v>
      </c>
      <c r="DF35" s="47">
        <f t="shared" si="33"/>
        <v>0</v>
      </c>
      <c r="DG35" s="47">
        <f t="shared" si="34"/>
        <v>0</v>
      </c>
      <c r="DH35" s="47">
        <f t="shared" si="35"/>
        <v>0</v>
      </c>
      <c r="DI35" s="47">
        <f t="shared" si="36"/>
        <v>0</v>
      </c>
      <c r="DJ35" s="47">
        <f t="shared" si="37"/>
        <v>0</v>
      </c>
      <c r="DK35" s="47">
        <f t="shared" si="38"/>
        <v>0</v>
      </c>
      <c r="DL35" s="47">
        <f t="shared" si="39"/>
        <v>0</v>
      </c>
      <c r="DM35" s="47">
        <f t="shared" si="40"/>
        <v>0</v>
      </c>
      <c r="DO35" s="39"/>
    </row>
    <row r="36" spans="2:119" x14ac:dyDescent="0.25">
      <c r="B36" s="7"/>
      <c r="C36" s="7"/>
      <c r="D36" s="7"/>
      <c r="E36" s="7"/>
      <c r="F36" s="7"/>
      <c r="G36" s="7"/>
      <c r="H36" s="7"/>
      <c r="I36" s="7"/>
      <c r="J36" s="7"/>
      <c r="K36" s="7"/>
      <c r="L36" s="7"/>
      <c r="M36" s="7"/>
      <c r="N36" s="7"/>
      <c r="O36" s="7"/>
      <c r="P36" s="7"/>
      <c r="Q36" s="7"/>
      <c r="R36" s="46"/>
      <c r="T36" s="47">
        <f t="shared" si="8"/>
        <v>0</v>
      </c>
      <c r="U36" s="47">
        <f t="shared" si="9"/>
        <v>0</v>
      </c>
      <c r="V36" s="47">
        <f t="shared" si="10"/>
        <v>0</v>
      </c>
      <c r="W36" s="47">
        <f t="shared" si="11"/>
        <v>0</v>
      </c>
      <c r="X36" s="47">
        <f t="shared" si="12"/>
        <v>0</v>
      </c>
      <c r="Y36" s="47">
        <f t="shared" si="13"/>
        <v>0</v>
      </c>
      <c r="Z36" s="47">
        <f t="shared" si="14"/>
        <v>0</v>
      </c>
      <c r="AA36" s="47">
        <f t="shared" si="15"/>
        <v>0</v>
      </c>
      <c r="AC36" s="82">
        <f t="shared" si="16"/>
        <v>0</v>
      </c>
      <c r="AD36" s="82">
        <f t="shared" si="16"/>
        <v>0</v>
      </c>
      <c r="AE36" s="82">
        <f t="shared" si="16"/>
        <v>0</v>
      </c>
      <c r="AF36" s="82">
        <f t="shared" si="16"/>
        <v>0</v>
      </c>
      <c r="AH36" s="47">
        <f>IF($R36="",0,J36*$AC36*HLOOKUP(AH$6,Escalators!$I$25:$U$30,3,FALSE))</f>
        <v>0</v>
      </c>
      <c r="AI36" s="47">
        <f>IF($R36="",0,K36*$AC36*HLOOKUP(AI$6,Escalators!$I$25:$U$30,3,FALSE))</f>
        <v>0</v>
      </c>
      <c r="AJ36" s="47">
        <f>IF($R36="",0,L36*$AC36*HLOOKUP(AJ$6,Escalators!$I$25:$U$30,3,FALSE))</f>
        <v>0</v>
      </c>
      <c r="AK36" s="47">
        <f>IF($R36="",0,M36*$AC36*HLOOKUP(AK$6,Escalators!$I$25:$U$30,3,FALSE))</f>
        <v>0</v>
      </c>
      <c r="AL36" s="47">
        <f>IF($R36="",0,N36*$AC36*HLOOKUP(AL$6,Escalators!$I$25:$U$30,3,FALSE))</f>
        <v>0</v>
      </c>
      <c r="AM36" s="47">
        <f>IF($R36="",0,O36*$AC36*HLOOKUP(AM$6,Escalators!$I$25:$U$30,3,FALSE))</f>
        <v>0</v>
      </c>
      <c r="AN36" s="47">
        <f>IF($R36="",0,P36*$AC36*HLOOKUP(AN$6,Escalators!$I$25:$U$30,3,FALSE))</f>
        <v>0</v>
      </c>
      <c r="AO36" s="47">
        <f>IF($R36="",0,Q36*$AC36*HLOOKUP(AO$6,Escalators!$I$25:$U$30,3,FALSE))</f>
        <v>0</v>
      </c>
      <c r="AQ36" s="6">
        <f>IF($R36="",0,$J36*$AD36*INDEX(Act_Type_Repex_Splits,MATCH($I36,Act_Type_Repex,0),MATCH(AQ$5,Mat_Type,0))*INDEX(Escalators!$I$44:$Q$49,MATCH(AQ$5,Escalators!$C$44:$C$49,0),MATCH(AQ$6,Escalators!$I$43:$Q$43,0)))</f>
        <v>0</v>
      </c>
      <c r="AR36" s="6">
        <f>IF($R36="",0,$J36*$AD36*INDEX(Act_Type_Repex_Splits,MATCH($I36,Act_Type_Repex,0),MATCH(AR$5,Mat_Type,0))*INDEX(Escalators!$I$44:$Q$49,MATCH(AR$5,Escalators!$C$44:$C$49,0),MATCH(AR$6,Escalators!$I$43:$Q$43,0)))</f>
        <v>0</v>
      </c>
      <c r="AS36" s="6">
        <f>IF($R36="",0,$J36*$AD36*INDEX(Act_Type_Repex_Splits,MATCH($I36,Act_Type_Repex,0),MATCH(AS$5,Mat_Type,0))*INDEX(Escalators!$I$44:$Q$49,MATCH(AS$5,Escalators!$C$44:$C$49,0),MATCH(AS$6,Escalators!$I$43:$Q$43,0)))</f>
        <v>0</v>
      </c>
      <c r="AT36" s="6">
        <f>IF($R36="",0,$J36*$AD36*INDEX(Act_Type_Repex_Splits,MATCH($I36,Act_Type_Repex,0),MATCH(AT$5,Mat_Type,0))*INDEX(Escalators!$I$44:$Q$49,MATCH(AT$5,Escalators!$C$44:$C$49,0),MATCH(AT$6,Escalators!$I$43:$Q$43,0)))</f>
        <v>0</v>
      </c>
      <c r="AU36" s="6">
        <f>IF($R36="",0,$J36*$AD36*INDEX(Act_Type_Repex_Splits,MATCH($I36,Act_Type_Repex,0),MATCH(AU$5,Mat_Type,0))*INDEX(Escalators!$I$44:$Q$49,MATCH(AU$5,Escalators!$C$44:$C$49,0),MATCH(AU$6,Escalators!$I$43:$Q$43,0)))</f>
        <v>0</v>
      </c>
      <c r="AV36" s="47">
        <f t="shared" si="17"/>
        <v>0</v>
      </c>
      <c r="AW36" s="47">
        <f>IF($R36="",0,$K36*$AD36*INDEX(Act_Type_Repex_Splits,MATCH($I36,Act_Type_Repex,0),MATCH(AW$5,Mat_Type,0))*INDEX(Escalators!$I$44:$U$49,MATCH(AW$5,Escalators!$C$44:$C$49,0),MATCH(AW$6,Escalators!$I$43:$U$43,0)))</f>
        <v>0</v>
      </c>
      <c r="AX36" s="47">
        <f>IF($R36="",0,$K36*$AD36*INDEX(Act_Type_Repex_Splits,MATCH($I36,Act_Type_Repex,0),MATCH(AX$5,Mat_Type,0))*INDEX(Escalators!$I$44:$U$49,MATCH(AX$5,Escalators!$C$44:$C$49,0),MATCH(AX$6,Escalators!$I$43:$U$43,0)))</f>
        <v>0</v>
      </c>
      <c r="AY36" s="47">
        <f>IF($R36="",0,$K36*$AD36*INDEX(Act_Type_Repex_Splits,MATCH($I36,Act_Type_Repex,0),MATCH(AY$5,Mat_Type,0))*INDEX(Escalators!$I$44:$U$49,MATCH(AY$5,Escalators!$C$44:$C$49,0),MATCH(AY$6,Escalators!$I$43:$U$43,0)))</f>
        <v>0</v>
      </c>
      <c r="AZ36" s="47">
        <f>IF($R36="",0,$K36*$AD36*INDEX(Act_Type_Repex_Splits,MATCH($I36,Act_Type_Repex,0),MATCH(AZ$5,Mat_Type,0))*INDEX(Escalators!$I$44:$U$49,MATCH(AZ$5,Escalators!$C$44:$C$49,0),MATCH(AZ$6,Escalators!$I$43:$U$43,0)))</f>
        <v>0</v>
      </c>
      <c r="BA36" s="47">
        <f>IF($R36="",0,$K36*$AD36*INDEX(Act_Type_Repex_Splits,MATCH($I36,Act_Type_Repex,0),MATCH(BA$5,Mat_Type,0))*INDEX(Escalators!$I$44:$U$49,MATCH(BA$5,Escalators!$C$44:$C$49,0),MATCH(BA$6,Escalators!$I$43:$U$43,0)))</f>
        <v>0</v>
      </c>
      <c r="BB36" s="47">
        <f t="shared" si="18"/>
        <v>0</v>
      </c>
      <c r="BC36" s="47">
        <f>IF($R36="",0,$L36*$AD36*INDEX(Act_Type_Repex_Splits,MATCH($I36,Act_Type_Repex,0),MATCH(BC$5,Mat_Type,0))*INDEX(Escalators!$I$44:$U$49,MATCH(BC$5,Escalators!$C$44:$C$49,0),MATCH(BC$6,Escalators!$I$43:$U$43,0)))</f>
        <v>0</v>
      </c>
      <c r="BD36" s="47">
        <f>IF($R36="",0,$L36*$AD36*INDEX(Act_Type_Repex_Splits,MATCH($I36,Act_Type_Repex,0),MATCH(BD$5,Mat_Type,0))*INDEX(Escalators!$I$44:$U$49,MATCH(BD$5,Escalators!$C$44:$C$49,0),MATCH(BD$6,Escalators!$I$43:$U$43,0)))</f>
        <v>0</v>
      </c>
      <c r="BE36" s="47">
        <f>IF($R36="",0,$L36*$AD36*INDEX(Act_Type_Repex_Splits,MATCH($I36,Act_Type_Repex,0),MATCH(BE$5,Mat_Type,0))*INDEX(Escalators!$I$44:$U$49,MATCH(BE$5,Escalators!$C$44:$C$49,0),MATCH(BE$6,Escalators!$I$43:$U$43,0)))</f>
        <v>0</v>
      </c>
      <c r="BF36" s="47">
        <f>IF($R36="",0,$L36*$AD36*INDEX(Act_Type_Repex_Splits,MATCH($I36,Act_Type_Repex,0),MATCH(BF$5,Mat_Type,0))*INDEX(Escalators!$I$44:$U$49,MATCH(BF$5,Escalators!$C$44:$C$49,0),MATCH(BF$6,Escalators!$I$43:$U$43,0)))</f>
        <v>0</v>
      </c>
      <c r="BG36" s="47">
        <f>IF($R36="",0,$L36*$AD36*INDEX(Act_Type_Repex_Splits,MATCH($I36,Act_Type_Repex,0),MATCH(BG$5,Mat_Type,0))*INDEX(Escalators!$I$44:$U$49,MATCH(BG$5,Escalators!$C$44:$C$49,0),MATCH(BG$6,Escalators!$I$43:$U$43,0)))</f>
        <v>0</v>
      </c>
      <c r="BH36" s="47">
        <f t="shared" si="19"/>
        <v>0</v>
      </c>
      <c r="BI36" s="47">
        <f>IF($R36="",0,$M36*$AD36*INDEX(Act_Type_Repex_Splits,MATCH($I36,Act_Type_Repex,0),MATCH(BI$5,Mat_Type,0))*INDEX(Escalators!$I$44:$U$49,MATCH(BI$5,Escalators!$C$44:$C$49,0),MATCH(BI$6,Escalators!$I$43:$U$43,0)))</f>
        <v>0</v>
      </c>
      <c r="BJ36" s="47">
        <f>IF($R36="",0,$M36*$AD36*INDEX(Act_Type_Repex_Splits,MATCH($I36,Act_Type_Repex,0),MATCH(BJ$5,Mat_Type,0))*INDEX(Escalators!$I$44:$U$49,MATCH(BJ$5,Escalators!$C$44:$C$49,0),MATCH(BJ$6,Escalators!$I$43:$U$43,0)))</f>
        <v>0</v>
      </c>
      <c r="BK36" s="47">
        <f>IF($R36="",0,$M36*$AD36*INDEX(Act_Type_Repex_Splits,MATCH($I36,Act_Type_Repex,0),MATCH(BK$5,Mat_Type,0))*INDEX(Escalators!$I$44:$U$49,MATCH(BK$5,Escalators!$C$44:$C$49,0),MATCH(BK$6,Escalators!$I$43:$U$43,0)))</f>
        <v>0</v>
      </c>
      <c r="BL36" s="47">
        <f>IF($R36="",0,$M36*$AD36*INDEX(Act_Type_Repex_Splits,MATCH($I36,Act_Type_Repex,0),MATCH(BL$5,Mat_Type,0))*INDEX(Escalators!$I$44:$U$49,MATCH(BL$5,Escalators!$C$44:$C$49,0),MATCH(BL$6,Escalators!$I$43:$U$43,0)))</f>
        <v>0</v>
      </c>
      <c r="BM36" s="47">
        <f>IF($R36="",0,$M36*$AD36*INDEX(Act_Type_Repex_Splits,MATCH($I36,Act_Type_Repex,0),MATCH(BM$5,Mat_Type,0))*INDEX(Escalators!$I$44:$U$49,MATCH(BM$5,Escalators!$C$44:$C$49,0),MATCH(BM$6,Escalators!$I$43:$U$43,0)))</f>
        <v>0</v>
      </c>
      <c r="BN36" s="47">
        <f t="shared" si="20"/>
        <v>0</v>
      </c>
      <c r="BO36" s="47">
        <f>IF($R36="",0,$N36*$AD36*INDEX(Act_Type_Repex_Splits,MATCH($I36,Act_Type_Repex,0),MATCH(BO$5,Mat_Type,0))*INDEX(Escalators!$I$44:$U$49,MATCH(BO$5,Escalators!$C$44:$C$49,0),MATCH(BO$6,Escalators!$I$43:$U$43,0)))</f>
        <v>0</v>
      </c>
      <c r="BP36" s="47">
        <f>IF($R36="",0,$N36*$AD36*INDEX(Act_Type_Repex_Splits,MATCH($I36,Act_Type_Repex,0),MATCH(BP$5,Mat_Type,0))*INDEX(Escalators!$I$44:$U$49,MATCH(BP$5,Escalators!$C$44:$C$49,0),MATCH(BP$6,Escalators!$I$43:$U$43,0)))</f>
        <v>0</v>
      </c>
      <c r="BQ36" s="47">
        <f>IF($R36="",0,$N36*$AD36*INDEX(Act_Type_Repex_Splits,MATCH($I36,Act_Type_Repex,0),MATCH(BQ$5,Mat_Type,0))*INDEX(Escalators!$I$44:$U$49,MATCH(BQ$5,Escalators!$C$44:$C$49,0),MATCH(BQ$6,Escalators!$I$43:$U$43,0)))</f>
        <v>0</v>
      </c>
      <c r="BR36" s="47">
        <f>IF($R36="",0,$N36*$AD36*INDEX(Act_Type_Repex_Splits,MATCH($I36,Act_Type_Repex,0),MATCH(BR$5,Mat_Type,0))*INDEX(Escalators!$I$44:$U$49,MATCH(BR$5,Escalators!$C$44:$C$49,0),MATCH(BR$6,Escalators!$I$43:$U$43,0)))</f>
        <v>0</v>
      </c>
      <c r="BS36" s="47">
        <f>IF($R36="",0,$N36*$AD36*INDEX(Act_Type_Repex_Splits,MATCH($I36,Act_Type_Repex,0),MATCH(BS$5,Mat_Type,0))*INDEX(Escalators!$I$44:$U$49,MATCH(BS$5,Escalators!$C$44:$C$49,0),MATCH(BS$6,Escalators!$I$43:$U$43,0)))</f>
        <v>0</v>
      </c>
      <c r="BT36" s="47">
        <f t="shared" si="21"/>
        <v>0</v>
      </c>
      <c r="BU36" s="47">
        <f>IF($R36="",0,$O36*$AD36*INDEX(Act_Type_Repex_Splits,MATCH($I36,Act_Type_Repex,0),MATCH(BU$5,Mat_Type,0))*INDEX(Escalators!$I$44:$U$49,MATCH(BU$5,Escalators!$C$44:$C$49,0),MATCH(BU$6,Escalators!$I$43:$U$43,0)))</f>
        <v>0</v>
      </c>
      <c r="BV36" s="47">
        <f>IF($R36="",0,$O36*$AD36*INDEX(Act_Type_Repex_Splits,MATCH($I36,Act_Type_Repex,0),MATCH(BV$5,Mat_Type,0))*INDEX(Escalators!$I$44:$U$49,MATCH(BV$5,Escalators!$C$44:$C$49,0),MATCH(BV$6,Escalators!$I$43:$U$43,0)))</f>
        <v>0</v>
      </c>
      <c r="BW36" s="47">
        <f>IF($R36="",0,$O36*$AD36*INDEX(Act_Type_Repex_Splits,MATCH($I36,Act_Type_Repex,0),MATCH(BW$5,Mat_Type,0))*INDEX(Escalators!$I$44:$U$49,MATCH(BW$5,Escalators!$C$44:$C$49,0),MATCH(BW$6,Escalators!$I$43:$U$43,0)))</f>
        <v>0</v>
      </c>
      <c r="BX36" s="47">
        <f>IF($R36="",0,$O36*$AD36*INDEX(Act_Type_Repex_Splits,MATCH($I36,Act_Type_Repex,0),MATCH(BX$5,Mat_Type,0))*INDEX(Escalators!$I$44:$U$49,MATCH(BX$5,Escalators!$C$44:$C$49,0),MATCH(BX$6,Escalators!$I$43:$U$43,0)))</f>
        <v>0</v>
      </c>
      <c r="BY36" s="47">
        <f>IF($R36="",0,$O36*$AD36*INDEX(Act_Type_Repex_Splits,MATCH($I36,Act_Type_Repex,0),MATCH(BY$5,Mat_Type,0))*INDEX(Escalators!$I$44:$U$49,MATCH(BY$5,Escalators!$C$44:$C$49,0),MATCH(BY$6,Escalators!$I$43:$U$43,0)))</f>
        <v>0</v>
      </c>
      <c r="BZ36" s="47">
        <f t="shared" si="22"/>
        <v>0</v>
      </c>
      <c r="CA36" s="47">
        <f>IF($R36="",0,$P36*$AD36*INDEX(Act_Type_Repex_Splits,MATCH($I36,Act_Type_Repex,0),MATCH(CA$5,Mat_Type,0))*INDEX(Escalators!$I$44:$U$49,MATCH(CA$5,Escalators!$C$44:$C$49,0),MATCH(CA$6,Escalators!$I$43:$U$43,0)))</f>
        <v>0</v>
      </c>
      <c r="CB36" s="47">
        <f>IF($R36="",0,$P36*$AD36*INDEX(Act_Type_Repex_Splits,MATCH($I36,Act_Type_Repex,0),MATCH(CB$5,Mat_Type,0))*INDEX(Escalators!$I$44:$U$49,MATCH(CB$5,Escalators!$C$44:$C$49,0),MATCH(CB$6,Escalators!$I$43:$U$43,0)))</f>
        <v>0</v>
      </c>
      <c r="CC36" s="47">
        <f>IF($R36="",0,$P36*$AD36*INDEX(Act_Type_Repex_Splits,MATCH($I36,Act_Type_Repex,0),MATCH(CC$5,Mat_Type,0))*INDEX(Escalators!$I$44:$U$49,MATCH(CC$5,Escalators!$C$44:$C$49,0),MATCH(CC$6,Escalators!$I$43:$U$43,0)))</f>
        <v>0</v>
      </c>
      <c r="CD36" s="47">
        <f>IF($R36="",0,$P36*$AD36*INDEX(Act_Type_Repex_Splits,MATCH($I36,Act_Type_Repex,0),MATCH(CD$5,Mat_Type,0))*INDEX(Escalators!$I$44:$U$49,MATCH(CD$5,Escalators!$C$44:$C$49,0),MATCH(CD$6,Escalators!$I$43:$U$43,0)))</f>
        <v>0</v>
      </c>
      <c r="CE36" s="47">
        <f>IF($R36="",0,$P36*$AD36*INDEX(Act_Type_Repex_Splits,MATCH($I36,Act_Type_Repex,0),MATCH(CE$5,Mat_Type,0))*INDEX(Escalators!$I$44:$U$49,MATCH(CE$5,Escalators!$C$44:$C$49,0),MATCH(CE$6,Escalators!$I$43:$U$43,0)))</f>
        <v>0</v>
      </c>
      <c r="CF36" s="47">
        <f t="shared" si="23"/>
        <v>0</v>
      </c>
      <c r="CG36" s="47">
        <f>IF($R36="",0,$Q36*$AD36*INDEX(Act_Type_Repex_Splits,MATCH($I36,Act_Type_Repex,0),MATCH(CG$5,Mat_Type,0))*INDEX(Escalators!$I$44:$U$49,MATCH(CG$5,Escalators!$C$44:$C$49,0),MATCH(CG$6,Escalators!$I$43:$U$43,0)))</f>
        <v>0</v>
      </c>
      <c r="CH36" s="47">
        <f>IF($R36="",0,$Q36*$AD36*INDEX(Act_Type_Repex_Splits,MATCH($I36,Act_Type_Repex,0),MATCH(CH$5,Mat_Type,0))*INDEX(Escalators!$I$44:$U$49,MATCH(CH$5,Escalators!$C$44:$C$49,0),MATCH(CH$6,Escalators!$I$43:$U$43,0)))</f>
        <v>0</v>
      </c>
      <c r="CI36" s="47">
        <f>IF($R36="",0,$Q36*$AD36*INDEX(Act_Type_Repex_Splits,MATCH($I36,Act_Type_Repex,0),MATCH(CI$5,Mat_Type,0))*INDEX(Escalators!$I$44:$U$49,MATCH(CI$5,Escalators!$C$44:$C$49,0),MATCH(CI$6,Escalators!$I$43:$U$43,0)))</f>
        <v>0</v>
      </c>
      <c r="CJ36" s="47">
        <f>IF($R36="",0,$Q36*$AD36*INDEX(Act_Type_Repex_Splits,MATCH($I36,Act_Type_Repex,0),MATCH(CJ$5,Mat_Type,0))*INDEX(Escalators!$I$44:$U$49,MATCH(CJ$5,Escalators!$C$44:$C$49,0),MATCH(CJ$6,Escalators!$I$43:$U$43,0)))</f>
        <v>0</v>
      </c>
      <c r="CK36" s="47">
        <f>IF($R36="",0,$Q36*$AD36*INDEX(Act_Type_Repex_Splits,MATCH($I36,Act_Type_Repex,0),MATCH(CK$5,Mat_Type,0))*INDEX(Escalators!$I$44:$U$49,MATCH(CK$5,Escalators!$C$44:$C$49,0),MATCH(CK$6,Escalators!$I$43:$U$43,0)))</f>
        <v>0</v>
      </c>
      <c r="CL36" s="47">
        <f t="shared" si="24"/>
        <v>0</v>
      </c>
      <c r="CN36" s="47">
        <f>IF($R36="",0,J36*$AE36*HLOOKUP(CN$6,Escalators!$I$25:$U$30,6,FALSE))</f>
        <v>0</v>
      </c>
      <c r="CO36" s="47">
        <f>IF($R36="",0,K36*$AE36*HLOOKUP(CO$6,Escalators!$I$25:$U$30,6,FALSE))</f>
        <v>0</v>
      </c>
      <c r="CP36" s="47">
        <f>IF($R36="",0,L36*$AE36*HLOOKUP(CP$6,Escalators!$I$25:$U$30,6,FALSE))</f>
        <v>0</v>
      </c>
      <c r="CQ36" s="47">
        <f>IF($R36="",0,M36*$AE36*HLOOKUP(CQ$6,Escalators!$I$25:$U$30,6,FALSE))</f>
        <v>0</v>
      </c>
      <c r="CR36" s="47">
        <f>IF($R36="",0,N36*$AE36*HLOOKUP(CR$6,Escalators!$I$25:$U$30,6,FALSE))</f>
        <v>0</v>
      </c>
      <c r="CS36" s="47">
        <f>IF($R36="",0,O36*$AE36*HLOOKUP(CS$6,Escalators!$I$25:$U$30,6,FALSE))</f>
        <v>0</v>
      </c>
      <c r="CT36" s="47">
        <f>IF($R36="",0,P36*$AE36*HLOOKUP(CT$6,Escalators!$I$25:$U$30,6,FALSE))</f>
        <v>0</v>
      </c>
      <c r="CU36" s="47">
        <f>IF($R36="",0,Q36*$AE36*HLOOKUP(CU$6,Escalators!$I$25:$U$30,6,FALSE))</f>
        <v>0</v>
      </c>
      <c r="CW36" s="47">
        <f t="shared" si="25"/>
        <v>0</v>
      </c>
      <c r="CX36" s="47">
        <f t="shared" si="26"/>
        <v>0</v>
      </c>
      <c r="CY36" s="47">
        <f t="shared" si="27"/>
        <v>0</v>
      </c>
      <c r="CZ36" s="47">
        <f t="shared" si="28"/>
        <v>0</v>
      </c>
      <c r="DA36" s="47">
        <f t="shared" si="29"/>
        <v>0</v>
      </c>
      <c r="DB36" s="47">
        <f t="shared" si="30"/>
        <v>0</v>
      </c>
      <c r="DC36" s="47">
        <f t="shared" si="31"/>
        <v>0</v>
      </c>
      <c r="DD36" s="47">
        <f t="shared" si="32"/>
        <v>0</v>
      </c>
      <c r="DF36" s="47">
        <f t="shared" si="33"/>
        <v>0</v>
      </c>
      <c r="DG36" s="47">
        <f t="shared" si="34"/>
        <v>0</v>
      </c>
      <c r="DH36" s="47">
        <f t="shared" si="35"/>
        <v>0</v>
      </c>
      <c r="DI36" s="47">
        <f t="shared" si="36"/>
        <v>0</v>
      </c>
      <c r="DJ36" s="47">
        <f t="shared" si="37"/>
        <v>0</v>
      </c>
      <c r="DK36" s="47">
        <f t="shared" si="38"/>
        <v>0</v>
      </c>
      <c r="DL36" s="47">
        <f t="shared" si="39"/>
        <v>0</v>
      </c>
      <c r="DM36" s="47">
        <f t="shared" si="40"/>
        <v>0</v>
      </c>
      <c r="DO36" s="39"/>
    </row>
    <row r="37" spans="2:119" x14ac:dyDescent="0.25">
      <c r="B37" s="7"/>
      <c r="C37" s="7"/>
      <c r="D37" s="7"/>
      <c r="E37" s="7"/>
      <c r="F37" s="7"/>
      <c r="G37" s="7"/>
      <c r="H37" s="7"/>
      <c r="I37" s="7"/>
      <c r="J37" s="7"/>
      <c r="K37" s="7"/>
      <c r="L37" s="7"/>
      <c r="M37" s="7"/>
      <c r="N37" s="7"/>
      <c r="O37" s="7"/>
      <c r="P37" s="7"/>
      <c r="Q37" s="7"/>
      <c r="R37" s="46"/>
      <c r="T37" s="47">
        <f t="shared" si="8"/>
        <v>0</v>
      </c>
      <c r="U37" s="47">
        <f t="shared" si="9"/>
        <v>0</v>
      </c>
      <c r="V37" s="47">
        <f t="shared" si="10"/>
        <v>0</v>
      </c>
      <c r="W37" s="47">
        <f t="shared" si="11"/>
        <v>0</v>
      </c>
      <c r="X37" s="47">
        <f t="shared" si="12"/>
        <v>0</v>
      </c>
      <c r="Y37" s="47">
        <f t="shared" si="13"/>
        <v>0</v>
      </c>
      <c r="Z37" s="47">
        <f t="shared" si="14"/>
        <v>0</v>
      </c>
      <c r="AA37" s="47">
        <f t="shared" si="15"/>
        <v>0</v>
      </c>
      <c r="AC37" s="82">
        <f t="shared" si="16"/>
        <v>0</v>
      </c>
      <c r="AD37" s="82">
        <f t="shared" si="16"/>
        <v>0</v>
      </c>
      <c r="AE37" s="82">
        <f t="shared" si="16"/>
        <v>0</v>
      </c>
      <c r="AF37" s="82">
        <f t="shared" si="16"/>
        <v>0</v>
      </c>
      <c r="AH37" s="47">
        <f>IF($R37="",0,J37*$AC37*HLOOKUP(AH$6,Escalators!$I$25:$U$30,3,FALSE))</f>
        <v>0</v>
      </c>
      <c r="AI37" s="47">
        <f>IF($R37="",0,K37*$AC37*HLOOKUP(AI$6,Escalators!$I$25:$U$30,3,FALSE))</f>
        <v>0</v>
      </c>
      <c r="AJ37" s="47">
        <f>IF($R37="",0,L37*$AC37*HLOOKUP(AJ$6,Escalators!$I$25:$U$30,3,FALSE))</f>
        <v>0</v>
      </c>
      <c r="AK37" s="47">
        <f>IF($R37="",0,M37*$AC37*HLOOKUP(AK$6,Escalators!$I$25:$U$30,3,FALSE))</f>
        <v>0</v>
      </c>
      <c r="AL37" s="47">
        <f>IF($R37="",0,N37*$AC37*HLOOKUP(AL$6,Escalators!$I$25:$U$30,3,FALSE))</f>
        <v>0</v>
      </c>
      <c r="AM37" s="47">
        <f>IF($R37="",0,O37*$AC37*HLOOKUP(AM$6,Escalators!$I$25:$U$30,3,FALSE))</f>
        <v>0</v>
      </c>
      <c r="AN37" s="47">
        <f>IF($R37="",0,P37*$AC37*HLOOKUP(AN$6,Escalators!$I$25:$U$30,3,FALSE))</f>
        <v>0</v>
      </c>
      <c r="AO37" s="47">
        <f>IF($R37="",0,Q37*$AC37*HLOOKUP(AO$6,Escalators!$I$25:$U$30,3,FALSE))</f>
        <v>0</v>
      </c>
      <c r="AQ37" s="6">
        <f>IF($R37="",0,$J37*$AD37*INDEX(Act_Type_Repex_Splits,MATCH($I37,Act_Type_Repex,0),MATCH(AQ$5,Mat_Type,0))*INDEX(Escalators!$I$44:$Q$49,MATCH(AQ$5,Escalators!$C$44:$C$49,0),MATCH(AQ$6,Escalators!$I$43:$Q$43,0)))</f>
        <v>0</v>
      </c>
      <c r="AR37" s="6">
        <f>IF($R37="",0,$J37*$AD37*INDEX(Act_Type_Repex_Splits,MATCH($I37,Act_Type_Repex,0),MATCH(AR$5,Mat_Type,0))*INDEX(Escalators!$I$44:$Q$49,MATCH(AR$5,Escalators!$C$44:$C$49,0),MATCH(AR$6,Escalators!$I$43:$Q$43,0)))</f>
        <v>0</v>
      </c>
      <c r="AS37" s="6">
        <f>IF($R37="",0,$J37*$AD37*INDEX(Act_Type_Repex_Splits,MATCH($I37,Act_Type_Repex,0),MATCH(AS$5,Mat_Type,0))*INDEX(Escalators!$I$44:$Q$49,MATCH(AS$5,Escalators!$C$44:$C$49,0),MATCH(AS$6,Escalators!$I$43:$Q$43,0)))</f>
        <v>0</v>
      </c>
      <c r="AT37" s="6">
        <f>IF($R37="",0,$J37*$AD37*INDEX(Act_Type_Repex_Splits,MATCH($I37,Act_Type_Repex,0),MATCH(AT$5,Mat_Type,0))*INDEX(Escalators!$I$44:$Q$49,MATCH(AT$5,Escalators!$C$44:$C$49,0),MATCH(AT$6,Escalators!$I$43:$Q$43,0)))</f>
        <v>0</v>
      </c>
      <c r="AU37" s="6">
        <f>IF($R37="",0,$J37*$AD37*INDEX(Act_Type_Repex_Splits,MATCH($I37,Act_Type_Repex,0),MATCH(AU$5,Mat_Type,0))*INDEX(Escalators!$I$44:$Q$49,MATCH(AU$5,Escalators!$C$44:$C$49,0),MATCH(AU$6,Escalators!$I$43:$Q$43,0)))</f>
        <v>0</v>
      </c>
      <c r="AV37" s="47">
        <f t="shared" si="17"/>
        <v>0</v>
      </c>
      <c r="AW37" s="47">
        <f>IF($R37="",0,$K37*$AD37*INDEX(Act_Type_Repex_Splits,MATCH($I37,Act_Type_Repex,0),MATCH(AW$5,Mat_Type,0))*INDEX(Escalators!$I$44:$U$49,MATCH(AW$5,Escalators!$C$44:$C$49,0),MATCH(AW$6,Escalators!$I$43:$U$43,0)))</f>
        <v>0</v>
      </c>
      <c r="AX37" s="47">
        <f>IF($R37="",0,$K37*$AD37*INDEX(Act_Type_Repex_Splits,MATCH($I37,Act_Type_Repex,0),MATCH(AX$5,Mat_Type,0))*INDEX(Escalators!$I$44:$U$49,MATCH(AX$5,Escalators!$C$44:$C$49,0),MATCH(AX$6,Escalators!$I$43:$U$43,0)))</f>
        <v>0</v>
      </c>
      <c r="AY37" s="47">
        <f>IF($R37="",0,$K37*$AD37*INDEX(Act_Type_Repex_Splits,MATCH($I37,Act_Type_Repex,0),MATCH(AY$5,Mat_Type,0))*INDEX(Escalators!$I$44:$U$49,MATCH(AY$5,Escalators!$C$44:$C$49,0),MATCH(AY$6,Escalators!$I$43:$U$43,0)))</f>
        <v>0</v>
      </c>
      <c r="AZ37" s="47">
        <f>IF($R37="",0,$K37*$AD37*INDEX(Act_Type_Repex_Splits,MATCH($I37,Act_Type_Repex,0),MATCH(AZ$5,Mat_Type,0))*INDEX(Escalators!$I$44:$U$49,MATCH(AZ$5,Escalators!$C$44:$C$49,0),MATCH(AZ$6,Escalators!$I$43:$U$43,0)))</f>
        <v>0</v>
      </c>
      <c r="BA37" s="47">
        <f>IF($R37="",0,$K37*$AD37*INDEX(Act_Type_Repex_Splits,MATCH($I37,Act_Type_Repex,0),MATCH(BA$5,Mat_Type,0))*INDEX(Escalators!$I$44:$U$49,MATCH(BA$5,Escalators!$C$44:$C$49,0),MATCH(BA$6,Escalators!$I$43:$U$43,0)))</f>
        <v>0</v>
      </c>
      <c r="BB37" s="47">
        <f t="shared" si="18"/>
        <v>0</v>
      </c>
      <c r="BC37" s="47">
        <f>IF($R37="",0,$L37*$AD37*INDEX(Act_Type_Repex_Splits,MATCH($I37,Act_Type_Repex,0),MATCH(BC$5,Mat_Type,0))*INDEX(Escalators!$I$44:$U$49,MATCH(BC$5,Escalators!$C$44:$C$49,0),MATCH(BC$6,Escalators!$I$43:$U$43,0)))</f>
        <v>0</v>
      </c>
      <c r="BD37" s="47">
        <f>IF($R37="",0,$L37*$AD37*INDEX(Act_Type_Repex_Splits,MATCH($I37,Act_Type_Repex,0),MATCH(BD$5,Mat_Type,0))*INDEX(Escalators!$I$44:$U$49,MATCH(BD$5,Escalators!$C$44:$C$49,0),MATCH(BD$6,Escalators!$I$43:$U$43,0)))</f>
        <v>0</v>
      </c>
      <c r="BE37" s="47">
        <f>IF($R37="",0,$L37*$AD37*INDEX(Act_Type_Repex_Splits,MATCH($I37,Act_Type_Repex,0),MATCH(BE$5,Mat_Type,0))*INDEX(Escalators!$I$44:$U$49,MATCH(BE$5,Escalators!$C$44:$C$49,0),MATCH(BE$6,Escalators!$I$43:$U$43,0)))</f>
        <v>0</v>
      </c>
      <c r="BF37" s="47">
        <f>IF($R37="",0,$L37*$AD37*INDEX(Act_Type_Repex_Splits,MATCH($I37,Act_Type_Repex,0),MATCH(BF$5,Mat_Type,0))*INDEX(Escalators!$I$44:$U$49,MATCH(BF$5,Escalators!$C$44:$C$49,0),MATCH(BF$6,Escalators!$I$43:$U$43,0)))</f>
        <v>0</v>
      </c>
      <c r="BG37" s="47">
        <f>IF($R37="",0,$L37*$AD37*INDEX(Act_Type_Repex_Splits,MATCH($I37,Act_Type_Repex,0),MATCH(BG$5,Mat_Type,0))*INDEX(Escalators!$I$44:$U$49,MATCH(BG$5,Escalators!$C$44:$C$49,0),MATCH(BG$6,Escalators!$I$43:$U$43,0)))</f>
        <v>0</v>
      </c>
      <c r="BH37" s="47">
        <f t="shared" si="19"/>
        <v>0</v>
      </c>
      <c r="BI37" s="47">
        <f>IF($R37="",0,$M37*$AD37*INDEX(Act_Type_Repex_Splits,MATCH($I37,Act_Type_Repex,0),MATCH(BI$5,Mat_Type,0))*INDEX(Escalators!$I$44:$U$49,MATCH(BI$5,Escalators!$C$44:$C$49,0),MATCH(BI$6,Escalators!$I$43:$U$43,0)))</f>
        <v>0</v>
      </c>
      <c r="BJ37" s="47">
        <f>IF($R37="",0,$M37*$AD37*INDEX(Act_Type_Repex_Splits,MATCH($I37,Act_Type_Repex,0),MATCH(BJ$5,Mat_Type,0))*INDEX(Escalators!$I$44:$U$49,MATCH(BJ$5,Escalators!$C$44:$C$49,0),MATCH(BJ$6,Escalators!$I$43:$U$43,0)))</f>
        <v>0</v>
      </c>
      <c r="BK37" s="47">
        <f>IF($R37="",0,$M37*$AD37*INDEX(Act_Type_Repex_Splits,MATCH($I37,Act_Type_Repex,0),MATCH(BK$5,Mat_Type,0))*INDEX(Escalators!$I$44:$U$49,MATCH(BK$5,Escalators!$C$44:$C$49,0),MATCH(BK$6,Escalators!$I$43:$U$43,0)))</f>
        <v>0</v>
      </c>
      <c r="BL37" s="47">
        <f>IF($R37="",0,$M37*$AD37*INDEX(Act_Type_Repex_Splits,MATCH($I37,Act_Type_Repex,0),MATCH(BL$5,Mat_Type,0))*INDEX(Escalators!$I$44:$U$49,MATCH(BL$5,Escalators!$C$44:$C$49,0),MATCH(BL$6,Escalators!$I$43:$U$43,0)))</f>
        <v>0</v>
      </c>
      <c r="BM37" s="47">
        <f>IF($R37="",0,$M37*$AD37*INDEX(Act_Type_Repex_Splits,MATCH($I37,Act_Type_Repex,0),MATCH(BM$5,Mat_Type,0))*INDEX(Escalators!$I$44:$U$49,MATCH(BM$5,Escalators!$C$44:$C$49,0),MATCH(BM$6,Escalators!$I$43:$U$43,0)))</f>
        <v>0</v>
      </c>
      <c r="BN37" s="47">
        <f t="shared" si="20"/>
        <v>0</v>
      </c>
      <c r="BO37" s="47">
        <f>IF($R37="",0,$N37*$AD37*INDEX(Act_Type_Repex_Splits,MATCH($I37,Act_Type_Repex,0),MATCH(BO$5,Mat_Type,0))*INDEX(Escalators!$I$44:$U$49,MATCH(BO$5,Escalators!$C$44:$C$49,0),MATCH(BO$6,Escalators!$I$43:$U$43,0)))</f>
        <v>0</v>
      </c>
      <c r="BP37" s="47">
        <f>IF($R37="",0,$N37*$AD37*INDEX(Act_Type_Repex_Splits,MATCH($I37,Act_Type_Repex,0),MATCH(BP$5,Mat_Type,0))*INDEX(Escalators!$I$44:$U$49,MATCH(BP$5,Escalators!$C$44:$C$49,0),MATCH(BP$6,Escalators!$I$43:$U$43,0)))</f>
        <v>0</v>
      </c>
      <c r="BQ37" s="47">
        <f>IF($R37="",0,$N37*$AD37*INDEX(Act_Type_Repex_Splits,MATCH($I37,Act_Type_Repex,0),MATCH(BQ$5,Mat_Type,0))*INDEX(Escalators!$I$44:$U$49,MATCH(BQ$5,Escalators!$C$44:$C$49,0),MATCH(BQ$6,Escalators!$I$43:$U$43,0)))</f>
        <v>0</v>
      </c>
      <c r="BR37" s="47">
        <f>IF($R37="",0,$N37*$AD37*INDEX(Act_Type_Repex_Splits,MATCH($I37,Act_Type_Repex,0),MATCH(BR$5,Mat_Type,0))*INDEX(Escalators!$I$44:$U$49,MATCH(BR$5,Escalators!$C$44:$C$49,0),MATCH(BR$6,Escalators!$I$43:$U$43,0)))</f>
        <v>0</v>
      </c>
      <c r="BS37" s="47">
        <f>IF($R37="",0,$N37*$AD37*INDEX(Act_Type_Repex_Splits,MATCH($I37,Act_Type_Repex,0),MATCH(BS$5,Mat_Type,0))*INDEX(Escalators!$I$44:$U$49,MATCH(BS$5,Escalators!$C$44:$C$49,0),MATCH(BS$6,Escalators!$I$43:$U$43,0)))</f>
        <v>0</v>
      </c>
      <c r="BT37" s="47">
        <f t="shared" si="21"/>
        <v>0</v>
      </c>
      <c r="BU37" s="47">
        <f>IF($R37="",0,$O37*$AD37*INDEX(Act_Type_Repex_Splits,MATCH($I37,Act_Type_Repex,0),MATCH(BU$5,Mat_Type,0))*INDEX(Escalators!$I$44:$U$49,MATCH(BU$5,Escalators!$C$44:$C$49,0),MATCH(BU$6,Escalators!$I$43:$U$43,0)))</f>
        <v>0</v>
      </c>
      <c r="BV37" s="47">
        <f>IF($R37="",0,$O37*$AD37*INDEX(Act_Type_Repex_Splits,MATCH($I37,Act_Type_Repex,0),MATCH(BV$5,Mat_Type,0))*INDEX(Escalators!$I$44:$U$49,MATCH(BV$5,Escalators!$C$44:$C$49,0),MATCH(BV$6,Escalators!$I$43:$U$43,0)))</f>
        <v>0</v>
      </c>
      <c r="BW37" s="47">
        <f>IF($R37="",0,$O37*$AD37*INDEX(Act_Type_Repex_Splits,MATCH($I37,Act_Type_Repex,0),MATCH(BW$5,Mat_Type,0))*INDEX(Escalators!$I$44:$U$49,MATCH(BW$5,Escalators!$C$44:$C$49,0),MATCH(BW$6,Escalators!$I$43:$U$43,0)))</f>
        <v>0</v>
      </c>
      <c r="BX37" s="47">
        <f>IF($R37="",0,$O37*$AD37*INDEX(Act_Type_Repex_Splits,MATCH($I37,Act_Type_Repex,0),MATCH(BX$5,Mat_Type,0))*INDEX(Escalators!$I$44:$U$49,MATCH(BX$5,Escalators!$C$44:$C$49,0),MATCH(BX$6,Escalators!$I$43:$U$43,0)))</f>
        <v>0</v>
      </c>
      <c r="BY37" s="47">
        <f>IF($R37="",0,$O37*$AD37*INDEX(Act_Type_Repex_Splits,MATCH($I37,Act_Type_Repex,0),MATCH(BY$5,Mat_Type,0))*INDEX(Escalators!$I$44:$U$49,MATCH(BY$5,Escalators!$C$44:$C$49,0),MATCH(BY$6,Escalators!$I$43:$U$43,0)))</f>
        <v>0</v>
      </c>
      <c r="BZ37" s="47">
        <f t="shared" si="22"/>
        <v>0</v>
      </c>
      <c r="CA37" s="47">
        <f>IF($R37="",0,$P37*$AD37*INDEX(Act_Type_Repex_Splits,MATCH($I37,Act_Type_Repex,0),MATCH(CA$5,Mat_Type,0))*INDEX(Escalators!$I$44:$U$49,MATCH(CA$5,Escalators!$C$44:$C$49,0),MATCH(CA$6,Escalators!$I$43:$U$43,0)))</f>
        <v>0</v>
      </c>
      <c r="CB37" s="47">
        <f>IF($R37="",0,$P37*$AD37*INDEX(Act_Type_Repex_Splits,MATCH($I37,Act_Type_Repex,0),MATCH(CB$5,Mat_Type,0))*INDEX(Escalators!$I$44:$U$49,MATCH(CB$5,Escalators!$C$44:$C$49,0),MATCH(CB$6,Escalators!$I$43:$U$43,0)))</f>
        <v>0</v>
      </c>
      <c r="CC37" s="47">
        <f>IF($R37="",0,$P37*$AD37*INDEX(Act_Type_Repex_Splits,MATCH($I37,Act_Type_Repex,0),MATCH(CC$5,Mat_Type,0))*INDEX(Escalators!$I$44:$U$49,MATCH(CC$5,Escalators!$C$44:$C$49,0),MATCH(CC$6,Escalators!$I$43:$U$43,0)))</f>
        <v>0</v>
      </c>
      <c r="CD37" s="47">
        <f>IF($R37="",0,$P37*$AD37*INDEX(Act_Type_Repex_Splits,MATCH($I37,Act_Type_Repex,0),MATCH(CD$5,Mat_Type,0))*INDEX(Escalators!$I$44:$U$49,MATCH(CD$5,Escalators!$C$44:$C$49,0),MATCH(CD$6,Escalators!$I$43:$U$43,0)))</f>
        <v>0</v>
      </c>
      <c r="CE37" s="47">
        <f>IF($R37="",0,$P37*$AD37*INDEX(Act_Type_Repex_Splits,MATCH($I37,Act_Type_Repex,0),MATCH(CE$5,Mat_Type,0))*INDEX(Escalators!$I$44:$U$49,MATCH(CE$5,Escalators!$C$44:$C$49,0),MATCH(CE$6,Escalators!$I$43:$U$43,0)))</f>
        <v>0</v>
      </c>
      <c r="CF37" s="47">
        <f t="shared" si="23"/>
        <v>0</v>
      </c>
      <c r="CG37" s="47">
        <f>IF($R37="",0,$Q37*$AD37*INDEX(Act_Type_Repex_Splits,MATCH($I37,Act_Type_Repex,0),MATCH(CG$5,Mat_Type,0))*INDEX(Escalators!$I$44:$U$49,MATCH(CG$5,Escalators!$C$44:$C$49,0),MATCH(CG$6,Escalators!$I$43:$U$43,0)))</f>
        <v>0</v>
      </c>
      <c r="CH37" s="47">
        <f>IF($R37="",0,$Q37*$AD37*INDEX(Act_Type_Repex_Splits,MATCH($I37,Act_Type_Repex,0),MATCH(CH$5,Mat_Type,0))*INDEX(Escalators!$I$44:$U$49,MATCH(CH$5,Escalators!$C$44:$C$49,0),MATCH(CH$6,Escalators!$I$43:$U$43,0)))</f>
        <v>0</v>
      </c>
      <c r="CI37" s="47">
        <f>IF($R37="",0,$Q37*$AD37*INDEX(Act_Type_Repex_Splits,MATCH($I37,Act_Type_Repex,0),MATCH(CI$5,Mat_Type,0))*INDEX(Escalators!$I$44:$U$49,MATCH(CI$5,Escalators!$C$44:$C$49,0),MATCH(CI$6,Escalators!$I$43:$U$43,0)))</f>
        <v>0</v>
      </c>
      <c r="CJ37" s="47">
        <f>IF($R37="",0,$Q37*$AD37*INDEX(Act_Type_Repex_Splits,MATCH($I37,Act_Type_Repex,0),MATCH(CJ$5,Mat_Type,0))*INDEX(Escalators!$I$44:$U$49,MATCH(CJ$5,Escalators!$C$44:$C$49,0),MATCH(CJ$6,Escalators!$I$43:$U$43,0)))</f>
        <v>0</v>
      </c>
      <c r="CK37" s="47">
        <f>IF($R37="",0,$Q37*$AD37*INDEX(Act_Type_Repex_Splits,MATCH($I37,Act_Type_Repex,0),MATCH(CK$5,Mat_Type,0))*INDEX(Escalators!$I$44:$U$49,MATCH(CK$5,Escalators!$C$44:$C$49,0),MATCH(CK$6,Escalators!$I$43:$U$43,0)))</f>
        <v>0</v>
      </c>
      <c r="CL37" s="47">
        <f t="shared" si="24"/>
        <v>0</v>
      </c>
      <c r="CN37" s="47">
        <f>IF($R37="",0,J37*$AE37*HLOOKUP(CN$6,Escalators!$I$25:$U$30,6,FALSE))</f>
        <v>0</v>
      </c>
      <c r="CO37" s="47">
        <f>IF($R37="",0,K37*$AE37*HLOOKUP(CO$6,Escalators!$I$25:$U$30,6,FALSE))</f>
        <v>0</v>
      </c>
      <c r="CP37" s="47">
        <f>IF($R37="",0,L37*$AE37*HLOOKUP(CP$6,Escalators!$I$25:$U$30,6,FALSE))</f>
        <v>0</v>
      </c>
      <c r="CQ37" s="47">
        <f>IF($R37="",0,M37*$AE37*HLOOKUP(CQ$6,Escalators!$I$25:$U$30,6,FALSE))</f>
        <v>0</v>
      </c>
      <c r="CR37" s="47">
        <f>IF($R37="",0,N37*$AE37*HLOOKUP(CR$6,Escalators!$I$25:$U$30,6,FALSE))</f>
        <v>0</v>
      </c>
      <c r="CS37" s="47">
        <f>IF($R37="",0,O37*$AE37*HLOOKUP(CS$6,Escalators!$I$25:$U$30,6,FALSE))</f>
        <v>0</v>
      </c>
      <c r="CT37" s="47">
        <f>IF($R37="",0,P37*$AE37*HLOOKUP(CT$6,Escalators!$I$25:$U$30,6,FALSE))</f>
        <v>0</v>
      </c>
      <c r="CU37" s="47">
        <f>IF($R37="",0,Q37*$AE37*HLOOKUP(CU$6,Escalators!$I$25:$U$30,6,FALSE))</f>
        <v>0</v>
      </c>
      <c r="CW37" s="47">
        <f t="shared" si="25"/>
        <v>0</v>
      </c>
      <c r="CX37" s="47">
        <f t="shared" si="26"/>
        <v>0</v>
      </c>
      <c r="CY37" s="47">
        <f t="shared" si="27"/>
        <v>0</v>
      </c>
      <c r="CZ37" s="47">
        <f t="shared" si="28"/>
        <v>0</v>
      </c>
      <c r="DA37" s="47">
        <f t="shared" si="29"/>
        <v>0</v>
      </c>
      <c r="DB37" s="47">
        <f t="shared" si="30"/>
        <v>0</v>
      </c>
      <c r="DC37" s="47">
        <f t="shared" si="31"/>
        <v>0</v>
      </c>
      <c r="DD37" s="47">
        <f t="shared" si="32"/>
        <v>0</v>
      </c>
      <c r="DF37" s="47">
        <f t="shared" si="33"/>
        <v>0</v>
      </c>
      <c r="DG37" s="47">
        <f t="shared" si="34"/>
        <v>0</v>
      </c>
      <c r="DH37" s="47">
        <f t="shared" si="35"/>
        <v>0</v>
      </c>
      <c r="DI37" s="47">
        <f t="shared" si="36"/>
        <v>0</v>
      </c>
      <c r="DJ37" s="47">
        <f t="shared" si="37"/>
        <v>0</v>
      </c>
      <c r="DK37" s="47">
        <f t="shared" si="38"/>
        <v>0</v>
      </c>
      <c r="DL37" s="47">
        <f t="shared" si="39"/>
        <v>0</v>
      </c>
      <c r="DM37" s="47">
        <f t="shared" si="40"/>
        <v>0</v>
      </c>
      <c r="DO37" s="39"/>
    </row>
    <row r="38" spans="2:119" x14ac:dyDescent="0.25">
      <c r="T38" s="573">
        <f t="shared" ref="T38:AA38" si="41">SUM(T7:T37)</f>
        <v>0</v>
      </c>
      <c r="U38" s="573">
        <f t="shared" ref="U38:V38" si="42">SUM(U7:U37)</f>
        <v>0</v>
      </c>
      <c r="V38" s="573">
        <f t="shared" si="42"/>
        <v>0</v>
      </c>
      <c r="W38" s="573">
        <f t="shared" si="41"/>
        <v>0</v>
      </c>
      <c r="X38" s="573">
        <f t="shared" si="41"/>
        <v>0</v>
      </c>
      <c r="Y38" s="573">
        <f t="shared" si="41"/>
        <v>0</v>
      </c>
      <c r="Z38" s="573">
        <f t="shared" si="41"/>
        <v>0</v>
      </c>
      <c r="AA38" s="573">
        <f t="shared" si="41"/>
        <v>0</v>
      </c>
      <c r="AB38" s="241"/>
      <c r="AC38" s="241"/>
      <c r="AD38" s="241"/>
      <c r="AE38" s="241"/>
      <c r="AF38" s="241"/>
      <c r="AG38" s="241"/>
      <c r="AH38" s="573">
        <f t="shared" ref="AH38:AO38" si="43">SUM(AH7:AH37)</f>
        <v>0</v>
      </c>
      <c r="AI38" s="573">
        <f t="shared" ref="AI38:AJ38" si="44">SUM(AI7:AI37)</f>
        <v>0</v>
      </c>
      <c r="AJ38" s="573">
        <f t="shared" si="44"/>
        <v>0</v>
      </c>
      <c r="AK38" s="573">
        <f t="shared" si="43"/>
        <v>0</v>
      </c>
      <c r="AL38" s="573">
        <f t="shared" si="43"/>
        <v>0</v>
      </c>
      <c r="AM38" s="573">
        <f t="shared" si="43"/>
        <v>0</v>
      </c>
      <c r="AN38" s="573">
        <f t="shared" si="43"/>
        <v>0</v>
      </c>
      <c r="AO38" s="573">
        <f t="shared" si="43"/>
        <v>0</v>
      </c>
      <c r="AP38" s="241"/>
      <c r="AQ38" s="573">
        <f>SUM(AQ7:AQ37)</f>
        <v>0</v>
      </c>
      <c r="AR38" s="573">
        <f>SUM(AR7:AR37)</f>
        <v>0</v>
      </c>
      <c r="AS38" s="573">
        <f>SUM(AS7:AS37)</f>
        <v>0</v>
      </c>
      <c r="AT38" s="573">
        <f>SUM(AT7:AT37)</f>
        <v>0</v>
      </c>
      <c r="AU38" s="573">
        <f>SUM(AU7:AU37)</f>
        <v>0</v>
      </c>
      <c r="AV38" s="573">
        <f t="shared" ref="AV38:CL38" si="45">SUM(AV7:AV37)</f>
        <v>0</v>
      </c>
      <c r="AW38" s="573">
        <f t="shared" ref="AW38:BH38" si="46">SUM(AW7:AW37)</f>
        <v>0</v>
      </c>
      <c r="AX38" s="573">
        <f t="shared" si="46"/>
        <v>0</v>
      </c>
      <c r="AY38" s="573">
        <f t="shared" si="46"/>
        <v>0</v>
      </c>
      <c r="AZ38" s="573">
        <f t="shared" si="46"/>
        <v>0</v>
      </c>
      <c r="BA38" s="573">
        <f t="shared" si="46"/>
        <v>0</v>
      </c>
      <c r="BB38" s="573">
        <f t="shared" si="46"/>
        <v>0</v>
      </c>
      <c r="BC38" s="573">
        <f t="shared" si="46"/>
        <v>0</v>
      </c>
      <c r="BD38" s="573">
        <f t="shared" si="46"/>
        <v>0</v>
      </c>
      <c r="BE38" s="573">
        <f t="shared" si="46"/>
        <v>0</v>
      </c>
      <c r="BF38" s="573">
        <f t="shared" si="46"/>
        <v>0</v>
      </c>
      <c r="BG38" s="573">
        <f t="shared" si="46"/>
        <v>0</v>
      </c>
      <c r="BH38" s="573">
        <f t="shared" si="46"/>
        <v>0</v>
      </c>
      <c r="BI38" s="573">
        <f t="shared" si="45"/>
        <v>0</v>
      </c>
      <c r="BJ38" s="573">
        <f t="shared" si="45"/>
        <v>0</v>
      </c>
      <c r="BK38" s="573">
        <f t="shared" si="45"/>
        <v>0</v>
      </c>
      <c r="BL38" s="573">
        <f t="shared" si="45"/>
        <v>0</v>
      </c>
      <c r="BM38" s="573">
        <f t="shared" si="45"/>
        <v>0</v>
      </c>
      <c r="BN38" s="573">
        <f t="shared" si="45"/>
        <v>0</v>
      </c>
      <c r="BO38" s="573">
        <f t="shared" si="45"/>
        <v>0</v>
      </c>
      <c r="BP38" s="573">
        <f t="shared" si="45"/>
        <v>0</v>
      </c>
      <c r="BQ38" s="573">
        <f t="shared" si="45"/>
        <v>0</v>
      </c>
      <c r="BR38" s="573">
        <f t="shared" si="45"/>
        <v>0</v>
      </c>
      <c r="BS38" s="573">
        <f t="shared" si="45"/>
        <v>0</v>
      </c>
      <c r="BT38" s="573">
        <f t="shared" si="45"/>
        <v>0</v>
      </c>
      <c r="BU38" s="573">
        <f t="shared" si="45"/>
        <v>0</v>
      </c>
      <c r="BV38" s="573">
        <f t="shared" si="45"/>
        <v>0</v>
      </c>
      <c r="BW38" s="573">
        <f t="shared" si="45"/>
        <v>0</v>
      </c>
      <c r="BX38" s="573">
        <f t="shared" si="45"/>
        <v>0</v>
      </c>
      <c r="BY38" s="573">
        <f t="shared" si="45"/>
        <v>0</v>
      </c>
      <c r="BZ38" s="573">
        <f t="shared" si="45"/>
        <v>0</v>
      </c>
      <c r="CA38" s="573">
        <f t="shared" si="45"/>
        <v>0</v>
      </c>
      <c r="CB38" s="573">
        <f t="shared" si="45"/>
        <v>0</v>
      </c>
      <c r="CC38" s="573">
        <f t="shared" si="45"/>
        <v>0</v>
      </c>
      <c r="CD38" s="573">
        <f t="shared" si="45"/>
        <v>0</v>
      </c>
      <c r="CE38" s="573">
        <f t="shared" si="45"/>
        <v>0</v>
      </c>
      <c r="CF38" s="573">
        <f t="shared" si="45"/>
        <v>0</v>
      </c>
      <c r="CG38" s="573">
        <f t="shared" si="45"/>
        <v>0</v>
      </c>
      <c r="CH38" s="573">
        <f t="shared" si="45"/>
        <v>0</v>
      </c>
      <c r="CI38" s="573">
        <f t="shared" si="45"/>
        <v>0</v>
      </c>
      <c r="CJ38" s="573">
        <f t="shared" si="45"/>
        <v>0</v>
      </c>
      <c r="CK38" s="573">
        <f t="shared" si="45"/>
        <v>0</v>
      </c>
      <c r="CL38" s="573">
        <f t="shared" si="45"/>
        <v>0</v>
      </c>
      <c r="CM38" s="241"/>
      <c r="CN38" s="573">
        <f t="shared" ref="CN38:CU38" si="47">SUM(CN7:CN37)</f>
        <v>0</v>
      </c>
      <c r="CO38" s="573">
        <f t="shared" ref="CO38" si="48">SUM(CO7:CO37)</f>
        <v>0</v>
      </c>
      <c r="CP38" s="573">
        <f t="shared" si="47"/>
        <v>0</v>
      </c>
      <c r="CQ38" s="573">
        <f t="shared" si="47"/>
        <v>0</v>
      </c>
      <c r="CR38" s="573">
        <f t="shared" si="47"/>
        <v>0</v>
      </c>
      <c r="CS38" s="573">
        <f t="shared" si="47"/>
        <v>0</v>
      </c>
      <c r="CT38" s="573">
        <f t="shared" si="47"/>
        <v>0</v>
      </c>
      <c r="CU38" s="573">
        <f t="shared" si="47"/>
        <v>0</v>
      </c>
      <c r="CV38" s="241"/>
      <c r="CW38" s="573">
        <f t="shared" ref="CW38:DD38" si="49">SUM(CW7:CW37)</f>
        <v>0</v>
      </c>
      <c r="CX38" s="573">
        <f t="shared" ref="CX38" si="50">SUM(CX7:CX37)</f>
        <v>0</v>
      </c>
      <c r="CY38" s="573">
        <f t="shared" si="49"/>
        <v>0</v>
      </c>
      <c r="CZ38" s="573">
        <f t="shared" si="49"/>
        <v>0</v>
      </c>
      <c r="DA38" s="573">
        <f t="shared" si="49"/>
        <v>0</v>
      </c>
      <c r="DB38" s="573">
        <f t="shared" si="49"/>
        <v>0</v>
      </c>
      <c r="DC38" s="573">
        <f t="shared" si="49"/>
        <v>0</v>
      </c>
      <c r="DD38" s="573">
        <f t="shared" si="49"/>
        <v>0</v>
      </c>
      <c r="DE38" s="241"/>
      <c r="DF38" s="573">
        <f t="shared" ref="DF38:DM38" si="51">SUM(DF7:DF37)</f>
        <v>0</v>
      </c>
      <c r="DG38" s="573">
        <f t="shared" ref="DG38" si="52">SUM(DG7:DG37)</f>
        <v>0</v>
      </c>
      <c r="DH38" s="573">
        <f t="shared" si="51"/>
        <v>0</v>
      </c>
      <c r="DI38" s="573">
        <f t="shared" si="51"/>
        <v>0</v>
      </c>
      <c r="DJ38" s="573">
        <f t="shared" si="51"/>
        <v>0</v>
      </c>
      <c r="DK38" s="573">
        <f t="shared" si="51"/>
        <v>0</v>
      </c>
      <c r="DL38" s="573">
        <f t="shared" si="51"/>
        <v>0</v>
      </c>
      <c r="DM38" s="573">
        <f t="shared" si="51"/>
        <v>0</v>
      </c>
    </row>
    <row r="39" spans="2:119" x14ac:dyDescent="0.25">
      <c r="DF39" s="84">
        <f t="shared" ref="DF39:DM39" si="53">IF(ISERROR((DF38-T38)/T38),0,(DF38-T38)/T38)</f>
        <v>0</v>
      </c>
      <c r="DG39" s="84">
        <f t="shared" si="53"/>
        <v>0</v>
      </c>
      <c r="DH39" s="84">
        <f t="shared" si="53"/>
        <v>0</v>
      </c>
      <c r="DI39" s="84">
        <f t="shared" si="53"/>
        <v>0</v>
      </c>
      <c r="DJ39" s="84">
        <f t="shared" si="53"/>
        <v>0</v>
      </c>
      <c r="DK39" s="84">
        <f t="shared" si="53"/>
        <v>0</v>
      </c>
      <c r="DL39" s="84">
        <f t="shared" si="53"/>
        <v>0</v>
      </c>
      <c r="DM39" s="84">
        <f t="shared" si="53"/>
        <v>0</v>
      </c>
    </row>
    <row r="40" spans="2:119" x14ac:dyDescent="0.25">
      <c r="AA40" s="39"/>
    </row>
    <row r="41" spans="2:119" ht="14.45" customHeight="1" x14ac:dyDescent="0.25">
      <c r="DE41" s="833" t="s">
        <v>699</v>
      </c>
      <c r="DF41" s="833"/>
      <c r="DG41" s="833"/>
      <c r="DH41" s="515"/>
      <c r="DI41" s="515"/>
      <c r="DJ41" s="515"/>
      <c r="DK41" s="515"/>
      <c r="DL41" s="515"/>
      <c r="DM41" s="515"/>
      <c r="DN41" s="183" t="s">
        <v>750</v>
      </c>
    </row>
    <row r="42" spans="2:119" x14ac:dyDescent="0.25">
      <c r="DE42" s="833"/>
      <c r="DF42" s="833"/>
      <c r="DG42" s="833"/>
      <c r="DH42" s="515"/>
      <c r="DI42" s="515"/>
      <c r="DJ42" s="515"/>
      <c r="DK42" s="515"/>
      <c r="DL42" s="515"/>
      <c r="DM42" s="515"/>
      <c r="DN42" s="183" t="s">
        <v>751</v>
      </c>
    </row>
    <row r="43" spans="2:119" x14ac:dyDescent="0.25">
      <c r="DE43" s="833"/>
      <c r="DF43" s="833"/>
      <c r="DG43" s="833"/>
    </row>
    <row r="44" spans="2:119" x14ac:dyDescent="0.25">
      <c r="DE44" s="833"/>
      <c r="DF44" s="833"/>
      <c r="DG44" s="833"/>
    </row>
  </sheetData>
  <autoFilter ref="C6:I37"/>
  <mergeCells count="13">
    <mergeCell ref="DE41:DG44"/>
    <mergeCell ref="M1:N1"/>
    <mergeCell ref="CN3:CU3"/>
    <mergeCell ref="DF3:DM3"/>
    <mergeCell ref="T3:AA3"/>
    <mergeCell ref="AH3:AO3"/>
    <mergeCell ref="CW3:DD3"/>
    <mergeCell ref="J5:Q5"/>
    <mergeCell ref="T5:AA5"/>
    <mergeCell ref="CW5:DD5"/>
    <mergeCell ref="DF5:DM5"/>
    <mergeCell ref="CN5:CU5"/>
    <mergeCell ref="AH5:AO5"/>
  </mergeCells>
  <dataValidations xWindow="1245" yWindow="746" count="1">
    <dataValidation type="list" errorStyle="warning" showInputMessage="1" showErrorMessage="1" error="Invalid data entered" prompt="Select from drop down list" sqref="G29:G37">
      <formula1>$C$16:$C$27</formula1>
    </dataValidation>
  </dataValidations>
  <hyperlinks>
    <hyperlink ref="B2" location="Contents!A1" display="Table of Contents"/>
  </hyperlink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xWindow="1245" yWindow="746" count="6">
        <x14:dataValidation type="list" errorStyle="warning" showInputMessage="1" showErrorMessage="1" error="Invalid data entered" prompt="Select from drop down list">
          <x14:formula1>
            <xm:f>Lookups!$C$5:$C$13</xm:f>
          </x14:formula1>
          <xm:sqref>E7:E37</xm:sqref>
        </x14:dataValidation>
        <x14:dataValidation type="list" errorStyle="warning" showInputMessage="1" showErrorMessage="1" error="Invalid data entered" prompt="Select from drop down list">
          <x14:formula1>
            <xm:f>Lookups!$C$16:$C$27</xm:f>
          </x14:formula1>
          <xm:sqref>F7:F37</xm:sqref>
        </x14:dataValidation>
        <x14:dataValidation type="list" errorStyle="warning" allowBlank="1" showInputMessage="1" showErrorMessage="1" prompt="Select from drop down list">
          <x14:formula1>
            <xm:f>Lab_Mat!$C$62:$C$98</xm:f>
          </x14:formula1>
          <xm:sqref>I7:I37</xm:sqref>
        </x14:dataValidation>
        <x14:dataValidation type="list" errorStyle="warning" showInputMessage="1" showErrorMessage="1" error="Invalid data entered" prompt="Select from drop down list">
          <x14:formula1>
            <xm:f>Lookups!$I$5:$I$10</xm:f>
          </x14:formula1>
          <xm:sqref>G7:G28</xm:sqref>
        </x14:dataValidation>
        <x14:dataValidation type="list" errorStyle="warning" allowBlank="1" showInputMessage="1" showErrorMessage="1" prompt="Select from drop down list">
          <x14:formula1>
            <xm:f>Lab_Mat!$C$13:$C$22</xm:f>
          </x14:formula1>
          <xm:sqref>H7:H11 H19:H37 H14:H16</xm:sqref>
        </x14:dataValidation>
        <x14:dataValidation type="list" errorStyle="warning" allowBlank="1" showInputMessage="1" showErrorMessage="1" prompt="Select from drop down list">
          <x14:formula1>
            <xm:f>Lab_Mat!$C$6:$C$22</xm:f>
          </x14:formula1>
          <xm:sqref>H12:H13 H17:H18</xm:sqref>
        </x14:dataValidation>
      </x14:dataValidations>
    </ex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DE60"/>
  <sheetViews>
    <sheetView zoomScale="85" zoomScaleNormal="85" zoomScalePageLayoutView="125" workbookViewId="0">
      <pane xSplit="4" topLeftCell="W1" activePane="topRight" state="frozen"/>
      <selection activeCell="V33" sqref="V33"/>
      <selection pane="topRight" activeCell="M37" sqref="M37:CX37"/>
    </sheetView>
  </sheetViews>
  <sheetFormatPr defaultColWidth="8.85546875" defaultRowHeight="15" outlineLevelRow="1" outlineLevelCol="1" x14ac:dyDescent="0.25"/>
  <cols>
    <col min="1" max="1" width="4" style="1" customWidth="1"/>
    <col min="2" max="2" width="12" style="1" customWidth="1"/>
    <col min="3" max="3" width="44.7109375" style="1" bestFit="1" customWidth="1"/>
    <col min="4" max="4" width="22.42578125" style="1" customWidth="1"/>
    <col min="5" max="5" width="24.42578125" style="1" customWidth="1" outlineLevel="1"/>
    <col min="6" max="7" width="33.42578125" style="1" customWidth="1" outlineLevel="1"/>
    <col min="8" max="8" width="29.85546875" style="1" customWidth="1" outlineLevel="1"/>
    <col min="9" max="9" width="28.42578125" style="1" customWidth="1" outlineLevel="1"/>
    <col min="10" max="17" width="9.28515625" style="1" customWidth="1"/>
    <col min="18" max="18" width="2.85546875" style="1" customWidth="1"/>
    <col min="19" max="26" width="8.85546875" style="1"/>
    <col min="27" max="27" width="2.7109375" style="1" customWidth="1"/>
    <col min="28" max="32" width="10.42578125" style="1" hidden="1" customWidth="1" outlineLevel="1"/>
    <col min="33" max="33" width="8.85546875" style="1" collapsed="1"/>
    <col min="34" max="38" width="10.42578125" style="1" hidden="1" customWidth="1" outlineLevel="1"/>
    <col min="39" max="39" width="8.85546875" style="1" collapsed="1"/>
    <col min="40" max="44" width="10.42578125" style="1" hidden="1" customWidth="1" outlineLevel="1"/>
    <col min="45" max="45" width="8.85546875" style="1" collapsed="1"/>
    <col min="46" max="50" width="10.42578125" style="1" hidden="1" customWidth="1" outlineLevel="1"/>
    <col min="51" max="51" width="8.85546875" style="1" collapsed="1"/>
    <col min="52" max="56" width="9.140625" style="1" hidden="1" customWidth="1" outlineLevel="1"/>
    <col min="57" max="57" width="8.85546875" style="1" collapsed="1"/>
    <col min="58" max="62" width="9.140625" style="1" hidden="1" customWidth="1" outlineLevel="1"/>
    <col min="63" max="63" width="8.85546875" style="1" collapsed="1"/>
    <col min="64" max="68" width="9.140625" style="1" hidden="1" customWidth="1" outlineLevel="1"/>
    <col min="69" max="69" width="8.85546875" style="1" collapsed="1"/>
    <col min="70" max="74" width="9.140625" style="1" hidden="1" customWidth="1" outlineLevel="1"/>
    <col min="75" max="75" width="8.85546875" style="1" collapsed="1"/>
    <col min="76" max="76" width="2.7109375" style="1" customWidth="1"/>
    <col min="77" max="84" width="8.85546875" style="1"/>
    <col min="85" max="85" width="2.85546875" style="1" customWidth="1"/>
    <col min="86" max="93" width="8.85546875" style="1"/>
    <col min="94" max="94" width="2.85546875" style="1" customWidth="1"/>
    <col min="95" max="16384" width="8.85546875" style="1"/>
  </cols>
  <sheetData>
    <row r="1" spans="2:109" ht="18.75" x14ac:dyDescent="0.3">
      <c r="B1" s="10" t="s">
        <v>256</v>
      </c>
      <c r="M1" s="825" t="s">
        <v>749</v>
      </c>
      <c r="N1" s="825"/>
    </row>
    <row r="2" spans="2:109" x14ac:dyDescent="0.25">
      <c r="B2" s="25" t="s">
        <v>6</v>
      </c>
    </row>
    <row r="3" spans="2:109" x14ac:dyDescent="0.25">
      <c r="J3" s="829"/>
      <c r="K3" s="829"/>
      <c r="L3" s="829"/>
      <c r="M3" s="829"/>
      <c r="N3" s="829"/>
      <c r="O3" s="829"/>
      <c r="P3" s="829"/>
      <c r="Q3" s="829"/>
      <c r="S3" s="829"/>
      <c r="T3" s="829"/>
      <c r="U3" s="829"/>
      <c r="V3" s="829"/>
      <c r="W3" s="829"/>
      <c r="X3" s="829"/>
      <c r="Y3" s="829"/>
      <c r="Z3" s="829"/>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Y3" s="829"/>
      <c r="BZ3" s="829"/>
      <c r="CA3" s="829"/>
      <c r="CB3" s="829"/>
      <c r="CC3" s="829"/>
      <c r="CD3" s="829"/>
      <c r="CE3" s="829"/>
      <c r="CF3" s="829"/>
      <c r="CH3" s="829"/>
      <c r="CI3" s="829"/>
      <c r="CJ3" s="829"/>
      <c r="CK3" s="829"/>
      <c r="CL3" s="829"/>
      <c r="CM3" s="829"/>
      <c r="CN3" s="829"/>
      <c r="CO3" s="829"/>
      <c r="CQ3" s="829"/>
      <c r="CR3" s="829"/>
      <c r="CS3" s="829"/>
      <c r="CT3" s="829"/>
      <c r="CU3" s="829"/>
      <c r="CV3" s="829"/>
      <c r="CW3" s="829"/>
      <c r="CX3" s="829"/>
    </row>
    <row r="4" spans="2:109" ht="45" x14ac:dyDescent="0.25">
      <c r="B4" s="2" t="s">
        <v>290</v>
      </c>
      <c r="J4" s="826" t="s">
        <v>380</v>
      </c>
      <c r="K4" s="827"/>
      <c r="L4" s="827"/>
      <c r="M4" s="827"/>
      <c r="N4" s="827"/>
      <c r="O4" s="827"/>
      <c r="P4" s="827"/>
      <c r="Q4" s="828"/>
      <c r="S4" s="826" t="s">
        <v>174</v>
      </c>
      <c r="T4" s="827"/>
      <c r="U4" s="827"/>
      <c r="V4" s="827"/>
      <c r="W4" s="827"/>
      <c r="X4" s="827"/>
      <c r="Y4" s="827"/>
      <c r="Z4" s="828"/>
      <c r="AA4" s="57"/>
      <c r="AB4" s="9" t="s">
        <v>180</v>
      </c>
      <c r="AC4" s="9" t="s">
        <v>181</v>
      </c>
      <c r="AD4" s="9" t="s">
        <v>182</v>
      </c>
      <c r="AE4" s="9" t="s">
        <v>183</v>
      </c>
      <c r="AF4" s="9" t="s">
        <v>5</v>
      </c>
      <c r="AG4" s="9" t="s">
        <v>173</v>
      </c>
      <c r="AH4" s="9" t="s">
        <v>180</v>
      </c>
      <c r="AI4" s="9" t="s">
        <v>181</v>
      </c>
      <c r="AJ4" s="9" t="s">
        <v>182</v>
      </c>
      <c r="AK4" s="9" t="s">
        <v>183</v>
      </c>
      <c r="AL4" s="9" t="s">
        <v>5</v>
      </c>
      <c r="AM4" s="9" t="s">
        <v>173</v>
      </c>
      <c r="AN4" s="9" t="s">
        <v>180</v>
      </c>
      <c r="AO4" s="9" t="s">
        <v>181</v>
      </c>
      <c r="AP4" s="9" t="s">
        <v>182</v>
      </c>
      <c r="AQ4" s="9" t="s">
        <v>183</v>
      </c>
      <c r="AR4" s="9" t="s">
        <v>5</v>
      </c>
      <c r="AS4" s="9" t="s">
        <v>173</v>
      </c>
      <c r="AT4" s="9" t="s">
        <v>180</v>
      </c>
      <c r="AU4" s="9" t="s">
        <v>181</v>
      </c>
      <c r="AV4" s="9" t="s">
        <v>182</v>
      </c>
      <c r="AW4" s="9" t="s">
        <v>183</v>
      </c>
      <c r="AX4" s="9" t="s">
        <v>5</v>
      </c>
      <c r="AY4" s="9" t="s">
        <v>173</v>
      </c>
      <c r="AZ4" s="9" t="s">
        <v>180</v>
      </c>
      <c r="BA4" s="9" t="s">
        <v>181</v>
      </c>
      <c r="BB4" s="9" t="s">
        <v>182</v>
      </c>
      <c r="BC4" s="9" t="s">
        <v>183</v>
      </c>
      <c r="BD4" s="9" t="s">
        <v>5</v>
      </c>
      <c r="BE4" s="9" t="s">
        <v>173</v>
      </c>
      <c r="BF4" s="9" t="s">
        <v>180</v>
      </c>
      <c r="BG4" s="9" t="s">
        <v>181</v>
      </c>
      <c r="BH4" s="9" t="s">
        <v>182</v>
      </c>
      <c r="BI4" s="9" t="s">
        <v>183</v>
      </c>
      <c r="BJ4" s="9" t="s">
        <v>5</v>
      </c>
      <c r="BK4" s="9" t="s">
        <v>173</v>
      </c>
      <c r="BL4" s="9" t="s">
        <v>180</v>
      </c>
      <c r="BM4" s="9" t="s">
        <v>181</v>
      </c>
      <c r="BN4" s="9" t="s">
        <v>182</v>
      </c>
      <c r="BO4" s="9" t="s">
        <v>183</v>
      </c>
      <c r="BP4" s="9" t="s">
        <v>5</v>
      </c>
      <c r="BQ4" s="9" t="s">
        <v>173</v>
      </c>
      <c r="BR4" s="9" t="s">
        <v>180</v>
      </c>
      <c r="BS4" s="9" t="s">
        <v>181</v>
      </c>
      <c r="BT4" s="9" t="s">
        <v>182</v>
      </c>
      <c r="BU4" s="9" t="s">
        <v>183</v>
      </c>
      <c r="BV4" s="9" t="s">
        <v>5</v>
      </c>
      <c r="BW4" s="9" t="s">
        <v>173</v>
      </c>
      <c r="BX4" s="57"/>
      <c r="BY4" s="826" t="s">
        <v>299</v>
      </c>
      <c r="BZ4" s="827"/>
      <c r="CA4" s="827"/>
      <c r="CB4" s="827"/>
      <c r="CC4" s="827"/>
      <c r="CD4" s="827"/>
      <c r="CE4" s="827"/>
      <c r="CF4" s="828"/>
      <c r="CG4" s="57"/>
      <c r="CH4" s="826" t="s">
        <v>175</v>
      </c>
      <c r="CI4" s="827"/>
      <c r="CJ4" s="827"/>
      <c r="CK4" s="827"/>
      <c r="CL4" s="827"/>
      <c r="CM4" s="827"/>
      <c r="CN4" s="827"/>
      <c r="CO4" s="828"/>
      <c r="CP4" s="57"/>
      <c r="CQ4" s="826" t="s">
        <v>381</v>
      </c>
      <c r="CR4" s="827"/>
      <c r="CS4" s="827"/>
      <c r="CT4" s="827"/>
      <c r="CU4" s="827"/>
      <c r="CV4" s="827"/>
      <c r="CW4" s="827"/>
      <c r="CX4" s="828"/>
    </row>
    <row r="5" spans="2:109" x14ac:dyDescent="0.25">
      <c r="B5" s="8" t="s">
        <v>23</v>
      </c>
      <c r="C5" s="8" t="s">
        <v>24</v>
      </c>
      <c r="D5" s="17" t="s">
        <v>98</v>
      </c>
      <c r="E5" s="17" t="s">
        <v>76</v>
      </c>
      <c r="F5" s="17" t="s">
        <v>77</v>
      </c>
      <c r="G5" s="17" t="s">
        <v>324</v>
      </c>
      <c r="H5" s="17" t="s">
        <v>212</v>
      </c>
      <c r="I5" s="17" t="s">
        <v>177</v>
      </c>
      <c r="J5" s="335">
        <f>CP_Yr_4</f>
        <v>43800</v>
      </c>
      <c r="K5" s="335">
        <f>CP_Yr_5</f>
        <v>44166</v>
      </c>
      <c r="L5" s="335">
        <f>Stub</f>
        <v>44377</v>
      </c>
      <c r="M5" s="335">
        <f>Yr_1</f>
        <v>44742</v>
      </c>
      <c r="N5" s="335">
        <f>Yr_2</f>
        <v>45107</v>
      </c>
      <c r="O5" s="335">
        <f>Yr_3</f>
        <v>45473</v>
      </c>
      <c r="P5" s="335">
        <f>Yr_4</f>
        <v>45838</v>
      </c>
      <c r="Q5" s="335">
        <f>Yr_5</f>
        <v>46203</v>
      </c>
      <c r="R5" s="336"/>
      <c r="S5" s="335">
        <f>CP_Yr_4</f>
        <v>43800</v>
      </c>
      <c r="T5" s="335">
        <f>CP_Yr_5</f>
        <v>44166</v>
      </c>
      <c r="U5" s="335">
        <f>Stub</f>
        <v>44377</v>
      </c>
      <c r="V5" s="335">
        <f>Yr_1</f>
        <v>44742</v>
      </c>
      <c r="W5" s="335">
        <f>Yr_2</f>
        <v>45107</v>
      </c>
      <c r="X5" s="335">
        <f>Yr_3</f>
        <v>45473</v>
      </c>
      <c r="Y5" s="335">
        <f>Yr_4</f>
        <v>45838</v>
      </c>
      <c r="Z5" s="335">
        <f>Yr_5</f>
        <v>46203</v>
      </c>
      <c r="AA5" s="336"/>
      <c r="AB5" s="335">
        <f t="shared" ref="AB5:AG5" si="0">CP_Yr_4</f>
        <v>43800</v>
      </c>
      <c r="AC5" s="335">
        <f t="shared" si="0"/>
        <v>43800</v>
      </c>
      <c r="AD5" s="335">
        <f t="shared" si="0"/>
        <v>43800</v>
      </c>
      <c r="AE5" s="335">
        <f t="shared" si="0"/>
        <v>43800</v>
      </c>
      <c r="AF5" s="335">
        <f t="shared" si="0"/>
        <v>43800</v>
      </c>
      <c r="AG5" s="335">
        <f t="shared" si="0"/>
        <v>43800</v>
      </c>
      <c r="AH5" s="335">
        <f t="shared" ref="AH5:AM5" si="1">CP_Yr_5</f>
        <v>44166</v>
      </c>
      <c r="AI5" s="335">
        <f t="shared" si="1"/>
        <v>44166</v>
      </c>
      <c r="AJ5" s="335">
        <f t="shared" si="1"/>
        <v>44166</v>
      </c>
      <c r="AK5" s="335">
        <f t="shared" si="1"/>
        <v>44166</v>
      </c>
      <c r="AL5" s="335">
        <f t="shared" si="1"/>
        <v>44166</v>
      </c>
      <c r="AM5" s="335">
        <f t="shared" si="1"/>
        <v>44166</v>
      </c>
      <c r="AN5" s="335">
        <f t="shared" ref="AN5:AS5" si="2">Stub</f>
        <v>44377</v>
      </c>
      <c r="AO5" s="335">
        <f t="shared" si="2"/>
        <v>44377</v>
      </c>
      <c r="AP5" s="335">
        <f t="shared" si="2"/>
        <v>44377</v>
      </c>
      <c r="AQ5" s="335">
        <f t="shared" si="2"/>
        <v>44377</v>
      </c>
      <c r="AR5" s="335">
        <f t="shared" si="2"/>
        <v>44377</v>
      </c>
      <c r="AS5" s="335">
        <f t="shared" si="2"/>
        <v>44377</v>
      </c>
      <c r="AT5" s="335">
        <f t="shared" ref="AT5:AY5" si="3">Yr_1</f>
        <v>44742</v>
      </c>
      <c r="AU5" s="335">
        <f t="shared" si="3"/>
        <v>44742</v>
      </c>
      <c r="AV5" s="335">
        <f t="shared" si="3"/>
        <v>44742</v>
      </c>
      <c r="AW5" s="335">
        <f t="shared" si="3"/>
        <v>44742</v>
      </c>
      <c r="AX5" s="335">
        <f t="shared" si="3"/>
        <v>44742</v>
      </c>
      <c r="AY5" s="335">
        <f t="shared" si="3"/>
        <v>44742</v>
      </c>
      <c r="AZ5" s="335">
        <f t="shared" ref="AZ5:BE5" si="4">Yr_2</f>
        <v>45107</v>
      </c>
      <c r="BA5" s="335">
        <f t="shared" si="4"/>
        <v>45107</v>
      </c>
      <c r="BB5" s="335">
        <f t="shared" si="4"/>
        <v>45107</v>
      </c>
      <c r="BC5" s="335">
        <f t="shared" si="4"/>
        <v>45107</v>
      </c>
      <c r="BD5" s="335">
        <f t="shared" si="4"/>
        <v>45107</v>
      </c>
      <c r="BE5" s="335">
        <f t="shared" si="4"/>
        <v>45107</v>
      </c>
      <c r="BF5" s="335">
        <f t="shared" ref="BF5:BK5" si="5">Yr_3</f>
        <v>45473</v>
      </c>
      <c r="BG5" s="335">
        <f t="shared" si="5"/>
        <v>45473</v>
      </c>
      <c r="BH5" s="335">
        <f t="shared" si="5"/>
        <v>45473</v>
      </c>
      <c r="BI5" s="335">
        <f t="shared" si="5"/>
        <v>45473</v>
      </c>
      <c r="BJ5" s="335">
        <f t="shared" si="5"/>
        <v>45473</v>
      </c>
      <c r="BK5" s="335">
        <f t="shared" si="5"/>
        <v>45473</v>
      </c>
      <c r="BL5" s="335">
        <f t="shared" ref="BL5:BQ5" si="6">Yr_4</f>
        <v>45838</v>
      </c>
      <c r="BM5" s="335">
        <f t="shared" si="6"/>
        <v>45838</v>
      </c>
      <c r="BN5" s="335">
        <f t="shared" si="6"/>
        <v>45838</v>
      </c>
      <c r="BO5" s="335">
        <f t="shared" si="6"/>
        <v>45838</v>
      </c>
      <c r="BP5" s="335">
        <f t="shared" si="6"/>
        <v>45838</v>
      </c>
      <c r="BQ5" s="335">
        <f t="shared" si="6"/>
        <v>45838</v>
      </c>
      <c r="BR5" s="335">
        <f t="shared" ref="BR5:BW5" si="7">Yr_5</f>
        <v>46203</v>
      </c>
      <c r="BS5" s="335">
        <f t="shared" si="7"/>
        <v>46203</v>
      </c>
      <c r="BT5" s="335">
        <f t="shared" si="7"/>
        <v>46203</v>
      </c>
      <c r="BU5" s="335">
        <f t="shared" si="7"/>
        <v>46203</v>
      </c>
      <c r="BV5" s="335">
        <f t="shared" si="7"/>
        <v>46203</v>
      </c>
      <c r="BW5" s="335">
        <f t="shared" si="7"/>
        <v>46203</v>
      </c>
      <c r="BX5" s="336"/>
      <c r="BY5" s="335">
        <f>CP_Yr_4</f>
        <v>43800</v>
      </c>
      <c r="BZ5" s="335">
        <f>CP_Yr_5</f>
        <v>44166</v>
      </c>
      <c r="CA5" s="335">
        <f>Stub</f>
        <v>44377</v>
      </c>
      <c r="CB5" s="335">
        <f>Yr_1</f>
        <v>44742</v>
      </c>
      <c r="CC5" s="335">
        <f>Yr_2</f>
        <v>45107</v>
      </c>
      <c r="CD5" s="335">
        <f>Yr_3</f>
        <v>45473</v>
      </c>
      <c r="CE5" s="335">
        <f>Yr_4</f>
        <v>45838</v>
      </c>
      <c r="CF5" s="335">
        <f>Yr_5</f>
        <v>46203</v>
      </c>
      <c r="CG5" s="336"/>
      <c r="CH5" s="335">
        <f>CP_Yr_4</f>
        <v>43800</v>
      </c>
      <c r="CI5" s="335">
        <f>CP_Yr_5</f>
        <v>44166</v>
      </c>
      <c r="CJ5" s="335">
        <f>Stub</f>
        <v>44377</v>
      </c>
      <c r="CK5" s="335">
        <f>Yr_1</f>
        <v>44742</v>
      </c>
      <c r="CL5" s="335">
        <f>Yr_2</f>
        <v>45107</v>
      </c>
      <c r="CM5" s="335">
        <f>Yr_3</f>
        <v>45473</v>
      </c>
      <c r="CN5" s="335">
        <f>Yr_4</f>
        <v>45838</v>
      </c>
      <c r="CO5" s="335">
        <f>Yr_5</f>
        <v>46203</v>
      </c>
      <c r="CP5" s="336"/>
      <c r="CQ5" s="335">
        <f>CP_Yr_4</f>
        <v>43800</v>
      </c>
      <c r="CR5" s="335">
        <f>CP_Yr_5</f>
        <v>44166</v>
      </c>
      <c r="CS5" s="335">
        <f>Stub</f>
        <v>44377</v>
      </c>
      <c r="CT5" s="335">
        <f>Yr_1</f>
        <v>44742</v>
      </c>
      <c r="CU5" s="335">
        <f>Yr_2</f>
        <v>45107</v>
      </c>
      <c r="CV5" s="335">
        <f>Yr_3</f>
        <v>45473</v>
      </c>
      <c r="CW5" s="335">
        <f>Yr_4</f>
        <v>45838</v>
      </c>
      <c r="CX5" s="335">
        <f>Yr_5</f>
        <v>46203</v>
      </c>
    </row>
    <row r="6" spans="2:109" x14ac:dyDescent="0.25">
      <c r="B6" s="7"/>
      <c r="C6" s="7" t="s">
        <v>574</v>
      </c>
      <c r="D6" s="7" t="s">
        <v>119</v>
      </c>
      <c r="E6" s="7" t="s">
        <v>45</v>
      </c>
      <c r="F6" s="7" t="s">
        <v>55</v>
      </c>
      <c r="G6" s="7" t="s">
        <v>150</v>
      </c>
      <c r="H6" s="7" t="s">
        <v>5</v>
      </c>
      <c r="I6" s="7" t="s">
        <v>209</v>
      </c>
      <c r="J6" s="45"/>
      <c r="K6" s="45"/>
      <c r="L6" s="45"/>
      <c r="M6" s="128">
        <v>390</v>
      </c>
      <c r="N6" s="128">
        <v>390</v>
      </c>
      <c r="O6" s="128">
        <v>390</v>
      </c>
      <c r="P6" s="128">
        <v>390</v>
      </c>
      <c r="Q6" s="128">
        <v>390</v>
      </c>
      <c r="R6" s="129"/>
      <c r="S6" s="128">
        <f>INDEX(Direct_Cost_Splits_Network,MATCH($H6,RIN_Asset_Cat_Network,0),MATCH($S$4,Direct_Cost_Type,0))*J6*HLOOKUP(S$5,Escalators!$I$25:$U$30,3,FALSE)</f>
        <v>0</v>
      </c>
      <c r="T6" s="128">
        <f>INDEX(Direct_Cost_Splits_Network,MATCH($H6,RIN_Asset_Cat_Network,0),MATCH($S$4,Direct_Cost_Type,0))*K6*HLOOKUP(T$5,Escalators!$I$25:$U$30,3,FALSE)</f>
        <v>0</v>
      </c>
      <c r="U6" s="128">
        <f>INDEX(Direct_Cost_Splits_Network,MATCH($H6,RIN_Asset_Cat_Network,0),MATCH($S$4,Direct_Cost_Type,0))*L6*HLOOKUP(U$5,Escalators!$I$25:$U$30,3,FALSE)</f>
        <v>0</v>
      </c>
      <c r="V6" s="128">
        <f>INDEX(Direct_Cost_Splits_Network,MATCH($H6,RIN_Asset_Cat_Network,0),MATCH($S$4,Direct_Cost_Type,0))*M6*HLOOKUP(V$5,Escalators!$I$25:$U$30,3,FALSE)</f>
        <v>39.647580996326575</v>
      </c>
      <c r="W6" s="128">
        <f>INDEX(Direct_Cost_Splits_Network,MATCH($H6,RIN_Asset_Cat_Network,0),MATCH($S$4,Direct_Cost_Type,0))*N6*HLOOKUP(W$5,Escalators!$I$25:$U$30,3,FALSE)</f>
        <v>39.548551788909535</v>
      </c>
      <c r="X6" s="128">
        <f>INDEX(Direct_Cost_Splits_Network,MATCH($H6,RIN_Asset_Cat_Network,0),MATCH($S$4,Direct_Cost_Type,0))*O6*HLOOKUP(X$5,Escalators!$I$25:$U$30,3,FALSE)</f>
        <v>39.519827416185237</v>
      </c>
      <c r="Y6" s="128">
        <f>INDEX(Direct_Cost_Splits_Network,MATCH($H6,RIN_Asset_Cat_Network,0),MATCH($S$4,Direct_Cost_Type,0))*P6*HLOOKUP(Y$5,Escalators!$I$25:$U$30,3,FALSE)</f>
        <v>39.66497379314368</v>
      </c>
      <c r="Z6" s="128">
        <f>INDEX(Direct_Cost_Splits_Network,MATCH($H6,RIN_Asset_Cat_Network,0),MATCH($S$4,Direct_Cost_Type,0))*Q6*HLOOKUP(Z$5,Escalators!$I$25:$U$30,3,FALSE)</f>
        <v>40.060272288584223</v>
      </c>
      <c r="AA6" s="129"/>
      <c r="AB6" s="128">
        <f>INDEX(Direct_Cost_Splits_Network,MATCH($H6,RIN_Asset_Cat_Network,0),MATCH($AG$4,Direct_Cost_Type,0))*$J6*INDEX(Act_Type_Repex_Splits,MATCH($I6,Act_Type_Repex,0),MATCH(AB$4,Mat_Type,0))*INDEX(Escalators!$I$44:$Q$49,MATCH(AB$4,Escalators!$C$44:$C$49,0),MATCH(AB$5,Escalators!$I$43:$Q$43,0))</f>
        <v>0</v>
      </c>
      <c r="AC6" s="128">
        <f>INDEX(Direct_Cost_Splits_Network,MATCH($H6,RIN_Asset_Cat_Network,0),MATCH($AG$4,Direct_Cost_Type,0))*$J6*INDEX(Act_Type_Repex_Splits,MATCH($I6,Act_Type_Repex,0),MATCH(AC$4,Mat_Type,0))*INDEX(Escalators!$I$44:$Q$49,MATCH(AC$4,Escalators!$C$44:$C$49,0),MATCH(AC$5,Escalators!$I$43:$Q$43,0))</f>
        <v>0</v>
      </c>
      <c r="AD6" s="128">
        <f>INDEX(Direct_Cost_Splits_Network,MATCH($H6,RIN_Asset_Cat_Network,0),MATCH($AG$4,Direct_Cost_Type,0))*$J6*INDEX(Act_Type_Repex_Splits,MATCH($I6,Act_Type_Repex,0),MATCH(AD$4,Mat_Type,0))*INDEX(Escalators!$I$44:$Q$49,MATCH(AD$4,Escalators!$C$44:$C$49,0),MATCH(AD$5,Escalators!$I$43:$Q$43,0))</f>
        <v>0</v>
      </c>
      <c r="AE6" s="128">
        <f>INDEX(Direct_Cost_Splits_Network,MATCH($H6,RIN_Asset_Cat_Network,0),MATCH($AG$4,Direct_Cost_Type,0))*$J6*INDEX(Act_Type_Repex_Splits,MATCH($I6,Act_Type_Repex,0),MATCH(AE$4,Mat_Type,0))*INDEX(Escalators!$I$44:$Q$49,MATCH(AE$4,Escalators!$C$44:$C$49,0),MATCH(AE$5,Escalators!$I$43:$Q$43,0))</f>
        <v>0</v>
      </c>
      <c r="AF6" s="128">
        <f>INDEX(Direct_Cost_Splits_Network,MATCH($H6,RIN_Asset_Cat_Network,0),MATCH($AG$4,Direct_Cost_Type,0))*$J6*INDEX(Act_Type_Repex_Splits,MATCH($I6,Act_Type_Repex,0),MATCH(AF$4,Mat_Type,0))*INDEX(Escalators!$I$44:$Q$49,MATCH(AF$4,Escalators!$C$44:$C$49,0),MATCH(AF$5,Escalators!$I$43:$Q$43,0))</f>
        <v>0</v>
      </c>
      <c r="AG6" s="128">
        <f>SUM(AB6:AF6)</f>
        <v>0</v>
      </c>
      <c r="AH6" s="128">
        <f>INDEX(Direct_Cost_Splits_Network,MATCH($H6,RIN_Asset_Cat_Network,0),MATCH($AY$4,Direct_Cost_Type,0))*$K6*INDEX(Act_Type_Repex_Splits,MATCH($I6,Act_Type_Repex,0),MATCH(AH$4,Mat_Type,0))*INDEX(Escalators!$I$44:$U$49,MATCH(AH$4,Escalators!$C$44:$C$49,0),MATCH(AH$5,Escalators!$I$43:$U$43,0))</f>
        <v>0</v>
      </c>
      <c r="AI6" s="128">
        <f>INDEX(Direct_Cost_Splits_Network,MATCH($H6,RIN_Asset_Cat_Network,0),MATCH($AY$4,Direct_Cost_Type,0))*$K6*INDEX(Act_Type_Repex_Splits,MATCH($I6,Act_Type_Repex,0),MATCH(AI$4,Mat_Type,0))*INDEX(Escalators!$I$44:$U$49,MATCH(AI$4,Escalators!$C$44:$C$49,0),MATCH(AI$5,Escalators!$I$43:$U$43,0))</f>
        <v>0</v>
      </c>
      <c r="AJ6" s="128">
        <f>INDEX(Direct_Cost_Splits_Network,MATCH($H6,RIN_Asset_Cat_Network,0),MATCH($AY$4,Direct_Cost_Type,0))*$K6*INDEX(Act_Type_Repex_Splits,MATCH($I6,Act_Type_Repex,0),MATCH(AJ$4,Mat_Type,0))*INDEX(Escalators!$I$44:$U$49,MATCH(AJ$4,Escalators!$C$44:$C$49,0),MATCH(AJ$5,Escalators!$I$43:$U$43,0))</f>
        <v>0</v>
      </c>
      <c r="AK6" s="128">
        <f>INDEX(Direct_Cost_Splits_Network,MATCH($H6,RIN_Asset_Cat_Network,0),MATCH($AY$4,Direct_Cost_Type,0))*$K6*INDEX(Act_Type_Repex_Splits,MATCH($I6,Act_Type_Repex,0),MATCH(AK$4,Mat_Type,0))*INDEX(Escalators!$I$44:$U$49,MATCH(AK$4,Escalators!$C$44:$C$49,0),MATCH(AK$5,Escalators!$I$43:$U$43,0))</f>
        <v>0</v>
      </c>
      <c r="AL6" s="128">
        <f>INDEX(Direct_Cost_Splits_Network,MATCH($H6,RIN_Asset_Cat_Network,0),MATCH($AY$4,Direct_Cost_Type,0))*$K6*INDEX(Act_Type_Repex_Splits,MATCH($I6,Act_Type_Repex,0),MATCH(AL$4,Mat_Type,0))*INDEX(Escalators!$I$44:$U$49,MATCH(AL$4,Escalators!$C$44:$C$49,0),MATCH(AL$5,Escalators!$I$43:$U$43,0))</f>
        <v>0</v>
      </c>
      <c r="AM6" s="128">
        <f>SUM(AH6:AL6)</f>
        <v>0</v>
      </c>
      <c r="AN6" s="128">
        <f>INDEX(Direct_Cost_Splits_Network,MATCH($H6,RIN_Asset_Cat_Network,0),MATCH($AY$4,Direct_Cost_Type,0))*$L6*INDEX(Act_Type_Repex_Splits,MATCH($I6,Act_Type_Repex,0),MATCH(AN$4,Mat_Type,0))*INDEX(Escalators!$I$44:$U$49,MATCH(AN$4,Escalators!$C$44:$C$49,0),MATCH(AN$5,Escalators!$I$43:$U$43,0))</f>
        <v>0</v>
      </c>
      <c r="AO6" s="128">
        <f>INDEX(Direct_Cost_Splits_Network,MATCH($H6,RIN_Asset_Cat_Network,0),MATCH($AY$4,Direct_Cost_Type,0))*$L6*INDEX(Act_Type_Repex_Splits,MATCH($I6,Act_Type_Repex,0),MATCH(AO$4,Mat_Type,0))*INDEX(Escalators!$I$44:$U$49,MATCH(AO$4,Escalators!$C$44:$C$49,0),MATCH(AO$5,Escalators!$I$43:$U$43,0))</f>
        <v>0</v>
      </c>
      <c r="AP6" s="128">
        <f>INDEX(Direct_Cost_Splits_Network,MATCH($H6,RIN_Asset_Cat_Network,0),MATCH($AY$4,Direct_Cost_Type,0))*$L6*INDEX(Act_Type_Repex_Splits,MATCH($I6,Act_Type_Repex,0),MATCH(AP$4,Mat_Type,0))*INDEX(Escalators!$I$44:$U$49,MATCH(AP$4,Escalators!$C$44:$C$49,0),MATCH(AP$5,Escalators!$I$43:$U$43,0))</f>
        <v>0</v>
      </c>
      <c r="AQ6" s="128">
        <f>INDEX(Direct_Cost_Splits_Network,MATCH($H6,RIN_Asset_Cat_Network,0),MATCH($AY$4,Direct_Cost_Type,0))*$L6*INDEX(Act_Type_Repex_Splits,MATCH($I6,Act_Type_Repex,0),MATCH(AQ$4,Mat_Type,0))*INDEX(Escalators!$I$44:$U$49,MATCH(AQ$4,Escalators!$C$44:$C$49,0),MATCH(AQ$5,Escalators!$I$43:$U$43,0))</f>
        <v>0</v>
      </c>
      <c r="AR6" s="128">
        <f>INDEX(Direct_Cost_Splits_Network,MATCH($H6,RIN_Asset_Cat_Network,0),MATCH($AY$4,Direct_Cost_Type,0))*$L6*INDEX(Act_Type_Repex_Splits,MATCH($I6,Act_Type_Repex,0),MATCH(AR$4,Mat_Type,0))*INDEX(Escalators!$I$44:$U$49,MATCH(AR$4,Escalators!$C$44:$C$49,0),MATCH(AR$5,Escalators!$I$43:$U$43,0))</f>
        <v>0</v>
      </c>
      <c r="AS6" s="128">
        <f>SUM(AN6:AR6)</f>
        <v>0</v>
      </c>
      <c r="AT6" s="128">
        <f>INDEX(Direct_Cost_Splits_Network,MATCH($H6,RIN_Asset_Cat_Network,0),MATCH($AY$4,Direct_Cost_Type,0))*$M6*INDEX(Act_Type_Repex_Splits,MATCH($I6,Act_Type_Repex,0),MATCH(AT$4,Mat_Type,0))*INDEX(Escalators!$I$44:$U$49,MATCH(AT$4,Escalators!$C$44:$C$49,0),MATCH(AT$5,Escalators!$I$43:$U$43,0))</f>
        <v>0</v>
      </c>
      <c r="AU6" s="128">
        <f>INDEX(Direct_Cost_Splits_Network,MATCH($H6,RIN_Asset_Cat_Network,0),MATCH($AY$4,Direct_Cost_Type,0))*$M6*INDEX(Act_Type_Repex_Splits,MATCH($I6,Act_Type_Repex,0),MATCH(AU$4,Mat_Type,0))*INDEX(Escalators!$I$44:$U$49,MATCH(AU$4,Escalators!$C$44:$C$49,0),MATCH(AU$5,Escalators!$I$43:$U$43,0))</f>
        <v>0</v>
      </c>
      <c r="AV6" s="128">
        <f>INDEX(Direct_Cost_Splits_Network,MATCH($H6,RIN_Asset_Cat_Network,0),MATCH($AY$4,Direct_Cost_Type,0))*$M6*INDEX(Act_Type_Repex_Splits,MATCH($I6,Act_Type_Repex,0),MATCH(AV$4,Mat_Type,0))*INDEX(Escalators!$I$44:$U$49,MATCH(AV$4,Escalators!$C$44:$C$49,0),MATCH(AV$5,Escalators!$I$43:$U$43,0))</f>
        <v>25.728197232600547</v>
      </c>
      <c r="AW6" s="128">
        <f>INDEX(Direct_Cost_Splits_Network,MATCH($H6,RIN_Asset_Cat_Network,0),MATCH($AY$4,Direct_Cost_Type,0))*$M6*INDEX(Act_Type_Repex_Splits,MATCH($I6,Act_Type_Repex,0),MATCH(AW$4,Mat_Type,0))*INDEX(Escalators!$I$44:$U$49,MATCH(AW$4,Escalators!$C$44:$C$49,0),MATCH(AW$5,Escalators!$I$43:$U$43,0))</f>
        <v>0</v>
      </c>
      <c r="AX6" s="128">
        <f>INDEX(Direct_Cost_Splits_Network,MATCH($H6,RIN_Asset_Cat_Network,0),MATCH($AY$4,Direct_Cost_Type,0))*$M6*INDEX(Act_Type_Repex_Splits,MATCH($I6,Act_Type_Repex,0),MATCH(AX$4,Mat_Type,0))*INDEX(Escalators!$I$44:$U$49,MATCH(AX$4,Escalators!$C$44:$C$49,0),MATCH(AX$5,Escalators!$I$43:$U$43,0))</f>
        <v>60.032460209401279</v>
      </c>
      <c r="AY6" s="128">
        <f>SUM(AT6:AX6)</f>
        <v>85.760657442001829</v>
      </c>
      <c r="AZ6" s="128">
        <f>INDEX(Direct_Cost_Splits_Network,MATCH($H6,RIN_Asset_Cat_Network,0),MATCH($BE$4,Direct_Cost_Type,0))*$N6*INDEX(Act_Type_Repex_Splits,MATCH($I6,Act_Type_Repex,0),MATCH(AZ$4,Mat_Type,0))*INDEX(Escalators!$I$44:$U$49,MATCH(AZ$4,Escalators!$C$44:$C$49,0),MATCH(AZ$5,Escalators!$I$43:$U$43,0))</f>
        <v>0</v>
      </c>
      <c r="BA6" s="128">
        <f>INDEX(Direct_Cost_Splits_Network,MATCH($H6,RIN_Asset_Cat_Network,0),MATCH($BE$4,Direct_Cost_Type,0))*$N6*INDEX(Act_Type_Repex_Splits,MATCH($I6,Act_Type_Repex,0),MATCH(BA$4,Mat_Type,0))*INDEX(Escalators!$I$44:$U$49,MATCH(BA$4,Escalators!$C$44:$C$49,0),MATCH(BA$5,Escalators!$I$43:$U$43,0))</f>
        <v>0</v>
      </c>
      <c r="BB6" s="128">
        <f>INDEX(Direct_Cost_Splits_Network,MATCH($H6,RIN_Asset_Cat_Network,0),MATCH($BE$4,Direct_Cost_Type,0))*$N6*INDEX(Act_Type_Repex_Splits,MATCH($I6,Act_Type_Repex,0),MATCH(BB$4,Mat_Type,0))*INDEX(Escalators!$I$44:$U$49,MATCH(BB$4,Escalators!$C$44:$C$49,0),MATCH(BB$5,Escalators!$I$43:$U$43,0))</f>
        <v>25.728197232600547</v>
      </c>
      <c r="BC6" s="128">
        <f>INDEX(Direct_Cost_Splits_Network,MATCH($H6,RIN_Asset_Cat_Network,0),MATCH($BE$4,Direct_Cost_Type,0))*$N6*INDEX(Act_Type_Repex_Splits,MATCH($I6,Act_Type_Repex,0),MATCH(BC$4,Mat_Type,0))*INDEX(Escalators!$I$44:$U$49,MATCH(BC$4,Escalators!$C$44:$C$49,0),MATCH(BC$5,Escalators!$I$43:$U$43,0))</f>
        <v>0</v>
      </c>
      <c r="BD6" s="128">
        <f>INDEX(Direct_Cost_Splits_Network,MATCH($H6,RIN_Asset_Cat_Network,0),MATCH($BE$4,Direct_Cost_Type,0))*$N6*INDEX(Act_Type_Repex_Splits,MATCH($I6,Act_Type_Repex,0),MATCH(BD$4,Mat_Type,0))*INDEX(Escalators!$I$44:$U$49,MATCH(BD$4,Escalators!$C$44:$C$49,0),MATCH(BD$5,Escalators!$I$43:$U$43,0))</f>
        <v>60.032460209401279</v>
      </c>
      <c r="BE6" s="128">
        <f>SUM(AZ6:BD6)</f>
        <v>85.760657442001829</v>
      </c>
      <c r="BF6" s="128">
        <f>INDEX(Direct_Cost_Splits_Network,MATCH($H6,RIN_Asset_Cat_Network,0),MATCH($BK$4,Direct_Cost_Type,0))*$O6*INDEX(Act_Type_Repex_Splits,MATCH($I6,Act_Type_Repex,0),MATCH(BF$4,Mat_Type,0))*INDEX(Escalators!$I$44:$U$49,MATCH(BF$4,Escalators!$C$44:$C$49,0),MATCH(BF$5,Escalators!$I$43:$U$43,0))</f>
        <v>0</v>
      </c>
      <c r="BG6" s="128">
        <f>INDEX(Direct_Cost_Splits_Network,MATCH($H6,RIN_Asset_Cat_Network,0),MATCH($BK$4,Direct_Cost_Type,0))*$O6*INDEX(Act_Type_Repex_Splits,MATCH($I6,Act_Type_Repex,0),MATCH(BG$4,Mat_Type,0))*INDEX(Escalators!$I$44:$U$49,MATCH(BG$4,Escalators!$C$44:$C$49,0),MATCH(BG$5,Escalators!$I$43:$U$43,0))</f>
        <v>0</v>
      </c>
      <c r="BH6" s="128">
        <f>INDEX(Direct_Cost_Splits_Network,MATCH($H6,RIN_Asset_Cat_Network,0),MATCH($BK$4,Direct_Cost_Type,0))*$O6*INDEX(Act_Type_Repex_Splits,MATCH($I6,Act_Type_Repex,0),MATCH(BH$4,Mat_Type,0))*INDEX(Escalators!$I$44:$U$49,MATCH(BH$4,Escalators!$C$44:$C$49,0),MATCH(BH$5,Escalators!$I$43:$U$43,0))</f>
        <v>25.728197232600547</v>
      </c>
      <c r="BI6" s="128">
        <f>INDEX(Direct_Cost_Splits_Network,MATCH($H6,RIN_Asset_Cat_Network,0),MATCH($BK$4,Direct_Cost_Type,0))*$O6*INDEX(Act_Type_Repex_Splits,MATCH($I6,Act_Type_Repex,0),MATCH(BI$4,Mat_Type,0))*INDEX(Escalators!$I$44:$U$49,MATCH(BI$4,Escalators!$C$44:$C$49,0),MATCH(BI$5,Escalators!$I$43:$U$43,0))</f>
        <v>0</v>
      </c>
      <c r="BJ6" s="128">
        <f>INDEX(Direct_Cost_Splits_Network,MATCH($H6,RIN_Asset_Cat_Network,0),MATCH($BK$4,Direct_Cost_Type,0))*$O6*INDEX(Act_Type_Repex_Splits,MATCH($I6,Act_Type_Repex,0),MATCH(BJ$4,Mat_Type,0))*INDEX(Escalators!$I$44:$U$49,MATCH(BJ$4,Escalators!$C$44:$C$49,0),MATCH(BJ$5,Escalators!$I$43:$U$43,0))</f>
        <v>60.032460209401279</v>
      </c>
      <c r="BK6" s="128">
        <f>SUM(BF6:BJ6)</f>
        <v>85.760657442001829</v>
      </c>
      <c r="BL6" s="128">
        <f>INDEX(Direct_Cost_Splits_Network,MATCH($H6,RIN_Asset_Cat_Network,0),MATCH($BQ$4,Direct_Cost_Type,0))*$P6*INDEX(Act_Type_Repex_Splits,MATCH($I6,Act_Type_Repex,0),MATCH(BL$4,Mat_Type,0))*INDEX(Escalators!$I$44:$U$49,MATCH(BL$4,Escalators!$C$44:$C$49,0),MATCH(BL$5,Escalators!$I$43:$U$43,0))</f>
        <v>0</v>
      </c>
      <c r="BM6" s="128">
        <f>INDEX(Direct_Cost_Splits_Network,MATCH($H6,RIN_Asset_Cat_Network,0),MATCH($BQ$4,Direct_Cost_Type,0))*$P6*INDEX(Act_Type_Repex_Splits,MATCH($I6,Act_Type_Repex,0),MATCH(BM$4,Mat_Type,0))*INDEX(Escalators!$I$44:$U$49,MATCH(BM$4,Escalators!$C$44:$C$49,0),MATCH(BM$5,Escalators!$I$43:$U$43,0))</f>
        <v>0</v>
      </c>
      <c r="BN6" s="128">
        <f>INDEX(Direct_Cost_Splits_Network,MATCH($H6,RIN_Asset_Cat_Network,0),MATCH($BQ$4,Direct_Cost_Type,0))*$P6*INDEX(Act_Type_Repex_Splits,MATCH($I6,Act_Type_Repex,0),MATCH(BN$4,Mat_Type,0))*INDEX(Escalators!$I$44:$U$49,MATCH(BN$4,Escalators!$C$44:$C$49,0),MATCH(BN$5,Escalators!$I$43:$U$43,0))</f>
        <v>25.728197232600547</v>
      </c>
      <c r="BO6" s="128">
        <f>INDEX(Direct_Cost_Splits_Network,MATCH($H6,RIN_Asset_Cat_Network,0),MATCH($BQ$4,Direct_Cost_Type,0))*$P6*INDEX(Act_Type_Repex_Splits,MATCH($I6,Act_Type_Repex,0),MATCH(BO$4,Mat_Type,0))*INDEX(Escalators!$I$44:$U$49,MATCH(BO$4,Escalators!$C$44:$C$49,0),MATCH(BO$5,Escalators!$I$43:$U$43,0))</f>
        <v>0</v>
      </c>
      <c r="BP6" s="128">
        <f>INDEX(Direct_Cost_Splits_Network,MATCH($H6,RIN_Asset_Cat_Network,0),MATCH($BQ$4,Direct_Cost_Type,0))*$P6*INDEX(Act_Type_Repex_Splits,MATCH($I6,Act_Type_Repex,0),MATCH(BP$4,Mat_Type,0))*INDEX(Escalators!$I$44:$U$49,MATCH(BP$4,Escalators!$C$44:$C$49,0),MATCH(BP$5,Escalators!$I$43:$U$43,0))</f>
        <v>60.032460209401279</v>
      </c>
      <c r="BQ6" s="128">
        <f>SUM(BL6:BP6)</f>
        <v>85.760657442001829</v>
      </c>
      <c r="BR6" s="128">
        <f>INDEX(Direct_Cost_Splits_Network,MATCH($H6,RIN_Asset_Cat_Network,0),MATCH($BW$4,Direct_Cost_Type,0))*$Q6*INDEX(Act_Type_Repex_Splits,MATCH($I6,Act_Type_Repex,0),MATCH(BR$4,Mat_Type,0))*INDEX(Escalators!$I$44:$U$49,MATCH(BR$4,Escalators!$C$44:$C$49,0),MATCH(BR$5,Escalators!$I$43:$U$43,0))</f>
        <v>0</v>
      </c>
      <c r="BS6" s="128">
        <f>INDEX(Direct_Cost_Splits_Network,MATCH($H6,RIN_Asset_Cat_Network,0),MATCH($BW$4,Direct_Cost_Type,0))*$Q6*INDEX(Act_Type_Repex_Splits,MATCH($I6,Act_Type_Repex,0),MATCH(BS$4,Mat_Type,0))*INDEX(Escalators!$I$44:$U$49,MATCH(BS$4,Escalators!$C$44:$C$49,0),MATCH(BS$5,Escalators!$I$43:$U$43,0))</f>
        <v>0</v>
      </c>
      <c r="BT6" s="128">
        <f>INDEX(Direct_Cost_Splits_Network,MATCH($H6,RIN_Asset_Cat_Network,0),MATCH($BW$4,Direct_Cost_Type,0))*$Q6*INDEX(Act_Type_Repex_Splits,MATCH($I6,Act_Type_Repex,0),MATCH(BT$4,Mat_Type,0))*INDEX(Escalators!$I$44:$U$49,MATCH(BT$4,Escalators!$C$44:$C$49,0),MATCH(BT$5,Escalators!$I$43:$U$43,0))</f>
        <v>25.728197232600547</v>
      </c>
      <c r="BU6" s="128">
        <f>INDEX(Direct_Cost_Splits_Network,MATCH($H6,RIN_Asset_Cat_Network,0),MATCH($BW$4,Direct_Cost_Type,0))*$Q6*INDEX(Act_Type_Repex_Splits,MATCH($I6,Act_Type_Repex,0),MATCH(BU$4,Mat_Type,0))*INDEX(Escalators!$I$44:$U$49,MATCH(BU$4,Escalators!$C$44:$C$49,0),MATCH(BU$5,Escalators!$I$43:$U$43,0))</f>
        <v>0</v>
      </c>
      <c r="BV6" s="128">
        <f>INDEX(Direct_Cost_Splits_Network,MATCH($H6,RIN_Asset_Cat_Network,0),MATCH($BW$4,Direct_Cost_Type,0))*$Q6*INDEX(Act_Type_Repex_Splits,MATCH($I6,Act_Type_Repex,0),MATCH(BV$4,Mat_Type,0))*INDEX(Escalators!$I$44:$U$49,MATCH(BV$4,Escalators!$C$44:$C$49,0),MATCH(BV$5,Escalators!$I$43:$U$43,0))</f>
        <v>60.032460209401279</v>
      </c>
      <c r="BW6" s="128">
        <f>SUM(BR6:BV6)</f>
        <v>85.760657442001829</v>
      </c>
      <c r="BX6" s="129"/>
      <c r="BY6" s="128">
        <f>INDEX(Direct_Cost_Splits_Network,MATCH($H6,RIN_Asset_Cat_Network,0),MATCH($BY$4,Direct_Cost_Type,0))*J6*HLOOKUP(BY$5,Escalators!$I$25:$U$30,6,FALSE)</f>
        <v>0</v>
      </c>
      <c r="BZ6" s="128">
        <f>INDEX(Direct_Cost_Splits_Network,MATCH($H6,RIN_Asset_Cat_Network,0),MATCH($BY$4,Direct_Cost_Type,0))*K6*HLOOKUP(BZ$5,Escalators!$I$25:$U$30,6,FALSE)</f>
        <v>0</v>
      </c>
      <c r="CA6" s="128">
        <f>INDEX(Direct_Cost_Splits_Network,MATCH($H6,RIN_Asset_Cat_Network,0),MATCH($BY$4,Direct_Cost_Type,0))*L6*HLOOKUP(CA$5,Escalators!$I$25:$U$30,6,FALSE)</f>
        <v>0</v>
      </c>
      <c r="CB6" s="128">
        <f>INDEX(Direct_Cost_Splits_Network,MATCH($H6,RIN_Asset_Cat_Network,0),MATCH($BY$4,Direct_Cost_Type,0))*M6*HLOOKUP(CB$5,Escalators!$I$25:$U$30,6,FALSE)</f>
        <v>229.74141166907762</v>
      </c>
      <c r="CC6" s="128">
        <f>INDEX(Direct_Cost_Splits_Network,MATCH($H6,RIN_Asset_Cat_Network,0),MATCH($BY$4,Direct_Cost_Type,0))*N6*HLOOKUP(CC$5,Escalators!$I$25:$U$30,6,FALSE)</f>
        <v>229.74141166907762</v>
      </c>
      <c r="CD6" s="128">
        <f>INDEX(Direct_Cost_Splits_Network,MATCH($H6,RIN_Asset_Cat_Network,0),MATCH($BY$4,Direct_Cost_Type,0))*O6*HLOOKUP(CD$5,Escalators!$I$25:$U$30,6,FALSE)</f>
        <v>229.74141166907762</v>
      </c>
      <c r="CE6" s="128">
        <f>INDEX(Direct_Cost_Splits_Network,MATCH($H6,RIN_Asset_Cat_Network,0),MATCH($BY$4,Direct_Cost_Type,0))*P6*HLOOKUP(CE$5,Escalators!$I$25:$U$30,6,FALSE)</f>
        <v>229.74141166907762</v>
      </c>
      <c r="CF6" s="128">
        <f>INDEX(Direct_Cost_Splits_Network,MATCH($H6,RIN_Asset_Cat_Network,0),MATCH($BY$4,Direct_Cost_Type,0))*Q6*HLOOKUP(CF$5,Escalators!$I$25:$U$30,6,FALSE)</f>
        <v>229.74141166907762</v>
      </c>
      <c r="CG6" s="129"/>
      <c r="CH6" s="763">
        <f t="shared" ref="CH6:CH10" si="8">INDEX(Direct_Cost_Splits_Network,MATCH($H6,RIN_Asset_Cat_Network,0),MATCH($CH$4,Direct_Cost_Type,0))*J6</f>
        <v>0</v>
      </c>
      <c r="CI6" s="763">
        <f t="shared" ref="CI6:CJ10" si="9">INDEX(Direct_Cost_Splits_Network,MATCH($H6,RIN_Asset_Cat_Network,0),MATCH($CH$4,Direct_Cost_Type,0))*K6</f>
        <v>0</v>
      </c>
      <c r="CJ6" s="763">
        <f t="shared" si="9"/>
        <v>0</v>
      </c>
      <c r="CK6" s="763">
        <f t="shared" ref="CK6:CK10" si="10">INDEX(Direct_Cost_Splits_Network,MATCH($H6,RIN_Asset_Cat_Network,0),MATCH($CH$4,Direct_Cost_Type,0))*M6</f>
        <v>35.553629220550455</v>
      </c>
      <c r="CL6" s="763">
        <f t="shared" ref="CL6:CL10" si="11">INDEX(Direct_Cost_Splits_Network,MATCH($H6,RIN_Asset_Cat_Network,0),MATCH($CH$4,Direct_Cost_Type,0))*N6</f>
        <v>35.553629220550455</v>
      </c>
      <c r="CM6" s="763">
        <f t="shared" ref="CM6:CM10" si="12">INDEX(Direct_Cost_Splits_Network,MATCH($H6,RIN_Asset_Cat_Network,0),MATCH($CH$4,Direct_Cost_Type,0))*O6</f>
        <v>35.553629220550455</v>
      </c>
      <c r="CN6" s="763">
        <f t="shared" ref="CN6:CN10" si="13">INDEX(Direct_Cost_Splits_Network,MATCH($H6,RIN_Asset_Cat_Network,0),MATCH($CH$4,Direct_Cost_Type,0))*P6</f>
        <v>35.553629220550455</v>
      </c>
      <c r="CO6" s="763">
        <f t="shared" ref="CO6:CO10" si="14">INDEX(Direct_Cost_Splits_Network,MATCH($H6,RIN_Asset_Cat_Network,0),MATCH($CH$4,Direct_Cost_Type,0))*Q6</f>
        <v>35.553629220550455</v>
      </c>
      <c r="CP6" s="129"/>
      <c r="CQ6" s="128">
        <f>S6+AG6+BY6+CH6</f>
        <v>0</v>
      </c>
      <c r="CR6" s="128">
        <f>T6+AM6+BZ6+CI6</f>
        <v>0</v>
      </c>
      <c r="CS6" s="128">
        <f>U6+AS6+CA6+CJ6</f>
        <v>0</v>
      </c>
      <c r="CT6" s="128">
        <f>V6+AY6+CB6+CK6</f>
        <v>390.70327932795652</v>
      </c>
      <c r="CU6" s="128">
        <f>W6+BE6+CC6+CL6</f>
        <v>390.60425012053946</v>
      </c>
      <c r="CV6" s="128">
        <f>X6+BK6+CD6+CM6</f>
        <v>390.57552574781516</v>
      </c>
      <c r="CW6" s="128">
        <f>Y6+BQ6+CE6+CN6</f>
        <v>390.72067212477361</v>
      </c>
      <c r="CX6" s="128">
        <f>Z6+BW6+CF6+CO6</f>
        <v>391.11597062021411</v>
      </c>
      <c r="CZ6" s="39"/>
      <c r="DA6" s="39"/>
      <c r="DB6" s="39"/>
      <c r="DC6" s="39"/>
      <c r="DD6" s="39"/>
      <c r="DE6" s="39"/>
    </row>
    <row r="7" spans="2:109" x14ac:dyDescent="0.25">
      <c r="B7" s="7"/>
      <c r="C7" s="7" t="s">
        <v>588</v>
      </c>
      <c r="D7" s="7" t="s">
        <v>119</v>
      </c>
      <c r="E7" s="7" t="s">
        <v>45</v>
      </c>
      <c r="F7" s="7" t="s">
        <v>55</v>
      </c>
      <c r="G7" s="7" t="s">
        <v>150</v>
      </c>
      <c r="H7" s="7" t="s">
        <v>5</v>
      </c>
      <c r="I7" s="7" t="s">
        <v>209</v>
      </c>
      <c r="J7" s="45"/>
      <c r="K7" s="45"/>
      <c r="L7" s="45"/>
      <c r="M7" s="128">
        <v>50</v>
      </c>
      <c r="N7" s="128">
        <v>50</v>
      </c>
      <c r="O7" s="128">
        <v>50</v>
      </c>
      <c r="P7" s="128">
        <v>50</v>
      </c>
      <c r="Q7" s="128">
        <v>50</v>
      </c>
      <c r="R7" s="129"/>
      <c r="S7" s="128">
        <f>INDEX(Direct_Cost_Splits_Network,MATCH($H7,RIN_Asset_Cat_Network,0),MATCH($S$4,Direct_Cost_Type,0))*J7*HLOOKUP(S$5,Escalators!$I$25:$U$30,3,FALSE)</f>
        <v>0</v>
      </c>
      <c r="T7" s="128">
        <f>INDEX(Direct_Cost_Splits_Network,MATCH($H7,RIN_Asset_Cat_Network,0),MATCH($S$4,Direct_Cost_Type,0))*K7*HLOOKUP(T$5,Escalators!$I$25:$U$30,3,FALSE)</f>
        <v>0</v>
      </c>
      <c r="U7" s="128">
        <f>INDEX(Direct_Cost_Splits_Network,MATCH($H7,RIN_Asset_Cat_Network,0),MATCH($S$4,Direct_Cost_Type,0))*L7*HLOOKUP(U$5,Escalators!$I$25:$U$30,3,FALSE)</f>
        <v>0</v>
      </c>
      <c r="V7" s="128">
        <f>INDEX(Direct_Cost_Splits_Network,MATCH($H7,RIN_Asset_Cat_Network,0),MATCH($S$4,Direct_Cost_Type,0))*M7*HLOOKUP(V$5,Escalators!$I$25:$U$30,3,FALSE)</f>
        <v>5.0830232046572528</v>
      </c>
      <c r="W7" s="128">
        <f>INDEX(Direct_Cost_Splits_Network,MATCH($H7,RIN_Asset_Cat_Network,0),MATCH($S$4,Direct_Cost_Type,0))*N7*HLOOKUP(W$5,Escalators!$I$25:$U$30,3,FALSE)</f>
        <v>5.0703271524242988</v>
      </c>
      <c r="X7" s="128">
        <f>INDEX(Direct_Cost_Splits_Network,MATCH($H7,RIN_Asset_Cat_Network,0),MATCH($S$4,Direct_Cost_Type,0))*O7*HLOOKUP(X$5,Escalators!$I$25:$U$30,3,FALSE)</f>
        <v>5.0666445405365685</v>
      </c>
      <c r="Y7" s="128">
        <f>INDEX(Direct_Cost_Splits_Network,MATCH($H7,RIN_Asset_Cat_Network,0),MATCH($S$4,Direct_Cost_Type,0))*P7*HLOOKUP(Y$5,Escalators!$I$25:$U$30,3,FALSE)</f>
        <v>5.0852530504030362</v>
      </c>
      <c r="Z7" s="128">
        <f>INDEX(Direct_Cost_Splits_Network,MATCH($H7,RIN_Asset_Cat_Network,0),MATCH($S$4,Direct_Cost_Type,0))*Q7*HLOOKUP(Z$5,Escalators!$I$25:$U$30,3,FALSE)</f>
        <v>5.1359323446902847</v>
      </c>
      <c r="AA7" s="129"/>
      <c r="AB7" s="128">
        <f>INDEX(Direct_Cost_Splits_Network,MATCH($H7,RIN_Asset_Cat_Network,0),MATCH($AG$4,Direct_Cost_Type,0))*$J7*INDEX(Act_Type_Repex_Splits,MATCH($I7,Act_Type_Repex,0),MATCH(AB$4,Mat_Type,0))*INDEX(Escalators!$I$44:$Q$49,MATCH(AB$4,Escalators!$C$44:$C$49,0),MATCH(AB$5,Escalators!$I$43:$Q$43,0))</f>
        <v>0</v>
      </c>
      <c r="AC7" s="128">
        <f>INDEX(Direct_Cost_Splits_Network,MATCH($H7,RIN_Asset_Cat_Network,0),MATCH($AG$4,Direct_Cost_Type,0))*$J7*INDEX(Act_Type_Repex_Splits,MATCH($I7,Act_Type_Repex,0),MATCH(AC$4,Mat_Type,0))*INDEX(Escalators!$I$44:$Q$49,MATCH(AC$4,Escalators!$C$44:$C$49,0),MATCH(AC$5,Escalators!$I$43:$Q$43,0))</f>
        <v>0</v>
      </c>
      <c r="AD7" s="128">
        <f>INDEX(Direct_Cost_Splits_Network,MATCH($H7,RIN_Asset_Cat_Network,0),MATCH($AG$4,Direct_Cost_Type,0))*$J7*INDEX(Act_Type_Repex_Splits,MATCH($I7,Act_Type_Repex,0),MATCH(AD$4,Mat_Type,0))*INDEX(Escalators!$I$44:$Q$49,MATCH(AD$4,Escalators!$C$44:$C$49,0),MATCH(AD$5,Escalators!$I$43:$Q$43,0))</f>
        <v>0</v>
      </c>
      <c r="AE7" s="128">
        <f>INDEX(Direct_Cost_Splits_Network,MATCH($H7,RIN_Asset_Cat_Network,0),MATCH($AG$4,Direct_Cost_Type,0))*$J7*INDEX(Act_Type_Repex_Splits,MATCH($I7,Act_Type_Repex,0),MATCH(AE$4,Mat_Type,0))*INDEX(Escalators!$I$44:$Q$49,MATCH(AE$4,Escalators!$C$44:$C$49,0),MATCH(AE$5,Escalators!$I$43:$Q$43,0))</f>
        <v>0</v>
      </c>
      <c r="AF7" s="128">
        <f>INDEX(Direct_Cost_Splits_Network,MATCH($H7,RIN_Asset_Cat_Network,0),MATCH($AG$4,Direct_Cost_Type,0))*$J7*INDEX(Act_Type_Repex_Splits,MATCH($I7,Act_Type_Repex,0),MATCH(AF$4,Mat_Type,0))*INDEX(Escalators!$I$44:$Q$49,MATCH(AF$4,Escalators!$C$44:$C$49,0),MATCH(AF$5,Escalators!$I$43:$Q$43,0))</f>
        <v>0</v>
      </c>
      <c r="AG7" s="128">
        <f t="shared" ref="AG7:AG10" si="15">SUM(AB7:AF7)</f>
        <v>0</v>
      </c>
      <c r="AH7" s="128">
        <f>INDEX(Direct_Cost_Splits_Network,MATCH($H7,RIN_Asset_Cat_Network,0),MATCH($AY$4,Direct_Cost_Type,0))*$K7*INDEX(Act_Type_Repex_Splits,MATCH($I7,Act_Type_Repex,0),MATCH(AH$4,Mat_Type,0))*INDEX(Escalators!$I$44:$U$49,MATCH(AH$4,Escalators!$C$44:$C$49,0),MATCH(AH$5,Escalators!$I$43:$U$43,0))</f>
        <v>0</v>
      </c>
      <c r="AI7" s="128">
        <f>INDEX(Direct_Cost_Splits_Network,MATCH($H7,RIN_Asset_Cat_Network,0),MATCH($AY$4,Direct_Cost_Type,0))*$K7*INDEX(Act_Type_Repex_Splits,MATCH($I7,Act_Type_Repex,0),MATCH(AI$4,Mat_Type,0))*INDEX(Escalators!$I$44:$U$49,MATCH(AI$4,Escalators!$C$44:$C$49,0),MATCH(AI$5,Escalators!$I$43:$U$43,0))</f>
        <v>0</v>
      </c>
      <c r="AJ7" s="128">
        <f>INDEX(Direct_Cost_Splits_Network,MATCH($H7,RIN_Asset_Cat_Network,0),MATCH($AY$4,Direct_Cost_Type,0))*$K7*INDEX(Act_Type_Repex_Splits,MATCH($I7,Act_Type_Repex,0),MATCH(AJ$4,Mat_Type,0))*INDEX(Escalators!$I$44:$U$49,MATCH(AJ$4,Escalators!$C$44:$C$49,0),MATCH(AJ$5,Escalators!$I$43:$U$43,0))</f>
        <v>0</v>
      </c>
      <c r="AK7" s="128">
        <f>INDEX(Direct_Cost_Splits_Network,MATCH($H7,RIN_Asset_Cat_Network,0),MATCH($AY$4,Direct_Cost_Type,0))*$K7*INDEX(Act_Type_Repex_Splits,MATCH($I7,Act_Type_Repex,0),MATCH(AK$4,Mat_Type,0))*INDEX(Escalators!$I$44:$U$49,MATCH(AK$4,Escalators!$C$44:$C$49,0),MATCH(AK$5,Escalators!$I$43:$U$43,0))</f>
        <v>0</v>
      </c>
      <c r="AL7" s="128">
        <f>INDEX(Direct_Cost_Splits_Network,MATCH($H7,RIN_Asset_Cat_Network,0),MATCH($AY$4,Direct_Cost_Type,0))*$K7*INDEX(Act_Type_Repex_Splits,MATCH($I7,Act_Type_Repex,0),MATCH(AL$4,Mat_Type,0))*INDEX(Escalators!$I$44:$U$49,MATCH(AL$4,Escalators!$C$44:$C$49,0),MATCH(AL$5,Escalators!$I$43:$U$43,0))</f>
        <v>0</v>
      </c>
      <c r="AM7" s="128">
        <f t="shared" ref="AM7:AM10" si="16">SUM(AH7:AL7)</f>
        <v>0</v>
      </c>
      <c r="AN7" s="128">
        <f>INDEX(Direct_Cost_Splits_Network,MATCH($H7,RIN_Asset_Cat_Network,0),MATCH($AY$4,Direct_Cost_Type,0))*$L7*INDEX(Act_Type_Repex_Splits,MATCH($I7,Act_Type_Repex,0),MATCH(AN$4,Mat_Type,0))*INDEX(Escalators!$I$44:$U$49,MATCH(AN$4,Escalators!$C$44:$C$49,0),MATCH(AN$5,Escalators!$I$43:$U$43,0))</f>
        <v>0</v>
      </c>
      <c r="AO7" s="128">
        <f>INDEX(Direct_Cost_Splits_Network,MATCH($H7,RIN_Asset_Cat_Network,0),MATCH($AY$4,Direct_Cost_Type,0))*$L7*INDEX(Act_Type_Repex_Splits,MATCH($I7,Act_Type_Repex,0),MATCH(AO$4,Mat_Type,0))*INDEX(Escalators!$I$44:$U$49,MATCH(AO$4,Escalators!$C$44:$C$49,0),MATCH(AO$5,Escalators!$I$43:$U$43,0))</f>
        <v>0</v>
      </c>
      <c r="AP7" s="128">
        <f>INDEX(Direct_Cost_Splits_Network,MATCH($H7,RIN_Asset_Cat_Network,0),MATCH($AY$4,Direct_Cost_Type,0))*$L7*INDEX(Act_Type_Repex_Splits,MATCH($I7,Act_Type_Repex,0),MATCH(AP$4,Mat_Type,0))*INDEX(Escalators!$I$44:$U$49,MATCH(AP$4,Escalators!$C$44:$C$49,0),MATCH(AP$5,Escalators!$I$43:$U$43,0))</f>
        <v>0</v>
      </c>
      <c r="AQ7" s="128">
        <f>INDEX(Direct_Cost_Splits_Network,MATCH($H7,RIN_Asset_Cat_Network,0),MATCH($AY$4,Direct_Cost_Type,0))*$L7*INDEX(Act_Type_Repex_Splits,MATCH($I7,Act_Type_Repex,0),MATCH(AQ$4,Mat_Type,0))*INDEX(Escalators!$I$44:$U$49,MATCH(AQ$4,Escalators!$C$44:$C$49,0),MATCH(AQ$5,Escalators!$I$43:$U$43,0))</f>
        <v>0</v>
      </c>
      <c r="AR7" s="128">
        <f>INDEX(Direct_Cost_Splits_Network,MATCH($H7,RIN_Asset_Cat_Network,0),MATCH($AY$4,Direct_Cost_Type,0))*$L7*INDEX(Act_Type_Repex_Splits,MATCH($I7,Act_Type_Repex,0),MATCH(AR$4,Mat_Type,0))*INDEX(Escalators!$I$44:$U$49,MATCH(AR$4,Escalators!$C$44:$C$49,0),MATCH(AR$5,Escalators!$I$43:$U$43,0))</f>
        <v>0</v>
      </c>
      <c r="AS7" s="128">
        <f t="shared" ref="AS7:AS10" si="17">SUM(AN7:AR7)</f>
        <v>0</v>
      </c>
      <c r="AT7" s="128">
        <f>INDEX(Direct_Cost_Splits_Network,MATCH($H7,RIN_Asset_Cat_Network,0),MATCH($AY$4,Direct_Cost_Type,0))*$M7*INDEX(Act_Type_Repex_Splits,MATCH($I7,Act_Type_Repex,0),MATCH(AT$4,Mat_Type,0))*INDEX(Escalators!$I$44:$U$49,MATCH(AT$4,Escalators!$C$44:$C$49,0),MATCH(AT$5,Escalators!$I$43:$U$43,0))</f>
        <v>0</v>
      </c>
      <c r="AU7" s="128">
        <f>INDEX(Direct_Cost_Splits_Network,MATCH($H7,RIN_Asset_Cat_Network,0),MATCH($AY$4,Direct_Cost_Type,0))*$M7*INDEX(Act_Type_Repex_Splits,MATCH($I7,Act_Type_Repex,0),MATCH(AU$4,Mat_Type,0))*INDEX(Escalators!$I$44:$U$49,MATCH(AU$4,Escalators!$C$44:$C$49,0),MATCH(AU$5,Escalators!$I$43:$U$43,0))</f>
        <v>0</v>
      </c>
      <c r="AV7" s="128">
        <f>INDEX(Direct_Cost_Splits_Network,MATCH($H7,RIN_Asset_Cat_Network,0),MATCH($AY$4,Direct_Cost_Type,0))*$M7*INDEX(Act_Type_Repex_Splits,MATCH($I7,Act_Type_Repex,0),MATCH(AV$4,Mat_Type,0))*INDEX(Escalators!$I$44:$U$49,MATCH(AV$4,Escalators!$C$44:$C$49,0),MATCH(AV$5,Escalators!$I$43:$U$43,0))</f>
        <v>3.2984868246923775</v>
      </c>
      <c r="AW7" s="128">
        <f>INDEX(Direct_Cost_Splits_Network,MATCH($H7,RIN_Asset_Cat_Network,0),MATCH($AY$4,Direct_Cost_Type,0))*$M7*INDEX(Act_Type_Repex_Splits,MATCH($I7,Act_Type_Repex,0),MATCH(AW$4,Mat_Type,0))*INDEX(Escalators!$I$44:$U$49,MATCH(AW$4,Escalators!$C$44:$C$49,0),MATCH(AW$5,Escalators!$I$43:$U$43,0))</f>
        <v>0</v>
      </c>
      <c r="AX7" s="128">
        <f>INDEX(Direct_Cost_Splits_Network,MATCH($H7,RIN_Asset_Cat_Network,0),MATCH($AY$4,Direct_Cost_Type,0))*$M7*INDEX(Act_Type_Repex_Splits,MATCH($I7,Act_Type_Repex,0),MATCH(AX$4,Mat_Type,0))*INDEX(Escalators!$I$44:$U$49,MATCH(AX$4,Escalators!$C$44:$C$49,0),MATCH(AX$5,Escalators!$I$43:$U$43,0))</f>
        <v>7.696469257615548</v>
      </c>
      <c r="AY7" s="128">
        <f t="shared" ref="AY7:AY10" si="18">SUM(AT7:AX7)</f>
        <v>10.994956082307926</v>
      </c>
      <c r="AZ7" s="128">
        <f>INDEX(Direct_Cost_Splits_Network,MATCH($H7,RIN_Asset_Cat_Network,0),MATCH($BE$4,Direct_Cost_Type,0))*$N7*INDEX(Act_Type_Repex_Splits,MATCH($I7,Act_Type_Repex,0),MATCH(AZ$4,Mat_Type,0))*INDEX(Escalators!$I$44:$U$49,MATCH(AZ$4,Escalators!$C$44:$C$49,0),MATCH(AZ$5,Escalators!$I$43:$U$43,0))</f>
        <v>0</v>
      </c>
      <c r="BA7" s="128">
        <f>INDEX(Direct_Cost_Splits_Network,MATCH($H7,RIN_Asset_Cat_Network,0),MATCH($BE$4,Direct_Cost_Type,0))*$N7*INDEX(Act_Type_Repex_Splits,MATCH($I7,Act_Type_Repex,0),MATCH(BA$4,Mat_Type,0))*INDEX(Escalators!$I$44:$U$49,MATCH(BA$4,Escalators!$C$44:$C$49,0),MATCH(BA$5,Escalators!$I$43:$U$43,0))</f>
        <v>0</v>
      </c>
      <c r="BB7" s="128">
        <f>INDEX(Direct_Cost_Splits_Network,MATCH($H7,RIN_Asset_Cat_Network,0),MATCH($BE$4,Direct_Cost_Type,0))*$N7*INDEX(Act_Type_Repex_Splits,MATCH($I7,Act_Type_Repex,0),MATCH(BB$4,Mat_Type,0))*INDEX(Escalators!$I$44:$U$49,MATCH(BB$4,Escalators!$C$44:$C$49,0),MATCH(BB$5,Escalators!$I$43:$U$43,0))</f>
        <v>3.2984868246923775</v>
      </c>
      <c r="BC7" s="128">
        <f>INDEX(Direct_Cost_Splits_Network,MATCH($H7,RIN_Asset_Cat_Network,0),MATCH($BE$4,Direct_Cost_Type,0))*$N7*INDEX(Act_Type_Repex_Splits,MATCH($I7,Act_Type_Repex,0),MATCH(BC$4,Mat_Type,0))*INDEX(Escalators!$I$44:$U$49,MATCH(BC$4,Escalators!$C$44:$C$49,0),MATCH(BC$5,Escalators!$I$43:$U$43,0))</f>
        <v>0</v>
      </c>
      <c r="BD7" s="128">
        <f>INDEX(Direct_Cost_Splits_Network,MATCH($H7,RIN_Asset_Cat_Network,0),MATCH($BE$4,Direct_Cost_Type,0))*$N7*INDEX(Act_Type_Repex_Splits,MATCH($I7,Act_Type_Repex,0),MATCH(BD$4,Mat_Type,0))*INDEX(Escalators!$I$44:$U$49,MATCH(BD$4,Escalators!$C$44:$C$49,0),MATCH(BD$5,Escalators!$I$43:$U$43,0))</f>
        <v>7.696469257615548</v>
      </c>
      <c r="BE7" s="128">
        <f t="shared" ref="BE7:BE10" si="19">SUM(AZ7:BD7)</f>
        <v>10.994956082307926</v>
      </c>
      <c r="BF7" s="128">
        <f>INDEX(Direct_Cost_Splits_Network,MATCH($H7,RIN_Asset_Cat_Network,0),MATCH($BK$4,Direct_Cost_Type,0))*$O7*INDEX(Act_Type_Repex_Splits,MATCH($I7,Act_Type_Repex,0),MATCH(BF$4,Mat_Type,0))*INDEX(Escalators!$I$44:$U$49,MATCH(BF$4,Escalators!$C$44:$C$49,0),MATCH(BF$5,Escalators!$I$43:$U$43,0))</f>
        <v>0</v>
      </c>
      <c r="BG7" s="128">
        <f>INDEX(Direct_Cost_Splits_Network,MATCH($H7,RIN_Asset_Cat_Network,0),MATCH($BK$4,Direct_Cost_Type,0))*$O7*INDEX(Act_Type_Repex_Splits,MATCH($I7,Act_Type_Repex,0),MATCH(BG$4,Mat_Type,0))*INDEX(Escalators!$I$44:$U$49,MATCH(BG$4,Escalators!$C$44:$C$49,0),MATCH(BG$5,Escalators!$I$43:$U$43,0))</f>
        <v>0</v>
      </c>
      <c r="BH7" s="128">
        <f>INDEX(Direct_Cost_Splits_Network,MATCH($H7,RIN_Asset_Cat_Network,0),MATCH($BK$4,Direct_Cost_Type,0))*$O7*INDEX(Act_Type_Repex_Splits,MATCH($I7,Act_Type_Repex,0),MATCH(BH$4,Mat_Type,0))*INDEX(Escalators!$I$44:$U$49,MATCH(BH$4,Escalators!$C$44:$C$49,0),MATCH(BH$5,Escalators!$I$43:$U$43,0))</f>
        <v>3.2984868246923775</v>
      </c>
      <c r="BI7" s="128">
        <f>INDEX(Direct_Cost_Splits_Network,MATCH($H7,RIN_Asset_Cat_Network,0),MATCH($BK$4,Direct_Cost_Type,0))*$O7*INDEX(Act_Type_Repex_Splits,MATCH($I7,Act_Type_Repex,0),MATCH(BI$4,Mat_Type,0))*INDEX(Escalators!$I$44:$U$49,MATCH(BI$4,Escalators!$C$44:$C$49,0),MATCH(BI$5,Escalators!$I$43:$U$43,0))</f>
        <v>0</v>
      </c>
      <c r="BJ7" s="128">
        <f>INDEX(Direct_Cost_Splits_Network,MATCH($H7,RIN_Asset_Cat_Network,0),MATCH($BK$4,Direct_Cost_Type,0))*$O7*INDEX(Act_Type_Repex_Splits,MATCH($I7,Act_Type_Repex,0),MATCH(BJ$4,Mat_Type,0))*INDEX(Escalators!$I$44:$U$49,MATCH(BJ$4,Escalators!$C$44:$C$49,0),MATCH(BJ$5,Escalators!$I$43:$U$43,0))</f>
        <v>7.696469257615548</v>
      </c>
      <c r="BK7" s="128">
        <f t="shared" ref="BK7:BK10" si="20">SUM(BF7:BJ7)</f>
        <v>10.994956082307926</v>
      </c>
      <c r="BL7" s="128">
        <f>INDEX(Direct_Cost_Splits_Network,MATCH($H7,RIN_Asset_Cat_Network,0),MATCH($BQ$4,Direct_Cost_Type,0))*$P7*INDEX(Act_Type_Repex_Splits,MATCH($I7,Act_Type_Repex,0),MATCH(BL$4,Mat_Type,0))*INDEX(Escalators!$I$44:$U$49,MATCH(BL$4,Escalators!$C$44:$C$49,0),MATCH(BL$5,Escalators!$I$43:$U$43,0))</f>
        <v>0</v>
      </c>
      <c r="BM7" s="128">
        <f>INDEX(Direct_Cost_Splits_Network,MATCH($H7,RIN_Asset_Cat_Network,0),MATCH($BQ$4,Direct_Cost_Type,0))*$P7*INDEX(Act_Type_Repex_Splits,MATCH($I7,Act_Type_Repex,0),MATCH(BM$4,Mat_Type,0))*INDEX(Escalators!$I$44:$U$49,MATCH(BM$4,Escalators!$C$44:$C$49,0),MATCH(BM$5,Escalators!$I$43:$U$43,0))</f>
        <v>0</v>
      </c>
      <c r="BN7" s="128">
        <f>INDEX(Direct_Cost_Splits_Network,MATCH($H7,RIN_Asset_Cat_Network,0),MATCH($BQ$4,Direct_Cost_Type,0))*$P7*INDEX(Act_Type_Repex_Splits,MATCH($I7,Act_Type_Repex,0),MATCH(BN$4,Mat_Type,0))*INDEX(Escalators!$I$44:$U$49,MATCH(BN$4,Escalators!$C$44:$C$49,0),MATCH(BN$5,Escalators!$I$43:$U$43,0))</f>
        <v>3.2984868246923775</v>
      </c>
      <c r="BO7" s="128">
        <f>INDEX(Direct_Cost_Splits_Network,MATCH($H7,RIN_Asset_Cat_Network,0),MATCH($BQ$4,Direct_Cost_Type,0))*$P7*INDEX(Act_Type_Repex_Splits,MATCH($I7,Act_Type_Repex,0),MATCH(BO$4,Mat_Type,0))*INDEX(Escalators!$I$44:$U$49,MATCH(BO$4,Escalators!$C$44:$C$49,0),MATCH(BO$5,Escalators!$I$43:$U$43,0))</f>
        <v>0</v>
      </c>
      <c r="BP7" s="128">
        <f>INDEX(Direct_Cost_Splits_Network,MATCH($H7,RIN_Asset_Cat_Network,0),MATCH($BQ$4,Direct_Cost_Type,0))*$P7*INDEX(Act_Type_Repex_Splits,MATCH($I7,Act_Type_Repex,0),MATCH(BP$4,Mat_Type,0))*INDEX(Escalators!$I$44:$U$49,MATCH(BP$4,Escalators!$C$44:$C$49,0),MATCH(BP$5,Escalators!$I$43:$U$43,0))</f>
        <v>7.696469257615548</v>
      </c>
      <c r="BQ7" s="128">
        <f t="shared" ref="BQ7:BQ10" si="21">SUM(BL7:BP7)</f>
        <v>10.994956082307926</v>
      </c>
      <c r="BR7" s="128">
        <f>INDEX(Direct_Cost_Splits_Network,MATCH($H7,RIN_Asset_Cat_Network,0),MATCH($BW$4,Direct_Cost_Type,0))*$Q7*INDEX(Act_Type_Repex_Splits,MATCH($I7,Act_Type_Repex,0),MATCH(BR$4,Mat_Type,0))*INDEX(Escalators!$I$44:$U$49,MATCH(BR$4,Escalators!$C$44:$C$49,0),MATCH(BR$5,Escalators!$I$43:$U$43,0))</f>
        <v>0</v>
      </c>
      <c r="BS7" s="128">
        <f>INDEX(Direct_Cost_Splits_Network,MATCH($H7,RIN_Asset_Cat_Network,0),MATCH($BW$4,Direct_Cost_Type,0))*$Q7*INDEX(Act_Type_Repex_Splits,MATCH($I7,Act_Type_Repex,0),MATCH(BS$4,Mat_Type,0))*INDEX(Escalators!$I$44:$U$49,MATCH(BS$4,Escalators!$C$44:$C$49,0),MATCH(BS$5,Escalators!$I$43:$U$43,0))</f>
        <v>0</v>
      </c>
      <c r="BT7" s="128">
        <f>INDEX(Direct_Cost_Splits_Network,MATCH($H7,RIN_Asset_Cat_Network,0),MATCH($BW$4,Direct_Cost_Type,0))*$Q7*INDEX(Act_Type_Repex_Splits,MATCH($I7,Act_Type_Repex,0),MATCH(BT$4,Mat_Type,0))*INDEX(Escalators!$I$44:$U$49,MATCH(BT$4,Escalators!$C$44:$C$49,0),MATCH(BT$5,Escalators!$I$43:$U$43,0))</f>
        <v>3.2984868246923775</v>
      </c>
      <c r="BU7" s="128">
        <f>INDEX(Direct_Cost_Splits_Network,MATCH($H7,RIN_Asset_Cat_Network,0),MATCH($BW$4,Direct_Cost_Type,0))*$Q7*INDEX(Act_Type_Repex_Splits,MATCH($I7,Act_Type_Repex,0),MATCH(BU$4,Mat_Type,0))*INDEX(Escalators!$I$44:$U$49,MATCH(BU$4,Escalators!$C$44:$C$49,0),MATCH(BU$5,Escalators!$I$43:$U$43,0))</f>
        <v>0</v>
      </c>
      <c r="BV7" s="128">
        <f>INDEX(Direct_Cost_Splits_Network,MATCH($H7,RIN_Asset_Cat_Network,0),MATCH($BW$4,Direct_Cost_Type,0))*$Q7*INDEX(Act_Type_Repex_Splits,MATCH($I7,Act_Type_Repex,0),MATCH(BV$4,Mat_Type,0))*INDEX(Escalators!$I$44:$U$49,MATCH(BV$4,Escalators!$C$44:$C$49,0),MATCH(BV$5,Escalators!$I$43:$U$43,0))</f>
        <v>7.696469257615548</v>
      </c>
      <c r="BW7" s="128">
        <f t="shared" ref="BW7:BW10" si="22">SUM(BR7:BV7)</f>
        <v>10.994956082307926</v>
      </c>
      <c r="BX7" s="129"/>
      <c r="BY7" s="128">
        <f>INDEX(Direct_Cost_Splits_Network,MATCH($H7,RIN_Asset_Cat_Network,0),MATCH($BY$4,Direct_Cost_Type,0))*J7*HLOOKUP(BY$5,Escalators!$I$25:$U$30,6,FALSE)</f>
        <v>0</v>
      </c>
      <c r="BZ7" s="128">
        <f>INDEX(Direct_Cost_Splits_Network,MATCH($H7,RIN_Asset_Cat_Network,0),MATCH($BY$4,Direct_Cost_Type,0))*K7*HLOOKUP(BZ$5,Escalators!$I$25:$U$30,6,FALSE)</f>
        <v>0</v>
      </c>
      <c r="CA7" s="128">
        <f>INDEX(Direct_Cost_Splits_Network,MATCH($H7,RIN_Asset_Cat_Network,0),MATCH($BY$4,Direct_Cost_Type,0))*L7*HLOOKUP(CA$5,Escalators!$I$25:$U$30,6,FALSE)</f>
        <v>0</v>
      </c>
      <c r="CB7" s="128">
        <f>INDEX(Direct_Cost_Splits_Network,MATCH($H7,RIN_Asset_Cat_Network,0),MATCH($BY$4,Direct_Cost_Type,0))*M7*HLOOKUP(CB$5,Escalators!$I$25:$U$30,6,FALSE)</f>
        <v>29.454027137061235</v>
      </c>
      <c r="CC7" s="128">
        <f>INDEX(Direct_Cost_Splits_Network,MATCH($H7,RIN_Asset_Cat_Network,0),MATCH($BY$4,Direct_Cost_Type,0))*N7*HLOOKUP(CC$5,Escalators!$I$25:$U$30,6,FALSE)</f>
        <v>29.454027137061235</v>
      </c>
      <c r="CD7" s="128">
        <f>INDEX(Direct_Cost_Splits_Network,MATCH($H7,RIN_Asset_Cat_Network,0),MATCH($BY$4,Direct_Cost_Type,0))*O7*HLOOKUP(CD$5,Escalators!$I$25:$U$30,6,FALSE)</f>
        <v>29.454027137061235</v>
      </c>
      <c r="CE7" s="128">
        <f>INDEX(Direct_Cost_Splits_Network,MATCH($H7,RIN_Asset_Cat_Network,0),MATCH($BY$4,Direct_Cost_Type,0))*P7*HLOOKUP(CE$5,Escalators!$I$25:$U$30,6,FALSE)</f>
        <v>29.454027137061235</v>
      </c>
      <c r="CF7" s="128">
        <f>INDEX(Direct_Cost_Splits_Network,MATCH($H7,RIN_Asset_Cat_Network,0),MATCH($BY$4,Direct_Cost_Type,0))*Q7*HLOOKUP(CF$5,Escalators!$I$25:$U$30,6,FALSE)</f>
        <v>29.454027137061235</v>
      </c>
      <c r="CG7" s="129"/>
      <c r="CH7" s="763">
        <f t="shared" si="8"/>
        <v>0</v>
      </c>
      <c r="CI7" s="763">
        <f t="shared" si="9"/>
        <v>0</v>
      </c>
      <c r="CJ7" s="763">
        <f t="shared" si="9"/>
        <v>0</v>
      </c>
      <c r="CK7" s="763">
        <f t="shared" si="10"/>
        <v>4.5581575923782633</v>
      </c>
      <c r="CL7" s="763">
        <f t="shared" si="11"/>
        <v>4.5581575923782633</v>
      </c>
      <c r="CM7" s="763">
        <f t="shared" si="12"/>
        <v>4.5581575923782633</v>
      </c>
      <c r="CN7" s="763">
        <f t="shared" si="13"/>
        <v>4.5581575923782633</v>
      </c>
      <c r="CO7" s="763">
        <f t="shared" si="14"/>
        <v>4.5581575923782633</v>
      </c>
      <c r="CP7" s="129"/>
      <c r="CQ7" s="128">
        <f t="shared" ref="CQ7:CQ36" si="23">S7+AG7+BY7+CH7</f>
        <v>0</v>
      </c>
      <c r="CR7" s="128">
        <f t="shared" ref="CR7:CR36" si="24">T7+AM7+BZ7+CI7</f>
        <v>0</v>
      </c>
      <c r="CS7" s="128">
        <f t="shared" ref="CS7:CS36" si="25">U7+AS7+CA7+CJ7</f>
        <v>0</v>
      </c>
      <c r="CT7" s="128">
        <f t="shared" ref="CT7:CT36" si="26">V7+AY7+CB7+CK7</f>
        <v>50.090164016404678</v>
      </c>
      <c r="CU7" s="128">
        <f t="shared" ref="CU7:CU36" si="27">W7+BE7+CC7+CL7</f>
        <v>50.077467964171724</v>
      </c>
      <c r="CV7" s="128">
        <f t="shared" ref="CV7:CV36" si="28">X7+BK7+CD7+CM7</f>
        <v>50.073785352283991</v>
      </c>
      <c r="CW7" s="128">
        <f t="shared" ref="CW7:CW36" si="29">Y7+BQ7+CE7+CN7</f>
        <v>50.092393862150459</v>
      </c>
      <c r="CX7" s="128">
        <f t="shared" ref="CX7:CX36" si="30">Z7+BW7+CF7+CO7</f>
        <v>50.143073156437708</v>
      </c>
      <c r="CZ7" s="39"/>
      <c r="DA7" s="39"/>
      <c r="DB7" s="39"/>
      <c r="DC7" s="39"/>
      <c r="DD7" s="39"/>
      <c r="DE7" s="39"/>
    </row>
    <row r="8" spans="2:109" x14ac:dyDescent="0.25">
      <c r="B8" s="7"/>
      <c r="C8" s="7" t="s">
        <v>117</v>
      </c>
      <c r="D8" s="7" t="s">
        <v>119</v>
      </c>
      <c r="E8" s="7" t="s">
        <v>45</v>
      </c>
      <c r="F8" s="7" t="s">
        <v>55</v>
      </c>
      <c r="G8" s="7" t="s">
        <v>150</v>
      </c>
      <c r="H8" s="7" t="s">
        <v>5</v>
      </c>
      <c r="I8" s="7" t="s">
        <v>209</v>
      </c>
      <c r="J8" s="45"/>
      <c r="K8" s="45"/>
      <c r="L8" s="45"/>
      <c r="M8" s="128">
        <v>90</v>
      </c>
      <c r="N8" s="128">
        <v>90</v>
      </c>
      <c r="O8" s="128">
        <v>90</v>
      </c>
      <c r="P8" s="128">
        <v>90</v>
      </c>
      <c r="Q8" s="128">
        <v>90</v>
      </c>
      <c r="R8" s="129"/>
      <c r="S8" s="128">
        <f>INDEX(Direct_Cost_Splits_Network,MATCH($H8,RIN_Asset_Cat_Network,0),MATCH($S$4,Direct_Cost_Type,0))*J8*HLOOKUP(S$5,Escalators!$I$25:$U$30,3,FALSE)</f>
        <v>0</v>
      </c>
      <c r="T8" s="128">
        <f>INDEX(Direct_Cost_Splits_Network,MATCH($H8,RIN_Asset_Cat_Network,0),MATCH($S$4,Direct_Cost_Type,0))*K8*HLOOKUP(T$5,Escalators!$I$25:$U$30,3,FALSE)</f>
        <v>0</v>
      </c>
      <c r="U8" s="128">
        <f>INDEX(Direct_Cost_Splits_Network,MATCH($H8,RIN_Asset_Cat_Network,0),MATCH($S$4,Direct_Cost_Type,0))*L8*HLOOKUP(U$5,Escalators!$I$25:$U$30,3,FALSE)</f>
        <v>0</v>
      </c>
      <c r="V8" s="128">
        <f>INDEX(Direct_Cost_Splits_Network,MATCH($H8,RIN_Asset_Cat_Network,0),MATCH($S$4,Direct_Cost_Type,0))*M8*HLOOKUP(V$5,Escalators!$I$25:$U$30,3,FALSE)</f>
        <v>9.1494417683830545</v>
      </c>
      <c r="W8" s="128">
        <f>INDEX(Direct_Cost_Splits_Network,MATCH($H8,RIN_Asset_Cat_Network,0),MATCH($S$4,Direct_Cost_Type,0))*N8*HLOOKUP(W$5,Escalators!$I$25:$U$30,3,FALSE)</f>
        <v>9.1265888743637387</v>
      </c>
      <c r="X8" s="128">
        <f>INDEX(Direct_Cost_Splits_Network,MATCH($H8,RIN_Asset_Cat_Network,0),MATCH($S$4,Direct_Cost_Type,0))*O8*HLOOKUP(X$5,Escalators!$I$25:$U$30,3,FALSE)</f>
        <v>9.1199601729658237</v>
      </c>
      <c r="Y8" s="128">
        <f>INDEX(Direct_Cost_Splits_Network,MATCH($H8,RIN_Asset_Cat_Network,0),MATCH($S$4,Direct_Cost_Type,0))*P8*HLOOKUP(Y$5,Escalators!$I$25:$U$30,3,FALSE)</f>
        <v>9.1534554907254648</v>
      </c>
      <c r="Z8" s="128">
        <f>INDEX(Direct_Cost_Splits_Network,MATCH($H8,RIN_Asset_Cat_Network,0),MATCH($S$4,Direct_Cost_Type,0))*Q8*HLOOKUP(Z$5,Escalators!$I$25:$U$30,3,FALSE)</f>
        <v>9.2446782204425126</v>
      </c>
      <c r="AA8" s="129"/>
      <c r="AB8" s="128">
        <f>INDEX(Direct_Cost_Splits_Network,MATCH($H8,RIN_Asset_Cat_Network,0),MATCH($AG$4,Direct_Cost_Type,0))*$J8*INDEX(Act_Type_Repex_Splits,MATCH($I8,Act_Type_Repex,0),MATCH(AB$4,Mat_Type,0))*INDEX(Escalators!$I$44:$Q$49,MATCH(AB$4,Escalators!$C$44:$C$49,0),MATCH(AB$5,Escalators!$I$43:$Q$43,0))</f>
        <v>0</v>
      </c>
      <c r="AC8" s="128">
        <f>INDEX(Direct_Cost_Splits_Network,MATCH($H8,RIN_Asset_Cat_Network,0),MATCH($AG$4,Direct_Cost_Type,0))*$J8*INDEX(Act_Type_Repex_Splits,MATCH($I8,Act_Type_Repex,0),MATCH(AC$4,Mat_Type,0))*INDEX(Escalators!$I$44:$Q$49,MATCH(AC$4,Escalators!$C$44:$C$49,0),MATCH(AC$5,Escalators!$I$43:$Q$43,0))</f>
        <v>0</v>
      </c>
      <c r="AD8" s="128">
        <f>INDEX(Direct_Cost_Splits_Network,MATCH($H8,RIN_Asset_Cat_Network,0),MATCH($AG$4,Direct_Cost_Type,0))*$J8*INDEX(Act_Type_Repex_Splits,MATCH($I8,Act_Type_Repex,0),MATCH(AD$4,Mat_Type,0))*INDEX(Escalators!$I$44:$Q$49,MATCH(AD$4,Escalators!$C$44:$C$49,0),MATCH(AD$5,Escalators!$I$43:$Q$43,0))</f>
        <v>0</v>
      </c>
      <c r="AE8" s="128">
        <f>INDEX(Direct_Cost_Splits_Network,MATCH($H8,RIN_Asset_Cat_Network,0),MATCH($AG$4,Direct_Cost_Type,0))*$J8*INDEX(Act_Type_Repex_Splits,MATCH($I8,Act_Type_Repex,0),MATCH(AE$4,Mat_Type,0))*INDEX(Escalators!$I$44:$Q$49,MATCH(AE$4,Escalators!$C$44:$C$49,0),MATCH(AE$5,Escalators!$I$43:$Q$43,0))</f>
        <v>0</v>
      </c>
      <c r="AF8" s="128">
        <f>INDEX(Direct_Cost_Splits_Network,MATCH($H8,RIN_Asset_Cat_Network,0),MATCH($AG$4,Direct_Cost_Type,0))*$J8*INDEX(Act_Type_Repex_Splits,MATCH($I8,Act_Type_Repex,0),MATCH(AF$4,Mat_Type,0))*INDEX(Escalators!$I$44:$Q$49,MATCH(AF$4,Escalators!$C$44:$C$49,0),MATCH(AF$5,Escalators!$I$43:$Q$43,0))</f>
        <v>0</v>
      </c>
      <c r="AG8" s="128">
        <f t="shared" si="15"/>
        <v>0</v>
      </c>
      <c r="AH8" s="128">
        <f>INDEX(Direct_Cost_Splits_Network,MATCH($H8,RIN_Asset_Cat_Network,0),MATCH($AY$4,Direct_Cost_Type,0))*$K8*INDEX(Act_Type_Repex_Splits,MATCH($I8,Act_Type_Repex,0),MATCH(AH$4,Mat_Type,0))*INDEX(Escalators!$I$44:$U$49,MATCH(AH$4,Escalators!$C$44:$C$49,0),MATCH(AH$5,Escalators!$I$43:$U$43,0))</f>
        <v>0</v>
      </c>
      <c r="AI8" s="128">
        <f>INDEX(Direct_Cost_Splits_Network,MATCH($H8,RIN_Asset_Cat_Network,0),MATCH($AY$4,Direct_Cost_Type,0))*$K8*INDEX(Act_Type_Repex_Splits,MATCH($I8,Act_Type_Repex,0),MATCH(AI$4,Mat_Type,0))*INDEX(Escalators!$I$44:$U$49,MATCH(AI$4,Escalators!$C$44:$C$49,0),MATCH(AI$5,Escalators!$I$43:$U$43,0))</f>
        <v>0</v>
      </c>
      <c r="AJ8" s="128">
        <f>INDEX(Direct_Cost_Splits_Network,MATCH($H8,RIN_Asset_Cat_Network,0),MATCH($AY$4,Direct_Cost_Type,0))*$K8*INDEX(Act_Type_Repex_Splits,MATCH($I8,Act_Type_Repex,0),MATCH(AJ$4,Mat_Type,0))*INDEX(Escalators!$I$44:$U$49,MATCH(AJ$4,Escalators!$C$44:$C$49,0),MATCH(AJ$5,Escalators!$I$43:$U$43,0))</f>
        <v>0</v>
      </c>
      <c r="AK8" s="128">
        <f>INDEX(Direct_Cost_Splits_Network,MATCH($H8,RIN_Asset_Cat_Network,0),MATCH($AY$4,Direct_Cost_Type,0))*$K8*INDEX(Act_Type_Repex_Splits,MATCH($I8,Act_Type_Repex,0),MATCH(AK$4,Mat_Type,0))*INDEX(Escalators!$I$44:$U$49,MATCH(AK$4,Escalators!$C$44:$C$49,0),MATCH(AK$5,Escalators!$I$43:$U$43,0))</f>
        <v>0</v>
      </c>
      <c r="AL8" s="128">
        <f>INDEX(Direct_Cost_Splits_Network,MATCH($H8,RIN_Asset_Cat_Network,0),MATCH($AY$4,Direct_Cost_Type,0))*$K8*INDEX(Act_Type_Repex_Splits,MATCH($I8,Act_Type_Repex,0),MATCH(AL$4,Mat_Type,0))*INDEX(Escalators!$I$44:$U$49,MATCH(AL$4,Escalators!$C$44:$C$49,0),MATCH(AL$5,Escalators!$I$43:$U$43,0))</f>
        <v>0</v>
      </c>
      <c r="AM8" s="128">
        <f t="shared" si="16"/>
        <v>0</v>
      </c>
      <c r="AN8" s="128">
        <f>INDEX(Direct_Cost_Splits_Network,MATCH($H8,RIN_Asset_Cat_Network,0),MATCH($AY$4,Direct_Cost_Type,0))*$L8*INDEX(Act_Type_Repex_Splits,MATCH($I8,Act_Type_Repex,0),MATCH(AN$4,Mat_Type,0))*INDEX(Escalators!$I$44:$U$49,MATCH(AN$4,Escalators!$C$44:$C$49,0),MATCH(AN$5,Escalators!$I$43:$U$43,0))</f>
        <v>0</v>
      </c>
      <c r="AO8" s="128">
        <f>INDEX(Direct_Cost_Splits_Network,MATCH($H8,RIN_Asset_Cat_Network,0),MATCH($AY$4,Direct_Cost_Type,0))*$L8*INDEX(Act_Type_Repex_Splits,MATCH($I8,Act_Type_Repex,0),MATCH(AO$4,Mat_Type,0))*INDEX(Escalators!$I$44:$U$49,MATCH(AO$4,Escalators!$C$44:$C$49,0),MATCH(AO$5,Escalators!$I$43:$U$43,0))</f>
        <v>0</v>
      </c>
      <c r="AP8" s="128">
        <f>INDEX(Direct_Cost_Splits_Network,MATCH($H8,RIN_Asset_Cat_Network,0),MATCH($AY$4,Direct_Cost_Type,0))*$L8*INDEX(Act_Type_Repex_Splits,MATCH($I8,Act_Type_Repex,0),MATCH(AP$4,Mat_Type,0))*INDEX(Escalators!$I$44:$U$49,MATCH(AP$4,Escalators!$C$44:$C$49,0),MATCH(AP$5,Escalators!$I$43:$U$43,0))</f>
        <v>0</v>
      </c>
      <c r="AQ8" s="128">
        <f>INDEX(Direct_Cost_Splits_Network,MATCH($H8,RIN_Asset_Cat_Network,0),MATCH($AY$4,Direct_Cost_Type,0))*$L8*INDEX(Act_Type_Repex_Splits,MATCH($I8,Act_Type_Repex,0),MATCH(AQ$4,Mat_Type,0))*INDEX(Escalators!$I$44:$U$49,MATCH(AQ$4,Escalators!$C$44:$C$49,0),MATCH(AQ$5,Escalators!$I$43:$U$43,0))</f>
        <v>0</v>
      </c>
      <c r="AR8" s="128">
        <f>INDEX(Direct_Cost_Splits_Network,MATCH($H8,RIN_Asset_Cat_Network,0),MATCH($AY$4,Direct_Cost_Type,0))*$L8*INDEX(Act_Type_Repex_Splits,MATCH($I8,Act_Type_Repex,0),MATCH(AR$4,Mat_Type,0))*INDEX(Escalators!$I$44:$U$49,MATCH(AR$4,Escalators!$C$44:$C$49,0),MATCH(AR$5,Escalators!$I$43:$U$43,0))</f>
        <v>0</v>
      </c>
      <c r="AS8" s="128">
        <f t="shared" si="17"/>
        <v>0</v>
      </c>
      <c r="AT8" s="128">
        <f>INDEX(Direct_Cost_Splits_Network,MATCH($H8,RIN_Asset_Cat_Network,0),MATCH($AY$4,Direct_Cost_Type,0))*$M8*INDEX(Act_Type_Repex_Splits,MATCH($I8,Act_Type_Repex,0),MATCH(AT$4,Mat_Type,0))*INDEX(Escalators!$I$44:$U$49,MATCH(AT$4,Escalators!$C$44:$C$49,0),MATCH(AT$5,Escalators!$I$43:$U$43,0))</f>
        <v>0</v>
      </c>
      <c r="AU8" s="128">
        <f>INDEX(Direct_Cost_Splits_Network,MATCH($H8,RIN_Asset_Cat_Network,0),MATCH($AY$4,Direct_Cost_Type,0))*$M8*INDEX(Act_Type_Repex_Splits,MATCH($I8,Act_Type_Repex,0),MATCH(AU$4,Mat_Type,0))*INDEX(Escalators!$I$44:$U$49,MATCH(AU$4,Escalators!$C$44:$C$49,0),MATCH(AU$5,Escalators!$I$43:$U$43,0))</f>
        <v>0</v>
      </c>
      <c r="AV8" s="128">
        <f>INDEX(Direct_Cost_Splits_Network,MATCH($H8,RIN_Asset_Cat_Network,0),MATCH($AY$4,Direct_Cost_Type,0))*$M8*INDEX(Act_Type_Repex_Splits,MATCH($I8,Act_Type_Repex,0),MATCH(AV$4,Mat_Type,0))*INDEX(Escalators!$I$44:$U$49,MATCH(AV$4,Escalators!$C$44:$C$49,0),MATCH(AV$5,Escalators!$I$43:$U$43,0))</f>
        <v>5.9372762844462796</v>
      </c>
      <c r="AW8" s="128">
        <f>INDEX(Direct_Cost_Splits_Network,MATCH($H8,RIN_Asset_Cat_Network,0),MATCH($AY$4,Direct_Cost_Type,0))*$M8*INDEX(Act_Type_Repex_Splits,MATCH($I8,Act_Type_Repex,0),MATCH(AW$4,Mat_Type,0))*INDEX(Escalators!$I$44:$U$49,MATCH(AW$4,Escalators!$C$44:$C$49,0),MATCH(AW$5,Escalators!$I$43:$U$43,0))</f>
        <v>0</v>
      </c>
      <c r="AX8" s="128">
        <f>INDEX(Direct_Cost_Splits_Network,MATCH($H8,RIN_Asset_Cat_Network,0),MATCH($AY$4,Direct_Cost_Type,0))*$M8*INDEX(Act_Type_Repex_Splits,MATCH($I8,Act_Type_Repex,0),MATCH(AX$4,Mat_Type,0))*INDEX(Escalators!$I$44:$U$49,MATCH(AX$4,Escalators!$C$44:$C$49,0),MATCH(AX$5,Escalators!$I$43:$U$43,0))</f>
        <v>13.853644663707986</v>
      </c>
      <c r="AY8" s="128">
        <f t="shared" si="18"/>
        <v>19.790920948154266</v>
      </c>
      <c r="AZ8" s="128">
        <f>INDEX(Direct_Cost_Splits_Network,MATCH($H8,RIN_Asset_Cat_Network,0),MATCH($BE$4,Direct_Cost_Type,0))*$N8*INDEX(Act_Type_Repex_Splits,MATCH($I8,Act_Type_Repex,0),MATCH(AZ$4,Mat_Type,0))*INDEX(Escalators!$I$44:$U$49,MATCH(AZ$4,Escalators!$C$44:$C$49,0),MATCH(AZ$5,Escalators!$I$43:$U$43,0))</f>
        <v>0</v>
      </c>
      <c r="BA8" s="128">
        <f>INDEX(Direct_Cost_Splits_Network,MATCH($H8,RIN_Asset_Cat_Network,0),MATCH($BE$4,Direct_Cost_Type,0))*$N8*INDEX(Act_Type_Repex_Splits,MATCH($I8,Act_Type_Repex,0),MATCH(BA$4,Mat_Type,0))*INDEX(Escalators!$I$44:$U$49,MATCH(BA$4,Escalators!$C$44:$C$49,0),MATCH(BA$5,Escalators!$I$43:$U$43,0))</f>
        <v>0</v>
      </c>
      <c r="BB8" s="128">
        <f>INDEX(Direct_Cost_Splits_Network,MATCH($H8,RIN_Asset_Cat_Network,0),MATCH($BE$4,Direct_Cost_Type,0))*$N8*INDEX(Act_Type_Repex_Splits,MATCH($I8,Act_Type_Repex,0),MATCH(BB$4,Mat_Type,0))*INDEX(Escalators!$I$44:$U$49,MATCH(BB$4,Escalators!$C$44:$C$49,0),MATCH(BB$5,Escalators!$I$43:$U$43,0))</f>
        <v>5.9372762844462796</v>
      </c>
      <c r="BC8" s="128">
        <f>INDEX(Direct_Cost_Splits_Network,MATCH($H8,RIN_Asset_Cat_Network,0),MATCH($BE$4,Direct_Cost_Type,0))*$N8*INDEX(Act_Type_Repex_Splits,MATCH($I8,Act_Type_Repex,0),MATCH(BC$4,Mat_Type,0))*INDEX(Escalators!$I$44:$U$49,MATCH(BC$4,Escalators!$C$44:$C$49,0),MATCH(BC$5,Escalators!$I$43:$U$43,0))</f>
        <v>0</v>
      </c>
      <c r="BD8" s="128">
        <f>INDEX(Direct_Cost_Splits_Network,MATCH($H8,RIN_Asset_Cat_Network,0),MATCH($BE$4,Direct_Cost_Type,0))*$N8*INDEX(Act_Type_Repex_Splits,MATCH($I8,Act_Type_Repex,0),MATCH(BD$4,Mat_Type,0))*INDEX(Escalators!$I$44:$U$49,MATCH(BD$4,Escalators!$C$44:$C$49,0),MATCH(BD$5,Escalators!$I$43:$U$43,0))</f>
        <v>13.853644663707986</v>
      </c>
      <c r="BE8" s="128">
        <f t="shared" si="19"/>
        <v>19.790920948154266</v>
      </c>
      <c r="BF8" s="128">
        <f>INDEX(Direct_Cost_Splits_Network,MATCH($H8,RIN_Asset_Cat_Network,0),MATCH($BK$4,Direct_Cost_Type,0))*$O8*INDEX(Act_Type_Repex_Splits,MATCH($I8,Act_Type_Repex,0),MATCH(BF$4,Mat_Type,0))*INDEX(Escalators!$I$44:$U$49,MATCH(BF$4,Escalators!$C$44:$C$49,0),MATCH(BF$5,Escalators!$I$43:$U$43,0))</f>
        <v>0</v>
      </c>
      <c r="BG8" s="128">
        <f>INDEX(Direct_Cost_Splits_Network,MATCH($H8,RIN_Asset_Cat_Network,0),MATCH($BK$4,Direct_Cost_Type,0))*$O8*INDEX(Act_Type_Repex_Splits,MATCH($I8,Act_Type_Repex,0),MATCH(BG$4,Mat_Type,0))*INDEX(Escalators!$I$44:$U$49,MATCH(BG$4,Escalators!$C$44:$C$49,0),MATCH(BG$5,Escalators!$I$43:$U$43,0))</f>
        <v>0</v>
      </c>
      <c r="BH8" s="128">
        <f>INDEX(Direct_Cost_Splits_Network,MATCH($H8,RIN_Asset_Cat_Network,0),MATCH($BK$4,Direct_Cost_Type,0))*$O8*INDEX(Act_Type_Repex_Splits,MATCH($I8,Act_Type_Repex,0),MATCH(BH$4,Mat_Type,0))*INDEX(Escalators!$I$44:$U$49,MATCH(BH$4,Escalators!$C$44:$C$49,0),MATCH(BH$5,Escalators!$I$43:$U$43,0))</f>
        <v>5.9372762844462796</v>
      </c>
      <c r="BI8" s="128">
        <f>INDEX(Direct_Cost_Splits_Network,MATCH($H8,RIN_Asset_Cat_Network,0),MATCH($BK$4,Direct_Cost_Type,0))*$O8*INDEX(Act_Type_Repex_Splits,MATCH($I8,Act_Type_Repex,0),MATCH(BI$4,Mat_Type,0))*INDEX(Escalators!$I$44:$U$49,MATCH(BI$4,Escalators!$C$44:$C$49,0),MATCH(BI$5,Escalators!$I$43:$U$43,0))</f>
        <v>0</v>
      </c>
      <c r="BJ8" s="128">
        <f>INDEX(Direct_Cost_Splits_Network,MATCH($H8,RIN_Asset_Cat_Network,0),MATCH($BK$4,Direct_Cost_Type,0))*$O8*INDEX(Act_Type_Repex_Splits,MATCH($I8,Act_Type_Repex,0),MATCH(BJ$4,Mat_Type,0))*INDEX(Escalators!$I$44:$U$49,MATCH(BJ$4,Escalators!$C$44:$C$49,0),MATCH(BJ$5,Escalators!$I$43:$U$43,0))</f>
        <v>13.853644663707986</v>
      </c>
      <c r="BK8" s="128">
        <f t="shared" si="20"/>
        <v>19.790920948154266</v>
      </c>
      <c r="BL8" s="128">
        <f>INDEX(Direct_Cost_Splits_Network,MATCH($H8,RIN_Asset_Cat_Network,0),MATCH($BQ$4,Direct_Cost_Type,0))*$P8*INDEX(Act_Type_Repex_Splits,MATCH($I8,Act_Type_Repex,0),MATCH(BL$4,Mat_Type,0))*INDEX(Escalators!$I$44:$U$49,MATCH(BL$4,Escalators!$C$44:$C$49,0),MATCH(BL$5,Escalators!$I$43:$U$43,0))</f>
        <v>0</v>
      </c>
      <c r="BM8" s="128">
        <f>INDEX(Direct_Cost_Splits_Network,MATCH($H8,RIN_Asset_Cat_Network,0),MATCH($BQ$4,Direct_Cost_Type,0))*$P8*INDEX(Act_Type_Repex_Splits,MATCH($I8,Act_Type_Repex,0),MATCH(BM$4,Mat_Type,0))*INDEX(Escalators!$I$44:$U$49,MATCH(BM$4,Escalators!$C$44:$C$49,0),MATCH(BM$5,Escalators!$I$43:$U$43,0))</f>
        <v>0</v>
      </c>
      <c r="BN8" s="128">
        <f>INDEX(Direct_Cost_Splits_Network,MATCH($H8,RIN_Asset_Cat_Network,0),MATCH($BQ$4,Direct_Cost_Type,0))*$P8*INDEX(Act_Type_Repex_Splits,MATCH($I8,Act_Type_Repex,0),MATCH(BN$4,Mat_Type,0))*INDEX(Escalators!$I$44:$U$49,MATCH(BN$4,Escalators!$C$44:$C$49,0),MATCH(BN$5,Escalators!$I$43:$U$43,0))</f>
        <v>5.9372762844462796</v>
      </c>
      <c r="BO8" s="128">
        <f>INDEX(Direct_Cost_Splits_Network,MATCH($H8,RIN_Asset_Cat_Network,0),MATCH($BQ$4,Direct_Cost_Type,0))*$P8*INDEX(Act_Type_Repex_Splits,MATCH($I8,Act_Type_Repex,0),MATCH(BO$4,Mat_Type,0))*INDEX(Escalators!$I$44:$U$49,MATCH(BO$4,Escalators!$C$44:$C$49,0),MATCH(BO$5,Escalators!$I$43:$U$43,0))</f>
        <v>0</v>
      </c>
      <c r="BP8" s="128">
        <f>INDEX(Direct_Cost_Splits_Network,MATCH($H8,RIN_Asset_Cat_Network,0),MATCH($BQ$4,Direct_Cost_Type,0))*$P8*INDEX(Act_Type_Repex_Splits,MATCH($I8,Act_Type_Repex,0),MATCH(BP$4,Mat_Type,0))*INDEX(Escalators!$I$44:$U$49,MATCH(BP$4,Escalators!$C$44:$C$49,0),MATCH(BP$5,Escalators!$I$43:$U$43,0))</f>
        <v>13.853644663707986</v>
      </c>
      <c r="BQ8" s="128">
        <f t="shared" si="21"/>
        <v>19.790920948154266</v>
      </c>
      <c r="BR8" s="128">
        <f>INDEX(Direct_Cost_Splits_Network,MATCH($H8,RIN_Asset_Cat_Network,0),MATCH($BW$4,Direct_Cost_Type,0))*$Q8*INDEX(Act_Type_Repex_Splits,MATCH($I8,Act_Type_Repex,0),MATCH(BR$4,Mat_Type,0))*INDEX(Escalators!$I$44:$U$49,MATCH(BR$4,Escalators!$C$44:$C$49,0),MATCH(BR$5,Escalators!$I$43:$U$43,0))</f>
        <v>0</v>
      </c>
      <c r="BS8" s="128">
        <f>INDEX(Direct_Cost_Splits_Network,MATCH($H8,RIN_Asset_Cat_Network,0),MATCH($BW$4,Direct_Cost_Type,0))*$Q8*INDEX(Act_Type_Repex_Splits,MATCH($I8,Act_Type_Repex,0),MATCH(BS$4,Mat_Type,0))*INDEX(Escalators!$I$44:$U$49,MATCH(BS$4,Escalators!$C$44:$C$49,0),MATCH(BS$5,Escalators!$I$43:$U$43,0))</f>
        <v>0</v>
      </c>
      <c r="BT8" s="128">
        <f>INDEX(Direct_Cost_Splits_Network,MATCH($H8,RIN_Asset_Cat_Network,0),MATCH($BW$4,Direct_Cost_Type,0))*$Q8*INDEX(Act_Type_Repex_Splits,MATCH($I8,Act_Type_Repex,0),MATCH(BT$4,Mat_Type,0))*INDEX(Escalators!$I$44:$U$49,MATCH(BT$4,Escalators!$C$44:$C$49,0),MATCH(BT$5,Escalators!$I$43:$U$43,0))</f>
        <v>5.9372762844462796</v>
      </c>
      <c r="BU8" s="128">
        <f>INDEX(Direct_Cost_Splits_Network,MATCH($H8,RIN_Asset_Cat_Network,0),MATCH($BW$4,Direct_Cost_Type,0))*$Q8*INDEX(Act_Type_Repex_Splits,MATCH($I8,Act_Type_Repex,0),MATCH(BU$4,Mat_Type,0))*INDEX(Escalators!$I$44:$U$49,MATCH(BU$4,Escalators!$C$44:$C$49,0),MATCH(BU$5,Escalators!$I$43:$U$43,0))</f>
        <v>0</v>
      </c>
      <c r="BV8" s="128">
        <f>INDEX(Direct_Cost_Splits_Network,MATCH($H8,RIN_Asset_Cat_Network,0),MATCH($BW$4,Direct_Cost_Type,0))*$Q8*INDEX(Act_Type_Repex_Splits,MATCH($I8,Act_Type_Repex,0),MATCH(BV$4,Mat_Type,0))*INDEX(Escalators!$I$44:$U$49,MATCH(BV$4,Escalators!$C$44:$C$49,0),MATCH(BV$5,Escalators!$I$43:$U$43,0))</f>
        <v>13.853644663707986</v>
      </c>
      <c r="BW8" s="128">
        <f t="shared" si="22"/>
        <v>19.790920948154266</v>
      </c>
      <c r="BX8" s="129"/>
      <c r="BY8" s="128">
        <f>INDEX(Direct_Cost_Splits_Network,MATCH($H8,RIN_Asset_Cat_Network,0),MATCH($BY$4,Direct_Cost_Type,0))*J8*HLOOKUP(BY$5,Escalators!$I$25:$U$30,6,FALSE)</f>
        <v>0</v>
      </c>
      <c r="BZ8" s="128">
        <f>INDEX(Direct_Cost_Splits_Network,MATCH($H8,RIN_Asset_Cat_Network,0),MATCH($BY$4,Direct_Cost_Type,0))*K8*HLOOKUP(BZ$5,Escalators!$I$25:$U$30,6,FALSE)</f>
        <v>0</v>
      </c>
      <c r="CA8" s="128">
        <f>INDEX(Direct_Cost_Splits_Network,MATCH($H8,RIN_Asset_Cat_Network,0),MATCH($BY$4,Direct_Cost_Type,0))*L8*HLOOKUP(CA$5,Escalators!$I$25:$U$30,6,FALSE)</f>
        <v>0</v>
      </c>
      <c r="CB8" s="128">
        <f>INDEX(Direct_Cost_Splits_Network,MATCH($H8,RIN_Asset_Cat_Network,0),MATCH($BY$4,Direct_Cost_Type,0))*M8*HLOOKUP(CB$5,Escalators!$I$25:$U$30,6,FALSE)</f>
        <v>53.017248846710224</v>
      </c>
      <c r="CC8" s="128">
        <f>INDEX(Direct_Cost_Splits_Network,MATCH($H8,RIN_Asset_Cat_Network,0),MATCH($BY$4,Direct_Cost_Type,0))*N8*HLOOKUP(CC$5,Escalators!$I$25:$U$30,6,FALSE)</f>
        <v>53.017248846710224</v>
      </c>
      <c r="CD8" s="128">
        <f>INDEX(Direct_Cost_Splits_Network,MATCH($H8,RIN_Asset_Cat_Network,0),MATCH($BY$4,Direct_Cost_Type,0))*O8*HLOOKUP(CD$5,Escalators!$I$25:$U$30,6,FALSE)</f>
        <v>53.017248846710224</v>
      </c>
      <c r="CE8" s="128">
        <f>INDEX(Direct_Cost_Splits_Network,MATCH($H8,RIN_Asset_Cat_Network,0),MATCH($BY$4,Direct_Cost_Type,0))*P8*HLOOKUP(CE$5,Escalators!$I$25:$U$30,6,FALSE)</f>
        <v>53.017248846710224</v>
      </c>
      <c r="CF8" s="128">
        <f>INDEX(Direct_Cost_Splits_Network,MATCH($H8,RIN_Asset_Cat_Network,0),MATCH($BY$4,Direct_Cost_Type,0))*Q8*HLOOKUP(CF$5,Escalators!$I$25:$U$30,6,FALSE)</f>
        <v>53.017248846710224</v>
      </c>
      <c r="CG8" s="129"/>
      <c r="CH8" s="763">
        <f t="shared" si="8"/>
        <v>0</v>
      </c>
      <c r="CI8" s="763">
        <f t="shared" si="9"/>
        <v>0</v>
      </c>
      <c r="CJ8" s="763">
        <f t="shared" si="9"/>
        <v>0</v>
      </c>
      <c r="CK8" s="763">
        <f t="shared" si="10"/>
        <v>8.2046836662808733</v>
      </c>
      <c r="CL8" s="763">
        <f t="shared" si="11"/>
        <v>8.2046836662808733</v>
      </c>
      <c r="CM8" s="763">
        <f t="shared" si="12"/>
        <v>8.2046836662808733</v>
      </c>
      <c r="CN8" s="763">
        <f t="shared" si="13"/>
        <v>8.2046836662808733</v>
      </c>
      <c r="CO8" s="763">
        <f t="shared" si="14"/>
        <v>8.2046836662808733</v>
      </c>
      <c r="CP8" s="129"/>
      <c r="CQ8" s="128">
        <f t="shared" si="23"/>
        <v>0</v>
      </c>
      <c r="CR8" s="128">
        <f t="shared" si="24"/>
        <v>0</v>
      </c>
      <c r="CS8" s="128">
        <f t="shared" si="25"/>
        <v>0</v>
      </c>
      <c r="CT8" s="128">
        <f t="shared" si="26"/>
        <v>90.162295229528425</v>
      </c>
      <c r="CU8" s="128">
        <f t="shared" si="27"/>
        <v>90.139442335509102</v>
      </c>
      <c r="CV8" s="128">
        <f t="shared" si="28"/>
        <v>90.132813634111187</v>
      </c>
      <c r="CW8" s="128">
        <f t="shared" si="29"/>
        <v>90.166308951870818</v>
      </c>
      <c r="CX8" s="128">
        <f t="shared" si="30"/>
        <v>90.257531681587878</v>
      </c>
      <c r="CZ8" s="39"/>
      <c r="DA8" s="39"/>
      <c r="DB8" s="39"/>
      <c r="DC8" s="39"/>
      <c r="DD8" s="39"/>
      <c r="DE8" s="39"/>
    </row>
    <row r="9" spans="2:109" x14ac:dyDescent="0.25">
      <c r="B9" s="7"/>
      <c r="C9" s="7" t="s">
        <v>118</v>
      </c>
      <c r="D9" s="7" t="s">
        <v>119</v>
      </c>
      <c r="E9" s="7" t="s">
        <v>45</v>
      </c>
      <c r="F9" s="7" t="s">
        <v>55</v>
      </c>
      <c r="G9" s="7" t="s">
        <v>150</v>
      </c>
      <c r="H9" s="7" t="s">
        <v>5</v>
      </c>
      <c r="I9" s="7" t="s">
        <v>209</v>
      </c>
      <c r="J9" s="45"/>
      <c r="K9" s="45"/>
      <c r="L9" s="45"/>
      <c r="M9" s="128">
        <v>50</v>
      </c>
      <c r="N9" s="128">
        <v>50</v>
      </c>
      <c r="O9" s="128">
        <v>50</v>
      </c>
      <c r="P9" s="128">
        <v>50</v>
      </c>
      <c r="Q9" s="128">
        <v>50</v>
      </c>
      <c r="R9" s="129"/>
      <c r="S9" s="128">
        <f>INDEX(Direct_Cost_Splits_Network,MATCH($H9,RIN_Asset_Cat_Network,0),MATCH($S$4,Direct_Cost_Type,0))*J9*HLOOKUP(S$5,Escalators!$I$25:$U$30,3,FALSE)</f>
        <v>0</v>
      </c>
      <c r="T9" s="128">
        <f>INDEX(Direct_Cost_Splits_Network,MATCH($H9,RIN_Asset_Cat_Network,0),MATCH($S$4,Direct_Cost_Type,0))*K9*HLOOKUP(T$5,Escalators!$I$25:$U$30,3,FALSE)</f>
        <v>0</v>
      </c>
      <c r="U9" s="128">
        <f>INDEX(Direct_Cost_Splits_Network,MATCH($H9,RIN_Asset_Cat_Network,0),MATCH($S$4,Direct_Cost_Type,0))*L9*HLOOKUP(U$5,Escalators!$I$25:$U$30,3,FALSE)</f>
        <v>0</v>
      </c>
      <c r="V9" s="128">
        <f>INDEX(Direct_Cost_Splits_Network,MATCH($H9,RIN_Asset_Cat_Network,0),MATCH($S$4,Direct_Cost_Type,0))*M9*HLOOKUP(V$5,Escalators!$I$25:$U$30,3,FALSE)</f>
        <v>5.0830232046572528</v>
      </c>
      <c r="W9" s="128">
        <f>INDEX(Direct_Cost_Splits_Network,MATCH($H9,RIN_Asset_Cat_Network,0),MATCH($S$4,Direct_Cost_Type,0))*N9*HLOOKUP(W$5,Escalators!$I$25:$U$30,3,FALSE)</f>
        <v>5.0703271524242988</v>
      </c>
      <c r="X9" s="128">
        <f>INDEX(Direct_Cost_Splits_Network,MATCH($H9,RIN_Asset_Cat_Network,0),MATCH($S$4,Direct_Cost_Type,0))*O9*HLOOKUP(X$5,Escalators!$I$25:$U$30,3,FALSE)</f>
        <v>5.0666445405365685</v>
      </c>
      <c r="Y9" s="128">
        <f>INDEX(Direct_Cost_Splits_Network,MATCH($H9,RIN_Asset_Cat_Network,0),MATCH($S$4,Direct_Cost_Type,0))*P9*HLOOKUP(Y$5,Escalators!$I$25:$U$30,3,FALSE)</f>
        <v>5.0852530504030362</v>
      </c>
      <c r="Z9" s="128">
        <f>INDEX(Direct_Cost_Splits_Network,MATCH($H9,RIN_Asset_Cat_Network,0),MATCH($S$4,Direct_Cost_Type,0))*Q9*HLOOKUP(Z$5,Escalators!$I$25:$U$30,3,FALSE)</f>
        <v>5.1359323446902847</v>
      </c>
      <c r="AA9" s="129"/>
      <c r="AB9" s="128">
        <f>INDEX(Direct_Cost_Splits_Network,MATCH($H9,RIN_Asset_Cat_Network,0),MATCH($AG$4,Direct_Cost_Type,0))*$J9*INDEX(Act_Type_Repex_Splits,MATCH($I9,Act_Type_Repex,0),MATCH(AB$4,Mat_Type,0))*INDEX(Escalators!$I$44:$Q$49,MATCH(AB$4,Escalators!$C$44:$C$49,0),MATCH(AB$5,Escalators!$I$43:$Q$43,0))</f>
        <v>0</v>
      </c>
      <c r="AC9" s="128">
        <f>INDEX(Direct_Cost_Splits_Network,MATCH($H9,RIN_Asset_Cat_Network,0),MATCH($AG$4,Direct_Cost_Type,0))*$J9*INDEX(Act_Type_Repex_Splits,MATCH($I9,Act_Type_Repex,0),MATCH(AC$4,Mat_Type,0))*INDEX(Escalators!$I$44:$Q$49,MATCH(AC$4,Escalators!$C$44:$C$49,0),MATCH(AC$5,Escalators!$I$43:$Q$43,0))</f>
        <v>0</v>
      </c>
      <c r="AD9" s="128">
        <f>INDEX(Direct_Cost_Splits_Network,MATCH($H9,RIN_Asset_Cat_Network,0),MATCH($AG$4,Direct_Cost_Type,0))*$J9*INDEX(Act_Type_Repex_Splits,MATCH($I9,Act_Type_Repex,0),MATCH(AD$4,Mat_Type,0))*INDEX(Escalators!$I$44:$Q$49,MATCH(AD$4,Escalators!$C$44:$C$49,0),MATCH(AD$5,Escalators!$I$43:$Q$43,0))</f>
        <v>0</v>
      </c>
      <c r="AE9" s="128">
        <f>INDEX(Direct_Cost_Splits_Network,MATCH($H9,RIN_Asset_Cat_Network,0),MATCH($AG$4,Direct_Cost_Type,0))*$J9*INDEX(Act_Type_Repex_Splits,MATCH($I9,Act_Type_Repex,0),MATCH(AE$4,Mat_Type,0))*INDEX(Escalators!$I$44:$Q$49,MATCH(AE$4,Escalators!$C$44:$C$49,0),MATCH(AE$5,Escalators!$I$43:$Q$43,0))</f>
        <v>0</v>
      </c>
      <c r="AF9" s="128">
        <f>INDEX(Direct_Cost_Splits_Network,MATCH($H9,RIN_Asset_Cat_Network,0),MATCH($AG$4,Direct_Cost_Type,0))*$J9*INDEX(Act_Type_Repex_Splits,MATCH($I9,Act_Type_Repex,0),MATCH(AF$4,Mat_Type,0))*INDEX(Escalators!$I$44:$Q$49,MATCH(AF$4,Escalators!$C$44:$C$49,0),MATCH(AF$5,Escalators!$I$43:$Q$43,0))</f>
        <v>0</v>
      </c>
      <c r="AG9" s="128">
        <f t="shared" si="15"/>
        <v>0</v>
      </c>
      <c r="AH9" s="128">
        <f>INDEX(Direct_Cost_Splits_Network,MATCH($H9,RIN_Asset_Cat_Network,0),MATCH($AY$4,Direct_Cost_Type,0))*$K9*INDEX(Act_Type_Repex_Splits,MATCH($I9,Act_Type_Repex,0),MATCH(AH$4,Mat_Type,0))*INDEX(Escalators!$I$44:$U$49,MATCH(AH$4,Escalators!$C$44:$C$49,0),MATCH(AH$5,Escalators!$I$43:$U$43,0))</f>
        <v>0</v>
      </c>
      <c r="AI9" s="128">
        <f>INDEX(Direct_Cost_Splits_Network,MATCH($H9,RIN_Asset_Cat_Network,0),MATCH($AY$4,Direct_Cost_Type,0))*$K9*INDEX(Act_Type_Repex_Splits,MATCH($I9,Act_Type_Repex,0),MATCH(AI$4,Mat_Type,0))*INDEX(Escalators!$I$44:$U$49,MATCH(AI$4,Escalators!$C$44:$C$49,0),MATCH(AI$5,Escalators!$I$43:$U$43,0))</f>
        <v>0</v>
      </c>
      <c r="AJ9" s="128">
        <f>INDEX(Direct_Cost_Splits_Network,MATCH($H9,RIN_Asset_Cat_Network,0),MATCH($AY$4,Direct_Cost_Type,0))*$K9*INDEX(Act_Type_Repex_Splits,MATCH($I9,Act_Type_Repex,0),MATCH(AJ$4,Mat_Type,0))*INDEX(Escalators!$I$44:$U$49,MATCH(AJ$4,Escalators!$C$44:$C$49,0),MATCH(AJ$5,Escalators!$I$43:$U$43,0))</f>
        <v>0</v>
      </c>
      <c r="AK9" s="128">
        <f>INDEX(Direct_Cost_Splits_Network,MATCH($H9,RIN_Asset_Cat_Network,0),MATCH($AY$4,Direct_Cost_Type,0))*$K9*INDEX(Act_Type_Repex_Splits,MATCH($I9,Act_Type_Repex,0),MATCH(AK$4,Mat_Type,0))*INDEX(Escalators!$I$44:$U$49,MATCH(AK$4,Escalators!$C$44:$C$49,0),MATCH(AK$5,Escalators!$I$43:$U$43,0))</f>
        <v>0</v>
      </c>
      <c r="AL9" s="128">
        <f>INDEX(Direct_Cost_Splits_Network,MATCH($H9,RIN_Asset_Cat_Network,0),MATCH($AY$4,Direct_Cost_Type,0))*$K9*INDEX(Act_Type_Repex_Splits,MATCH($I9,Act_Type_Repex,0),MATCH(AL$4,Mat_Type,0))*INDEX(Escalators!$I$44:$U$49,MATCH(AL$4,Escalators!$C$44:$C$49,0),MATCH(AL$5,Escalators!$I$43:$U$43,0))</f>
        <v>0</v>
      </c>
      <c r="AM9" s="128">
        <f t="shared" si="16"/>
        <v>0</v>
      </c>
      <c r="AN9" s="128">
        <f>INDEX(Direct_Cost_Splits_Network,MATCH($H9,RIN_Asset_Cat_Network,0),MATCH($AY$4,Direct_Cost_Type,0))*$L9*INDEX(Act_Type_Repex_Splits,MATCH($I9,Act_Type_Repex,0),MATCH(AN$4,Mat_Type,0))*INDEX(Escalators!$I$44:$U$49,MATCH(AN$4,Escalators!$C$44:$C$49,0),MATCH(AN$5,Escalators!$I$43:$U$43,0))</f>
        <v>0</v>
      </c>
      <c r="AO9" s="128">
        <f>INDEX(Direct_Cost_Splits_Network,MATCH($H9,RIN_Asset_Cat_Network,0),MATCH($AY$4,Direct_Cost_Type,0))*$L9*INDEX(Act_Type_Repex_Splits,MATCH($I9,Act_Type_Repex,0),MATCH(AO$4,Mat_Type,0))*INDEX(Escalators!$I$44:$U$49,MATCH(AO$4,Escalators!$C$44:$C$49,0),MATCH(AO$5,Escalators!$I$43:$U$43,0))</f>
        <v>0</v>
      </c>
      <c r="AP9" s="128">
        <f>INDEX(Direct_Cost_Splits_Network,MATCH($H9,RIN_Asset_Cat_Network,0),MATCH($AY$4,Direct_Cost_Type,0))*$L9*INDEX(Act_Type_Repex_Splits,MATCH($I9,Act_Type_Repex,0),MATCH(AP$4,Mat_Type,0))*INDEX(Escalators!$I$44:$U$49,MATCH(AP$4,Escalators!$C$44:$C$49,0),MATCH(AP$5,Escalators!$I$43:$U$43,0))</f>
        <v>0</v>
      </c>
      <c r="AQ9" s="128">
        <f>INDEX(Direct_Cost_Splits_Network,MATCH($H9,RIN_Asset_Cat_Network,0),MATCH($AY$4,Direct_Cost_Type,0))*$L9*INDEX(Act_Type_Repex_Splits,MATCH($I9,Act_Type_Repex,0),MATCH(AQ$4,Mat_Type,0))*INDEX(Escalators!$I$44:$U$49,MATCH(AQ$4,Escalators!$C$44:$C$49,0),MATCH(AQ$5,Escalators!$I$43:$U$43,0))</f>
        <v>0</v>
      </c>
      <c r="AR9" s="128">
        <f>INDEX(Direct_Cost_Splits_Network,MATCH($H9,RIN_Asset_Cat_Network,0),MATCH($AY$4,Direct_Cost_Type,0))*$L9*INDEX(Act_Type_Repex_Splits,MATCH($I9,Act_Type_Repex,0),MATCH(AR$4,Mat_Type,0))*INDEX(Escalators!$I$44:$U$49,MATCH(AR$4,Escalators!$C$44:$C$49,0),MATCH(AR$5,Escalators!$I$43:$U$43,0))</f>
        <v>0</v>
      </c>
      <c r="AS9" s="128">
        <f t="shared" si="17"/>
        <v>0</v>
      </c>
      <c r="AT9" s="128">
        <f>INDEX(Direct_Cost_Splits_Network,MATCH($H9,RIN_Asset_Cat_Network,0),MATCH($AY$4,Direct_Cost_Type,0))*$M9*INDEX(Act_Type_Repex_Splits,MATCH($I9,Act_Type_Repex,0),MATCH(AT$4,Mat_Type,0))*INDEX(Escalators!$I$44:$U$49,MATCH(AT$4,Escalators!$C$44:$C$49,0),MATCH(AT$5,Escalators!$I$43:$U$43,0))</f>
        <v>0</v>
      </c>
      <c r="AU9" s="128">
        <f>INDEX(Direct_Cost_Splits_Network,MATCH($H9,RIN_Asset_Cat_Network,0),MATCH($AY$4,Direct_Cost_Type,0))*$M9*INDEX(Act_Type_Repex_Splits,MATCH($I9,Act_Type_Repex,0),MATCH(AU$4,Mat_Type,0))*INDEX(Escalators!$I$44:$U$49,MATCH(AU$4,Escalators!$C$44:$C$49,0),MATCH(AU$5,Escalators!$I$43:$U$43,0))</f>
        <v>0</v>
      </c>
      <c r="AV9" s="128">
        <f>INDEX(Direct_Cost_Splits_Network,MATCH($H9,RIN_Asset_Cat_Network,0),MATCH($AY$4,Direct_Cost_Type,0))*$M9*INDEX(Act_Type_Repex_Splits,MATCH($I9,Act_Type_Repex,0),MATCH(AV$4,Mat_Type,0))*INDEX(Escalators!$I$44:$U$49,MATCH(AV$4,Escalators!$C$44:$C$49,0),MATCH(AV$5,Escalators!$I$43:$U$43,0))</f>
        <v>3.2984868246923775</v>
      </c>
      <c r="AW9" s="128">
        <f>INDEX(Direct_Cost_Splits_Network,MATCH($H9,RIN_Asset_Cat_Network,0),MATCH($AY$4,Direct_Cost_Type,0))*$M9*INDEX(Act_Type_Repex_Splits,MATCH($I9,Act_Type_Repex,0),MATCH(AW$4,Mat_Type,0))*INDEX(Escalators!$I$44:$U$49,MATCH(AW$4,Escalators!$C$44:$C$49,0),MATCH(AW$5,Escalators!$I$43:$U$43,0))</f>
        <v>0</v>
      </c>
      <c r="AX9" s="128">
        <f>INDEX(Direct_Cost_Splits_Network,MATCH($H9,RIN_Asset_Cat_Network,0),MATCH($AY$4,Direct_Cost_Type,0))*$M9*INDEX(Act_Type_Repex_Splits,MATCH($I9,Act_Type_Repex,0),MATCH(AX$4,Mat_Type,0))*INDEX(Escalators!$I$44:$U$49,MATCH(AX$4,Escalators!$C$44:$C$49,0),MATCH(AX$5,Escalators!$I$43:$U$43,0))</f>
        <v>7.696469257615548</v>
      </c>
      <c r="AY9" s="128">
        <f t="shared" si="18"/>
        <v>10.994956082307926</v>
      </c>
      <c r="AZ9" s="128">
        <f>INDEX(Direct_Cost_Splits_Network,MATCH($H9,RIN_Asset_Cat_Network,0),MATCH($BE$4,Direct_Cost_Type,0))*$N9*INDEX(Act_Type_Repex_Splits,MATCH($I9,Act_Type_Repex,0),MATCH(AZ$4,Mat_Type,0))*INDEX(Escalators!$I$44:$U$49,MATCH(AZ$4,Escalators!$C$44:$C$49,0),MATCH(AZ$5,Escalators!$I$43:$U$43,0))</f>
        <v>0</v>
      </c>
      <c r="BA9" s="128">
        <f>INDEX(Direct_Cost_Splits_Network,MATCH($H9,RIN_Asset_Cat_Network,0),MATCH($BE$4,Direct_Cost_Type,0))*$N9*INDEX(Act_Type_Repex_Splits,MATCH($I9,Act_Type_Repex,0),MATCH(BA$4,Mat_Type,0))*INDEX(Escalators!$I$44:$U$49,MATCH(BA$4,Escalators!$C$44:$C$49,0),MATCH(BA$5,Escalators!$I$43:$U$43,0))</f>
        <v>0</v>
      </c>
      <c r="BB9" s="128">
        <f>INDEX(Direct_Cost_Splits_Network,MATCH($H9,RIN_Asset_Cat_Network,0),MATCH($BE$4,Direct_Cost_Type,0))*$N9*INDEX(Act_Type_Repex_Splits,MATCH($I9,Act_Type_Repex,0),MATCH(BB$4,Mat_Type,0))*INDEX(Escalators!$I$44:$U$49,MATCH(BB$4,Escalators!$C$44:$C$49,0),MATCH(BB$5,Escalators!$I$43:$U$43,0))</f>
        <v>3.2984868246923775</v>
      </c>
      <c r="BC9" s="128">
        <f>INDEX(Direct_Cost_Splits_Network,MATCH($H9,RIN_Asset_Cat_Network,0),MATCH($BE$4,Direct_Cost_Type,0))*$N9*INDEX(Act_Type_Repex_Splits,MATCH($I9,Act_Type_Repex,0),MATCH(BC$4,Mat_Type,0))*INDEX(Escalators!$I$44:$U$49,MATCH(BC$4,Escalators!$C$44:$C$49,0),MATCH(BC$5,Escalators!$I$43:$U$43,0))</f>
        <v>0</v>
      </c>
      <c r="BD9" s="128">
        <f>INDEX(Direct_Cost_Splits_Network,MATCH($H9,RIN_Asset_Cat_Network,0),MATCH($BE$4,Direct_Cost_Type,0))*$N9*INDEX(Act_Type_Repex_Splits,MATCH($I9,Act_Type_Repex,0),MATCH(BD$4,Mat_Type,0))*INDEX(Escalators!$I$44:$U$49,MATCH(BD$4,Escalators!$C$44:$C$49,0),MATCH(BD$5,Escalators!$I$43:$U$43,0))</f>
        <v>7.696469257615548</v>
      </c>
      <c r="BE9" s="128">
        <f t="shared" si="19"/>
        <v>10.994956082307926</v>
      </c>
      <c r="BF9" s="128">
        <f>INDEX(Direct_Cost_Splits_Network,MATCH($H9,RIN_Asset_Cat_Network,0),MATCH($BK$4,Direct_Cost_Type,0))*$O9*INDEX(Act_Type_Repex_Splits,MATCH($I9,Act_Type_Repex,0),MATCH(BF$4,Mat_Type,0))*INDEX(Escalators!$I$44:$U$49,MATCH(BF$4,Escalators!$C$44:$C$49,0),MATCH(BF$5,Escalators!$I$43:$U$43,0))</f>
        <v>0</v>
      </c>
      <c r="BG9" s="128">
        <f>INDEX(Direct_Cost_Splits_Network,MATCH($H9,RIN_Asset_Cat_Network,0),MATCH($BK$4,Direct_Cost_Type,0))*$O9*INDEX(Act_Type_Repex_Splits,MATCH($I9,Act_Type_Repex,0),MATCH(BG$4,Mat_Type,0))*INDEX(Escalators!$I$44:$U$49,MATCH(BG$4,Escalators!$C$44:$C$49,0),MATCH(BG$5,Escalators!$I$43:$U$43,0))</f>
        <v>0</v>
      </c>
      <c r="BH9" s="128">
        <f>INDEX(Direct_Cost_Splits_Network,MATCH($H9,RIN_Asset_Cat_Network,0),MATCH($BK$4,Direct_Cost_Type,0))*$O9*INDEX(Act_Type_Repex_Splits,MATCH($I9,Act_Type_Repex,0),MATCH(BH$4,Mat_Type,0))*INDEX(Escalators!$I$44:$U$49,MATCH(BH$4,Escalators!$C$44:$C$49,0),MATCH(BH$5,Escalators!$I$43:$U$43,0))</f>
        <v>3.2984868246923775</v>
      </c>
      <c r="BI9" s="128">
        <f>INDEX(Direct_Cost_Splits_Network,MATCH($H9,RIN_Asset_Cat_Network,0),MATCH($BK$4,Direct_Cost_Type,0))*$O9*INDEX(Act_Type_Repex_Splits,MATCH($I9,Act_Type_Repex,0),MATCH(BI$4,Mat_Type,0))*INDEX(Escalators!$I$44:$U$49,MATCH(BI$4,Escalators!$C$44:$C$49,0),MATCH(BI$5,Escalators!$I$43:$U$43,0))</f>
        <v>0</v>
      </c>
      <c r="BJ9" s="128">
        <f>INDEX(Direct_Cost_Splits_Network,MATCH($H9,RIN_Asset_Cat_Network,0),MATCH($BK$4,Direct_Cost_Type,0))*$O9*INDEX(Act_Type_Repex_Splits,MATCH($I9,Act_Type_Repex,0),MATCH(BJ$4,Mat_Type,0))*INDEX(Escalators!$I$44:$U$49,MATCH(BJ$4,Escalators!$C$44:$C$49,0),MATCH(BJ$5,Escalators!$I$43:$U$43,0))</f>
        <v>7.696469257615548</v>
      </c>
      <c r="BK9" s="128">
        <f t="shared" si="20"/>
        <v>10.994956082307926</v>
      </c>
      <c r="BL9" s="128">
        <f>INDEX(Direct_Cost_Splits_Network,MATCH($H9,RIN_Asset_Cat_Network,0),MATCH($BQ$4,Direct_Cost_Type,0))*$P9*INDEX(Act_Type_Repex_Splits,MATCH($I9,Act_Type_Repex,0),MATCH(BL$4,Mat_Type,0))*INDEX(Escalators!$I$44:$U$49,MATCH(BL$4,Escalators!$C$44:$C$49,0),MATCH(BL$5,Escalators!$I$43:$U$43,0))</f>
        <v>0</v>
      </c>
      <c r="BM9" s="128">
        <f>INDEX(Direct_Cost_Splits_Network,MATCH($H9,RIN_Asset_Cat_Network,0),MATCH($BQ$4,Direct_Cost_Type,0))*$P9*INDEX(Act_Type_Repex_Splits,MATCH($I9,Act_Type_Repex,0),MATCH(BM$4,Mat_Type,0))*INDEX(Escalators!$I$44:$U$49,MATCH(BM$4,Escalators!$C$44:$C$49,0),MATCH(BM$5,Escalators!$I$43:$U$43,0))</f>
        <v>0</v>
      </c>
      <c r="BN9" s="128">
        <f>INDEX(Direct_Cost_Splits_Network,MATCH($H9,RIN_Asset_Cat_Network,0),MATCH($BQ$4,Direct_Cost_Type,0))*$P9*INDEX(Act_Type_Repex_Splits,MATCH($I9,Act_Type_Repex,0),MATCH(BN$4,Mat_Type,0))*INDEX(Escalators!$I$44:$U$49,MATCH(BN$4,Escalators!$C$44:$C$49,0),MATCH(BN$5,Escalators!$I$43:$U$43,0))</f>
        <v>3.2984868246923775</v>
      </c>
      <c r="BO9" s="128">
        <f>INDEX(Direct_Cost_Splits_Network,MATCH($H9,RIN_Asset_Cat_Network,0),MATCH($BQ$4,Direct_Cost_Type,0))*$P9*INDEX(Act_Type_Repex_Splits,MATCH($I9,Act_Type_Repex,0),MATCH(BO$4,Mat_Type,0))*INDEX(Escalators!$I$44:$U$49,MATCH(BO$4,Escalators!$C$44:$C$49,0),MATCH(BO$5,Escalators!$I$43:$U$43,0))</f>
        <v>0</v>
      </c>
      <c r="BP9" s="128">
        <f>INDEX(Direct_Cost_Splits_Network,MATCH($H9,RIN_Asset_Cat_Network,0),MATCH($BQ$4,Direct_Cost_Type,0))*$P9*INDEX(Act_Type_Repex_Splits,MATCH($I9,Act_Type_Repex,0),MATCH(BP$4,Mat_Type,0))*INDEX(Escalators!$I$44:$U$49,MATCH(BP$4,Escalators!$C$44:$C$49,0),MATCH(BP$5,Escalators!$I$43:$U$43,0))</f>
        <v>7.696469257615548</v>
      </c>
      <c r="BQ9" s="128">
        <f t="shared" si="21"/>
        <v>10.994956082307926</v>
      </c>
      <c r="BR9" s="128">
        <f>INDEX(Direct_Cost_Splits_Network,MATCH($H9,RIN_Asset_Cat_Network,0),MATCH($BW$4,Direct_Cost_Type,0))*$Q9*INDEX(Act_Type_Repex_Splits,MATCH($I9,Act_Type_Repex,0),MATCH(BR$4,Mat_Type,0))*INDEX(Escalators!$I$44:$U$49,MATCH(BR$4,Escalators!$C$44:$C$49,0),MATCH(BR$5,Escalators!$I$43:$U$43,0))</f>
        <v>0</v>
      </c>
      <c r="BS9" s="128">
        <f>INDEX(Direct_Cost_Splits_Network,MATCH($H9,RIN_Asset_Cat_Network,0),MATCH($BW$4,Direct_Cost_Type,0))*$Q9*INDEX(Act_Type_Repex_Splits,MATCH($I9,Act_Type_Repex,0),MATCH(BS$4,Mat_Type,0))*INDEX(Escalators!$I$44:$U$49,MATCH(BS$4,Escalators!$C$44:$C$49,0),MATCH(BS$5,Escalators!$I$43:$U$43,0))</f>
        <v>0</v>
      </c>
      <c r="BT9" s="128">
        <f>INDEX(Direct_Cost_Splits_Network,MATCH($H9,RIN_Asset_Cat_Network,0),MATCH($BW$4,Direct_Cost_Type,0))*$Q9*INDEX(Act_Type_Repex_Splits,MATCH($I9,Act_Type_Repex,0),MATCH(BT$4,Mat_Type,0))*INDEX(Escalators!$I$44:$U$49,MATCH(BT$4,Escalators!$C$44:$C$49,0),MATCH(BT$5,Escalators!$I$43:$U$43,0))</f>
        <v>3.2984868246923775</v>
      </c>
      <c r="BU9" s="128">
        <f>INDEX(Direct_Cost_Splits_Network,MATCH($H9,RIN_Asset_Cat_Network,0),MATCH($BW$4,Direct_Cost_Type,0))*$Q9*INDEX(Act_Type_Repex_Splits,MATCH($I9,Act_Type_Repex,0),MATCH(BU$4,Mat_Type,0))*INDEX(Escalators!$I$44:$U$49,MATCH(BU$4,Escalators!$C$44:$C$49,0),MATCH(BU$5,Escalators!$I$43:$U$43,0))</f>
        <v>0</v>
      </c>
      <c r="BV9" s="128">
        <f>INDEX(Direct_Cost_Splits_Network,MATCH($H9,RIN_Asset_Cat_Network,0),MATCH($BW$4,Direct_Cost_Type,0))*$Q9*INDEX(Act_Type_Repex_Splits,MATCH($I9,Act_Type_Repex,0),MATCH(BV$4,Mat_Type,0))*INDEX(Escalators!$I$44:$U$49,MATCH(BV$4,Escalators!$C$44:$C$49,0),MATCH(BV$5,Escalators!$I$43:$U$43,0))</f>
        <v>7.696469257615548</v>
      </c>
      <c r="BW9" s="128">
        <f t="shared" si="22"/>
        <v>10.994956082307926</v>
      </c>
      <c r="BX9" s="129"/>
      <c r="BY9" s="128">
        <f>INDEX(Direct_Cost_Splits_Network,MATCH($H9,RIN_Asset_Cat_Network,0),MATCH($BY$4,Direct_Cost_Type,0))*J9*HLOOKUP(BY$5,Escalators!$I$25:$U$30,6,FALSE)</f>
        <v>0</v>
      </c>
      <c r="BZ9" s="128">
        <f>INDEX(Direct_Cost_Splits_Network,MATCH($H9,RIN_Asset_Cat_Network,0),MATCH($BY$4,Direct_Cost_Type,0))*K9*HLOOKUP(BZ$5,Escalators!$I$25:$U$30,6,FALSE)</f>
        <v>0</v>
      </c>
      <c r="CA9" s="128">
        <f>INDEX(Direct_Cost_Splits_Network,MATCH($H9,RIN_Asset_Cat_Network,0),MATCH($BY$4,Direct_Cost_Type,0))*L9*HLOOKUP(CA$5,Escalators!$I$25:$U$30,6,FALSE)</f>
        <v>0</v>
      </c>
      <c r="CB9" s="128">
        <f>INDEX(Direct_Cost_Splits_Network,MATCH($H9,RIN_Asset_Cat_Network,0),MATCH($BY$4,Direct_Cost_Type,0))*M9*HLOOKUP(CB$5,Escalators!$I$25:$U$30,6,FALSE)</f>
        <v>29.454027137061235</v>
      </c>
      <c r="CC9" s="128">
        <f>INDEX(Direct_Cost_Splits_Network,MATCH($H9,RIN_Asset_Cat_Network,0),MATCH($BY$4,Direct_Cost_Type,0))*N9*HLOOKUP(CC$5,Escalators!$I$25:$U$30,6,FALSE)</f>
        <v>29.454027137061235</v>
      </c>
      <c r="CD9" s="128">
        <f>INDEX(Direct_Cost_Splits_Network,MATCH($H9,RIN_Asset_Cat_Network,0),MATCH($BY$4,Direct_Cost_Type,0))*O9*HLOOKUP(CD$5,Escalators!$I$25:$U$30,6,FALSE)</f>
        <v>29.454027137061235</v>
      </c>
      <c r="CE9" s="128">
        <f>INDEX(Direct_Cost_Splits_Network,MATCH($H9,RIN_Asset_Cat_Network,0),MATCH($BY$4,Direct_Cost_Type,0))*P9*HLOOKUP(CE$5,Escalators!$I$25:$U$30,6,FALSE)</f>
        <v>29.454027137061235</v>
      </c>
      <c r="CF9" s="128">
        <f>INDEX(Direct_Cost_Splits_Network,MATCH($H9,RIN_Asset_Cat_Network,0),MATCH($BY$4,Direct_Cost_Type,0))*Q9*HLOOKUP(CF$5,Escalators!$I$25:$U$30,6,FALSE)</f>
        <v>29.454027137061235</v>
      </c>
      <c r="CG9" s="129"/>
      <c r="CH9" s="763">
        <f t="shared" si="8"/>
        <v>0</v>
      </c>
      <c r="CI9" s="763">
        <f t="shared" si="9"/>
        <v>0</v>
      </c>
      <c r="CJ9" s="763">
        <f t="shared" si="9"/>
        <v>0</v>
      </c>
      <c r="CK9" s="763">
        <f t="shared" si="10"/>
        <v>4.5581575923782633</v>
      </c>
      <c r="CL9" s="763">
        <f t="shared" si="11"/>
        <v>4.5581575923782633</v>
      </c>
      <c r="CM9" s="763">
        <f t="shared" si="12"/>
        <v>4.5581575923782633</v>
      </c>
      <c r="CN9" s="763">
        <f t="shared" si="13"/>
        <v>4.5581575923782633</v>
      </c>
      <c r="CO9" s="763">
        <f t="shared" si="14"/>
        <v>4.5581575923782633</v>
      </c>
      <c r="CP9" s="129"/>
      <c r="CQ9" s="128">
        <f t="shared" si="23"/>
        <v>0</v>
      </c>
      <c r="CR9" s="128">
        <f t="shared" si="24"/>
        <v>0</v>
      </c>
      <c r="CS9" s="128">
        <f t="shared" si="25"/>
        <v>0</v>
      </c>
      <c r="CT9" s="128">
        <f t="shared" si="26"/>
        <v>50.090164016404678</v>
      </c>
      <c r="CU9" s="128">
        <f t="shared" si="27"/>
        <v>50.077467964171724</v>
      </c>
      <c r="CV9" s="128">
        <f t="shared" si="28"/>
        <v>50.073785352283991</v>
      </c>
      <c r="CW9" s="128">
        <f t="shared" si="29"/>
        <v>50.092393862150459</v>
      </c>
      <c r="CX9" s="128">
        <f t="shared" si="30"/>
        <v>50.143073156437708</v>
      </c>
      <c r="CZ9" s="39"/>
      <c r="DA9" s="39"/>
      <c r="DB9" s="39"/>
      <c r="DC9" s="39"/>
      <c r="DD9" s="39"/>
      <c r="DE9" s="39"/>
    </row>
    <row r="10" spans="2:109" x14ac:dyDescent="0.25">
      <c r="B10" s="7"/>
      <c r="C10" s="7"/>
      <c r="D10" s="7"/>
      <c r="E10" s="7" t="s">
        <v>45</v>
      </c>
      <c r="F10" s="7" t="s">
        <v>55</v>
      </c>
      <c r="G10" s="7" t="s">
        <v>150</v>
      </c>
      <c r="H10" s="7" t="s">
        <v>5</v>
      </c>
      <c r="I10" s="7" t="s">
        <v>209</v>
      </c>
      <c r="J10" s="45"/>
      <c r="K10" s="45"/>
      <c r="L10" s="45"/>
      <c r="M10" s="45"/>
      <c r="N10" s="45"/>
      <c r="O10" s="45"/>
      <c r="P10" s="45"/>
      <c r="Q10" s="45"/>
      <c r="S10" s="47">
        <f>INDEX(Direct_Cost_Splits_Network,MATCH($H10,RIN_Asset_Cat_Network,0),MATCH($S$4,Direct_Cost_Type,0))*J10*HLOOKUP(S$5,Escalators!$I$25:$U$30,3,FALSE)</f>
        <v>0</v>
      </c>
      <c r="T10" s="47">
        <f>INDEX(Direct_Cost_Splits_Network,MATCH($H10,RIN_Asset_Cat_Network,0),MATCH($S$4,Direct_Cost_Type,0))*K10*HLOOKUP(T$5,Escalators!$I$25:$U$30,3,FALSE)</f>
        <v>0</v>
      </c>
      <c r="U10" s="47">
        <f>INDEX(Direct_Cost_Splits_Network,MATCH($H10,RIN_Asset_Cat_Network,0),MATCH($S$4,Direct_Cost_Type,0))*L10*HLOOKUP(U$5,Escalators!$I$25:$U$30,3,FALSE)</f>
        <v>0</v>
      </c>
      <c r="V10" s="47">
        <f>INDEX(Direct_Cost_Splits_Network,MATCH($H10,RIN_Asset_Cat_Network,0),MATCH($S$4,Direct_Cost_Type,0))*M10*HLOOKUP(V$5,Escalators!$I$25:$U$30,3,FALSE)</f>
        <v>0</v>
      </c>
      <c r="W10" s="47">
        <f>INDEX(Direct_Cost_Splits_Network,MATCH($H10,RIN_Asset_Cat_Network,0),MATCH($S$4,Direct_Cost_Type,0))*N10*HLOOKUP(W$5,Escalators!$I$25:$U$30,3,FALSE)</f>
        <v>0</v>
      </c>
      <c r="X10" s="47">
        <f>INDEX(Direct_Cost_Splits_Network,MATCH($H10,RIN_Asset_Cat_Network,0),MATCH($S$4,Direct_Cost_Type,0))*O10*HLOOKUP(X$5,Escalators!$I$25:$U$30,3,FALSE)</f>
        <v>0</v>
      </c>
      <c r="Y10" s="47">
        <f>INDEX(Direct_Cost_Splits_Network,MATCH($H10,RIN_Asset_Cat_Network,0),MATCH($S$4,Direct_Cost_Type,0))*P10*HLOOKUP(Y$5,Escalators!$I$25:$U$30,3,FALSE)</f>
        <v>0</v>
      </c>
      <c r="Z10" s="47">
        <f>INDEX(Direct_Cost_Splits_Network,MATCH($H10,RIN_Asset_Cat_Network,0),MATCH($S$4,Direct_Cost_Type,0))*Q10*HLOOKUP(Z$5,Escalators!$I$25:$U$30,3,FALSE)</f>
        <v>0</v>
      </c>
      <c r="AB10" s="47">
        <f>INDEX(Direct_Cost_Splits_Network,MATCH($H10,RIN_Asset_Cat_Network,0),MATCH($AG$4,Direct_Cost_Type,0))*$J10*INDEX(Act_Type_Repex_Splits,MATCH($I10,Act_Type_Repex,0),MATCH(AB$4,Mat_Type,0))*INDEX(Escalators!$I$44:$Q$49,MATCH(AB$4,Escalators!$C$44:$C$49,0),MATCH(AB$5,Escalators!$I$43:$Q$43,0))</f>
        <v>0</v>
      </c>
      <c r="AC10" s="47">
        <f>INDEX(Direct_Cost_Splits_Network,MATCH($H10,RIN_Asset_Cat_Network,0),MATCH($AG$4,Direct_Cost_Type,0))*$J10*INDEX(Act_Type_Repex_Splits,MATCH($I10,Act_Type_Repex,0),MATCH(AC$4,Mat_Type,0))*INDEX(Escalators!$I$44:$Q$49,MATCH(AC$4,Escalators!$C$44:$C$49,0),MATCH(AC$5,Escalators!$I$43:$Q$43,0))</f>
        <v>0</v>
      </c>
      <c r="AD10" s="47">
        <f>INDEX(Direct_Cost_Splits_Network,MATCH($H10,RIN_Asset_Cat_Network,0),MATCH($AG$4,Direct_Cost_Type,0))*$J10*INDEX(Act_Type_Repex_Splits,MATCH($I10,Act_Type_Repex,0),MATCH(AD$4,Mat_Type,0))*INDEX(Escalators!$I$44:$Q$49,MATCH(AD$4,Escalators!$C$44:$C$49,0),MATCH(AD$5,Escalators!$I$43:$Q$43,0))</f>
        <v>0</v>
      </c>
      <c r="AE10" s="47">
        <f>INDEX(Direct_Cost_Splits_Network,MATCH($H10,RIN_Asset_Cat_Network,0),MATCH($AG$4,Direct_Cost_Type,0))*$J10*INDEX(Act_Type_Repex_Splits,MATCH($I10,Act_Type_Repex,0),MATCH(AE$4,Mat_Type,0))*INDEX(Escalators!$I$44:$Q$49,MATCH(AE$4,Escalators!$C$44:$C$49,0),MATCH(AE$5,Escalators!$I$43:$Q$43,0))</f>
        <v>0</v>
      </c>
      <c r="AF10" s="47">
        <f>INDEX(Direct_Cost_Splits_Network,MATCH($H10,RIN_Asset_Cat_Network,0),MATCH($AG$4,Direct_Cost_Type,0))*$J10*INDEX(Act_Type_Repex_Splits,MATCH($I10,Act_Type_Repex,0),MATCH(AF$4,Mat_Type,0))*INDEX(Escalators!$I$44:$Q$49,MATCH(AF$4,Escalators!$C$44:$C$49,0),MATCH(AF$5,Escalators!$I$43:$Q$43,0))</f>
        <v>0</v>
      </c>
      <c r="AG10" s="47">
        <f t="shared" si="15"/>
        <v>0</v>
      </c>
      <c r="AH10" s="47">
        <f>INDEX(Direct_Cost_Splits_Network,MATCH($H10,RIN_Asset_Cat_Network,0),MATCH($AY$4,Direct_Cost_Type,0))*$K10*INDEX(Act_Type_Repex_Splits,MATCH($I10,Act_Type_Repex,0),MATCH(AH$4,Mat_Type,0))*INDEX(Escalators!$I$44:$U$49,MATCH(AH$4,Escalators!$C$44:$C$49,0),MATCH(AH$5,Escalators!$I$43:$U$43,0))</f>
        <v>0</v>
      </c>
      <c r="AI10" s="47">
        <f>INDEX(Direct_Cost_Splits_Network,MATCH($H10,RIN_Asset_Cat_Network,0),MATCH($AY$4,Direct_Cost_Type,0))*$K10*INDEX(Act_Type_Repex_Splits,MATCH($I10,Act_Type_Repex,0),MATCH(AI$4,Mat_Type,0))*INDEX(Escalators!$I$44:$U$49,MATCH(AI$4,Escalators!$C$44:$C$49,0),MATCH(AI$5,Escalators!$I$43:$U$43,0))</f>
        <v>0</v>
      </c>
      <c r="AJ10" s="47">
        <f>INDEX(Direct_Cost_Splits_Network,MATCH($H10,RIN_Asset_Cat_Network,0),MATCH($AY$4,Direct_Cost_Type,0))*$K10*INDEX(Act_Type_Repex_Splits,MATCH($I10,Act_Type_Repex,0),MATCH(AJ$4,Mat_Type,0))*INDEX(Escalators!$I$44:$U$49,MATCH(AJ$4,Escalators!$C$44:$C$49,0),MATCH(AJ$5,Escalators!$I$43:$U$43,0))</f>
        <v>0</v>
      </c>
      <c r="AK10" s="47">
        <f>INDEX(Direct_Cost_Splits_Network,MATCH($H10,RIN_Asset_Cat_Network,0),MATCH($AY$4,Direct_Cost_Type,0))*$K10*INDEX(Act_Type_Repex_Splits,MATCH($I10,Act_Type_Repex,0),MATCH(AK$4,Mat_Type,0))*INDEX(Escalators!$I$44:$U$49,MATCH(AK$4,Escalators!$C$44:$C$49,0),MATCH(AK$5,Escalators!$I$43:$U$43,0))</f>
        <v>0</v>
      </c>
      <c r="AL10" s="47">
        <f>INDEX(Direct_Cost_Splits_Network,MATCH($H10,RIN_Asset_Cat_Network,0),MATCH($AY$4,Direct_Cost_Type,0))*$K10*INDEX(Act_Type_Repex_Splits,MATCH($I10,Act_Type_Repex,0),MATCH(AL$4,Mat_Type,0))*INDEX(Escalators!$I$44:$U$49,MATCH(AL$4,Escalators!$C$44:$C$49,0),MATCH(AL$5,Escalators!$I$43:$U$43,0))</f>
        <v>0</v>
      </c>
      <c r="AM10" s="47">
        <f t="shared" si="16"/>
        <v>0</v>
      </c>
      <c r="AN10" s="47">
        <f>INDEX(Direct_Cost_Splits_Network,MATCH($H10,RIN_Asset_Cat_Network,0),MATCH($AY$4,Direct_Cost_Type,0))*$L10*INDEX(Act_Type_Repex_Splits,MATCH($I10,Act_Type_Repex,0),MATCH(AN$4,Mat_Type,0))*INDEX(Escalators!$I$44:$U$49,MATCH(AN$4,Escalators!$C$44:$C$49,0),MATCH(AN$5,Escalators!$I$43:$U$43,0))</f>
        <v>0</v>
      </c>
      <c r="AO10" s="47">
        <f>INDEX(Direct_Cost_Splits_Network,MATCH($H10,RIN_Asset_Cat_Network,0),MATCH($AY$4,Direct_Cost_Type,0))*$L10*INDEX(Act_Type_Repex_Splits,MATCH($I10,Act_Type_Repex,0),MATCH(AO$4,Mat_Type,0))*INDEX(Escalators!$I$44:$U$49,MATCH(AO$4,Escalators!$C$44:$C$49,0),MATCH(AO$5,Escalators!$I$43:$U$43,0))</f>
        <v>0</v>
      </c>
      <c r="AP10" s="47">
        <f>INDEX(Direct_Cost_Splits_Network,MATCH($H10,RIN_Asset_Cat_Network,0),MATCH($AY$4,Direct_Cost_Type,0))*$L10*INDEX(Act_Type_Repex_Splits,MATCH($I10,Act_Type_Repex,0),MATCH(AP$4,Mat_Type,0))*INDEX(Escalators!$I$44:$U$49,MATCH(AP$4,Escalators!$C$44:$C$49,0),MATCH(AP$5,Escalators!$I$43:$U$43,0))</f>
        <v>0</v>
      </c>
      <c r="AQ10" s="47">
        <f>INDEX(Direct_Cost_Splits_Network,MATCH($H10,RIN_Asset_Cat_Network,0),MATCH($AY$4,Direct_Cost_Type,0))*$L10*INDEX(Act_Type_Repex_Splits,MATCH($I10,Act_Type_Repex,0),MATCH(AQ$4,Mat_Type,0))*INDEX(Escalators!$I$44:$U$49,MATCH(AQ$4,Escalators!$C$44:$C$49,0),MATCH(AQ$5,Escalators!$I$43:$U$43,0))</f>
        <v>0</v>
      </c>
      <c r="AR10" s="47">
        <f>INDEX(Direct_Cost_Splits_Network,MATCH($H10,RIN_Asset_Cat_Network,0),MATCH($AY$4,Direct_Cost_Type,0))*$L10*INDEX(Act_Type_Repex_Splits,MATCH($I10,Act_Type_Repex,0),MATCH(AR$4,Mat_Type,0))*INDEX(Escalators!$I$44:$U$49,MATCH(AR$4,Escalators!$C$44:$C$49,0),MATCH(AR$5,Escalators!$I$43:$U$43,0))</f>
        <v>0</v>
      </c>
      <c r="AS10" s="47">
        <f t="shared" si="17"/>
        <v>0</v>
      </c>
      <c r="AT10" s="47">
        <f>INDEX(Direct_Cost_Splits_Network,MATCH($H10,RIN_Asset_Cat_Network,0),MATCH($AY$4,Direct_Cost_Type,0))*$M10*INDEX(Act_Type_Repex_Splits,MATCH($I10,Act_Type_Repex,0),MATCH(AT$4,Mat_Type,0))*INDEX(Escalators!$I$44:$U$49,MATCH(AT$4,Escalators!$C$44:$C$49,0),MATCH(AT$5,Escalators!$I$43:$U$43,0))</f>
        <v>0</v>
      </c>
      <c r="AU10" s="47">
        <f>INDEX(Direct_Cost_Splits_Network,MATCH($H10,RIN_Asset_Cat_Network,0),MATCH($AY$4,Direct_Cost_Type,0))*$M10*INDEX(Act_Type_Repex_Splits,MATCH($I10,Act_Type_Repex,0),MATCH(AU$4,Mat_Type,0))*INDEX(Escalators!$I$44:$U$49,MATCH(AU$4,Escalators!$C$44:$C$49,0),MATCH(AU$5,Escalators!$I$43:$U$43,0))</f>
        <v>0</v>
      </c>
      <c r="AV10" s="47">
        <f>INDEX(Direct_Cost_Splits_Network,MATCH($H10,RIN_Asset_Cat_Network,0),MATCH($AY$4,Direct_Cost_Type,0))*$M10*INDEX(Act_Type_Repex_Splits,MATCH($I10,Act_Type_Repex,0),MATCH(AV$4,Mat_Type,0))*INDEX(Escalators!$I$44:$U$49,MATCH(AV$4,Escalators!$C$44:$C$49,0),MATCH(AV$5,Escalators!$I$43:$U$43,0))</f>
        <v>0</v>
      </c>
      <c r="AW10" s="47">
        <f>INDEX(Direct_Cost_Splits_Network,MATCH($H10,RIN_Asset_Cat_Network,0),MATCH($AY$4,Direct_Cost_Type,0))*$M10*INDEX(Act_Type_Repex_Splits,MATCH($I10,Act_Type_Repex,0),MATCH(AW$4,Mat_Type,0))*INDEX(Escalators!$I$44:$U$49,MATCH(AW$4,Escalators!$C$44:$C$49,0),MATCH(AW$5,Escalators!$I$43:$U$43,0))</f>
        <v>0</v>
      </c>
      <c r="AX10" s="47">
        <f>INDEX(Direct_Cost_Splits_Network,MATCH($H10,RIN_Asset_Cat_Network,0),MATCH($AY$4,Direct_Cost_Type,0))*$M10*INDEX(Act_Type_Repex_Splits,MATCH($I10,Act_Type_Repex,0),MATCH(AX$4,Mat_Type,0))*INDEX(Escalators!$I$44:$U$49,MATCH(AX$4,Escalators!$C$44:$C$49,0),MATCH(AX$5,Escalators!$I$43:$U$43,0))</f>
        <v>0</v>
      </c>
      <c r="AY10" s="47">
        <f t="shared" si="18"/>
        <v>0</v>
      </c>
      <c r="AZ10" s="47">
        <f>INDEX(Direct_Cost_Splits_Network,MATCH($H10,RIN_Asset_Cat_Network,0),MATCH($BE$4,Direct_Cost_Type,0))*$N10*INDEX(Act_Type_Repex_Splits,MATCH($I10,Act_Type_Repex,0),MATCH(AZ$4,Mat_Type,0))*INDEX(Escalators!$I$44:$U$49,MATCH(AZ$4,Escalators!$C$44:$C$49,0),MATCH(AZ$5,Escalators!$I$43:$U$43,0))</f>
        <v>0</v>
      </c>
      <c r="BA10" s="47">
        <f>INDEX(Direct_Cost_Splits_Network,MATCH($H10,RIN_Asset_Cat_Network,0),MATCH($BE$4,Direct_Cost_Type,0))*$N10*INDEX(Act_Type_Repex_Splits,MATCH($I10,Act_Type_Repex,0),MATCH(BA$4,Mat_Type,0))*INDEX(Escalators!$I$44:$U$49,MATCH(BA$4,Escalators!$C$44:$C$49,0),MATCH(BA$5,Escalators!$I$43:$U$43,0))</f>
        <v>0</v>
      </c>
      <c r="BB10" s="47">
        <f>INDEX(Direct_Cost_Splits_Network,MATCH($H10,RIN_Asset_Cat_Network,0),MATCH($BE$4,Direct_Cost_Type,0))*$N10*INDEX(Act_Type_Repex_Splits,MATCH($I10,Act_Type_Repex,0),MATCH(BB$4,Mat_Type,0))*INDEX(Escalators!$I$44:$U$49,MATCH(BB$4,Escalators!$C$44:$C$49,0),MATCH(BB$5,Escalators!$I$43:$U$43,0))</f>
        <v>0</v>
      </c>
      <c r="BC10" s="47">
        <f>INDEX(Direct_Cost_Splits_Network,MATCH($H10,RIN_Asset_Cat_Network,0),MATCH($BE$4,Direct_Cost_Type,0))*$N10*INDEX(Act_Type_Repex_Splits,MATCH($I10,Act_Type_Repex,0),MATCH(BC$4,Mat_Type,0))*INDEX(Escalators!$I$44:$U$49,MATCH(BC$4,Escalators!$C$44:$C$49,0),MATCH(BC$5,Escalators!$I$43:$U$43,0))</f>
        <v>0</v>
      </c>
      <c r="BD10" s="47">
        <f>INDEX(Direct_Cost_Splits_Network,MATCH($H10,RIN_Asset_Cat_Network,0),MATCH($BE$4,Direct_Cost_Type,0))*$N10*INDEX(Act_Type_Repex_Splits,MATCH($I10,Act_Type_Repex,0),MATCH(BD$4,Mat_Type,0))*INDEX(Escalators!$I$44:$U$49,MATCH(BD$4,Escalators!$C$44:$C$49,0),MATCH(BD$5,Escalators!$I$43:$U$43,0))</f>
        <v>0</v>
      </c>
      <c r="BE10" s="47">
        <f t="shared" si="19"/>
        <v>0</v>
      </c>
      <c r="BF10" s="47">
        <f>INDEX(Direct_Cost_Splits_Network,MATCH($H10,RIN_Asset_Cat_Network,0),MATCH($BK$4,Direct_Cost_Type,0))*$O10*INDEX(Act_Type_Repex_Splits,MATCH($I10,Act_Type_Repex,0),MATCH(BF$4,Mat_Type,0))*INDEX(Escalators!$I$44:$U$49,MATCH(BF$4,Escalators!$C$44:$C$49,0),MATCH(BF$5,Escalators!$I$43:$U$43,0))</f>
        <v>0</v>
      </c>
      <c r="BG10" s="47">
        <f>INDEX(Direct_Cost_Splits_Network,MATCH($H10,RIN_Asset_Cat_Network,0),MATCH($BK$4,Direct_Cost_Type,0))*$O10*INDEX(Act_Type_Repex_Splits,MATCH($I10,Act_Type_Repex,0),MATCH(BG$4,Mat_Type,0))*INDEX(Escalators!$I$44:$U$49,MATCH(BG$4,Escalators!$C$44:$C$49,0),MATCH(BG$5,Escalators!$I$43:$U$43,0))</f>
        <v>0</v>
      </c>
      <c r="BH10" s="47">
        <f>INDEX(Direct_Cost_Splits_Network,MATCH($H10,RIN_Asset_Cat_Network,0),MATCH($BK$4,Direct_Cost_Type,0))*$O10*INDEX(Act_Type_Repex_Splits,MATCH($I10,Act_Type_Repex,0),MATCH(BH$4,Mat_Type,0))*INDEX(Escalators!$I$44:$U$49,MATCH(BH$4,Escalators!$C$44:$C$49,0),MATCH(BH$5,Escalators!$I$43:$U$43,0))</f>
        <v>0</v>
      </c>
      <c r="BI10" s="47">
        <f>INDEX(Direct_Cost_Splits_Network,MATCH($H10,RIN_Asset_Cat_Network,0),MATCH($BK$4,Direct_Cost_Type,0))*$O10*INDEX(Act_Type_Repex_Splits,MATCH($I10,Act_Type_Repex,0),MATCH(BI$4,Mat_Type,0))*INDEX(Escalators!$I$44:$U$49,MATCH(BI$4,Escalators!$C$44:$C$49,0),MATCH(BI$5,Escalators!$I$43:$U$43,0))</f>
        <v>0</v>
      </c>
      <c r="BJ10" s="47">
        <f>INDEX(Direct_Cost_Splits_Network,MATCH($H10,RIN_Asset_Cat_Network,0),MATCH($BK$4,Direct_Cost_Type,0))*$O10*INDEX(Act_Type_Repex_Splits,MATCH($I10,Act_Type_Repex,0),MATCH(BJ$4,Mat_Type,0))*INDEX(Escalators!$I$44:$U$49,MATCH(BJ$4,Escalators!$C$44:$C$49,0),MATCH(BJ$5,Escalators!$I$43:$U$43,0))</f>
        <v>0</v>
      </c>
      <c r="BK10" s="47">
        <f t="shared" si="20"/>
        <v>0</v>
      </c>
      <c r="BL10" s="47">
        <f>INDEX(Direct_Cost_Splits_Network,MATCH($H10,RIN_Asset_Cat_Network,0),MATCH($BQ$4,Direct_Cost_Type,0))*$P10*INDEX(Act_Type_Repex_Splits,MATCH($I10,Act_Type_Repex,0),MATCH(BL$4,Mat_Type,0))*INDEX(Escalators!$I$44:$U$49,MATCH(BL$4,Escalators!$C$44:$C$49,0),MATCH(BL$5,Escalators!$I$43:$U$43,0))</f>
        <v>0</v>
      </c>
      <c r="BM10" s="47">
        <f>INDEX(Direct_Cost_Splits_Network,MATCH($H10,RIN_Asset_Cat_Network,0),MATCH($BQ$4,Direct_Cost_Type,0))*$P10*INDEX(Act_Type_Repex_Splits,MATCH($I10,Act_Type_Repex,0),MATCH(BM$4,Mat_Type,0))*INDEX(Escalators!$I$44:$U$49,MATCH(BM$4,Escalators!$C$44:$C$49,0),MATCH(BM$5,Escalators!$I$43:$U$43,0))</f>
        <v>0</v>
      </c>
      <c r="BN10" s="47">
        <f>INDEX(Direct_Cost_Splits_Network,MATCH($H10,RIN_Asset_Cat_Network,0),MATCH($BQ$4,Direct_Cost_Type,0))*$P10*INDEX(Act_Type_Repex_Splits,MATCH($I10,Act_Type_Repex,0),MATCH(BN$4,Mat_Type,0))*INDEX(Escalators!$I$44:$U$49,MATCH(BN$4,Escalators!$C$44:$C$49,0),MATCH(BN$5,Escalators!$I$43:$U$43,0))</f>
        <v>0</v>
      </c>
      <c r="BO10" s="47">
        <f>INDEX(Direct_Cost_Splits_Network,MATCH($H10,RIN_Asset_Cat_Network,0),MATCH($BQ$4,Direct_Cost_Type,0))*$P10*INDEX(Act_Type_Repex_Splits,MATCH($I10,Act_Type_Repex,0),MATCH(BO$4,Mat_Type,0))*INDEX(Escalators!$I$44:$U$49,MATCH(BO$4,Escalators!$C$44:$C$49,0),MATCH(BO$5,Escalators!$I$43:$U$43,0))</f>
        <v>0</v>
      </c>
      <c r="BP10" s="47">
        <f>INDEX(Direct_Cost_Splits_Network,MATCH($H10,RIN_Asset_Cat_Network,0),MATCH($BQ$4,Direct_Cost_Type,0))*$P10*INDEX(Act_Type_Repex_Splits,MATCH($I10,Act_Type_Repex,0),MATCH(BP$4,Mat_Type,0))*INDEX(Escalators!$I$44:$U$49,MATCH(BP$4,Escalators!$C$44:$C$49,0),MATCH(BP$5,Escalators!$I$43:$U$43,0))</f>
        <v>0</v>
      </c>
      <c r="BQ10" s="47">
        <f t="shared" si="21"/>
        <v>0</v>
      </c>
      <c r="BR10" s="47">
        <f>INDEX(Direct_Cost_Splits_Network,MATCH($H10,RIN_Asset_Cat_Network,0),MATCH($BW$4,Direct_Cost_Type,0))*$Q10*INDEX(Act_Type_Repex_Splits,MATCH($I10,Act_Type_Repex,0),MATCH(BR$4,Mat_Type,0))*INDEX(Escalators!$I$44:$U$49,MATCH(BR$4,Escalators!$C$44:$C$49,0),MATCH(BR$5,Escalators!$I$43:$U$43,0))</f>
        <v>0</v>
      </c>
      <c r="BS10" s="47">
        <f>INDEX(Direct_Cost_Splits_Network,MATCH($H10,RIN_Asset_Cat_Network,0),MATCH($BW$4,Direct_Cost_Type,0))*$Q10*INDEX(Act_Type_Repex_Splits,MATCH($I10,Act_Type_Repex,0),MATCH(BS$4,Mat_Type,0))*INDEX(Escalators!$I$44:$U$49,MATCH(BS$4,Escalators!$C$44:$C$49,0),MATCH(BS$5,Escalators!$I$43:$U$43,0))</f>
        <v>0</v>
      </c>
      <c r="BT10" s="47">
        <f>INDEX(Direct_Cost_Splits_Network,MATCH($H10,RIN_Asset_Cat_Network,0),MATCH($BW$4,Direct_Cost_Type,0))*$Q10*INDEX(Act_Type_Repex_Splits,MATCH($I10,Act_Type_Repex,0),MATCH(BT$4,Mat_Type,0))*INDEX(Escalators!$I$44:$U$49,MATCH(BT$4,Escalators!$C$44:$C$49,0),MATCH(BT$5,Escalators!$I$43:$U$43,0))</f>
        <v>0</v>
      </c>
      <c r="BU10" s="47">
        <f>INDEX(Direct_Cost_Splits_Network,MATCH($H10,RIN_Asset_Cat_Network,0),MATCH($BW$4,Direct_Cost_Type,0))*$Q10*INDEX(Act_Type_Repex_Splits,MATCH($I10,Act_Type_Repex,0),MATCH(BU$4,Mat_Type,0))*INDEX(Escalators!$I$44:$U$49,MATCH(BU$4,Escalators!$C$44:$C$49,0),MATCH(BU$5,Escalators!$I$43:$U$43,0))</f>
        <v>0</v>
      </c>
      <c r="BV10" s="47">
        <f>INDEX(Direct_Cost_Splits_Network,MATCH($H10,RIN_Asset_Cat_Network,0),MATCH($BW$4,Direct_Cost_Type,0))*$Q10*INDEX(Act_Type_Repex_Splits,MATCH($I10,Act_Type_Repex,0),MATCH(BV$4,Mat_Type,0))*INDEX(Escalators!$I$44:$U$49,MATCH(BV$4,Escalators!$C$44:$C$49,0),MATCH(BV$5,Escalators!$I$43:$U$43,0))</f>
        <v>0</v>
      </c>
      <c r="BW10" s="47">
        <f t="shared" si="22"/>
        <v>0</v>
      </c>
      <c r="BY10" s="47">
        <f>INDEX(Direct_Cost_Splits_Network,MATCH($H10,RIN_Asset_Cat_Network,0),MATCH($BY$4,Direct_Cost_Type,0))*J10*HLOOKUP(BY$5,Escalators!$I$25:$U$30,6,FALSE)</f>
        <v>0</v>
      </c>
      <c r="BZ10" s="47">
        <f>INDEX(Direct_Cost_Splits_Network,MATCH($H10,RIN_Asset_Cat_Network,0),MATCH($BY$4,Direct_Cost_Type,0))*K10*HLOOKUP(BZ$5,Escalators!$I$25:$U$30,6,FALSE)</f>
        <v>0</v>
      </c>
      <c r="CA10" s="47">
        <f>INDEX(Direct_Cost_Splits_Network,MATCH($H10,RIN_Asset_Cat_Network,0),MATCH($BY$4,Direct_Cost_Type,0))*L10*HLOOKUP(CA$5,Escalators!$I$25:$U$30,6,FALSE)</f>
        <v>0</v>
      </c>
      <c r="CB10" s="47">
        <f>INDEX(Direct_Cost_Splits_Network,MATCH($H10,RIN_Asset_Cat_Network,0),MATCH($BY$4,Direct_Cost_Type,0))*M10*HLOOKUP(CB$5,Escalators!$I$25:$U$30,6,FALSE)</f>
        <v>0</v>
      </c>
      <c r="CC10" s="47">
        <f>INDEX(Direct_Cost_Splits_Network,MATCH($H10,RIN_Asset_Cat_Network,0),MATCH($BY$4,Direct_Cost_Type,0))*N10*HLOOKUP(CC$5,Escalators!$I$25:$U$30,6,FALSE)</f>
        <v>0</v>
      </c>
      <c r="CD10" s="47">
        <f>INDEX(Direct_Cost_Splits_Network,MATCH($H10,RIN_Asset_Cat_Network,0),MATCH($BY$4,Direct_Cost_Type,0))*O10*HLOOKUP(CD$5,Escalators!$I$25:$U$30,6,FALSE)</f>
        <v>0</v>
      </c>
      <c r="CE10" s="47">
        <f>INDEX(Direct_Cost_Splits_Network,MATCH($H10,RIN_Asset_Cat_Network,0),MATCH($BY$4,Direct_Cost_Type,0))*P10*HLOOKUP(CE$5,Escalators!$I$25:$U$30,6,FALSE)</f>
        <v>0</v>
      </c>
      <c r="CF10" s="47">
        <f>INDEX(Direct_Cost_Splits_Network,MATCH($H10,RIN_Asset_Cat_Network,0),MATCH($BY$4,Direct_Cost_Type,0))*Q10*HLOOKUP(CF$5,Escalators!$I$25:$U$30,6,FALSE)</f>
        <v>0</v>
      </c>
      <c r="CH10" s="82">
        <f t="shared" si="8"/>
        <v>0</v>
      </c>
      <c r="CI10" s="82">
        <f t="shared" si="9"/>
        <v>0</v>
      </c>
      <c r="CJ10" s="82">
        <f t="shared" si="9"/>
        <v>0</v>
      </c>
      <c r="CK10" s="82">
        <f t="shared" si="10"/>
        <v>0</v>
      </c>
      <c r="CL10" s="82">
        <f t="shared" si="11"/>
        <v>0</v>
      </c>
      <c r="CM10" s="82">
        <f t="shared" si="12"/>
        <v>0</v>
      </c>
      <c r="CN10" s="82">
        <f t="shared" si="13"/>
        <v>0</v>
      </c>
      <c r="CO10" s="82">
        <f t="shared" si="14"/>
        <v>0</v>
      </c>
      <c r="CQ10" s="47">
        <f t="shared" si="23"/>
        <v>0</v>
      </c>
      <c r="CR10" s="47">
        <f t="shared" si="24"/>
        <v>0</v>
      </c>
      <c r="CS10" s="47">
        <f t="shared" si="25"/>
        <v>0</v>
      </c>
      <c r="CT10" s="47">
        <f t="shared" si="26"/>
        <v>0</v>
      </c>
      <c r="CU10" s="47">
        <f t="shared" si="27"/>
        <v>0</v>
      </c>
      <c r="CV10" s="47">
        <f t="shared" si="28"/>
        <v>0</v>
      </c>
      <c r="CW10" s="47">
        <f t="shared" si="29"/>
        <v>0</v>
      </c>
      <c r="CX10" s="47">
        <f t="shared" si="30"/>
        <v>0</v>
      </c>
      <c r="CZ10" s="39"/>
      <c r="DA10" s="39"/>
      <c r="DB10" s="39"/>
      <c r="DC10" s="39"/>
      <c r="DD10" s="39"/>
      <c r="DE10" s="39"/>
    </row>
    <row r="11" spans="2:109" x14ac:dyDescent="0.25">
      <c r="B11" s="7"/>
      <c r="C11" s="7"/>
      <c r="D11" s="7"/>
      <c r="E11" s="7"/>
      <c r="F11" s="7"/>
      <c r="G11" s="7"/>
      <c r="H11" s="7"/>
      <c r="I11" s="7"/>
      <c r="J11" s="45"/>
      <c r="K11" s="45"/>
      <c r="L11" s="45"/>
      <c r="M11" s="45"/>
      <c r="N11" s="45"/>
      <c r="O11" s="45"/>
      <c r="P11" s="45"/>
      <c r="Q11" s="45"/>
      <c r="S11" s="47"/>
      <c r="T11" s="47"/>
      <c r="U11" s="47"/>
      <c r="V11" s="47"/>
      <c r="W11" s="47"/>
      <c r="X11" s="47"/>
      <c r="Y11" s="47"/>
      <c r="Z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Y11" s="47"/>
      <c r="BZ11" s="47"/>
      <c r="CA11" s="47"/>
      <c r="CB11" s="47"/>
      <c r="CC11" s="47"/>
      <c r="CD11" s="47"/>
      <c r="CE11" s="47"/>
      <c r="CF11" s="47"/>
      <c r="CH11" s="82"/>
      <c r="CI11" s="82"/>
      <c r="CJ11" s="82"/>
      <c r="CK11" s="82"/>
      <c r="CL11" s="82"/>
      <c r="CM11" s="82"/>
      <c r="CN11" s="82"/>
      <c r="CO11" s="82"/>
      <c r="CQ11" s="47">
        <f t="shared" si="23"/>
        <v>0</v>
      </c>
      <c r="CR11" s="47">
        <f t="shared" si="24"/>
        <v>0</v>
      </c>
      <c r="CS11" s="47">
        <f t="shared" si="25"/>
        <v>0</v>
      </c>
      <c r="CT11" s="47">
        <f t="shared" si="26"/>
        <v>0</v>
      </c>
      <c r="CU11" s="47">
        <f t="shared" si="27"/>
        <v>0</v>
      </c>
      <c r="CV11" s="47">
        <f t="shared" si="28"/>
        <v>0</v>
      </c>
      <c r="CW11" s="47">
        <f t="shared" si="29"/>
        <v>0</v>
      </c>
      <c r="CX11" s="47">
        <f t="shared" si="30"/>
        <v>0</v>
      </c>
      <c r="CZ11" s="39"/>
      <c r="DA11" s="39"/>
      <c r="DB11" s="39"/>
      <c r="DC11" s="39"/>
      <c r="DD11" s="39"/>
      <c r="DE11" s="39"/>
    </row>
    <row r="12" spans="2:109" x14ac:dyDescent="0.25">
      <c r="B12" s="7"/>
      <c r="C12" s="7"/>
      <c r="D12" s="7"/>
      <c r="E12" s="7"/>
      <c r="F12" s="7"/>
      <c r="G12" s="7"/>
      <c r="H12" s="7"/>
      <c r="I12" s="7"/>
      <c r="J12" s="45"/>
      <c r="K12" s="45"/>
      <c r="L12" s="45"/>
      <c r="M12" s="45"/>
      <c r="N12" s="45"/>
      <c r="O12" s="45"/>
      <c r="P12" s="45"/>
      <c r="Q12" s="45"/>
      <c r="S12" s="47"/>
      <c r="T12" s="47"/>
      <c r="U12" s="47"/>
      <c r="V12" s="47"/>
      <c r="W12" s="47"/>
      <c r="X12" s="47"/>
      <c r="Y12" s="47"/>
      <c r="Z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Y12" s="47"/>
      <c r="BZ12" s="47"/>
      <c r="CA12" s="47"/>
      <c r="CB12" s="47"/>
      <c r="CC12" s="47"/>
      <c r="CD12" s="47"/>
      <c r="CE12" s="47"/>
      <c r="CF12" s="47"/>
      <c r="CH12" s="82"/>
      <c r="CI12" s="82"/>
      <c r="CJ12" s="82"/>
      <c r="CK12" s="82"/>
      <c r="CL12" s="82"/>
      <c r="CM12" s="82"/>
      <c r="CN12" s="82"/>
      <c r="CO12" s="82"/>
      <c r="CQ12" s="47">
        <f t="shared" si="23"/>
        <v>0</v>
      </c>
      <c r="CR12" s="47">
        <f t="shared" si="24"/>
        <v>0</v>
      </c>
      <c r="CS12" s="47">
        <f t="shared" si="25"/>
        <v>0</v>
      </c>
      <c r="CT12" s="47">
        <f t="shared" si="26"/>
        <v>0</v>
      </c>
      <c r="CU12" s="47">
        <f t="shared" si="27"/>
        <v>0</v>
      </c>
      <c r="CV12" s="47">
        <f t="shared" si="28"/>
        <v>0</v>
      </c>
      <c r="CW12" s="47">
        <f t="shared" si="29"/>
        <v>0</v>
      </c>
      <c r="CX12" s="47">
        <f t="shared" si="30"/>
        <v>0</v>
      </c>
      <c r="CZ12" s="39"/>
      <c r="DA12" s="39"/>
      <c r="DB12" s="39"/>
      <c r="DC12" s="39"/>
      <c r="DD12" s="39"/>
      <c r="DE12" s="39"/>
    </row>
    <row r="13" spans="2:109" x14ac:dyDescent="0.25">
      <c r="B13" s="7"/>
      <c r="C13" s="7"/>
      <c r="D13" s="7"/>
      <c r="E13" s="7"/>
      <c r="F13" s="7"/>
      <c r="G13" s="7"/>
      <c r="H13" s="7"/>
      <c r="I13" s="7"/>
      <c r="J13" s="45"/>
      <c r="K13" s="45"/>
      <c r="L13" s="45"/>
      <c r="M13" s="45"/>
      <c r="N13" s="45"/>
      <c r="O13" s="45"/>
      <c r="P13" s="45"/>
      <c r="Q13" s="45"/>
      <c r="S13" s="47"/>
      <c r="T13" s="47"/>
      <c r="U13" s="47"/>
      <c r="V13" s="47"/>
      <c r="W13" s="47"/>
      <c r="X13" s="47"/>
      <c r="Y13" s="47"/>
      <c r="Z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Y13" s="47"/>
      <c r="BZ13" s="47"/>
      <c r="CA13" s="47"/>
      <c r="CB13" s="47"/>
      <c r="CC13" s="47"/>
      <c r="CD13" s="47"/>
      <c r="CE13" s="47"/>
      <c r="CF13" s="47"/>
      <c r="CH13" s="82"/>
      <c r="CI13" s="82"/>
      <c r="CJ13" s="82"/>
      <c r="CK13" s="82"/>
      <c r="CL13" s="82"/>
      <c r="CM13" s="82"/>
      <c r="CN13" s="82"/>
      <c r="CO13" s="82"/>
      <c r="CQ13" s="47">
        <f t="shared" si="23"/>
        <v>0</v>
      </c>
      <c r="CR13" s="47">
        <f t="shared" si="24"/>
        <v>0</v>
      </c>
      <c r="CS13" s="47">
        <f t="shared" si="25"/>
        <v>0</v>
      </c>
      <c r="CT13" s="47">
        <f t="shared" si="26"/>
        <v>0</v>
      </c>
      <c r="CU13" s="47">
        <f t="shared" si="27"/>
        <v>0</v>
      </c>
      <c r="CV13" s="47">
        <f t="shared" si="28"/>
        <v>0</v>
      </c>
      <c r="CW13" s="47">
        <f t="shared" si="29"/>
        <v>0</v>
      </c>
      <c r="CX13" s="47">
        <f t="shared" si="30"/>
        <v>0</v>
      </c>
      <c r="CZ13" s="39"/>
      <c r="DA13" s="39"/>
      <c r="DB13" s="39"/>
      <c r="DC13" s="39"/>
      <c r="DD13" s="39"/>
      <c r="DE13" s="39"/>
    </row>
    <row r="14" spans="2:109" x14ac:dyDescent="0.25">
      <c r="B14" s="7"/>
      <c r="C14" s="7"/>
      <c r="D14" s="7"/>
      <c r="E14" s="7"/>
      <c r="F14" s="7"/>
      <c r="G14" s="7"/>
      <c r="H14" s="7"/>
      <c r="I14" s="7"/>
      <c r="J14" s="45"/>
      <c r="K14" s="45"/>
      <c r="L14" s="45"/>
      <c r="M14" s="45"/>
      <c r="N14" s="45"/>
      <c r="O14" s="45"/>
      <c r="P14" s="45"/>
      <c r="Q14" s="45"/>
      <c r="S14" s="47"/>
      <c r="T14" s="47"/>
      <c r="U14" s="47"/>
      <c r="V14" s="47"/>
      <c r="W14" s="47"/>
      <c r="X14" s="47"/>
      <c r="Y14" s="47"/>
      <c r="Z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Y14" s="47"/>
      <c r="BZ14" s="47"/>
      <c r="CA14" s="47"/>
      <c r="CB14" s="47"/>
      <c r="CC14" s="47"/>
      <c r="CD14" s="47"/>
      <c r="CE14" s="47"/>
      <c r="CF14" s="47"/>
      <c r="CH14" s="82"/>
      <c r="CI14" s="82"/>
      <c r="CJ14" s="82"/>
      <c r="CK14" s="82"/>
      <c r="CL14" s="82"/>
      <c r="CM14" s="82"/>
      <c r="CN14" s="82"/>
      <c r="CO14" s="82"/>
      <c r="CQ14" s="47">
        <f t="shared" si="23"/>
        <v>0</v>
      </c>
      <c r="CR14" s="47">
        <f t="shared" si="24"/>
        <v>0</v>
      </c>
      <c r="CS14" s="47">
        <f t="shared" si="25"/>
        <v>0</v>
      </c>
      <c r="CT14" s="47">
        <f t="shared" si="26"/>
        <v>0</v>
      </c>
      <c r="CU14" s="47">
        <f t="shared" si="27"/>
        <v>0</v>
      </c>
      <c r="CV14" s="47">
        <f t="shared" si="28"/>
        <v>0</v>
      </c>
      <c r="CW14" s="47">
        <f t="shared" si="29"/>
        <v>0</v>
      </c>
      <c r="CX14" s="47">
        <f t="shared" si="30"/>
        <v>0</v>
      </c>
      <c r="CZ14" s="39"/>
      <c r="DA14" s="39"/>
      <c r="DB14" s="39"/>
      <c r="DC14" s="39"/>
      <c r="DD14" s="39"/>
      <c r="DE14" s="39"/>
    </row>
    <row r="15" spans="2:109" x14ac:dyDescent="0.25">
      <c r="B15" s="7"/>
      <c r="C15" s="7"/>
      <c r="D15" s="7"/>
      <c r="E15" s="7"/>
      <c r="F15" s="7"/>
      <c r="G15" s="7"/>
      <c r="H15" s="7"/>
      <c r="I15" s="7"/>
      <c r="J15" s="45"/>
      <c r="K15" s="45"/>
      <c r="L15" s="45"/>
      <c r="M15" s="45"/>
      <c r="N15" s="45"/>
      <c r="O15" s="45"/>
      <c r="P15" s="45"/>
      <c r="Q15" s="45"/>
      <c r="S15" s="47"/>
      <c r="T15" s="47"/>
      <c r="U15" s="47"/>
      <c r="V15" s="47"/>
      <c r="W15" s="47"/>
      <c r="X15" s="47"/>
      <c r="Y15" s="47"/>
      <c r="Z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Y15" s="47"/>
      <c r="BZ15" s="47"/>
      <c r="CA15" s="47"/>
      <c r="CB15" s="47"/>
      <c r="CC15" s="47"/>
      <c r="CD15" s="47"/>
      <c r="CE15" s="47"/>
      <c r="CF15" s="47"/>
      <c r="CH15" s="82"/>
      <c r="CI15" s="82"/>
      <c r="CJ15" s="82"/>
      <c r="CK15" s="82"/>
      <c r="CL15" s="82"/>
      <c r="CM15" s="82"/>
      <c r="CN15" s="82"/>
      <c r="CO15" s="82"/>
      <c r="CQ15" s="47">
        <f t="shared" si="23"/>
        <v>0</v>
      </c>
      <c r="CR15" s="47">
        <f t="shared" si="24"/>
        <v>0</v>
      </c>
      <c r="CS15" s="47">
        <f t="shared" si="25"/>
        <v>0</v>
      </c>
      <c r="CT15" s="47">
        <f t="shared" si="26"/>
        <v>0</v>
      </c>
      <c r="CU15" s="47">
        <f t="shared" si="27"/>
        <v>0</v>
      </c>
      <c r="CV15" s="47">
        <f t="shared" si="28"/>
        <v>0</v>
      </c>
      <c r="CW15" s="47">
        <f t="shared" si="29"/>
        <v>0</v>
      </c>
      <c r="CX15" s="47">
        <f t="shared" si="30"/>
        <v>0</v>
      </c>
      <c r="CZ15" s="39"/>
      <c r="DA15" s="39"/>
      <c r="DB15" s="39"/>
      <c r="DC15" s="39"/>
      <c r="DD15" s="39"/>
      <c r="DE15" s="39"/>
    </row>
    <row r="16" spans="2:109" x14ac:dyDescent="0.25">
      <c r="B16" s="7"/>
      <c r="C16" s="7"/>
      <c r="D16" s="7"/>
      <c r="E16" s="7"/>
      <c r="F16" s="7"/>
      <c r="G16" s="7"/>
      <c r="H16" s="7"/>
      <c r="I16" s="7"/>
      <c r="J16" s="45"/>
      <c r="K16" s="45"/>
      <c r="L16" s="45"/>
      <c r="M16" s="45"/>
      <c r="N16" s="45"/>
      <c r="O16" s="45"/>
      <c r="P16" s="45"/>
      <c r="Q16" s="45"/>
      <c r="S16" s="47"/>
      <c r="T16" s="47"/>
      <c r="U16" s="47"/>
      <c r="V16" s="47"/>
      <c r="W16" s="47"/>
      <c r="X16" s="47"/>
      <c r="Y16" s="47"/>
      <c r="Z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Y16" s="47"/>
      <c r="BZ16" s="47"/>
      <c r="CA16" s="47"/>
      <c r="CB16" s="47"/>
      <c r="CC16" s="47"/>
      <c r="CD16" s="47"/>
      <c r="CE16" s="47"/>
      <c r="CF16" s="47"/>
      <c r="CH16" s="82"/>
      <c r="CI16" s="82"/>
      <c r="CJ16" s="82"/>
      <c r="CK16" s="82"/>
      <c r="CL16" s="82"/>
      <c r="CM16" s="82"/>
      <c r="CN16" s="82"/>
      <c r="CO16" s="82"/>
      <c r="CQ16" s="47">
        <f t="shared" si="23"/>
        <v>0</v>
      </c>
      <c r="CR16" s="47">
        <f t="shared" si="24"/>
        <v>0</v>
      </c>
      <c r="CS16" s="47">
        <f t="shared" si="25"/>
        <v>0</v>
      </c>
      <c r="CT16" s="47">
        <f t="shared" si="26"/>
        <v>0</v>
      </c>
      <c r="CU16" s="47">
        <f t="shared" si="27"/>
        <v>0</v>
      </c>
      <c r="CV16" s="47">
        <f t="shared" si="28"/>
        <v>0</v>
      </c>
      <c r="CW16" s="47">
        <f t="shared" si="29"/>
        <v>0</v>
      </c>
      <c r="CX16" s="47">
        <f t="shared" si="30"/>
        <v>0</v>
      </c>
      <c r="CZ16" s="39"/>
      <c r="DA16" s="39"/>
      <c r="DB16" s="39"/>
      <c r="DC16" s="39"/>
      <c r="DD16" s="39"/>
      <c r="DE16" s="39"/>
    </row>
    <row r="17" spans="2:109" x14ac:dyDescent="0.25">
      <c r="B17" s="7"/>
      <c r="C17" s="7"/>
      <c r="D17" s="7"/>
      <c r="E17" s="7"/>
      <c r="F17" s="7"/>
      <c r="G17" s="7"/>
      <c r="H17" s="7"/>
      <c r="I17" s="7"/>
      <c r="J17" s="45"/>
      <c r="K17" s="45"/>
      <c r="L17" s="45"/>
      <c r="M17" s="45"/>
      <c r="N17" s="45"/>
      <c r="O17" s="45"/>
      <c r="P17" s="45"/>
      <c r="Q17" s="45"/>
      <c r="S17" s="47"/>
      <c r="T17" s="47"/>
      <c r="U17" s="47"/>
      <c r="V17" s="47"/>
      <c r="W17" s="47"/>
      <c r="X17" s="47"/>
      <c r="Y17" s="47"/>
      <c r="Z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Y17" s="47"/>
      <c r="BZ17" s="47"/>
      <c r="CA17" s="47"/>
      <c r="CB17" s="47"/>
      <c r="CC17" s="47"/>
      <c r="CD17" s="47"/>
      <c r="CE17" s="47"/>
      <c r="CF17" s="47"/>
      <c r="CH17" s="82"/>
      <c r="CI17" s="82"/>
      <c r="CJ17" s="82"/>
      <c r="CK17" s="82"/>
      <c r="CL17" s="82"/>
      <c r="CM17" s="82"/>
      <c r="CN17" s="82"/>
      <c r="CO17" s="82"/>
      <c r="CQ17" s="47">
        <f t="shared" si="23"/>
        <v>0</v>
      </c>
      <c r="CR17" s="47">
        <f t="shared" si="24"/>
        <v>0</v>
      </c>
      <c r="CS17" s="47">
        <f t="shared" si="25"/>
        <v>0</v>
      </c>
      <c r="CT17" s="47">
        <f t="shared" si="26"/>
        <v>0</v>
      </c>
      <c r="CU17" s="47">
        <f t="shared" si="27"/>
        <v>0</v>
      </c>
      <c r="CV17" s="47">
        <f t="shared" si="28"/>
        <v>0</v>
      </c>
      <c r="CW17" s="47">
        <f t="shared" si="29"/>
        <v>0</v>
      </c>
      <c r="CX17" s="47">
        <f t="shared" si="30"/>
        <v>0</v>
      </c>
      <c r="CZ17" s="39"/>
      <c r="DA17" s="39"/>
      <c r="DB17" s="39"/>
      <c r="DC17" s="39"/>
      <c r="DD17" s="39"/>
      <c r="DE17" s="39"/>
    </row>
    <row r="18" spans="2:109" x14ac:dyDescent="0.25">
      <c r="B18" s="7"/>
      <c r="C18" s="7"/>
      <c r="D18" s="7"/>
      <c r="E18" s="7"/>
      <c r="F18" s="7"/>
      <c r="G18" s="7"/>
      <c r="H18" s="7"/>
      <c r="I18" s="7"/>
      <c r="J18" s="45"/>
      <c r="K18" s="45"/>
      <c r="L18" s="45"/>
      <c r="M18" s="45"/>
      <c r="N18" s="45"/>
      <c r="O18" s="45"/>
      <c r="P18" s="45"/>
      <c r="Q18" s="45"/>
      <c r="S18" s="47"/>
      <c r="T18" s="47"/>
      <c r="U18" s="47"/>
      <c r="V18" s="47"/>
      <c r="W18" s="47"/>
      <c r="X18" s="47"/>
      <c r="Y18" s="47"/>
      <c r="Z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Y18" s="47"/>
      <c r="BZ18" s="47"/>
      <c r="CA18" s="47"/>
      <c r="CB18" s="47"/>
      <c r="CC18" s="47"/>
      <c r="CD18" s="47"/>
      <c r="CE18" s="47"/>
      <c r="CF18" s="47"/>
      <c r="CH18" s="82"/>
      <c r="CI18" s="82"/>
      <c r="CJ18" s="82"/>
      <c r="CK18" s="82"/>
      <c r="CL18" s="82"/>
      <c r="CM18" s="82"/>
      <c r="CN18" s="82"/>
      <c r="CO18" s="82"/>
      <c r="CQ18" s="47">
        <f t="shared" si="23"/>
        <v>0</v>
      </c>
      <c r="CR18" s="47">
        <f t="shared" si="24"/>
        <v>0</v>
      </c>
      <c r="CS18" s="47">
        <f t="shared" si="25"/>
        <v>0</v>
      </c>
      <c r="CT18" s="47">
        <f t="shared" si="26"/>
        <v>0</v>
      </c>
      <c r="CU18" s="47">
        <f t="shared" si="27"/>
        <v>0</v>
      </c>
      <c r="CV18" s="47">
        <f t="shared" si="28"/>
        <v>0</v>
      </c>
      <c r="CW18" s="47">
        <f t="shared" si="29"/>
        <v>0</v>
      </c>
      <c r="CX18" s="47">
        <f t="shared" si="30"/>
        <v>0</v>
      </c>
      <c r="CZ18" s="39"/>
      <c r="DA18" s="39"/>
      <c r="DB18" s="39"/>
      <c r="DC18" s="39"/>
      <c r="DD18" s="39"/>
      <c r="DE18" s="39"/>
    </row>
    <row r="19" spans="2:109" x14ac:dyDescent="0.25">
      <c r="B19" s="7"/>
      <c r="C19" s="7"/>
      <c r="D19" s="7"/>
      <c r="E19" s="7"/>
      <c r="F19" s="7"/>
      <c r="G19" s="7"/>
      <c r="H19" s="7"/>
      <c r="I19" s="7"/>
      <c r="J19" s="45"/>
      <c r="K19" s="45"/>
      <c r="L19" s="45"/>
      <c r="M19" s="45"/>
      <c r="N19" s="45"/>
      <c r="O19" s="45"/>
      <c r="P19" s="45"/>
      <c r="Q19" s="45"/>
      <c r="S19" s="47"/>
      <c r="T19" s="47"/>
      <c r="U19" s="47"/>
      <c r="V19" s="47"/>
      <c r="W19" s="47"/>
      <c r="X19" s="47"/>
      <c r="Y19" s="47"/>
      <c r="Z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Y19" s="47"/>
      <c r="BZ19" s="47"/>
      <c r="CA19" s="47"/>
      <c r="CB19" s="47"/>
      <c r="CC19" s="47"/>
      <c r="CD19" s="47"/>
      <c r="CE19" s="47"/>
      <c r="CF19" s="47"/>
      <c r="CH19" s="82"/>
      <c r="CI19" s="82"/>
      <c r="CJ19" s="82"/>
      <c r="CK19" s="82"/>
      <c r="CL19" s="82"/>
      <c r="CM19" s="82"/>
      <c r="CN19" s="82"/>
      <c r="CO19" s="82"/>
      <c r="CQ19" s="47">
        <f t="shared" si="23"/>
        <v>0</v>
      </c>
      <c r="CR19" s="47">
        <f t="shared" si="24"/>
        <v>0</v>
      </c>
      <c r="CS19" s="47">
        <f t="shared" si="25"/>
        <v>0</v>
      </c>
      <c r="CT19" s="47">
        <f t="shared" si="26"/>
        <v>0</v>
      </c>
      <c r="CU19" s="47">
        <f t="shared" si="27"/>
        <v>0</v>
      </c>
      <c r="CV19" s="47">
        <f t="shared" si="28"/>
        <v>0</v>
      </c>
      <c r="CW19" s="47">
        <f t="shared" si="29"/>
        <v>0</v>
      </c>
      <c r="CX19" s="47">
        <f t="shared" si="30"/>
        <v>0</v>
      </c>
      <c r="CZ19" s="39"/>
      <c r="DA19" s="39"/>
      <c r="DB19" s="39"/>
      <c r="DC19" s="39"/>
      <c r="DD19" s="39"/>
      <c r="DE19" s="39"/>
    </row>
    <row r="20" spans="2:109" x14ac:dyDescent="0.25">
      <c r="B20" s="7"/>
      <c r="C20" s="7"/>
      <c r="D20" s="7"/>
      <c r="E20" s="7"/>
      <c r="F20" s="7"/>
      <c r="G20" s="7"/>
      <c r="H20" s="7"/>
      <c r="I20" s="7"/>
      <c r="J20" s="45"/>
      <c r="K20" s="45"/>
      <c r="L20" s="45"/>
      <c r="M20" s="45"/>
      <c r="N20" s="45"/>
      <c r="O20" s="45"/>
      <c r="P20" s="45"/>
      <c r="Q20" s="45"/>
      <c r="S20" s="47"/>
      <c r="T20" s="47"/>
      <c r="U20" s="47"/>
      <c r="V20" s="47"/>
      <c r="W20" s="47"/>
      <c r="X20" s="47"/>
      <c r="Y20" s="47"/>
      <c r="Z20" s="47"/>
      <c r="AB20" s="6"/>
      <c r="AC20" s="6"/>
      <c r="AD20" s="6"/>
      <c r="AE20" s="6"/>
      <c r="AF20" s="6"/>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Y20" s="47"/>
      <c r="BZ20" s="47"/>
      <c r="CA20" s="47"/>
      <c r="CB20" s="47"/>
      <c r="CC20" s="47"/>
      <c r="CD20" s="47"/>
      <c r="CE20" s="47"/>
      <c r="CF20" s="47"/>
      <c r="CH20" s="82"/>
      <c r="CI20" s="82"/>
      <c r="CJ20" s="82"/>
      <c r="CK20" s="82"/>
      <c r="CL20" s="82"/>
      <c r="CM20" s="82"/>
      <c r="CN20" s="82"/>
      <c r="CO20" s="82"/>
      <c r="CQ20" s="47">
        <f t="shared" si="23"/>
        <v>0</v>
      </c>
      <c r="CR20" s="47">
        <f t="shared" si="24"/>
        <v>0</v>
      </c>
      <c r="CS20" s="47">
        <f t="shared" si="25"/>
        <v>0</v>
      </c>
      <c r="CT20" s="47">
        <f t="shared" si="26"/>
        <v>0</v>
      </c>
      <c r="CU20" s="47">
        <f t="shared" si="27"/>
        <v>0</v>
      </c>
      <c r="CV20" s="47">
        <f t="shared" si="28"/>
        <v>0</v>
      </c>
      <c r="CW20" s="47">
        <f t="shared" si="29"/>
        <v>0</v>
      </c>
      <c r="CX20" s="47">
        <f t="shared" si="30"/>
        <v>0</v>
      </c>
      <c r="CZ20" s="39"/>
      <c r="DA20" s="39"/>
      <c r="DB20" s="39"/>
      <c r="DC20" s="39"/>
      <c r="DD20" s="39"/>
      <c r="DE20" s="39"/>
    </row>
    <row r="21" spans="2:109" x14ac:dyDescent="0.25">
      <c r="B21" s="7"/>
      <c r="C21" s="7"/>
      <c r="D21" s="7"/>
      <c r="E21" s="7"/>
      <c r="F21" s="7"/>
      <c r="G21" s="7"/>
      <c r="H21" s="7"/>
      <c r="I21" s="7"/>
      <c r="J21" s="45"/>
      <c r="K21" s="45"/>
      <c r="L21" s="45"/>
      <c r="M21" s="45"/>
      <c r="N21" s="45"/>
      <c r="O21" s="45"/>
      <c r="P21" s="45"/>
      <c r="Q21" s="45"/>
      <c r="S21" s="47"/>
      <c r="T21" s="47"/>
      <c r="U21" s="47"/>
      <c r="V21" s="47"/>
      <c r="W21" s="47"/>
      <c r="X21" s="47"/>
      <c r="Y21" s="47"/>
      <c r="Z21" s="47"/>
      <c r="AB21" s="6"/>
      <c r="AC21" s="6"/>
      <c r="AD21" s="6"/>
      <c r="AE21" s="6"/>
      <c r="AF21" s="6"/>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Y21" s="47"/>
      <c r="BZ21" s="47"/>
      <c r="CA21" s="47"/>
      <c r="CB21" s="47"/>
      <c r="CC21" s="47"/>
      <c r="CD21" s="47"/>
      <c r="CE21" s="47"/>
      <c r="CF21" s="47"/>
      <c r="CH21" s="82"/>
      <c r="CI21" s="82"/>
      <c r="CJ21" s="82"/>
      <c r="CK21" s="82"/>
      <c r="CL21" s="82"/>
      <c r="CM21" s="82"/>
      <c r="CN21" s="82"/>
      <c r="CO21" s="82"/>
      <c r="CQ21" s="47">
        <f t="shared" si="23"/>
        <v>0</v>
      </c>
      <c r="CR21" s="47">
        <f t="shared" si="24"/>
        <v>0</v>
      </c>
      <c r="CS21" s="47">
        <f t="shared" si="25"/>
        <v>0</v>
      </c>
      <c r="CT21" s="47">
        <f t="shared" si="26"/>
        <v>0</v>
      </c>
      <c r="CU21" s="47">
        <f t="shared" si="27"/>
        <v>0</v>
      </c>
      <c r="CV21" s="47">
        <f t="shared" si="28"/>
        <v>0</v>
      </c>
      <c r="CW21" s="47">
        <f t="shared" si="29"/>
        <v>0</v>
      </c>
      <c r="CX21" s="47">
        <f t="shared" si="30"/>
        <v>0</v>
      </c>
      <c r="CZ21" s="39"/>
      <c r="DA21" s="39"/>
      <c r="DB21" s="39"/>
      <c r="DC21" s="39"/>
      <c r="DD21" s="39"/>
      <c r="DE21" s="39"/>
    </row>
    <row r="22" spans="2:109" x14ac:dyDescent="0.25">
      <c r="B22" s="7"/>
      <c r="C22" s="7"/>
      <c r="D22" s="7"/>
      <c r="E22" s="7"/>
      <c r="F22" s="7"/>
      <c r="G22" s="7"/>
      <c r="H22" s="7"/>
      <c r="I22" s="7"/>
      <c r="J22" s="45"/>
      <c r="K22" s="45"/>
      <c r="L22" s="45"/>
      <c r="M22" s="45"/>
      <c r="N22" s="45"/>
      <c r="O22" s="45"/>
      <c r="P22" s="45"/>
      <c r="Q22" s="45"/>
      <c r="S22" s="47"/>
      <c r="T22" s="47"/>
      <c r="U22" s="47"/>
      <c r="V22" s="47"/>
      <c r="W22" s="47"/>
      <c r="X22" s="47"/>
      <c r="Y22" s="47"/>
      <c r="Z22" s="47"/>
      <c r="AB22" s="6"/>
      <c r="AC22" s="6"/>
      <c r="AD22" s="6"/>
      <c r="AE22" s="6"/>
      <c r="AF22" s="6"/>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Y22" s="47"/>
      <c r="BZ22" s="47"/>
      <c r="CA22" s="47"/>
      <c r="CB22" s="47"/>
      <c r="CC22" s="47"/>
      <c r="CD22" s="47"/>
      <c r="CE22" s="47"/>
      <c r="CF22" s="47"/>
      <c r="CH22" s="82"/>
      <c r="CI22" s="82"/>
      <c r="CJ22" s="82"/>
      <c r="CK22" s="82"/>
      <c r="CL22" s="82"/>
      <c r="CM22" s="82"/>
      <c r="CN22" s="82"/>
      <c r="CO22" s="82"/>
      <c r="CQ22" s="47">
        <f t="shared" si="23"/>
        <v>0</v>
      </c>
      <c r="CR22" s="47">
        <f t="shared" si="24"/>
        <v>0</v>
      </c>
      <c r="CS22" s="47">
        <f t="shared" si="25"/>
        <v>0</v>
      </c>
      <c r="CT22" s="47">
        <f t="shared" si="26"/>
        <v>0</v>
      </c>
      <c r="CU22" s="47">
        <f t="shared" si="27"/>
        <v>0</v>
      </c>
      <c r="CV22" s="47">
        <f t="shared" si="28"/>
        <v>0</v>
      </c>
      <c r="CW22" s="47">
        <f t="shared" si="29"/>
        <v>0</v>
      </c>
      <c r="CX22" s="47">
        <f t="shared" si="30"/>
        <v>0</v>
      </c>
      <c r="CZ22" s="39"/>
    </row>
    <row r="23" spans="2:109" x14ac:dyDescent="0.25">
      <c r="B23" s="7"/>
      <c r="C23" s="7"/>
      <c r="D23" s="7"/>
      <c r="E23" s="7"/>
      <c r="F23" s="7"/>
      <c r="G23" s="7"/>
      <c r="H23" s="7"/>
      <c r="I23" s="7"/>
      <c r="J23" s="45"/>
      <c r="K23" s="45"/>
      <c r="L23" s="45"/>
      <c r="M23" s="45"/>
      <c r="N23" s="45"/>
      <c r="O23" s="45"/>
      <c r="P23" s="45"/>
      <c r="Q23" s="45"/>
      <c r="S23" s="47"/>
      <c r="T23" s="47"/>
      <c r="U23" s="47"/>
      <c r="V23" s="47"/>
      <c r="W23" s="47"/>
      <c r="X23" s="47"/>
      <c r="Y23" s="47"/>
      <c r="Z23" s="47"/>
      <c r="AB23" s="6"/>
      <c r="AC23" s="6"/>
      <c r="AD23" s="6"/>
      <c r="AE23" s="6"/>
      <c r="AF23" s="6"/>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Y23" s="47"/>
      <c r="BZ23" s="47"/>
      <c r="CA23" s="47"/>
      <c r="CB23" s="47"/>
      <c r="CC23" s="47"/>
      <c r="CD23" s="47"/>
      <c r="CE23" s="47"/>
      <c r="CF23" s="47"/>
      <c r="CH23" s="82"/>
      <c r="CI23" s="82"/>
      <c r="CJ23" s="82"/>
      <c r="CK23" s="82"/>
      <c r="CL23" s="82"/>
      <c r="CM23" s="82"/>
      <c r="CN23" s="82"/>
      <c r="CO23" s="82"/>
      <c r="CQ23" s="47">
        <f t="shared" si="23"/>
        <v>0</v>
      </c>
      <c r="CR23" s="47">
        <f t="shared" si="24"/>
        <v>0</v>
      </c>
      <c r="CS23" s="47">
        <f t="shared" si="25"/>
        <v>0</v>
      </c>
      <c r="CT23" s="47">
        <f t="shared" si="26"/>
        <v>0</v>
      </c>
      <c r="CU23" s="47">
        <f t="shared" si="27"/>
        <v>0</v>
      </c>
      <c r="CV23" s="47">
        <f t="shared" si="28"/>
        <v>0</v>
      </c>
      <c r="CW23" s="47">
        <f t="shared" si="29"/>
        <v>0</v>
      </c>
      <c r="CX23" s="47">
        <f t="shared" si="30"/>
        <v>0</v>
      </c>
      <c r="CZ23" s="39"/>
    </row>
    <row r="24" spans="2:109" x14ac:dyDescent="0.25">
      <c r="B24" s="7"/>
      <c r="C24" s="7"/>
      <c r="D24" s="7"/>
      <c r="E24" s="7"/>
      <c r="F24" s="7"/>
      <c r="G24" s="7"/>
      <c r="H24" s="7"/>
      <c r="I24" s="7"/>
      <c r="J24" s="45"/>
      <c r="K24" s="45"/>
      <c r="L24" s="45"/>
      <c r="M24" s="45"/>
      <c r="N24" s="45"/>
      <c r="O24" s="45"/>
      <c r="P24" s="45"/>
      <c r="Q24" s="45"/>
      <c r="S24" s="47"/>
      <c r="T24" s="47"/>
      <c r="U24" s="47"/>
      <c r="V24" s="47"/>
      <c r="W24" s="47"/>
      <c r="X24" s="47"/>
      <c r="Y24" s="47"/>
      <c r="Z24" s="47"/>
      <c r="AB24" s="6"/>
      <c r="AC24" s="6"/>
      <c r="AD24" s="6"/>
      <c r="AE24" s="6"/>
      <c r="AF24" s="6"/>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Y24" s="47"/>
      <c r="BZ24" s="47"/>
      <c r="CA24" s="47"/>
      <c r="CB24" s="47"/>
      <c r="CC24" s="47"/>
      <c r="CD24" s="47"/>
      <c r="CE24" s="47"/>
      <c r="CF24" s="47"/>
      <c r="CH24" s="82"/>
      <c r="CI24" s="82"/>
      <c r="CJ24" s="82"/>
      <c r="CK24" s="82"/>
      <c r="CL24" s="82"/>
      <c r="CM24" s="82"/>
      <c r="CN24" s="82"/>
      <c r="CO24" s="82"/>
      <c r="CQ24" s="47">
        <f t="shared" si="23"/>
        <v>0</v>
      </c>
      <c r="CR24" s="47">
        <f t="shared" si="24"/>
        <v>0</v>
      </c>
      <c r="CS24" s="47">
        <f t="shared" si="25"/>
        <v>0</v>
      </c>
      <c r="CT24" s="47">
        <f t="shared" si="26"/>
        <v>0</v>
      </c>
      <c r="CU24" s="47">
        <f t="shared" si="27"/>
        <v>0</v>
      </c>
      <c r="CV24" s="47">
        <f t="shared" si="28"/>
        <v>0</v>
      </c>
      <c r="CW24" s="47">
        <f t="shared" si="29"/>
        <v>0</v>
      </c>
      <c r="CX24" s="47">
        <f t="shared" si="30"/>
        <v>0</v>
      </c>
      <c r="CZ24" s="39"/>
    </row>
    <row r="25" spans="2:109" x14ac:dyDescent="0.25">
      <c r="B25" s="7"/>
      <c r="C25" s="7"/>
      <c r="D25" s="7"/>
      <c r="E25" s="7"/>
      <c r="F25" s="7"/>
      <c r="G25" s="7"/>
      <c r="H25" s="7"/>
      <c r="I25" s="7"/>
      <c r="J25" s="45"/>
      <c r="K25" s="45"/>
      <c r="L25" s="45"/>
      <c r="M25" s="45"/>
      <c r="N25" s="45"/>
      <c r="O25" s="45"/>
      <c r="P25" s="45"/>
      <c r="Q25" s="45"/>
      <c r="S25" s="47"/>
      <c r="T25" s="47"/>
      <c r="U25" s="47"/>
      <c r="V25" s="47"/>
      <c r="W25" s="47"/>
      <c r="X25" s="47"/>
      <c r="Y25" s="47"/>
      <c r="Z25" s="47"/>
      <c r="AB25" s="6"/>
      <c r="AC25" s="6"/>
      <c r="AD25" s="6"/>
      <c r="AE25" s="6"/>
      <c r="AF25" s="6"/>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Y25" s="47"/>
      <c r="BZ25" s="47"/>
      <c r="CA25" s="47"/>
      <c r="CB25" s="47"/>
      <c r="CC25" s="47"/>
      <c r="CD25" s="47"/>
      <c r="CE25" s="47"/>
      <c r="CF25" s="47"/>
      <c r="CH25" s="82"/>
      <c r="CI25" s="82"/>
      <c r="CJ25" s="82"/>
      <c r="CK25" s="82"/>
      <c r="CL25" s="82"/>
      <c r="CM25" s="82"/>
      <c r="CN25" s="82"/>
      <c r="CO25" s="82"/>
      <c r="CQ25" s="47">
        <f t="shared" si="23"/>
        <v>0</v>
      </c>
      <c r="CR25" s="47">
        <f t="shared" si="24"/>
        <v>0</v>
      </c>
      <c r="CS25" s="47">
        <f t="shared" si="25"/>
        <v>0</v>
      </c>
      <c r="CT25" s="47">
        <f t="shared" si="26"/>
        <v>0</v>
      </c>
      <c r="CU25" s="47">
        <f t="shared" si="27"/>
        <v>0</v>
      </c>
      <c r="CV25" s="47">
        <f t="shared" si="28"/>
        <v>0</v>
      </c>
      <c r="CW25" s="47">
        <f t="shared" si="29"/>
        <v>0</v>
      </c>
      <c r="CX25" s="47">
        <f t="shared" si="30"/>
        <v>0</v>
      </c>
      <c r="CZ25" s="39"/>
    </row>
    <row r="26" spans="2:109" x14ac:dyDescent="0.25">
      <c r="B26" s="7"/>
      <c r="C26" s="7"/>
      <c r="D26" s="7"/>
      <c r="E26" s="7"/>
      <c r="F26" s="7"/>
      <c r="G26" s="7"/>
      <c r="H26" s="7"/>
      <c r="I26" s="7"/>
      <c r="J26" s="45"/>
      <c r="K26" s="45"/>
      <c r="L26" s="45"/>
      <c r="M26" s="45"/>
      <c r="N26" s="45"/>
      <c r="O26" s="45"/>
      <c r="P26" s="45"/>
      <c r="Q26" s="45"/>
      <c r="S26" s="47"/>
      <c r="T26" s="47"/>
      <c r="U26" s="47"/>
      <c r="V26" s="47"/>
      <c r="W26" s="47"/>
      <c r="X26" s="47"/>
      <c r="Y26" s="47"/>
      <c r="Z26" s="47"/>
      <c r="AB26" s="6"/>
      <c r="AC26" s="6"/>
      <c r="AD26" s="6"/>
      <c r="AE26" s="6"/>
      <c r="AF26" s="6"/>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Y26" s="47"/>
      <c r="BZ26" s="47"/>
      <c r="CA26" s="47"/>
      <c r="CB26" s="47"/>
      <c r="CC26" s="47"/>
      <c r="CD26" s="47"/>
      <c r="CE26" s="47"/>
      <c r="CF26" s="47"/>
      <c r="CH26" s="82"/>
      <c r="CI26" s="82"/>
      <c r="CJ26" s="82"/>
      <c r="CK26" s="82"/>
      <c r="CL26" s="82"/>
      <c r="CM26" s="82"/>
      <c r="CN26" s="82"/>
      <c r="CO26" s="82"/>
      <c r="CQ26" s="47">
        <f t="shared" si="23"/>
        <v>0</v>
      </c>
      <c r="CR26" s="47">
        <f t="shared" si="24"/>
        <v>0</v>
      </c>
      <c r="CS26" s="47">
        <f t="shared" si="25"/>
        <v>0</v>
      </c>
      <c r="CT26" s="47">
        <f t="shared" si="26"/>
        <v>0</v>
      </c>
      <c r="CU26" s="47">
        <f t="shared" si="27"/>
        <v>0</v>
      </c>
      <c r="CV26" s="47">
        <f t="shared" si="28"/>
        <v>0</v>
      </c>
      <c r="CW26" s="47">
        <f t="shared" si="29"/>
        <v>0</v>
      </c>
      <c r="CX26" s="47">
        <f t="shared" si="30"/>
        <v>0</v>
      </c>
      <c r="CZ26" s="39"/>
    </row>
    <row r="27" spans="2:109" x14ac:dyDescent="0.25">
      <c r="B27" s="7"/>
      <c r="C27" s="7"/>
      <c r="D27" s="7"/>
      <c r="E27" s="7"/>
      <c r="F27" s="7"/>
      <c r="G27" s="7"/>
      <c r="H27" s="7"/>
      <c r="I27" s="7"/>
      <c r="J27" s="45"/>
      <c r="K27" s="45"/>
      <c r="L27" s="45"/>
      <c r="M27" s="45"/>
      <c r="N27" s="45"/>
      <c r="O27" s="45"/>
      <c r="P27" s="45"/>
      <c r="Q27" s="45"/>
      <c r="S27" s="47"/>
      <c r="T27" s="47"/>
      <c r="U27" s="47"/>
      <c r="V27" s="47"/>
      <c r="W27" s="47"/>
      <c r="X27" s="47"/>
      <c r="Y27" s="47"/>
      <c r="Z27" s="47"/>
      <c r="AB27" s="6"/>
      <c r="AC27" s="6"/>
      <c r="AD27" s="6"/>
      <c r="AE27" s="6"/>
      <c r="AF27" s="6"/>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Y27" s="47"/>
      <c r="BZ27" s="47"/>
      <c r="CA27" s="47"/>
      <c r="CB27" s="47"/>
      <c r="CC27" s="47"/>
      <c r="CD27" s="47"/>
      <c r="CE27" s="47"/>
      <c r="CF27" s="47"/>
      <c r="CH27" s="82"/>
      <c r="CI27" s="82"/>
      <c r="CJ27" s="82"/>
      <c r="CK27" s="82"/>
      <c r="CL27" s="82"/>
      <c r="CM27" s="82"/>
      <c r="CN27" s="82"/>
      <c r="CO27" s="82"/>
      <c r="CQ27" s="47">
        <f t="shared" si="23"/>
        <v>0</v>
      </c>
      <c r="CR27" s="47">
        <f t="shared" si="24"/>
        <v>0</v>
      </c>
      <c r="CS27" s="47">
        <f t="shared" si="25"/>
        <v>0</v>
      </c>
      <c r="CT27" s="47">
        <f t="shared" si="26"/>
        <v>0</v>
      </c>
      <c r="CU27" s="47">
        <f t="shared" si="27"/>
        <v>0</v>
      </c>
      <c r="CV27" s="47">
        <f t="shared" si="28"/>
        <v>0</v>
      </c>
      <c r="CW27" s="47">
        <f t="shared" si="29"/>
        <v>0</v>
      </c>
      <c r="CX27" s="47">
        <f t="shared" si="30"/>
        <v>0</v>
      </c>
      <c r="CZ27" s="39"/>
    </row>
    <row r="28" spans="2:109" x14ac:dyDescent="0.25">
      <c r="B28" s="7"/>
      <c r="C28" s="7"/>
      <c r="D28" s="7"/>
      <c r="E28" s="7"/>
      <c r="F28" s="7"/>
      <c r="G28" s="7"/>
      <c r="H28" s="7"/>
      <c r="I28" s="7"/>
      <c r="J28" s="45"/>
      <c r="K28" s="45"/>
      <c r="L28" s="45"/>
      <c r="M28" s="45"/>
      <c r="N28" s="45"/>
      <c r="O28" s="45"/>
      <c r="P28" s="45"/>
      <c r="Q28" s="45"/>
      <c r="S28" s="47"/>
      <c r="T28" s="47"/>
      <c r="U28" s="47"/>
      <c r="V28" s="47"/>
      <c r="W28" s="47"/>
      <c r="X28" s="47"/>
      <c r="Y28" s="47"/>
      <c r="Z28" s="47"/>
      <c r="AB28" s="6"/>
      <c r="AC28" s="6"/>
      <c r="AD28" s="6"/>
      <c r="AE28" s="6"/>
      <c r="AF28" s="6"/>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Y28" s="47"/>
      <c r="BZ28" s="47"/>
      <c r="CA28" s="47"/>
      <c r="CB28" s="47"/>
      <c r="CC28" s="47"/>
      <c r="CD28" s="47"/>
      <c r="CE28" s="47"/>
      <c r="CF28" s="47"/>
      <c r="CH28" s="47"/>
      <c r="CI28" s="47"/>
      <c r="CJ28" s="47"/>
      <c r="CK28" s="47"/>
      <c r="CL28" s="47"/>
      <c r="CM28" s="47"/>
      <c r="CN28" s="47"/>
      <c r="CO28" s="47"/>
      <c r="CQ28" s="47">
        <f t="shared" si="23"/>
        <v>0</v>
      </c>
      <c r="CR28" s="47">
        <f t="shared" si="24"/>
        <v>0</v>
      </c>
      <c r="CS28" s="47">
        <f t="shared" si="25"/>
        <v>0</v>
      </c>
      <c r="CT28" s="47">
        <f t="shared" si="26"/>
        <v>0</v>
      </c>
      <c r="CU28" s="47">
        <f t="shared" si="27"/>
        <v>0</v>
      </c>
      <c r="CV28" s="47">
        <f t="shared" si="28"/>
        <v>0</v>
      </c>
      <c r="CW28" s="47">
        <f t="shared" si="29"/>
        <v>0</v>
      </c>
      <c r="CX28" s="47">
        <f t="shared" si="30"/>
        <v>0</v>
      </c>
      <c r="CZ28" s="39"/>
    </row>
    <row r="29" spans="2:109" x14ac:dyDescent="0.25">
      <c r="B29" s="7"/>
      <c r="C29" s="7"/>
      <c r="D29" s="7"/>
      <c r="E29" s="7"/>
      <c r="F29" s="7"/>
      <c r="G29" s="7"/>
      <c r="H29" s="7"/>
      <c r="I29" s="7"/>
      <c r="J29" s="45"/>
      <c r="K29" s="45"/>
      <c r="L29" s="45"/>
      <c r="M29" s="45"/>
      <c r="N29" s="45"/>
      <c r="O29" s="45"/>
      <c r="P29" s="45"/>
      <c r="Q29" s="45"/>
      <c r="S29" s="47"/>
      <c r="T29" s="47"/>
      <c r="U29" s="47"/>
      <c r="V29" s="47"/>
      <c r="W29" s="47"/>
      <c r="X29" s="47"/>
      <c r="Y29" s="47"/>
      <c r="Z29" s="47"/>
      <c r="AB29" s="6"/>
      <c r="AC29" s="6"/>
      <c r="AD29" s="6"/>
      <c r="AE29" s="6"/>
      <c r="AF29" s="6"/>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Y29" s="47"/>
      <c r="BZ29" s="47"/>
      <c r="CA29" s="47"/>
      <c r="CB29" s="47"/>
      <c r="CC29" s="47"/>
      <c r="CD29" s="47"/>
      <c r="CE29" s="47"/>
      <c r="CF29" s="47"/>
      <c r="CH29" s="47"/>
      <c r="CI29" s="47"/>
      <c r="CJ29" s="47"/>
      <c r="CK29" s="47"/>
      <c r="CL29" s="47"/>
      <c r="CM29" s="47"/>
      <c r="CN29" s="47"/>
      <c r="CO29" s="47"/>
      <c r="CQ29" s="47">
        <f t="shared" si="23"/>
        <v>0</v>
      </c>
      <c r="CR29" s="47">
        <f t="shared" si="24"/>
        <v>0</v>
      </c>
      <c r="CS29" s="47">
        <f t="shared" si="25"/>
        <v>0</v>
      </c>
      <c r="CT29" s="47">
        <f t="shared" si="26"/>
        <v>0</v>
      </c>
      <c r="CU29" s="47">
        <f t="shared" si="27"/>
        <v>0</v>
      </c>
      <c r="CV29" s="47">
        <f t="shared" si="28"/>
        <v>0</v>
      </c>
      <c r="CW29" s="47">
        <f t="shared" si="29"/>
        <v>0</v>
      </c>
      <c r="CX29" s="47">
        <f t="shared" si="30"/>
        <v>0</v>
      </c>
      <c r="CZ29" s="39"/>
    </row>
    <row r="30" spans="2:109" x14ac:dyDescent="0.25">
      <c r="B30" s="7"/>
      <c r="C30" s="7"/>
      <c r="D30" s="7"/>
      <c r="E30" s="7"/>
      <c r="F30" s="7"/>
      <c r="G30" s="7"/>
      <c r="H30" s="7"/>
      <c r="I30" s="7"/>
      <c r="J30" s="45"/>
      <c r="K30" s="45"/>
      <c r="L30" s="45"/>
      <c r="M30" s="45"/>
      <c r="N30" s="45"/>
      <c r="O30" s="45"/>
      <c r="P30" s="45"/>
      <c r="Q30" s="45"/>
      <c r="S30" s="47"/>
      <c r="T30" s="47"/>
      <c r="U30" s="47"/>
      <c r="V30" s="47"/>
      <c r="W30" s="47"/>
      <c r="X30" s="47"/>
      <c r="Y30" s="47"/>
      <c r="Z30" s="47"/>
      <c r="AB30" s="6"/>
      <c r="AC30" s="6"/>
      <c r="AD30" s="6"/>
      <c r="AE30" s="6"/>
      <c r="AF30" s="6"/>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Y30" s="47"/>
      <c r="BZ30" s="47"/>
      <c r="CA30" s="47"/>
      <c r="CB30" s="47"/>
      <c r="CC30" s="47"/>
      <c r="CD30" s="47"/>
      <c r="CE30" s="47"/>
      <c r="CF30" s="47"/>
      <c r="CH30" s="47"/>
      <c r="CI30" s="47"/>
      <c r="CJ30" s="47"/>
      <c r="CK30" s="47"/>
      <c r="CL30" s="47"/>
      <c r="CM30" s="47"/>
      <c r="CN30" s="47"/>
      <c r="CO30" s="47"/>
      <c r="CQ30" s="47">
        <f t="shared" si="23"/>
        <v>0</v>
      </c>
      <c r="CR30" s="47">
        <f t="shared" si="24"/>
        <v>0</v>
      </c>
      <c r="CS30" s="47">
        <f t="shared" si="25"/>
        <v>0</v>
      </c>
      <c r="CT30" s="47">
        <f t="shared" si="26"/>
        <v>0</v>
      </c>
      <c r="CU30" s="47">
        <f t="shared" si="27"/>
        <v>0</v>
      </c>
      <c r="CV30" s="47">
        <f t="shared" si="28"/>
        <v>0</v>
      </c>
      <c r="CW30" s="47">
        <f t="shared" si="29"/>
        <v>0</v>
      </c>
      <c r="CX30" s="47">
        <f t="shared" si="30"/>
        <v>0</v>
      </c>
      <c r="CZ30" s="39"/>
    </row>
    <row r="31" spans="2:109" x14ac:dyDescent="0.25">
      <c r="B31" s="7"/>
      <c r="C31" s="7"/>
      <c r="D31" s="7"/>
      <c r="E31" s="7"/>
      <c r="F31" s="7"/>
      <c r="G31" s="7"/>
      <c r="H31" s="7"/>
      <c r="I31" s="7"/>
      <c r="J31" s="45"/>
      <c r="K31" s="45"/>
      <c r="L31" s="45"/>
      <c r="M31" s="45"/>
      <c r="N31" s="45"/>
      <c r="O31" s="45"/>
      <c r="P31" s="45"/>
      <c r="Q31" s="45"/>
      <c r="S31" s="47"/>
      <c r="T31" s="47"/>
      <c r="U31" s="47"/>
      <c r="V31" s="47"/>
      <c r="W31" s="47"/>
      <c r="X31" s="47"/>
      <c r="Y31" s="47"/>
      <c r="Z31" s="47"/>
      <c r="AB31" s="6"/>
      <c r="AC31" s="6"/>
      <c r="AD31" s="6"/>
      <c r="AE31" s="6"/>
      <c r="AF31" s="6"/>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Y31" s="47"/>
      <c r="BZ31" s="47"/>
      <c r="CA31" s="47"/>
      <c r="CB31" s="47"/>
      <c r="CC31" s="47"/>
      <c r="CD31" s="47"/>
      <c r="CE31" s="47"/>
      <c r="CF31" s="47"/>
      <c r="CH31" s="47"/>
      <c r="CI31" s="47"/>
      <c r="CJ31" s="47"/>
      <c r="CK31" s="47"/>
      <c r="CL31" s="47"/>
      <c r="CM31" s="47"/>
      <c r="CN31" s="47"/>
      <c r="CO31" s="47"/>
      <c r="CQ31" s="47">
        <f t="shared" si="23"/>
        <v>0</v>
      </c>
      <c r="CR31" s="47">
        <f t="shared" si="24"/>
        <v>0</v>
      </c>
      <c r="CS31" s="47">
        <f t="shared" si="25"/>
        <v>0</v>
      </c>
      <c r="CT31" s="47">
        <f t="shared" si="26"/>
        <v>0</v>
      </c>
      <c r="CU31" s="47">
        <f t="shared" si="27"/>
        <v>0</v>
      </c>
      <c r="CV31" s="47">
        <f t="shared" si="28"/>
        <v>0</v>
      </c>
      <c r="CW31" s="47">
        <f t="shared" si="29"/>
        <v>0</v>
      </c>
      <c r="CX31" s="47">
        <f t="shared" si="30"/>
        <v>0</v>
      </c>
      <c r="CZ31" s="39"/>
    </row>
    <row r="32" spans="2:109" x14ac:dyDescent="0.25">
      <c r="B32" s="7"/>
      <c r="C32" s="7"/>
      <c r="D32" s="7"/>
      <c r="E32" s="7"/>
      <c r="F32" s="7"/>
      <c r="G32" s="7"/>
      <c r="H32" s="7"/>
      <c r="I32" s="7"/>
      <c r="J32" s="45"/>
      <c r="K32" s="45"/>
      <c r="L32" s="45"/>
      <c r="M32" s="45"/>
      <c r="N32" s="45"/>
      <c r="O32" s="45"/>
      <c r="P32" s="45"/>
      <c r="Q32" s="45"/>
      <c r="S32" s="47"/>
      <c r="T32" s="47"/>
      <c r="U32" s="47"/>
      <c r="V32" s="47"/>
      <c r="W32" s="47"/>
      <c r="X32" s="47"/>
      <c r="Y32" s="47"/>
      <c r="Z32" s="47"/>
      <c r="AB32" s="6"/>
      <c r="AC32" s="6"/>
      <c r="AD32" s="6"/>
      <c r="AE32" s="6"/>
      <c r="AF32" s="6"/>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Y32" s="47"/>
      <c r="BZ32" s="47"/>
      <c r="CA32" s="47"/>
      <c r="CB32" s="47"/>
      <c r="CC32" s="47"/>
      <c r="CD32" s="47"/>
      <c r="CE32" s="47"/>
      <c r="CF32" s="47"/>
      <c r="CH32" s="47"/>
      <c r="CI32" s="47"/>
      <c r="CJ32" s="47"/>
      <c r="CK32" s="47"/>
      <c r="CL32" s="47"/>
      <c r="CM32" s="47"/>
      <c r="CN32" s="47"/>
      <c r="CO32" s="47"/>
      <c r="CQ32" s="47">
        <f t="shared" si="23"/>
        <v>0</v>
      </c>
      <c r="CR32" s="47">
        <f t="shared" si="24"/>
        <v>0</v>
      </c>
      <c r="CS32" s="47">
        <f t="shared" si="25"/>
        <v>0</v>
      </c>
      <c r="CT32" s="47">
        <f t="shared" si="26"/>
        <v>0</v>
      </c>
      <c r="CU32" s="47">
        <f t="shared" si="27"/>
        <v>0</v>
      </c>
      <c r="CV32" s="47">
        <f t="shared" si="28"/>
        <v>0</v>
      </c>
      <c r="CW32" s="47">
        <f t="shared" si="29"/>
        <v>0</v>
      </c>
      <c r="CX32" s="47">
        <f t="shared" si="30"/>
        <v>0</v>
      </c>
      <c r="CZ32" s="39"/>
    </row>
    <row r="33" spans="2:104" x14ac:dyDescent="0.25">
      <c r="B33" s="7"/>
      <c r="C33" s="7"/>
      <c r="D33" s="7"/>
      <c r="E33" s="7"/>
      <c r="F33" s="7"/>
      <c r="G33" s="7"/>
      <c r="H33" s="7"/>
      <c r="I33" s="7"/>
      <c r="J33" s="45"/>
      <c r="K33" s="45"/>
      <c r="L33" s="45"/>
      <c r="M33" s="45"/>
      <c r="N33" s="45"/>
      <c r="O33" s="45"/>
      <c r="P33" s="45"/>
      <c r="Q33" s="45"/>
      <c r="S33" s="47"/>
      <c r="T33" s="47"/>
      <c r="U33" s="47"/>
      <c r="V33" s="47"/>
      <c r="W33" s="47"/>
      <c r="X33" s="47"/>
      <c r="Y33" s="47"/>
      <c r="Z33" s="47"/>
      <c r="AB33" s="6"/>
      <c r="AC33" s="6"/>
      <c r="AD33" s="6"/>
      <c r="AE33" s="6"/>
      <c r="AF33" s="6"/>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Y33" s="47"/>
      <c r="BZ33" s="47"/>
      <c r="CA33" s="47"/>
      <c r="CB33" s="47"/>
      <c r="CC33" s="47"/>
      <c r="CD33" s="47"/>
      <c r="CE33" s="47"/>
      <c r="CF33" s="47"/>
      <c r="CH33" s="47"/>
      <c r="CI33" s="47"/>
      <c r="CJ33" s="47"/>
      <c r="CK33" s="47"/>
      <c r="CL33" s="47"/>
      <c r="CM33" s="47"/>
      <c r="CN33" s="47"/>
      <c r="CO33" s="47"/>
      <c r="CQ33" s="47">
        <f t="shared" si="23"/>
        <v>0</v>
      </c>
      <c r="CR33" s="47">
        <f t="shared" si="24"/>
        <v>0</v>
      </c>
      <c r="CS33" s="47">
        <f t="shared" si="25"/>
        <v>0</v>
      </c>
      <c r="CT33" s="47">
        <f t="shared" si="26"/>
        <v>0</v>
      </c>
      <c r="CU33" s="47">
        <f t="shared" si="27"/>
        <v>0</v>
      </c>
      <c r="CV33" s="47">
        <f t="shared" si="28"/>
        <v>0</v>
      </c>
      <c r="CW33" s="47">
        <f t="shared" si="29"/>
        <v>0</v>
      </c>
      <c r="CX33" s="47">
        <f t="shared" si="30"/>
        <v>0</v>
      </c>
      <c r="CZ33" s="39"/>
    </row>
    <row r="34" spans="2:104" x14ac:dyDescent="0.25">
      <c r="B34" s="7"/>
      <c r="C34" s="7"/>
      <c r="D34" s="7"/>
      <c r="E34" s="7"/>
      <c r="F34" s="7"/>
      <c r="G34" s="7"/>
      <c r="H34" s="7"/>
      <c r="I34" s="7"/>
      <c r="J34" s="45"/>
      <c r="K34" s="45"/>
      <c r="L34" s="45"/>
      <c r="M34" s="45"/>
      <c r="N34" s="45"/>
      <c r="O34" s="45"/>
      <c r="P34" s="45"/>
      <c r="Q34" s="45"/>
      <c r="S34" s="47"/>
      <c r="T34" s="47"/>
      <c r="U34" s="47"/>
      <c r="V34" s="47"/>
      <c r="W34" s="47"/>
      <c r="X34" s="47"/>
      <c r="Y34" s="47"/>
      <c r="Z34" s="47"/>
      <c r="AB34" s="6"/>
      <c r="AC34" s="6"/>
      <c r="AD34" s="6"/>
      <c r="AE34" s="6"/>
      <c r="AF34" s="6"/>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Y34" s="47"/>
      <c r="BZ34" s="47"/>
      <c r="CA34" s="47"/>
      <c r="CB34" s="47"/>
      <c r="CC34" s="47"/>
      <c r="CD34" s="47"/>
      <c r="CE34" s="47"/>
      <c r="CF34" s="47"/>
      <c r="CH34" s="47"/>
      <c r="CI34" s="47"/>
      <c r="CJ34" s="47"/>
      <c r="CK34" s="47"/>
      <c r="CL34" s="47"/>
      <c r="CM34" s="47"/>
      <c r="CN34" s="47"/>
      <c r="CO34" s="47"/>
      <c r="CQ34" s="47">
        <f t="shared" si="23"/>
        <v>0</v>
      </c>
      <c r="CR34" s="47">
        <f t="shared" si="24"/>
        <v>0</v>
      </c>
      <c r="CS34" s="47">
        <f t="shared" si="25"/>
        <v>0</v>
      </c>
      <c r="CT34" s="47">
        <f t="shared" si="26"/>
        <v>0</v>
      </c>
      <c r="CU34" s="47">
        <f t="shared" si="27"/>
        <v>0</v>
      </c>
      <c r="CV34" s="47">
        <f t="shared" si="28"/>
        <v>0</v>
      </c>
      <c r="CW34" s="47">
        <f t="shared" si="29"/>
        <v>0</v>
      </c>
      <c r="CX34" s="47">
        <f t="shared" si="30"/>
        <v>0</v>
      </c>
      <c r="CZ34" s="39"/>
    </row>
    <row r="35" spans="2:104" x14ac:dyDescent="0.25">
      <c r="B35" s="7"/>
      <c r="C35" s="7"/>
      <c r="D35" s="7"/>
      <c r="E35" s="7"/>
      <c r="F35" s="7"/>
      <c r="G35" s="7"/>
      <c r="H35" s="7"/>
      <c r="I35" s="7"/>
      <c r="J35" s="45"/>
      <c r="K35" s="45"/>
      <c r="L35" s="45"/>
      <c r="M35" s="45"/>
      <c r="N35" s="45"/>
      <c r="O35" s="45"/>
      <c r="P35" s="45"/>
      <c r="Q35" s="45"/>
      <c r="S35" s="47"/>
      <c r="T35" s="47"/>
      <c r="U35" s="47"/>
      <c r="V35" s="47"/>
      <c r="W35" s="47"/>
      <c r="X35" s="47"/>
      <c r="Y35" s="47"/>
      <c r="Z35" s="47"/>
      <c r="AB35" s="6"/>
      <c r="AC35" s="6"/>
      <c r="AD35" s="6"/>
      <c r="AE35" s="6"/>
      <c r="AF35" s="6"/>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Y35" s="47"/>
      <c r="BZ35" s="47"/>
      <c r="CA35" s="47"/>
      <c r="CB35" s="47"/>
      <c r="CC35" s="47"/>
      <c r="CD35" s="47"/>
      <c r="CE35" s="47"/>
      <c r="CF35" s="47"/>
      <c r="CH35" s="47"/>
      <c r="CI35" s="47"/>
      <c r="CJ35" s="47"/>
      <c r="CK35" s="47"/>
      <c r="CL35" s="47"/>
      <c r="CM35" s="47"/>
      <c r="CN35" s="47"/>
      <c r="CO35" s="47"/>
      <c r="CQ35" s="47">
        <f t="shared" si="23"/>
        <v>0</v>
      </c>
      <c r="CR35" s="47">
        <f t="shared" si="24"/>
        <v>0</v>
      </c>
      <c r="CS35" s="47">
        <f t="shared" si="25"/>
        <v>0</v>
      </c>
      <c r="CT35" s="47">
        <f t="shared" si="26"/>
        <v>0</v>
      </c>
      <c r="CU35" s="47">
        <f t="shared" si="27"/>
        <v>0</v>
      </c>
      <c r="CV35" s="47">
        <f t="shared" si="28"/>
        <v>0</v>
      </c>
      <c r="CW35" s="47">
        <f t="shared" si="29"/>
        <v>0</v>
      </c>
      <c r="CX35" s="47">
        <f t="shared" si="30"/>
        <v>0</v>
      </c>
      <c r="CZ35" s="39"/>
    </row>
    <row r="36" spans="2:104" x14ac:dyDescent="0.25">
      <c r="B36" s="7"/>
      <c r="C36" s="7"/>
      <c r="D36" s="7"/>
      <c r="E36" s="7"/>
      <c r="F36" s="7"/>
      <c r="G36" s="7"/>
      <c r="H36" s="7"/>
      <c r="I36" s="7"/>
      <c r="J36" s="45"/>
      <c r="K36" s="45"/>
      <c r="L36" s="45"/>
      <c r="M36" s="45"/>
      <c r="N36" s="45"/>
      <c r="O36" s="45"/>
      <c r="P36" s="45"/>
      <c r="Q36" s="45"/>
      <c r="S36" s="47"/>
      <c r="T36" s="47"/>
      <c r="U36" s="47"/>
      <c r="V36" s="47"/>
      <c r="W36" s="47"/>
      <c r="X36" s="47"/>
      <c r="Y36" s="47"/>
      <c r="Z36" s="47"/>
      <c r="AB36" s="6"/>
      <c r="AC36" s="6"/>
      <c r="AD36" s="6"/>
      <c r="AE36" s="6"/>
      <c r="AF36" s="6"/>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Y36" s="47"/>
      <c r="BZ36" s="47"/>
      <c r="CA36" s="47"/>
      <c r="CB36" s="47"/>
      <c r="CC36" s="47"/>
      <c r="CD36" s="47"/>
      <c r="CE36" s="47"/>
      <c r="CF36" s="47"/>
      <c r="CH36" s="47"/>
      <c r="CI36" s="47"/>
      <c r="CJ36" s="47"/>
      <c r="CK36" s="47"/>
      <c r="CL36" s="47"/>
      <c r="CM36" s="47"/>
      <c r="CN36" s="47"/>
      <c r="CO36" s="47"/>
      <c r="CQ36" s="47">
        <f t="shared" si="23"/>
        <v>0</v>
      </c>
      <c r="CR36" s="47">
        <f t="shared" si="24"/>
        <v>0</v>
      </c>
      <c r="CS36" s="47">
        <f t="shared" si="25"/>
        <v>0</v>
      </c>
      <c r="CT36" s="47">
        <f t="shared" si="26"/>
        <v>0</v>
      </c>
      <c r="CU36" s="47">
        <f t="shared" si="27"/>
        <v>0</v>
      </c>
      <c r="CV36" s="47">
        <f t="shared" si="28"/>
        <v>0</v>
      </c>
      <c r="CW36" s="47">
        <f t="shared" si="29"/>
        <v>0</v>
      </c>
      <c r="CX36" s="47">
        <f t="shared" si="30"/>
        <v>0</v>
      </c>
      <c r="CZ36" s="39"/>
    </row>
    <row r="37" spans="2:104" x14ac:dyDescent="0.25">
      <c r="J37" s="48">
        <f t="shared" ref="J37:Q37" si="31">SUM(J6:J36)</f>
        <v>0</v>
      </c>
      <c r="K37" s="48">
        <f t="shared" si="31"/>
        <v>0</v>
      </c>
      <c r="L37" s="48">
        <f t="shared" si="31"/>
        <v>0</v>
      </c>
      <c r="M37" s="764">
        <f t="shared" si="31"/>
        <v>580</v>
      </c>
      <c r="N37" s="764">
        <f t="shared" si="31"/>
        <v>580</v>
      </c>
      <c r="O37" s="764">
        <f t="shared" si="31"/>
        <v>580</v>
      </c>
      <c r="P37" s="764">
        <f t="shared" si="31"/>
        <v>580</v>
      </c>
      <c r="Q37" s="764">
        <f t="shared" si="31"/>
        <v>580</v>
      </c>
      <c r="R37" s="129"/>
      <c r="S37" s="764">
        <f t="shared" ref="S37:Z37" si="32">SUM(S6:S36)</f>
        <v>0</v>
      </c>
      <c r="T37" s="764">
        <f t="shared" si="32"/>
        <v>0</v>
      </c>
      <c r="U37" s="764">
        <f t="shared" si="32"/>
        <v>0</v>
      </c>
      <c r="V37" s="764">
        <f t="shared" si="32"/>
        <v>58.963069174024135</v>
      </c>
      <c r="W37" s="764">
        <f t="shared" si="32"/>
        <v>58.815794968121871</v>
      </c>
      <c r="X37" s="764">
        <f t="shared" si="32"/>
        <v>58.773076670224199</v>
      </c>
      <c r="Y37" s="764">
        <f t="shared" si="32"/>
        <v>58.988935384675216</v>
      </c>
      <c r="Z37" s="764">
        <f t="shared" si="32"/>
        <v>59.576815198407296</v>
      </c>
      <c r="AA37" s="129"/>
      <c r="AB37" s="764">
        <f t="shared" ref="AB37:AF37" si="33">SUM(AB6:AB36)</f>
        <v>0</v>
      </c>
      <c r="AC37" s="764">
        <f t="shared" si="33"/>
        <v>0</v>
      </c>
      <c r="AD37" s="764">
        <f t="shared" si="33"/>
        <v>0</v>
      </c>
      <c r="AE37" s="764">
        <f t="shared" si="33"/>
        <v>0</v>
      </c>
      <c r="AF37" s="764">
        <f t="shared" si="33"/>
        <v>0</v>
      </c>
      <c r="AG37" s="764">
        <f t="shared" ref="AG37:BW37" si="34">SUM(AG6:AG36)</f>
        <v>0</v>
      </c>
      <c r="AH37" s="764">
        <f t="shared" ref="AH37:AS37" si="35">SUM(AH6:AH36)</f>
        <v>0</v>
      </c>
      <c r="AI37" s="764">
        <f t="shared" si="35"/>
        <v>0</v>
      </c>
      <c r="AJ37" s="764">
        <f t="shared" si="35"/>
        <v>0</v>
      </c>
      <c r="AK37" s="764">
        <f t="shared" si="35"/>
        <v>0</v>
      </c>
      <c r="AL37" s="764">
        <f t="shared" si="35"/>
        <v>0</v>
      </c>
      <c r="AM37" s="764">
        <f t="shared" si="35"/>
        <v>0</v>
      </c>
      <c r="AN37" s="764">
        <f t="shared" si="35"/>
        <v>0</v>
      </c>
      <c r="AO37" s="764">
        <f t="shared" si="35"/>
        <v>0</v>
      </c>
      <c r="AP37" s="764">
        <f t="shared" si="35"/>
        <v>0</v>
      </c>
      <c r="AQ37" s="764">
        <f t="shared" si="35"/>
        <v>0</v>
      </c>
      <c r="AR37" s="764">
        <f t="shared" si="35"/>
        <v>0</v>
      </c>
      <c r="AS37" s="764">
        <f t="shared" si="35"/>
        <v>0</v>
      </c>
      <c r="AT37" s="764">
        <f t="shared" si="34"/>
        <v>0</v>
      </c>
      <c r="AU37" s="764">
        <f t="shared" si="34"/>
        <v>0</v>
      </c>
      <c r="AV37" s="764">
        <f t="shared" si="34"/>
        <v>38.262447166431578</v>
      </c>
      <c r="AW37" s="764">
        <f t="shared" si="34"/>
        <v>0</v>
      </c>
      <c r="AX37" s="764">
        <f t="shared" si="34"/>
        <v>89.279043388340355</v>
      </c>
      <c r="AY37" s="764">
        <f t="shared" si="34"/>
        <v>127.54149055477194</v>
      </c>
      <c r="AZ37" s="764">
        <f t="shared" si="34"/>
        <v>0</v>
      </c>
      <c r="BA37" s="764">
        <f t="shared" si="34"/>
        <v>0</v>
      </c>
      <c r="BB37" s="764">
        <f t="shared" si="34"/>
        <v>38.262447166431578</v>
      </c>
      <c r="BC37" s="764">
        <f t="shared" si="34"/>
        <v>0</v>
      </c>
      <c r="BD37" s="764">
        <f t="shared" si="34"/>
        <v>89.279043388340355</v>
      </c>
      <c r="BE37" s="764">
        <f t="shared" si="34"/>
        <v>127.54149055477194</v>
      </c>
      <c r="BF37" s="764">
        <f t="shared" si="34"/>
        <v>0</v>
      </c>
      <c r="BG37" s="764">
        <f t="shared" si="34"/>
        <v>0</v>
      </c>
      <c r="BH37" s="764">
        <f t="shared" si="34"/>
        <v>38.262447166431578</v>
      </c>
      <c r="BI37" s="764">
        <f t="shared" si="34"/>
        <v>0</v>
      </c>
      <c r="BJ37" s="764">
        <f t="shared" si="34"/>
        <v>89.279043388340355</v>
      </c>
      <c r="BK37" s="764">
        <f t="shared" si="34"/>
        <v>127.54149055477194</v>
      </c>
      <c r="BL37" s="764">
        <f t="shared" si="34"/>
        <v>0</v>
      </c>
      <c r="BM37" s="764">
        <f t="shared" si="34"/>
        <v>0</v>
      </c>
      <c r="BN37" s="764">
        <f t="shared" si="34"/>
        <v>38.262447166431578</v>
      </c>
      <c r="BO37" s="764">
        <f t="shared" si="34"/>
        <v>0</v>
      </c>
      <c r="BP37" s="764">
        <f t="shared" si="34"/>
        <v>89.279043388340355</v>
      </c>
      <c r="BQ37" s="764">
        <f t="shared" si="34"/>
        <v>127.54149055477194</v>
      </c>
      <c r="BR37" s="764">
        <f t="shared" si="34"/>
        <v>0</v>
      </c>
      <c r="BS37" s="764">
        <f t="shared" si="34"/>
        <v>0</v>
      </c>
      <c r="BT37" s="764">
        <f t="shared" si="34"/>
        <v>38.262447166431578</v>
      </c>
      <c r="BU37" s="764">
        <f t="shared" si="34"/>
        <v>0</v>
      </c>
      <c r="BV37" s="764">
        <f t="shared" si="34"/>
        <v>89.279043388340355</v>
      </c>
      <c r="BW37" s="764">
        <f t="shared" si="34"/>
        <v>127.54149055477194</v>
      </c>
      <c r="BX37" s="129"/>
      <c r="BY37" s="764">
        <f t="shared" ref="BY37:CF37" si="36">SUM(BY6:BY36)</f>
        <v>0</v>
      </c>
      <c r="BZ37" s="764">
        <f t="shared" si="36"/>
        <v>0</v>
      </c>
      <c r="CA37" s="764">
        <f t="shared" si="36"/>
        <v>0</v>
      </c>
      <c r="CB37" s="764">
        <f t="shared" si="36"/>
        <v>341.66671478991032</v>
      </c>
      <c r="CC37" s="764">
        <f t="shared" si="36"/>
        <v>341.66671478991032</v>
      </c>
      <c r="CD37" s="764">
        <f t="shared" si="36"/>
        <v>341.66671478991032</v>
      </c>
      <c r="CE37" s="764">
        <f t="shared" si="36"/>
        <v>341.66671478991032</v>
      </c>
      <c r="CF37" s="764">
        <f t="shared" si="36"/>
        <v>341.66671478991032</v>
      </c>
      <c r="CG37" s="129"/>
      <c r="CH37" s="764">
        <f t="shared" ref="CH37:CO37" si="37">SUM(CH6:CH36)</f>
        <v>0</v>
      </c>
      <c r="CI37" s="764">
        <f t="shared" si="37"/>
        <v>0</v>
      </c>
      <c r="CJ37" s="764">
        <f t="shared" si="37"/>
        <v>0</v>
      </c>
      <c r="CK37" s="764">
        <f t="shared" si="37"/>
        <v>52.874628071587857</v>
      </c>
      <c r="CL37" s="764">
        <f t="shared" si="37"/>
        <v>52.874628071587857</v>
      </c>
      <c r="CM37" s="764">
        <f t="shared" si="37"/>
        <v>52.874628071587857</v>
      </c>
      <c r="CN37" s="764">
        <f t="shared" si="37"/>
        <v>52.874628071587857</v>
      </c>
      <c r="CO37" s="764">
        <f t="shared" si="37"/>
        <v>52.874628071587857</v>
      </c>
      <c r="CP37" s="129"/>
      <c r="CQ37" s="764">
        <f t="shared" ref="CQ37:CX37" si="38">SUM(CQ6:CQ36)</f>
        <v>0</v>
      </c>
      <c r="CR37" s="764">
        <f t="shared" si="38"/>
        <v>0</v>
      </c>
      <c r="CS37" s="764">
        <f t="shared" si="38"/>
        <v>0</v>
      </c>
      <c r="CT37" s="764">
        <f t="shared" si="38"/>
        <v>581.0459025902943</v>
      </c>
      <c r="CU37" s="764">
        <f t="shared" si="38"/>
        <v>580.89862838439205</v>
      </c>
      <c r="CV37" s="764">
        <f t="shared" si="38"/>
        <v>580.8559100864943</v>
      </c>
      <c r="CW37" s="764">
        <f t="shared" si="38"/>
        <v>581.07176880094539</v>
      </c>
      <c r="CX37" s="764">
        <f t="shared" si="38"/>
        <v>581.65964861467739</v>
      </c>
    </row>
    <row r="38" spans="2:104" x14ac:dyDescent="0.25">
      <c r="J38" s="112"/>
      <c r="K38" s="112"/>
      <c r="L38" s="112"/>
      <c r="M38" s="112"/>
      <c r="N38" s="112"/>
      <c r="O38" s="112"/>
      <c r="P38" s="112"/>
      <c r="Q38" s="112"/>
      <c r="S38" s="112"/>
      <c r="T38" s="112"/>
      <c r="U38" s="112"/>
      <c r="V38" s="112"/>
      <c r="W38" s="112"/>
      <c r="X38" s="112"/>
      <c r="Y38" s="112"/>
      <c r="Z38" s="112"/>
      <c r="AB38" s="41"/>
      <c r="AC38" s="41"/>
      <c r="AD38" s="41"/>
      <c r="AE38" s="41"/>
      <c r="AF38" s="41"/>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Y38" s="112"/>
      <c r="BZ38" s="112"/>
      <c r="CA38" s="112"/>
      <c r="CB38" s="112"/>
      <c r="CC38" s="112"/>
      <c r="CD38" s="112"/>
      <c r="CE38" s="112"/>
      <c r="CF38" s="112"/>
      <c r="CH38" s="112"/>
      <c r="CI38" s="112"/>
      <c r="CJ38" s="112"/>
      <c r="CK38" s="112"/>
      <c r="CL38" s="112"/>
      <c r="CM38" s="112"/>
      <c r="CN38" s="112"/>
      <c r="CO38" s="112"/>
      <c r="CQ38" s="203">
        <f t="shared" ref="CQ38:CX38" si="39">IF(ISERROR((CQ37-J37)/J37),0,(CQ37-J37)/J37)</f>
        <v>0</v>
      </c>
      <c r="CR38" s="203">
        <f t="shared" si="39"/>
        <v>0</v>
      </c>
      <c r="CS38" s="203">
        <f t="shared" si="39"/>
        <v>0</v>
      </c>
      <c r="CT38" s="203">
        <f t="shared" si="39"/>
        <v>1.8032803280936276E-3</v>
      </c>
      <c r="CU38" s="203">
        <f t="shared" si="39"/>
        <v>1.549359283434577E-3</v>
      </c>
      <c r="CV38" s="203">
        <f t="shared" si="39"/>
        <v>1.4757070456798359E-3</v>
      </c>
      <c r="CW38" s="203">
        <f t="shared" si="39"/>
        <v>1.8478772430092971E-3</v>
      </c>
      <c r="CX38" s="203">
        <f t="shared" si="39"/>
        <v>2.8614631287541279E-3</v>
      </c>
    </row>
    <row r="39" spans="2:104" x14ac:dyDescent="0.25">
      <c r="J39" s="829"/>
      <c r="K39" s="829"/>
      <c r="L39" s="829"/>
      <c r="M39" s="829"/>
      <c r="N39" s="829"/>
      <c r="O39" s="829"/>
      <c r="P39" s="829"/>
      <c r="Q39" s="829"/>
      <c r="S39" s="112"/>
      <c r="T39" s="112"/>
      <c r="U39" s="112"/>
      <c r="V39" s="112"/>
      <c r="W39" s="112"/>
      <c r="X39" s="112"/>
      <c r="Y39" s="112"/>
      <c r="Z39" s="112"/>
      <c r="AB39" s="41"/>
      <c r="AC39" s="41"/>
      <c r="AD39" s="41"/>
      <c r="AE39" s="41"/>
      <c r="AF39" s="41"/>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Y39" s="112"/>
      <c r="BZ39" s="112"/>
      <c r="CA39" s="112"/>
      <c r="CB39" s="112"/>
      <c r="CC39" s="112"/>
      <c r="CD39" s="112"/>
      <c r="CE39" s="112"/>
      <c r="CF39" s="112"/>
      <c r="CH39" s="112"/>
      <c r="CI39" s="112"/>
      <c r="CJ39" s="112"/>
      <c r="CK39" s="112"/>
      <c r="CL39" s="112"/>
      <c r="CM39" s="112"/>
      <c r="CN39" s="112"/>
      <c r="CO39" s="112"/>
      <c r="CQ39" s="112"/>
      <c r="CR39" s="112"/>
      <c r="CS39" s="112"/>
      <c r="CT39" s="112"/>
      <c r="CU39" s="112"/>
      <c r="CV39" s="112"/>
      <c r="CW39" s="112"/>
      <c r="CX39" s="112"/>
    </row>
    <row r="40" spans="2:104" ht="45" hidden="1" outlineLevel="1" x14ac:dyDescent="0.25">
      <c r="B40" s="2" t="s">
        <v>312</v>
      </c>
      <c r="J40" s="826" t="s">
        <v>79</v>
      </c>
      <c r="K40" s="827"/>
      <c r="L40" s="827"/>
      <c r="M40" s="827"/>
      <c r="N40" s="827"/>
      <c r="O40" s="827"/>
      <c r="P40" s="827"/>
      <c r="Q40" s="828"/>
      <c r="S40" s="826" t="s">
        <v>174</v>
      </c>
      <c r="T40" s="827"/>
      <c r="U40" s="827"/>
      <c r="V40" s="827"/>
      <c r="W40" s="827"/>
      <c r="X40" s="827"/>
      <c r="Y40" s="827"/>
      <c r="Z40" s="828"/>
      <c r="AA40" s="57"/>
      <c r="AB40" s="9" t="s">
        <v>180</v>
      </c>
      <c r="AC40" s="9" t="s">
        <v>181</v>
      </c>
      <c r="AD40" s="9" t="s">
        <v>182</v>
      </c>
      <c r="AE40" s="9" t="s">
        <v>183</v>
      </c>
      <c r="AF40" s="9" t="s">
        <v>5</v>
      </c>
      <c r="AG40" s="9" t="s">
        <v>173</v>
      </c>
      <c r="AH40" s="9" t="s">
        <v>180</v>
      </c>
      <c r="AI40" s="9" t="s">
        <v>181</v>
      </c>
      <c r="AJ40" s="9" t="s">
        <v>182</v>
      </c>
      <c r="AK40" s="9" t="s">
        <v>183</v>
      </c>
      <c r="AL40" s="9" t="s">
        <v>5</v>
      </c>
      <c r="AM40" s="9" t="s">
        <v>173</v>
      </c>
      <c r="AN40" s="9" t="s">
        <v>180</v>
      </c>
      <c r="AO40" s="9" t="s">
        <v>181</v>
      </c>
      <c r="AP40" s="9" t="s">
        <v>182</v>
      </c>
      <c r="AQ40" s="9" t="s">
        <v>183</v>
      </c>
      <c r="AR40" s="9" t="s">
        <v>5</v>
      </c>
      <c r="AS40" s="9" t="s">
        <v>173</v>
      </c>
      <c r="AT40" s="9" t="s">
        <v>180</v>
      </c>
      <c r="AU40" s="9" t="s">
        <v>181</v>
      </c>
      <c r="AV40" s="9" t="s">
        <v>182</v>
      </c>
      <c r="AW40" s="9" t="s">
        <v>183</v>
      </c>
      <c r="AX40" s="9" t="s">
        <v>5</v>
      </c>
      <c r="AY40" s="9" t="s">
        <v>173</v>
      </c>
      <c r="AZ40" s="9" t="s">
        <v>180</v>
      </c>
      <c r="BA40" s="9" t="s">
        <v>181</v>
      </c>
      <c r="BB40" s="9" t="s">
        <v>182</v>
      </c>
      <c r="BC40" s="9" t="s">
        <v>183</v>
      </c>
      <c r="BD40" s="9" t="s">
        <v>5</v>
      </c>
      <c r="BE40" s="9" t="s">
        <v>173</v>
      </c>
      <c r="BF40" s="9" t="s">
        <v>180</v>
      </c>
      <c r="BG40" s="9" t="s">
        <v>181</v>
      </c>
      <c r="BH40" s="9" t="s">
        <v>182</v>
      </c>
      <c r="BI40" s="9" t="s">
        <v>183</v>
      </c>
      <c r="BJ40" s="9" t="s">
        <v>5</v>
      </c>
      <c r="BK40" s="9" t="s">
        <v>173</v>
      </c>
      <c r="BL40" s="9" t="s">
        <v>180</v>
      </c>
      <c r="BM40" s="9" t="s">
        <v>181</v>
      </c>
      <c r="BN40" s="9" t="s">
        <v>182</v>
      </c>
      <c r="BO40" s="9" t="s">
        <v>183</v>
      </c>
      <c r="BP40" s="9" t="s">
        <v>5</v>
      </c>
      <c r="BQ40" s="9" t="s">
        <v>173</v>
      </c>
      <c r="BR40" s="9" t="s">
        <v>180</v>
      </c>
      <c r="BS40" s="9" t="s">
        <v>181</v>
      </c>
      <c r="BT40" s="9" t="s">
        <v>182</v>
      </c>
      <c r="BU40" s="9" t="s">
        <v>183</v>
      </c>
      <c r="BV40" s="9" t="s">
        <v>5</v>
      </c>
      <c r="BW40" s="9" t="s">
        <v>173</v>
      </c>
      <c r="BX40" s="57"/>
      <c r="BY40" s="826" t="s">
        <v>299</v>
      </c>
      <c r="BZ40" s="827"/>
      <c r="CA40" s="827"/>
      <c r="CB40" s="827"/>
      <c r="CC40" s="827"/>
      <c r="CD40" s="827"/>
      <c r="CE40" s="827"/>
      <c r="CF40" s="828"/>
      <c r="CG40" s="57"/>
      <c r="CH40" s="826" t="s">
        <v>175</v>
      </c>
      <c r="CI40" s="827"/>
      <c r="CJ40" s="827"/>
      <c r="CK40" s="827"/>
      <c r="CL40" s="827"/>
      <c r="CM40" s="827"/>
      <c r="CN40" s="827"/>
      <c r="CO40" s="828"/>
      <c r="CP40" s="57"/>
      <c r="CQ40" s="826" t="s">
        <v>239</v>
      </c>
      <c r="CR40" s="827"/>
      <c r="CS40" s="827"/>
      <c r="CT40" s="827"/>
      <c r="CU40" s="827"/>
      <c r="CV40" s="827"/>
      <c r="CW40" s="827"/>
      <c r="CX40" s="828"/>
    </row>
    <row r="41" spans="2:104" hidden="1" outlineLevel="1" x14ac:dyDescent="0.25">
      <c r="B41" s="8" t="s">
        <v>23</v>
      </c>
      <c r="C41" s="8" t="s">
        <v>24</v>
      </c>
      <c r="D41" s="17" t="s">
        <v>98</v>
      </c>
      <c r="E41" s="17" t="s">
        <v>76</v>
      </c>
      <c r="F41" s="17" t="s">
        <v>77</v>
      </c>
      <c r="G41" s="17" t="s">
        <v>324</v>
      </c>
      <c r="H41" s="17" t="s">
        <v>212</v>
      </c>
      <c r="I41" s="17" t="s">
        <v>177</v>
      </c>
      <c r="J41" s="335">
        <f>CP_Yr_4</f>
        <v>43800</v>
      </c>
      <c r="K41" s="335">
        <f>CP_Yr_5</f>
        <v>44166</v>
      </c>
      <c r="L41" s="335">
        <f>Stub</f>
        <v>44377</v>
      </c>
      <c r="M41" s="335">
        <f>Yr_1</f>
        <v>44742</v>
      </c>
      <c r="N41" s="335">
        <f>Yr_2</f>
        <v>45107</v>
      </c>
      <c r="O41" s="335">
        <f>Yr_3</f>
        <v>45473</v>
      </c>
      <c r="P41" s="335">
        <f>Yr_4</f>
        <v>45838</v>
      </c>
      <c r="Q41" s="335">
        <f>Yr_5</f>
        <v>46203</v>
      </c>
      <c r="S41" s="335">
        <f>CP_Yr_4</f>
        <v>43800</v>
      </c>
      <c r="T41" s="335">
        <f>CP_Yr_5</f>
        <v>44166</v>
      </c>
      <c r="U41" s="335">
        <f>Stub</f>
        <v>44377</v>
      </c>
      <c r="V41" s="335">
        <f>Yr_1</f>
        <v>44742</v>
      </c>
      <c r="W41" s="335">
        <f>Yr_2</f>
        <v>45107</v>
      </c>
      <c r="X41" s="335">
        <f>Yr_3</f>
        <v>45473</v>
      </c>
      <c r="Y41" s="335">
        <f>Yr_4</f>
        <v>45838</v>
      </c>
      <c r="Z41" s="335">
        <f>Yr_5</f>
        <v>46203</v>
      </c>
      <c r="AB41" s="335">
        <f>AB5</f>
        <v>43800</v>
      </c>
      <c r="AC41" s="335">
        <f t="shared" ref="AC41:BW41" si="40">AC5</f>
        <v>43800</v>
      </c>
      <c r="AD41" s="335">
        <f t="shared" si="40"/>
        <v>43800</v>
      </c>
      <c r="AE41" s="335">
        <f t="shared" si="40"/>
        <v>43800</v>
      </c>
      <c r="AF41" s="335">
        <f t="shared" si="40"/>
        <v>43800</v>
      </c>
      <c r="AG41" s="335">
        <f t="shared" si="40"/>
        <v>43800</v>
      </c>
      <c r="AH41" s="335">
        <f t="shared" si="40"/>
        <v>44166</v>
      </c>
      <c r="AI41" s="335">
        <f t="shared" si="40"/>
        <v>44166</v>
      </c>
      <c r="AJ41" s="335">
        <f t="shared" si="40"/>
        <v>44166</v>
      </c>
      <c r="AK41" s="335">
        <f t="shared" si="40"/>
        <v>44166</v>
      </c>
      <c r="AL41" s="335">
        <f t="shared" si="40"/>
        <v>44166</v>
      </c>
      <c r="AM41" s="335">
        <f t="shared" si="40"/>
        <v>44166</v>
      </c>
      <c r="AN41" s="335">
        <f t="shared" si="40"/>
        <v>44377</v>
      </c>
      <c r="AO41" s="335">
        <f t="shared" si="40"/>
        <v>44377</v>
      </c>
      <c r="AP41" s="335">
        <f t="shared" si="40"/>
        <v>44377</v>
      </c>
      <c r="AQ41" s="335">
        <f t="shared" si="40"/>
        <v>44377</v>
      </c>
      <c r="AR41" s="335">
        <f t="shared" si="40"/>
        <v>44377</v>
      </c>
      <c r="AS41" s="335">
        <f t="shared" si="40"/>
        <v>44377</v>
      </c>
      <c r="AT41" s="335">
        <f t="shared" si="40"/>
        <v>44742</v>
      </c>
      <c r="AU41" s="335">
        <f t="shared" si="40"/>
        <v>44742</v>
      </c>
      <c r="AV41" s="335">
        <f t="shared" si="40"/>
        <v>44742</v>
      </c>
      <c r="AW41" s="335">
        <f t="shared" si="40"/>
        <v>44742</v>
      </c>
      <c r="AX41" s="335">
        <f t="shared" si="40"/>
        <v>44742</v>
      </c>
      <c r="AY41" s="335">
        <f t="shared" si="40"/>
        <v>44742</v>
      </c>
      <c r="AZ41" s="335">
        <f t="shared" si="40"/>
        <v>45107</v>
      </c>
      <c r="BA41" s="335">
        <f t="shared" si="40"/>
        <v>45107</v>
      </c>
      <c r="BB41" s="335">
        <f t="shared" si="40"/>
        <v>45107</v>
      </c>
      <c r="BC41" s="335">
        <f t="shared" si="40"/>
        <v>45107</v>
      </c>
      <c r="BD41" s="335">
        <f t="shared" si="40"/>
        <v>45107</v>
      </c>
      <c r="BE41" s="335">
        <f t="shared" si="40"/>
        <v>45107</v>
      </c>
      <c r="BF41" s="335">
        <f t="shared" si="40"/>
        <v>45473</v>
      </c>
      <c r="BG41" s="335">
        <f t="shared" si="40"/>
        <v>45473</v>
      </c>
      <c r="BH41" s="335">
        <f t="shared" si="40"/>
        <v>45473</v>
      </c>
      <c r="BI41" s="335">
        <f t="shared" si="40"/>
        <v>45473</v>
      </c>
      <c r="BJ41" s="335">
        <f t="shared" si="40"/>
        <v>45473</v>
      </c>
      <c r="BK41" s="335">
        <f t="shared" si="40"/>
        <v>45473</v>
      </c>
      <c r="BL41" s="335">
        <f t="shared" si="40"/>
        <v>45838</v>
      </c>
      <c r="BM41" s="335">
        <f t="shared" si="40"/>
        <v>45838</v>
      </c>
      <c r="BN41" s="335">
        <f t="shared" si="40"/>
        <v>45838</v>
      </c>
      <c r="BO41" s="335">
        <f t="shared" si="40"/>
        <v>45838</v>
      </c>
      <c r="BP41" s="335">
        <f t="shared" si="40"/>
        <v>45838</v>
      </c>
      <c r="BQ41" s="335">
        <f t="shared" si="40"/>
        <v>45838</v>
      </c>
      <c r="BR41" s="335">
        <f t="shared" si="40"/>
        <v>46203</v>
      </c>
      <c r="BS41" s="335">
        <f t="shared" si="40"/>
        <v>46203</v>
      </c>
      <c r="BT41" s="335">
        <f t="shared" si="40"/>
        <v>46203</v>
      </c>
      <c r="BU41" s="335">
        <f t="shared" si="40"/>
        <v>46203</v>
      </c>
      <c r="BV41" s="335">
        <f t="shared" si="40"/>
        <v>46203</v>
      </c>
      <c r="BW41" s="335">
        <f t="shared" si="40"/>
        <v>46203</v>
      </c>
      <c r="BY41" s="335">
        <f>CP_Yr_4</f>
        <v>43800</v>
      </c>
      <c r="BZ41" s="335">
        <f>CP_Yr_5</f>
        <v>44166</v>
      </c>
      <c r="CA41" s="335">
        <f>Stub</f>
        <v>44377</v>
      </c>
      <c r="CB41" s="335">
        <f>Yr_1</f>
        <v>44742</v>
      </c>
      <c r="CC41" s="335">
        <f>Yr_2</f>
        <v>45107</v>
      </c>
      <c r="CD41" s="335">
        <f>Yr_3</f>
        <v>45473</v>
      </c>
      <c r="CE41" s="335">
        <f>Yr_4</f>
        <v>45838</v>
      </c>
      <c r="CF41" s="335">
        <f>Yr_5</f>
        <v>46203</v>
      </c>
      <c r="CH41" s="335">
        <f>CP_Yr_4</f>
        <v>43800</v>
      </c>
      <c r="CI41" s="335">
        <f>CP_Yr_5</f>
        <v>44166</v>
      </c>
      <c r="CJ41" s="335">
        <f>Stub</f>
        <v>44377</v>
      </c>
      <c r="CK41" s="335">
        <f>Yr_1</f>
        <v>44742</v>
      </c>
      <c r="CL41" s="335">
        <f>Yr_2</f>
        <v>45107</v>
      </c>
      <c r="CM41" s="335">
        <f>Yr_3</f>
        <v>45473</v>
      </c>
      <c r="CN41" s="335">
        <f>Yr_4</f>
        <v>45838</v>
      </c>
      <c r="CO41" s="335">
        <f>Yr_5</f>
        <v>46203</v>
      </c>
      <c r="CQ41" s="335">
        <f>CP_Yr_4</f>
        <v>43800</v>
      </c>
      <c r="CR41" s="335">
        <f>CP_Yr_5</f>
        <v>44166</v>
      </c>
      <c r="CS41" s="335">
        <f>Stub</f>
        <v>44377</v>
      </c>
      <c r="CT41" s="335">
        <f>Yr_1</f>
        <v>44742</v>
      </c>
      <c r="CU41" s="335">
        <f>Yr_2</f>
        <v>45107</v>
      </c>
      <c r="CV41" s="335">
        <f>Yr_3</f>
        <v>45473</v>
      </c>
      <c r="CW41" s="335">
        <f>Yr_4</f>
        <v>45838</v>
      </c>
      <c r="CX41" s="335">
        <f>Yr_5</f>
        <v>46203</v>
      </c>
    </row>
    <row r="42" spans="2:104" hidden="1" outlineLevel="1" x14ac:dyDescent="0.25">
      <c r="B42" s="7" t="s">
        <v>445</v>
      </c>
      <c r="C42" s="7"/>
      <c r="D42" s="7" t="s">
        <v>58</v>
      </c>
      <c r="E42" s="7" t="s">
        <v>45</v>
      </c>
      <c r="F42" s="7" t="s">
        <v>55</v>
      </c>
      <c r="G42" s="7" t="s">
        <v>150</v>
      </c>
      <c r="H42" s="7" t="s">
        <v>157</v>
      </c>
      <c r="I42" s="7" t="s">
        <v>197</v>
      </c>
      <c r="J42" s="45"/>
      <c r="K42" s="45"/>
      <c r="L42" s="45"/>
      <c r="M42" s="45"/>
      <c r="N42" s="45"/>
      <c r="O42" s="45"/>
      <c r="P42" s="45"/>
      <c r="Q42" s="45"/>
      <c r="S42" s="47">
        <f>INDEX(Direct_Cost_Splits_Network,MATCH($H42,RIN_Asset_Cat_Network,0),MATCH($S$4,Direct_Cost_Type,0))*J42</f>
        <v>0</v>
      </c>
      <c r="T42" s="47">
        <f>INDEX(Direct_Cost_Splits_Network,MATCH($H42,RIN_Asset_Cat_Network,0),MATCH($S$4,Direct_Cost_Type,0))*K42</f>
        <v>0</v>
      </c>
      <c r="U42" s="47"/>
      <c r="V42" s="47">
        <f>INDEX(Direct_Cost_Splits_Network,MATCH($H42,RIN_Asset_Cat_Network,0),MATCH($S$4,Direct_Cost_Type,0))*M42</f>
        <v>0</v>
      </c>
      <c r="W42" s="47">
        <f>INDEX(Direct_Cost_Splits_Network,MATCH($H42,RIN_Asset_Cat_Network,0),MATCH($S$4,Direct_Cost_Type,0))*N42</f>
        <v>0</v>
      </c>
      <c r="X42" s="47">
        <f>INDEX(Direct_Cost_Splits_Network,MATCH($H42,RIN_Asset_Cat_Network,0),MATCH($S$4,Direct_Cost_Type,0))*O42</f>
        <v>0</v>
      </c>
      <c r="Y42" s="47">
        <f>INDEX(Direct_Cost_Splits_Network,MATCH($H42,RIN_Asset_Cat_Network,0),MATCH($S$4,Direct_Cost_Type,0))*P42</f>
        <v>0</v>
      </c>
      <c r="Z42" s="47">
        <f>INDEX(Direct_Cost_Splits_Network,MATCH($H42,RIN_Asset_Cat_Network,0),MATCH($S$4,Direct_Cost_Type,0))*Q42</f>
        <v>0</v>
      </c>
      <c r="AB42" s="47">
        <f>INDEX(Direct_Cost_Splits_Network,MATCH($H42,RIN_Asset_Cat_Network,0),MATCH($AG$4,Direct_Cost_Type,0))*$J42*INDEX(Act_Type_Repex_Splits,MATCH($I42,Act_Type_Repex,0),MATCH(AB$4,Mat_Type,0))*INDEX(Escalators!$I$44:$Q$49,MATCH(AB$4,Escalators!$C$44:$C$49,0),MATCH(AB$5,Escalators!$I$43:$Q$43,0))</f>
        <v>0</v>
      </c>
      <c r="AC42" s="47">
        <f>INDEX(Direct_Cost_Splits_Network,MATCH($H42,RIN_Asset_Cat_Network,0),MATCH($AG$4,Direct_Cost_Type,0))*$J42*INDEX(Act_Type_Repex_Splits,MATCH($I42,Act_Type_Repex,0),MATCH(AC$4,Mat_Type,0))*INDEX(Escalators!$I$44:$Q$49,MATCH(AC$4,Escalators!$C$44:$C$49,0),MATCH(AC$5,Escalators!$I$43:$Q$43,0))</f>
        <v>0</v>
      </c>
      <c r="AD42" s="47">
        <f>INDEX(Direct_Cost_Splits_Network,MATCH($H42,RIN_Asset_Cat_Network,0),MATCH($AG$4,Direct_Cost_Type,0))*$J42*INDEX(Act_Type_Repex_Splits,MATCH($I42,Act_Type_Repex,0),MATCH(AD$4,Mat_Type,0))*INDEX(Escalators!$I$44:$Q$49,MATCH(AD$4,Escalators!$C$44:$C$49,0),MATCH(AD$5,Escalators!$I$43:$Q$43,0))</f>
        <v>0</v>
      </c>
      <c r="AE42" s="47">
        <f>INDEX(Direct_Cost_Splits_Network,MATCH($H42,RIN_Asset_Cat_Network,0),MATCH($AG$4,Direct_Cost_Type,0))*$J42*INDEX(Act_Type_Repex_Splits,MATCH($I42,Act_Type_Repex,0),MATCH(AE$4,Mat_Type,0))*INDEX(Escalators!$I$44:$Q$49,MATCH(AE$4,Escalators!$C$44:$C$49,0),MATCH(AE$5,Escalators!$I$43:$Q$43,0))</f>
        <v>0</v>
      </c>
      <c r="AF42" s="47">
        <f>INDEX(Direct_Cost_Splits_Network,MATCH($H42,RIN_Asset_Cat_Network,0),MATCH($AG$4,Direct_Cost_Type,0))*$J42*INDEX(Act_Type_Repex_Splits,MATCH($I42,Act_Type_Repex,0),MATCH(AF$4,Mat_Type,0))*INDEX(Escalators!$I$44:$Q$49,MATCH(AF$4,Escalators!$C$44:$C$49,0),MATCH(AF$5,Escalators!$I$43:$Q$43,0))</f>
        <v>0</v>
      </c>
      <c r="AG42" s="47">
        <f>SUM(AB42:AF42)</f>
        <v>0</v>
      </c>
      <c r="AH42" s="47">
        <f>INDEX(Direct_Cost_Splits_Network,MATCH($H42,RIN_Asset_Cat_Network,0),MATCH($AY$4,Direct_Cost_Type,0))*$M42*INDEX(Act_Type_Repex_Splits,MATCH($I42,Act_Type_Repex,0),MATCH(AH$4,Mat_Type,0))*INDEX(Escalators!$I$44:$U$49,MATCH(AH$4,Escalators!$C$44:$C$49,0),MATCH(AH$5,Escalators!$I$43:$U$43,0))</f>
        <v>0</v>
      </c>
      <c r="AI42" s="47">
        <f>INDEX(Direct_Cost_Splits_Network,MATCH($H42,RIN_Asset_Cat_Network,0),MATCH($AY$4,Direct_Cost_Type,0))*$M42*INDEX(Act_Type_Repex_Splits,MATCH($I42,Act_Type_Repex,0),MATCH(AI$4,Mat_Type,0))*INDEX(Escalators!$I$44:$U$49,MATCH(AI$4,Escalators!$C$44:$C$49,0),MATCH(AI$5,Escalators!$I$43:$U$43,0))</f>
        <v>0</v>
      </c>
      <c r="AJ42" s="47">
        <f>INDEX(Direct_Cost_Splits_Network,MATCH($H42,RIN_Asset_Cat_Network,0),MATCH($AY$4,Direct_Cost_Type,0))*$M42*INDEX(Act_Type_Repex_Splits,MATCH($I42,Act_Type_Repex,0),MATCH(AJ$4,Mat_Type,0))*INDEX(Escalators!$I$44:$U$49,MATCH(AJ$4,Escalators!$C$44:$C$49,0),MATCH(AJ$5,Escalators!$I$43:$U$43,0))</f>
        <v>0</v>
      </c>
      <c r="AK42" s="47">
        <f>INDEX(Direct_Cost_Splits_Network,MATCH($H42,RIN_Asset_Cat_Network,0),MATCH($AY$4,Direct_Cost_Type,0))*$M42*INDEX(Act_Type_Repex_Splits,MATCH($I42,Act_Type_Repex,0),MATCH(AK$4,Mat_Type,0))*INDEX(Escalators!$I$44:$U$49,MATCH(AK$4,Escalators!$C$44:$C$49,0),MATCH(AK$5,Escalators!$I$43:$U$43,0))</f>
        <v>0</v>
      </c>
      <c r="AL42" s="47">
        <f>INDEX(Direct_Cost_Splits_Network,MATCH($H42,RIN_Asset_Cat_Network,0),MATCH($AY$4,Direct_Cost_Type,0))*$M42*INDEX(Act_Type_Repex_Splits,MATCH($I42,Act_Type_Repex,0),MATCH(AL$4,Mat_Type,0))*INDEX(Escalators!$I$44:$U$49,MATCH(AL$4,Escalators!$C$44:$C$49,0),MATCH(AL$5,Escalators!$I$43:$U$43,0))</f>
        <v>0</v>
      </c>
      <c r="AM42" s="47">
        <f>SUM(AH42:AL42)</f>
        <v>0</v>
      </c>
      <c r="AN42" s="47">
        <f>INDEX(Direct_Cost_Splits_Network,MATCH($H42,RIN_Asset_Cat_Network,0),MATCH($AY$4,Direct_Cost_Type,0))*$L42*INDEX(Act_Type_Repex_Splits,MATCH($I42,Act_Type_Repex,0),MATCH(AN$4,Mat_Type,0))*INDEX(Escalators!$I$44:$U$49,MATCH(AN$4,Escalators!$C$44:$C$49,0),MATCH(AN$5,Escalators!$I$43:$U$43,0))</f>
        <v>0</v>
      </c>
      <c r="AO42" s="47">
        <f>INDEX(Direct_Cost_Splits_Network,MATCH($H42,RIN_Asset_Cat_Network,0),MATCH($AY$4,Direct_Cost_Type,0))*$L42*INDEX(Act_Type_Repex_Splits,MATCH($I42,Act_Type_Repex,0),MATCH(AO$4,Mat_Type,0))*INDEX(Escalators!$I$44:$U$49,MATCH(AO$4,Escalators!$C$44:$C$49,0),MATCH(AO$5,Escalators!$I$43:$U$43,0))</f>
        <v>0</v>
      </c>
      <c r="AP42" s="47">
        <f>INDEX(Direct_Cost_Splits_Network,MATCH($H42,RIN_Asset_Cat_Network,0),MATCH($AY$4,Direct_Cost_Type,0))*$L42*INDEX(Act_Type_Repex_Splits,MATCH($I42,Act_Type_Repex,0),MATCH(AP$4,Mat_Type,0))*INDEX(Escalators!$I$44:$U$49,MATCH(AP$4,Escalators!$C$44:$C$49,0),MATCH(AP$5,Escalators!$I$43:$U$43,0))</f>
        <v>0</v>
      </c>
      <c r="AQ42" s="47">
        <f>INDEX(Direct_Cost_Splits_Network,MATCH($H42,RIN_Asset_Cat_Network,0),MATCH($AY$4,Direct_Cost_Type,0))*$L42*INDEX(Act_Type_Repex_Splits,MATCH($I42,Act_Type_Repex,0),MATCH(AQ$4,Mat_Type,0))*INDEX(Escalators!$I$44:$U$49,MATCH(AQ$4,Escalators!$C$44:$C$49,0),MATCH(AQ$5,Escalators!$I$43:$U$43,0))</f>
        <v>0</v>
      </c>
      <c r="AR42" s="47">
        <f>INDEX(Direct_Cost_Splits_Network,MATCH($H42,RIN_Asset_Cat_Network,0),MATCH($AY$4,Direct_Cost_Type,0))*$L42*INDEX(Act_Type_Repex_Splits,MATCH($I42,Act_Type_Repex,0),MATCH(AR$4,Mat_Type,0))*INDEX(Escalators!$I$44:$U$49,MATCH(AR$4,Escalators!$C$44:$C$49,0),MATCH(AR$5,Escalators!$I$43:$U$43,0))</f>
        <v>0</v>
      </c>
      <c r="AS42" s="47">
        <f>SUM(AN42:AR42)</f>
        <v>0</v>
      </c>
      <c r="AT42" s="47">
        <f>INDEX(Direct_Cost_Splits_Network,MATCH($H42,RIN_Asset_Cat_Network,0),MATCH($AY$4,Direct_Cost_Type,0))*$M42*INDEX(Act_Type_Repex_Splits,MATCH($I42,Act_Type_Repex,0),MATCH(AT$4,Mat_Type,0))*INDEX(Escalators!$I$44:$U$49,MATCH(AT$4,Escalators!$C$44:$C$49,0),MATCH(AT$5,Escalators!$I$43:$U$43,0))</f>
        <v>0</v>
      </c>
      <c r="AU42" s="47">
        <f>INDEX(Direct_Cost_Splits_Network,MATCH($H42,RIN_Asset_Cat_Network,0),MATCH($AY$4,Direct_Cost_Type,0))*$M42*INDEX(Act_Type_Repex_Splits,MATCH($I42,Act_Type_Repex,0),MATCH(AU$4,Mat_Type,0))*INDEX(Escalators!$I$44:$U$49,MATCH(AU$4,Escalators!$C$44:$C$49,0),MATCH(AU$5,Escalators!$I$43:$U$43,0))</f>
        <v>0</v>
      </c>
      <c r="AV42" s="47">
        <f>INDEX(Direct_Cost_Splits_Network,MATCH($H42,RIN_Asset_Cat_Network,0),MATCH($AY$4,Direct_Cost_Type,0))*$M42*INDEX(Act_Type_Repex_Splits,MATCH($I42,Act_Type_Repex,0),MATCH(AV$4,Mat_Type,0))*INDEX(Escalators!$I$44:$U$49,MATCH(AV$4,Escalators!$C$44:$C$49,0),MATCH(AV$5,Escalators!$I$43:$U$43,0))</f>
        <v>0</v>
      </c>
      <c r="AW42" s="47">
        <f>INDEX(Direct_Cost_Splits_Network,MATCH($H42,RIN_Asset_Cat_Network,0),MATCH($AY$4,Direct_Cost_Type,0))*$M42*INDEX(Act_Type_Repex_Splits,MATCH($I42,Act_Type_Repex,0),MATCH(AW$4,Mat_Type,0))*INDEX(Escalators!$I$44:$U$49,MATCH(AW$4,Escalators!$C$44:$C$49,0),MATCH(AW$5,Escalators!$I$43:$U$43,0))</f>
        <v>0</v>
      </c>
      <c r="AX42" s="47">
        <f>INDEX(Direct_Cost_Splits_Network,MATCH($H42,RIN_Asset_Cat_Network,0),MATCH($AY$4,Direct_Cost_Type,0))*$M42*INDEX(Act_Type_Repex_Splits,MATCH($I42,Act_Type_Repex,0),MATCH(AX$4,Mat_Type,0))*INDEX(Escalators!$I$44:$U$49,MATCH(AX$4,Escalators!$C$44:$C$49,0),MATCH(AX$5,Escalators!$I$43:$U$43,0))</f>
        <v>0</v>
      </c>
      <c r="AY42" s="47">
        <f>SUM(AT42:AX42)</f>
        <v>0</v>
      </c>
      <c r="AZ42" s="47">
        <f>INDEX(Direct_Cost_Splits_Network,MATCH($H42,RIN_Asset_Cat_Network,0),MATCH($BE$4,Direct_Cost_Type,0))*$N42*INDEX(Act_Type_Repex_Splits,MATCH($I42,Act_Type_Repex,0),MATCH(AZ$4,Mat_Type,0))*INDEX(Escalators!$I$44:$U$49,MATCH(AZ$4,Escalators!$C$44:$C$49,0),MATCH(AZ$5,Escalators!$I$43:$U$43,0))</f>
        <v>0</v>
      </c>
      <c r="BA42" s="47">
        <f>INDEX(Direct_Cost_Splits_Network,MATCH($H42,RIN_Asset_Cat_Network,0),MATCH($BE$4,Direct_Cost_Type,0))*$N42*INDEX(Act_Type_Repex_Splits,MATCH($I42,Act_Type_Repex,0),MATCH(BA$4,Mat_Type,0))*INDEX(Escalators!$I$44:$U$49,MATCH(BA$4,Escalators!$C$44:$C$49,0),MATCH(BA$5,Escalators!$I$43:$U$43,0))</f>
        <v>0</v>
      </c>
      <c r="BB42" s="47">
        <f>INDEX(Direct_Cost_Splits_Network,MATCH($H42,RIN_Asset_Cat_Network,0),MATCH($BE$4,Direct_Cost_Type,0))*$N42*INDEX(Act_Type_Repex_Splits,MATCH($I42,Act_Type_Repex,0),MATCH(BB$4,Mat_Type,0))*INDEX(Escalators!$I$44:$U$49,MATCH(BB$4,Escalators!$C$44:$C$49,0),MATCH(BB$5,Escalators!$I$43:$U$43,0))</f>
        <v>0</v>
      </c>
      <c r="BC42" s="47">
        <f>INDEX(Direct_Cost_Splits_Network,MATCH($H42,RIN_Asset_Cat_Network,0),MATCH($BE$4,Direct_Cost_Type,0))*$N42*INDEX(Act_Type_Repex_Splits,MATCH($I42,Act_Type_Repex,0),MATCH(BC$4,Mat_Type,0))*INDEX(Escalators!$I$44:$U$49,MATCH(BC$4,Escalators!$C$44:$C$49,0),MATCH(BC$5,Escalators!$I$43:$U$43,0))</f>
        <v>0</v>
      </c>
      <c r="BD42" s="47">
        <f>INDEX(Direct_Cost_Splits_Network,MATCH($H42,RIN_Asset_Cat_Network,0),MATCH($BE$4,Direct_Cost_Type,0))*$N42*INDEX(Act_Type_Repex_Splits,MATCH($I42,Act_Type_Repex,0),MATCH(BD$4,Mat_Type,0))*INDEX(Escalators!$I$44:$U$49,MATCH(BD$4,Escalators!$C$44:$C$49,0),MATCH(BD$5,Escalators!$I$43:$U$43,0))</f>
        <v>0</v>
      </c>
      <c r="BE42" s="47">
        <f>SUM(AZ42:BD42)</f>
        <v>0</v>
      </c>
      <c r="BF42" s="47">
        <f>INDEX(Direct_Cost_Splits_Network,MATCH($H42,RIN_Asset_Cat_Network,0),MATCH($BK$4,Direct_Cost_Type,0))*$O42*INDEX(Act_Type_Repex_Splits,MATCH($I42,Act_Type_Repex,0),MATCH(BF$4,Mat_Type,0))*INDEX(Escalators!$I$44:$U$49,MATCH(BF$4,Escalators!$C$44:$C$49,0),MATCH(BF$5,Escalators!$I$43:$U$43,0))</f>
        <v>0</v>
      </c>
      <c r="BG42" s="47">
        <f>INDEX(Direct_Cost_Splits_Network,MATCH($H42,RIN_Asset_Cat_Network,0),MATCH($BK$4,Direct_Cost_Type,0))*$O42*INDEX(Act_Type_Repex_Splits,MATCH($I42,Act_Type_Repex,0),MATCH(BG$4,Mat_Type,0))*INDEX(Escalators!$I$44:$U$49,MATCH(BG$4,Escalators!$C$44:$C$49,0),MATCH(BG$5,Escalators!$I$43:$U$43,0))</f>
        <v>0</v>
      </c>
      <c r="BH42" s="47">
        <f>INDEX(Direct_Cost_Splits_Network,MATCH($H42,RIN_Asset_Cat_Network,0),MATCH($BK$4,Direct_Cost_Type,0))*$O42*INDEX(Act_Type_Repex_Splits,MATCH($I42,Act_Type_Repex,0),MATCH(BH$4,Mat_Type,0))*INDEX(Escalators!$I$44:$U$49,MATCH(BH$4,Escalators!$C$44:$C$49,0),MATCH(BH$5,Escalators!$I$43:$U$43,0))</f>
        <v>0</v>
      </c>
      <c r="BI42" s="47">
        <f>INDEX(Direct_Cost_Splits_Network,MATCH($H42,RIN_Asset_Cat_Network,0),MATCH($BK$4,Direct_Cost_Type,0))*$O42*INDEX(Act_Type_Repex_Splits,MATCH($I42,Act_Type_Repex,0),MATCH(BI$4,Mat_Type,0))*INDEX(Escalators!$I$44:$U$49,MATCH(BI$4,Escalators!$C$44:$C$49,0),MATCH(BI$5,Escalators!$I$43:$U$43,0))</f>
        <v>0</v>
      </c>
      <c r="BJ42" s="47">
        <f>INDEX(Direct_Cost_Splits_Network,MATCH($H42,RIN_Asset_Cat_Network,0),MATCH($BK$4,Direct_Cost_Type,0))*$O42*INDEX(Act_Type_Repex_Splits,MATCH($I42,Act_Type_Repex,0),MATCH(BJ$4,Mat_Type,0))*INDEX(Escalators!$I$44:$U$49,MATCH(BJ$4,Escalators!$C$44:$C$49,0),MATCH(BJ$5,Escalators!$I$43:$U$43,0))</f>
        <v>0</v>
      </c>
      <c r="BK42" s="47">
        <f>SUM(BF42:BJ42)</f>
        <v>0</v>
      </c>
      <c r="BL42" s="47">
        <f>INDEX(Direct_Cost_Splits_Network,MATCH($H42,RIN_Asset_Cat_Network,0),MATCH($BQ$4,Direct_Cost_Type,0))*$P42*INDEX(Act_Type_Repex_Splits,MATCH($I42,Act_Type_Repex,0),MATCH(BL$4,Mat_Type,0))*INDEX(Escalators!$I$44:$U$49,MATCH(BL$4,Escalators!$C$44:$C$49,0),MATCH(BL$5,Escalators!$I$43:$U$43,0))</f>
        <v>0</v>
      </c>
      <c r="BM42" s="47">
        <f>INDEX(Direct_Cost_Splits_Network,MATCH($H42,RIN_Asset_Cat_Network,0),MATCH($BQ$4,Direct_Cost_Type,0))*$P42*INDEX(Act_Type_Repex_Splits,MATCH($I42,Act_Type_Repex,0),MATCH(BM$4,Mat_Type,0))*INDEX(Escalators!$I$44:$U$49,MATCH(BM$4,Escalators!$C$44:$C$49,0),MATCH(BM$5,Escalators!$I$43:$U$43,0))</f>
        <v>0</v>
      </c>
      <c r="BN42" s="47">
        <f>INDEX(Direct_Cost_Splits_Network,MATCH($H42,RIN_Asset_Cat_Network,0),MATCH($BQ$4,Direct_Cost_Type,0))*$P42*INDEX(Act_Type_Repex_Splits,MATCH($I42,Act_Type_Repex,0),MATCH(BN$4,Mat_Type,0))*INDEX(Escalators!$I$44:$U$49,MATCH(BN$4,Escalators!$C$44:$C$49,0),MATCH(BN$5,Escalators!$I$43:$U$43,0))</f>
        <v>0</v>
      </c>
      <c r="BO42" s="47">
        <f>INDEX(Direct_Cost_Splits_Network,MATCH($H42,RIN_Asset_Cat_Network,0),MATCH($BQ$4,Direct_Cost_Type,0))*$P42*INDEX(Act_Type_Repex_Splits,MATCH($I42,Act_Type_Repex,0),MATCH(BO$4,Mat_Type,0))*INDEX(Escalators!$I$44:$U$49,MATCH(BO$4,Escalators!$C$44:$C$49,0),MATCH(BO$5,Escalators!$I$43:$U$43,0))</f>
        <v>0</v>
      </c>
      <c r="BP42" s="47">
        <f>INDEX(Direct_Cost_Splits_Network,MATCH($H42,RIN_Asset_Cat_Network,0),MATCH($BQ$4,Direct_Cost_Type,0))*$P42*INDEX(Act_Type_Repex_Splits,MATCH($I42,Act_Type_Repex,0),MATCH(BP$4,Mat_Type,0))*INDEX(Escalators!$I$44:$U$49,MATCH(BP$4,Escalators!$C$44:$C$49,0),MATCH(BP$5,Escalators!$I$43:$U$43,0))</f>
        <v>0</v>
      </c>
      <c r="BQ42" s="47">
        <f>SUM(BL42:BP42)</f>
        <v>0</v>
      </c>
      <c r="BR42" s="47">
        <f>INDEX(Direct_Cost_Splits_Network,MATCH($H42,RIN_Asset_Cat_Network,0),MATCH($BW$4,Direct_Cost_Type,0))*$Q42*INDEX(Act_Type_Repex_Splits,MATCH($I42,Act_Type_Repex,0),MATCH(BR$4,Mat_Type,0))*INDEX(Escalators!$I$44:$U$49,MATCH(BR$4,Escalators!$C$44:$C$49,0),MATCH(BR$5,Escalators!$I$43:$U$43,0))</f>
        <v>0</v>
      </c>
      <c r="BS42" s="47">
        <f>INDEX(Direct_Cost_Splits_Network,MATCH($H42,RIN_Asset_Cat_Network,0),MATCH($BW$4,Direct_Cost_Type,0))*$Q42*INDEX(Act_Type_Repex_Splits,MATCH($I42,Act_Type_Repex,0),MATCH(BS$4,Mat_Type,0))*INDEX(Escalators!$I$44:$U$49,MATCH(BS$4,Escalators!$C$44:$C$49,0),MATCH(BS$5,Escalators!$I$43:$U$43,0))</f>
        <v>0</v>
      </c>
      <c r="BT42" s="47">
        <f>INDEX(Direct_Cost_Splits_Network,MATCH($H42,RIN_Asset_Cat_Network,0),MATCH($BW$4,Direct_Cost_Type,0))*$Q42*INDEX(Act_Type_Repex_Splits,MATCH($I42,Act_Type_Repex,0),MATCH(BT$4,Mat_Type,0))*INDEX(Escalators!$I$44:$U$49,MATCH(BT$4,Escalators!$C$44:$C$49,0),MATCH(BT$5,Escalators!$I$43:$U$43,0))</f>
        <v>0</v>
      </c>
      <c r="BU42" s="47">
        <f>INDEX(Direct_Cost_Splits_Network,MATCH($H42,RIN_Asset_Cat_Network,0),MATCH($BW$4,Direct_Cost_Type,0))*$Q42*INDEX(Act_Type_Repex_Splits,MATCH($I42,Act_Type_Repex,0),MATCH(BU$4,Mat_Type,0))*INDEX(Escalators!$I$44:$U$49,MATCH(BU$4,Escalators!$C$44:$C$49,0),MATCH(BU$5,Escalators!$I$43:$U$43,0))</f>
        <v>0</v>
      </c>
      <c r="BV42" s="47">
        <f>INDEX(Direct_Cost_Splits_Network,MATCH($H42,RIN_Asset_Cat_Network,0),MATCH($BW$4,Direct_Cost_Type,0))*$Q42*INDEX(Act_Type_Repex_Splits,MATCH($I42,Act_Type_Repex,0),MATCH(BV$4,Mat_Type,0))*INDEX(Escalators!$I$44:$U$49,MATCH(BV$4,Escalators!$C$44:$C$49,0),MATCH(BV$5,Escalators!$I$43:$U$43,0))</f>
        <v>0</v>
      </c>
      <c r="BW42" s="47">
        <f>SUM(BR42:BV42)</f>
        <v>0</v>
      </c>
      <c r="BY42" s="47">
        <f>INDEX(Lab_Mat!$D$13:$G$22,MATCH($H42,Lab_Mat!$C$13:$C$22,0),MATCH($BY$4,Lab_Mat!$D$5:$G$5,0))*J42</f>
        <v>0</v>
      </c>
      <c r="BZ42" s="47">
        <f>INDEX(Lab_Mat!$D$13:$G$22,MATCH($H42,Lab_Mat!$C$13:$C$22,0),MATCH($BY$4,Lab_Mat!$D$5:$G$5,0))*K42</f>
        <v>0</v>
      </c>
      <c r="CA42" s="47"/>
      <c r="CB42" s="47">
        <f>INDEX(Lab_Mat!$D$13:$G$22,MATCH($H42,Lab_Mat!$C$13:$C$22,0),MATCH($BY$4,Lab_Mat!$D$5:$G$5,0))*M42</f>
        <v>0</v>
      </c>
      <c r="CC42" s="47">
        <f>INDEX(Lab_Mat!$D$13:$G$22,MATCH($H42,Lab_Mat!$C$13:$C$22,0),MATCH($BY$4,Lab_Mat!$D$5:$G$5,0))*N42</f>
        <v>0</v>
      </c>
      <c r="CD42" s="47">
        <f>INDEX(Lab_Mat!$D$13:$G$22,MATCH($H42,Lab_Mat!$C$13:$C$22,0),MATCH($BY$4,Lab_Mat!$D$5:$G$5,0))*O42</f>
        <v>0</v>
      </c>
      <c r="CE42" s="47">
        <f>INDEX(Lab_Mat!$D$13:$G$22,MATCH($H42,Lab_Mat!$C$13:$C$22,0),MATCH($BY$4,Lab_Mat!$D$5:$G$5,0))*P42</f>
        <v>0</v>
      </c>
      <c r="CF42" s="47">
        <f>INDEX(Lab_Mat!$D$13:$G$22,MATCH($H42,Lab_Mat!$C$13:$C$22,0),MATCH($BY$4,Lab_Mat!$D$5:$G$5,0))*Q42</f>
        <v>0</v>
      </c>
      <c r="CH42" s="82">
        <f>INDEX(Lab_Mat!$D$13:$G$22,MATCH($H42,Lab_Mat!$C$13:$C$22,0),MATCH($CH$4,Lab_Mat!$D$5:$G$5,0))*J42</f>
        <v>0</v>
      </c>
      <c r="CI42" s="82">
        <f>INDEX(Lab_Mat!$D$13:$G$22,MATCH($H42,Lab_Mat!$C$13:$C$22,0),MATCH($CH$4,Lab_Mat!$D$5:$G$5,0))*K42</f>
        <v>0</v>
      </c>
      <c r="CJ42" s="82"/>
      <c r="CK42" s="82">
        <f>INDEX(Lab_Mat!$D$13:$G$22,MATCH($H42,Lab_Mat!$C$13:$C$22,0),MATCH($CH$4,Lab_Mat!$D$5:$G$5,0))*M42</f>
        <v>0</v>
      </c>
      <c r="CL42" s="82">
        <f>INDEX(Lab_Mat!$D$13:$G$22,MATCH($H42,Lab_Mat!$C$13:$C$22,0),MATCH($CH$4,Lab_Mat!$D$5:$G$5,0))*N42</f>
        <v>0</v>
      </c>
      <c r="CM42" s="82">
        <f>INDEX(Lab_Mat!$D$13:$G$22,MATCH($H42,Lab_Mat!$C$13:$C$22,0),MATCH($CH$4,Lab_Mat!$D$5:$G$5,0))*O42</f>
        <v>0</v>
      </c>
      <c r="CN42" s="82">
        <f>INDEX(Lab_Mat!$D$13:$G$22,MATCH($H42,Lab_Mat!$C$13:$C$22,0),MATCH($CH$4,Lab_Mat!$D$5:$G$5,0))*P42</f>
        <v>0</v>
      </c>
      <c r="CO42" s="82">
        <f>INDEX(Lab_Mat!$D$13:$G$22,MATCH($H42,Lab_Mat!$C$13:$C$22,0),MATCH($CH$4,Lab_Mat!$D$5:$G$5,0))*Q42</f>
        <v>0</v>
      </c>
      <c r="CQ42" s="47">
        <f>S42+AG42+BY42+CH42</f>
        <v>0</v>
      </c>
      <c r="CR42" s="47">
        <f>T42+AM42+BZ42+CI42</f>
        <v>0</v>
      </c>
      <c r="CS42" s="47">
        <f>U42+AS42+CA42+CJ42</f>
        <v>0</v>
      </c>
      <c r="CT42" s="47">
        <f>V42+AY42+CB42+CK42</f>
        <v>0</v>
      </c>
      <c r="CU42" s="47">
        <f>W42+BE42+CC42+CL42</f>
        <v>0</v>
      </c>
      <c r="CV42" s="47">
        <f>X42+BK42+CD42+CM42</f>
        <v>0</v>
      </c>
      <c r="CW42" s="47">
        <f>Y42+BQ42+CE42+CN42</f>
        <v>0</v>
      </c>
      <c r="CX42" s="47">
        <f>Z42+BW42+CF42+CO42</f>
        <v>0</v>
      </c>
      <c r="CZ42" s="39"/>
    </row>
    <row r="43" spans="2:104" hidden="1" outlineLevel="1" x14ac:dyDescent="0.25">
      <c r="B43" s="7"/>
      <c r="C43" s="7"/>
      <c r="D43" s="7"/>
      <c r="E43" s="7"/>
      <c r="F43" s="7"/>
      <c r="G43" s="7"/>
      <c r="H43" s="7"/>
      <c r="I43" s="7"/>
      <c r="J43" s="45"/>
      <c r="K43" s="45"/>
      <c r="L43" s="45"/>
      <c r="M43" s="45"/>
      <c r="N43" s="45"/>
      <c r="O43" s="45"/>
      <c r="P43" s="45"/>
      <c r="Q43" s="45"/>
      <c r="S43" s="47"/>
      <c r="T43" s="47"/>
      <c r="U43" s="47"/>
      <c r="V43" s="47"/>
      <c r="W43" s="47"/>
      <c r="X43" s="47"/>
      <c r="Y43" s="47"/>
      <c r="Z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Y43" s="47"/>
      <c r="BZ43" s="47"/>
      <c r="CA43" s="47"/>
      <c r="CB43" s="47"/>
      <c r="CC43" s="47"/>
      <c r="CD43" s="47"/>
      <c r="CE43" s="47"/>
      <c r="CF43" s="47"/>
      <c r="CH43" s="82"/>
      <c r="CI43" s="82"/>
      <c r="CJ43" s="82"/>
      <c r="CK43" s="82"/>
      <c r="CL43" s="82"/>
      <c r="CM43" s="82"/>
      <c r="CN43" s="82"/>
      <c r="CO43" s="82"/>
      <c r="CQ43" s="47">
        <f>S43+AG43+BY43+CH43</f>
        <v>0</v>
      </c>
      <c r="CR43" s="47">
        <f t="shared" ref="CR43:CR44" si="41">T43+AM43+BZ43+CI43</f>
        <v>0</v>
      </c>
      <c r="CS43" s="47">
        <f t="shared" ref="CS43:CS44" si="42">U43+AS43+CA43+CJ43</f>
        <v>0</v>
      </c>
      <c r="CT43" s="47">
        <f t="shared" ref="CT43:CT44" si="43">V43+AY43+CB43+CK43</f>
        <v>0</v>
      </c>
      <c r="CU43" s="47">
        <f t="shared" ref="CU43:CU44" si="44">W43+BE43+CC43+CL43</f>
        <v>0</v>
      </c>
      <c r="CV43" s="47">
        <f t="shared" ref="CV43:CV44" si="45">X43+BK43+CD43+CM43</f>
        <v>0</v>
      </c>
      <c r="CW43" s="47">
        <f t="shared" ref="CW43:CW44" si="46">Y43+BQ43+CE43+CN43</f>
        <v>0</v>
      </c>
      <c r="CX43" s="47">
        <f t="shared" ref="CX43:CX44" si="47">Z43+BW43+CF43+CO43</f>
        <v>0</v>
      </c>
      <c r="CZ43" s="39"/>
    </row>
    <row r="44" spans="2:104" hidden="1" outlineLevel="1" x14ac:dyDescent="0.25">
      <c r="B44" s="7"/>
      <c r="C44" s="7"/>
      <c r="D44" s="7"/>
      <c r="E44" s="7"/>
      <c r="F44" s="7"/>
      <c r="G44" s="7"/>
      <c r="H44" s="7"/>
      <c r="I44" s="7"/>
      <c r="J44" s="45"/>
      <c r="K44" s="45"/>
      <c r="L44" s="45"/>
      <c r="M44" s="45"/>
      <c r="N44" s="45"/>
      <c r="O44" s="45"/>
      <c r="P44" s="45"/>
      <c r="Q44" s="45"/>
      <c r="S44" s="47"/>
      <c r="T44" s="47"/>
      <c r="U44" s="47"/>
      <c r="V44" s="47"/>
      <c r="W44" s="47"/>
      <c r="X44" s="47"/>
      <c r="Y44" s="47"/>
      <c r="Z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Y44" s="47"/>
      <c r="BZ44" s="47"/>
      <c r="CA44" s="47"/>
      <c r="CB44" s="47"/>
      <c r="CC44" s="47"/>
      <c r="CD44" s="47"/>
      <c r="CE44" s="47"/>
      <c r="CF44" s="47"/>
      <c r="CH44" s="82"/>
      <c r="CI44" s="82"/>
      <c r="CJ44" s="82"/>
      <c r="CK44" s="82"/>
      <c r="CL44" s="82"/>
      <c r="CM44" s="82"/>
      <c r="CN44" s="82"/>
      <c r="CO44" s="82"/>
      <c r="CQ44" s="47">
        <f>S44+AG44+BY44+CH44</f>
        <v>0</v>
      </c>
      <c r="CR44" s="47">
        <f t="shared" si="41"/>
        <v>0</v>
      </c>
      <c r="CS44" s="47">
        <f t="shared" si="42"/>
        <v>0</v>
      </c>
      <c r="CT44" s="47">
        <f t="shared" si="43"/>
        <v>0</v>
      </c>
      <c r="CU44" s="47">
        <f t="shared" si="44"/>
        <v>0</v>
      </c>
      <c r="CV44" s="47">
        <f t="shared" si="45"/>
        <v>0</v>
      </c>
      <c r="CW44" s="47">
        <f t="shared" si="46"/>
        <v>0</v>
      </c>
      <c r="CX44" s="47">
        <f t="shared" si="47"/>
        <v>0</v>
      </c>
      <c r="CZ44" s="39"/>
    </row>
    <row r="45" spans="2:104" hidden="1" outlineLevel="1" x14ac:dyDescent="0.25">
      <c r="J45" s="48">
        <f>SUM(J42:J44)</f>
        <v>0</v>
      </c>
      <c r="K45" s="48">
        <f>SUM(K42:K44)</f>
        <v>0</v>
      </c>
      <c r="L45" s="48">
        <f>SUM(L42:L44)</f>
        <v>0</v>
      </c>
      <c r="M45" s="48">
        <f t="shared" ref="M45:Q45" si="48">SUM(M42:M44)</f>
        <v>0</v>
      </c>
      <c r="N45" s="48">
        <f t="shared" si="48"/>
        <v>0</v>
      </c>
      <c r="O45" s="48">
        <f t="shared" si="48"/>
        <v>0</v>
      </c>
      <c r="P45" s="48">
        <f t="shared" si="48"/>
        <v>0</v>
      </c>
      <c r="Q45" s="48">
        <f t="shared" si="48"/>
        <v>0</v>
      </c>
      <c r="S45" s="48">
        <f>SUM(S42:S44)</f>
        <v>0</v>
      </c>
      <c r="T45" s="48">
        <f>SUM(T42:T44)</f>
        <v>0</v>
      </c>
      <c r="U45" s="48">
        <f>SUM(U42:U44)</f>
        <v>0</v>
      </c>
      <c r="V45" s="48">
        <f t="shared" ref="V45" si="49">SUM(V42:V44)</f>
        <v>0</v>
      </c>
      <c r="W45" s="48">
        <f t="shared" ref="W45" si="50">SUM(W42:W44)</f>
        <v>0</v>
      </c>
      <c r="X45" s="48">
        <f t="shared" ref="X45" si="51">SUM(X42:X44)</f>
        <v>0</v>
      </c>
      <c r="Y45" s="48">
        <f t="shared" ref="Y45" si="52">SUM(Y42:Y44)</f>
        <v>0</v>
      </c>
      <c r="Z45" s="48">
        <f t="shared" ref="Z45" si="53">SUM(Z42:Z44)</f>
        <v>0</v>
      </c>
      <c r="AB45" s="48">
        <f t="shared" ref="AB45" si="54">SUM(AB42:AB44)</f>
        <v>0</v>
      </c>
      <c r="AC45" s="48">
        <f t="shared" ref="AC45" si="55">SUM(AC42:AC44)</f>
        <v>0</v>
      </c>
      <c r="AD45" s="48">
        <f t="shared" ref="AD45" si="56">SUM(AD42:AD44)</f>
        <v>0</v>
      </c>
      <c r="AE45" s="48">
        <f t="shared" ref="AE45" si="57">SUM(AE42:AE44)</f>
        <v>0</v>
      </c>
      <c r="AF45" s="48">
        <f t="shared" ref="AF45" si="58">SUM(AF42:AF44)</f>
        <v>0</v>
      </c>
      <c r="AG45" s="48">
        <f t="shared" ref="AG45:AS45" si="59">SUM(AG42:AG44)</f>
        <v>0</v>
      </c>
      <c r="AH45" s="48">
        <f t="shared" si="59"/>
        <v>0</v>
      </c>
      <c r="AI45" s="48">
        <f t="shared" si="59"/>
        <v>0</v>
      </c>
      <c r="AJ45" s="48">
        <f t="shared" si="59"/>
        <v>0</v>
      </c>
      <c r="AK45" s="48">
        <f t="shared" si="59"/>
        <v>0</v>
      </c>
      <c r="AL45" s="48">
        <f t="shared" si="59"/>
        <v>0</v>
      </c>
      <c r="AM45" s="48">
        <f t="shared" si="59"/>
        <v>0</v>
      </c>
      <c r="AN45" s="48">
        <f t="shared" si="59"/>
        <v>0</v>
      </c>
      <c r="AO45" s="48">
        <f t="shared" si="59"/>
        <v>0</v>
      </c>
      <c r="AP45" s="48">
        <f t="shared" si="59"/>
        <v>0</v>
      </c>
      <c r="AQ45" s="48">
        <f t="shared" si="59"/>
        <v>0</v>
      </c>
      <c r="AR45" s="48">
        <f t="shared" si="59"/>
        <v>0</v>
      </c>
      <c r="AS45" s="48">
        <f t="shared" si="59"/>
        <v>0</v>
      </c>
      <c r="AT45" s="48">
        <f t="shared" ref="AT45" si="60">SUM(AT42:AT44)</f>
        <v>0</v>
      </c>
      <c r="AU45" s="48">
        <f t="shared" ref="AU45" si="61">SUM(AU42:AU44)</f>
        <v>0</v>
      </c>
      <c r="AV45" s="48">
        <f t="shared" ref="AV45" si="62">SUM(AV42:AV44)</f>
        <v>0</v>
      </c>
      <c r="AW45" s="48">
        <f t="shared" ref="AW45" si="63">SUM(AW42:AW44)</f>
        <v>0</v>
      </c>
      <c r="AX45" s="48">
        <f t="shared" ref="AX45" si="64">SUM(AX42:AX44)</f>
        <v>0</v>
      </c>
      <c r="AY45" s="48">
        <f t="shared" ref="AY45" si="65">SUM(AY42:AY44)</f>
        <v>0</v>
      </c>
      <c r="AZ45" s="48">
        <f t="shared" ref="AZ45" si="66">SUM(AZ42:AZ44)</f>
        <v>0</v>
      </c>
      <c r="BA45" s="48">
        <f t="shared" ref="BA45" si="67">SUM(BA42:BA44)</f>
        <v>0</v>
      </c>
      <c r="BB45" s="48">
        <f t="shared" ref="BB45" si="68">SUM(BB42:BB44)</f>
        <v>0</v>
      </c>
      <c r="BC45" s="48">
        <f t="shared" ref="BC45" si="69">SUM(BC42:BC44)</f>
        <v>0</v>
      </c>
      <c r="BD45" s="48">
        <f t="shared" ref="BD45" si="70">SUM(BD42:BD44)</f>
        <v>0</v>
      </c>
      <c r="BE45" s="48">
        <f t="shared" ref="BE45" si="71">SUM(BE42:BE44)</f>
        <v>0</v>
      </c>
      <c r="BF45" s="48">
        <f t="shared" ref="BF45" si="72">SUM(BF42:BF44)</f>
        <v>0</v>
      </c>
      <c r="BG45" s="48">
        <f t="shared" ref="BG45" si="73">SUM(BG42:BG44)</f>
        <v>0</v>
      </c>
      <c r="BH45" s="48">
        <f t="shared" ref="BH45" si="74">SUM(BH42:BH44)</f>
        <v>0</v>
      </c>
      <c r="BI45" s="48">
        <f t="shared" ref="BI45" si="75">SUM(BI42:BI44)</f>
        <v>0</v>
      </c>
      <c r="BJ45" s="48">
        <f t="shared" ref="BJ45" si="76">SUM(BJ42:BJ44)</f>
        <v>0</v>
      </c>
      <c r="BK45" s="48">
        <f t="shared" ref="BK45" si="77">SUM(BK42:BK44)</f>
        <v>0</v>
      </c>
      <c r="BL45" s="48">
        <f t="shared" ref="BL45" si="78">SUM(BL42:BL44)</f>
        <v>0</v>
      </c>
      <c r="BM45" s="48">
        <f t="shared" ref="BM45" si="79">SUM(BM42:BM44)</f>
        <v>0</v>
      </c>
      <c r="BN45" s="48">
        <f t="shared" ref="BN45" si="80">SUM(BN42:BN44)</f>
        <v>0</v>
      </c>
      <c r="BO45" s="48">
        <f t="shared" ref="BO45" si="81">SUM(BO42:BO44)</f>
        <v>0</v>
      </c>
      <c r="BP45" s="48">
        <f t="shared" ref="BP45" si="82">SUM(BP42:BP44)</f>
        <v>0</v>
      </c>
      <c r="BQ45" s="48">
        <f t="shared" ref="BQ45" si="83">SUM(BQ42:BQ44)</f>
        <v>0</v>
      </c>
      <c r="BR45" s="48">
        <f t="shared" ref="BR45" si="84">SUM(BR42:BR44)</f>
        <v>0</v>
      </c>
      <c r="BS45" s="48">
        <f t="shared" ref="BS45" si="85">SUM(BS42:BS44)</f>
        <v>0</v>
      </c>
      <c r="BT45" s="48">
        <f t="shared" ref="BT45" si="86">SUM(BT42:BT44)</f>
        <v>0</v>
      </c>
      <c r="BU45" s="48">
        <f t="shared" ref="BU45" si="87">SUM(BU42:BU44)</f>
        <v>0</v>
      </c>
      <c r="BV45" s="48">
        <f t="shared" ref="BV45" si="88">SUM(BV42:BV44)</f>
        <v>0</v>
      </c>
      <c r="BW45" s="48">
        <f t="shared" ref="BW45" si="89">SUM(BW42:BW44)</f>
        <v>0</v>
      </c>
      <c r="BY45" s="48">
        <f>SUM(BY42:BY44)</f>
        <v>0</v>
      </c>
      <c r="BZ45" s="48">
        <f>SUM(BZ42:BZ44)</f>
        <v>0</v>
      </c>
      <c r="CA45" s="48">
        <f>SUM(CA42:CA44)</f>
        <v>0</v>
      </c>
      <c r="CB45" s="48">
        <f t="shared" ref="CB45" si="90">SUM(CB42:CB44)</f>
        <v>0</v>
      </c>
      <c r="CC45" s="48">
        <f t="shared" ref="CC45" si="91">SUM(CC42:CC44)</f>
        <v>0</v>
      </c>
      <c r="CD45" s="48">
        <f t="shared" ref="CD45" si="92">SUM(CD42:CD44)</f>
        <v>0</v>
      </c>
      <c r="CE45" s="48">
        <f t="shared" ref="CE45" si="93">SUM(CE42:CE44)</f>
        <v>0</v>
      </c>
      <c r="CF45" s="48">
        <f t="shared" ref="CF45" si="94">SUM(CF42:CF44)</f>
        <v>0</v>
      </c>
      <c r="CH45" s="48">
        <f>SUM(CH42:CH44)</f>
        <v>0</v>
      </c>
      <c r="CI45" s="48">
        <f>SUM(CI42:CI44)</f>
        <v>0</v>
      </c>
      <c r="CJ45" s="48">
        <f>SUM(CJ42:CJ44)</f>
        <v>0</v>
      </c>
      <c r="CK45" s="48">
        <f>SUM(CK42:CK44)</f>
        <v>0</v>
      </c>
      <c r="CL45" s="48">
        <f t="shared" ref="CL45" si="95">SUM(CL42:CL44)</f>
        <v>0</v>
      </c>
      <c r="CM45" s="48">
        <f t="shared" ref="CM45" si="96">SUM(CM42:CM44)</f>
        <v>0</v>
      </c>
      <c r="CN45" s="48">
        <f t="shared" ref="CN45" si="97">SUM(CN42:CN44)</f>
        <v>0</v>
      </c>
      <c r="CO45" s="48">
        <f t="shared" ref="CO45" si="98">SUM(CO42:CO44)</f>
        <v>0</v>
      </c>
      <c r="CQ45" s="48">
        <f>SUM(CQ42:CQ44)</f>
        <v>0</v>
      </c>
      <c r="CR45" s="48">
        <f>SUM(CR42:CR44)</f>
        <v>0</v>
      </c>
      <c r="CS45" s="48">
        <f>SUM(CS42:CS44)</f>
        <v>0</v>
      </c>
      <c r="CT45" s="48">
        <f t="shared" ref="CT45" si="99">SUM(CT42:CT44)</f>
        <v>0</v>
      </c>
      <c r="CU45" s="48">
        <f t="shared" ref="CU45" si="100">SUM(CU42:CU44)</f>
        <v>0</v>
      </c>
      <c r="CV45" s="48">
        <f t="shared" ref="CV45" si="101">SUM(CV42:CV44)</f>
        <v>0</v>
      </c>
      <c r="CW45" s="48">
        <f t="shared" ref="CW45" si="102">SUM(CW42:CW44)</f>
        <v>0</v>
      </c>
      <c r="CX45" s="48">
        <f t="shared" ref="CX45" si="103">SUM(CX42:CX44)</f>
        <v>0</v>
      </c>
    </row>
    <row r="46" spans="2:104" hidden="1" outlineLevel="1" x14ac:dyDescent="0.25">
      <c r="S46" s="34"/>
      <c r="BY46" s="34"/>
      <c r="CQ46" s="84"/>
      <c r="CR46" s="84"/>
      <c r="CS46" s="84"/>
      <c r="CT46" s="84"/>
      <c r="CU46" s="84"/>
      <c r="CV46" s="84"/>
      <c r="CW46" s="84"/>
      <c r="CX46" s="84"/>
    </row>
    <row r="47" spans="2:104" collapsed="1" x14ac:dyDescent="0.25">
      <c r="I47" s="1" t="s">
        <v>134</v>
      </c>
      <c r="J47" s="50"/>
      <c r="K47" s="50"/>
      <c r="L47" s="50"/>
      <c r="M47" s="50"/>
      <c r="N47" s="50"/>
      <c r="O47" s="50"/>
      <c r="P47" s="50"/>
      <c r="Q47" s="50"/>
      <c r="CT47" s="160"/>
      <c r="CU47" s="160"/>
      <c r="CV47" s="160"/>
      <c r="CW47" s="160"/>
      <c r="CX47" s="160"/>
    </row>
    <row r="48" spans="2:104" x14ac:dyDescent="0.25">
      <c r="I48" s="1" t="s">
        <v>135</v>
      </c>
      <c r="J48" s="50"/>
      <c r="K48" s="50"/>
      <c r="L48" s="50"/>
      <c r="M48" s="50"/>
      <c r="N48" s="50"/>
      <c r="O48" s="50"/>
      <c r="P48" s="50"/>
      <c r="Q48" s="50"/>
      <c r="CT48" s="39"/>
      <c r="CU48" s="39"/>
      <c r="CV48" s="39"/>
      <c r="CW48" s="39"/>
      <c r="CX48" s="39"/>
    </row>
    <row r="49" spans="9:103" x14ac:dyDescent="0.25">
      <c r="I49" s="2" t="s">
        <v>136</v>
      </c>
      <c r="J49" s="112"/>
      <c r="K49" s="112"/>
      <c r="L49" s="112"/>
      <c r="M49" s="112"/>
      <c r="N49" s="112"/>
      <c r="O49" s="112"/>
      <c r="P49" s="112"/>
      <c r="Q49" s="112"/>
    </row>
    <row r="50" spans="9:103" x14ac:dyDescent="0.25">
      <c r="J50" s="41"/>
      <c r="K50" s="41"/>
      <c r="L50" s="41"/>
      <c r="M50" s="41"/>
      <c r="N50" s="41"/>
      <c r="O50" s="41"/>
      <c r="P50" s="41"/>
      <c r="Q50" s="112"/>
      <c r="CT50" s="160"/>
      <c r="CU50" s="160"/>
      <c r="CV50" s="160"/>
      <c r="CW50" s="160"/>
      <c r="CX50" s="160"/>
      <c r="CY50" s="183"/>
    </row>
    <row r="51" spans="9:103" x14ac:dyDescent="0.25">
      <c r="I51" s="53" t="s">
        <v>147</v>
      </c>
      <c r="J51" s="244"/>
      <c r="K51" s="244"/>
      <c r="L51" s="244"/>
      <c r="M51" s="542"/>
      <c r="N51" s="542"/>
      <c r="O51" s="542"/>
      <c r="P51" s="542"/>
      <c r="Q51" s="542"/>
      <c r="CT51" s="160"/>
      <c r="CU51" s="160"/>
      <c r="CV51" s="160"/>
      <c r="CW51" s="160"/>
      <c r="CX51" s="160"/>
    </row>
    <row r="52" spans="9:103" x14ac:dyDescent="0.25">
      <c r="J52" s="244"/>
      <c r="K52" s="244"/>
      <c r="L52" s="244"/>
      <c r="M52" s="542"/>
      <c r="N52" s="542"/>
      <c r="O52" s="542"/>
      <c r="P52" s="542"/>
      <c r="Q52" s="542"/>
      <c r="CT52" s="160"/>
      <c r="CU52" s="160"/>
      <c r="CV52" s="160"/>
      <c r="CW52" s="160"/>
      <c r="CX52" s="160"/>
    </row>
    <row r="53" spans="9:103" x14ac:dyDescent="0.25">
      <c r="J53" s="244"/>
      <c r="K53" s="244"/>
      <c r="L53" s="244"/>
      <c r="M53" s="542"/>
      <c r="N53" s="542"/>
      <c r="O53" s="542"/>
      <c r="P53" s="542"/>
      <c r="Q53" s="542"/>
    </row>
    <row r="54" spans="9:103" x14ac:dyDescent="0.25">
      <c r="J54" s="244"/>
      <c r="K54" s="244"/>
      <c r="L54" s="244"/>
      <c r="M54" s="542"/>
      <c r="N54" s="542"/>
      <c r="O54" s="542"/>
      <c r="P54" s="542"/>
      <c r="Q54" s="542"/>
    </row>
    <row r="55" spans="9:103" x14ac:dyDescent="0.25">
      <c r="J55" s="244"/>
      <c r="K55" s="244"/>
      <c r="L55" s="244"/>
      <c r="M55" s="244"/>
      <c r="N55" s="244"/>
      <c r="O55" s="244"/>
      <c r="P55" s="244"/>
      <c r="Q55" s="244"/>
    </row>
    <row r="56" spans="9:103" x14ac:dyDescent="0.25">
      <c r="J56" s="244"/>
      <c r="K56" s="244"/>
      <c r="L56" s="244"/>
      <c r="M56" s="542"/>
      <c r="N56" s="542"/>
      <c r="O56" s="542"/>
      <c r="P56" s="542"/>
      <c r="Q56" s="542"/>
    </row>
    <row r="57" spans="9:103" x14ac:dyDescent="0.25">
      <c r="J57" s="41"/>
    </row>
    <row r="59" spans="9:103" x14ac:dyDescent="0.25">
      <c r="M59" s="39"/>
      <c r="N59" s="39"/>
      <c r="O59" s="39"/>
      <c r="P59" s="39"/>
      <c r="Q59" s="39"/>
    </row>
    <row r="60" spans="9:103" x14ac:dyDescent="0.25">
      <c r="M60" s="39"/>
      <c r="N60" s="39"/>
      <c r="O60" s="39"/>
      <c r="P60" s="39"/>
      <c r="Q60" s="39"/>
    </row>
  </sheetData>
  <dataConsolidate/>
  <mergeCells count="17">
    <mergeCell ref="J40:Q40"/>
    <mergeCell ref="S40:Z40"/>
    <mergeCell ref="BY40:CF40"/>
    <mergeCell ref="CH40:CO40"/>
    <mergeCell ref="CQ40:CX40"/>
    <mergeCell ref="M1:N1"/>
    <mergeCell ref="J39:Q39"/>
    <mergeCell ref="CQ3:CX3"/>
    <mergeCell ref="J3:Q3"/>
    <mergeCell ref="S3:Z3"/>
    <mergeCell ref="BY3:CF3"/>
    <mergeCell ref="CH3:CO3"/>
    <mergeCell ref="CQ4:CX4"/>
    <mergeCell ref="CH4:CO4"/>
    <mergeCell ref="BY4:CF4"/>
    <mergeCell ref="S4:Z4"/>
    <mergeCell ref="J4:Q4"/>
  </mergeCells>
  <dataValidations count="3">
    <dataValidation type="list" errorStyle="warning" allowBlank="1" showInputMessage="1" showErrorMessage="1" prompt="Select from drop down list" sqref="H42:H44">
      <formula1>$C$13:$C$23</formula1>
    </dataValidation>
    <dataValidation type="list" errorStyle="warning" allowBlank="1" showInputMessage="1" showErrorMessage="1" prompt="Select from drop down list" sqref="I42:I44">
      <formula1>$C$55:$C$90</formula1>
    </dataValidation>
    <dataValidation type="list" errorStyle="warning" showInputMessage="1" showErrorMessage="1" error="Invalid data entered" prompt="Select from drop down list" sqref="F42:F44 G43:G44">
      <formula1>$C$16:$C$27</formula1>
    </dataValidation>
  </dataValidations>
  <hyperlinks>
    <hyperlink ref="B2" location="Contents!A1" display="Table of Contents"/>
  </hyperlink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6">
        <x14:dataValidation type="list" errorStyle="warning" showInputMessage="1" showErrorMessage="1" error="Invalid data entered" prompt="Select from drop down list">
          <x14:formula1>
            <xm:f>Lookups!$C$16:$C$27</xm:f>
          </x14:formula1>
          <xm:sqref>F6:F36</xm:sqref>
        </x14:dataValidation>
        <x14:dataValidation type="list" errorStyle="warning" showInputMessage="1" showErrorMessage="1" error="Invalid data entered" prompt="Select from drop down list">
          <x14:formula1>
            <xm:f>Lookups!$C$5:$C$13</xm:f>
          </x14:formula1>
          <xm:sqref>E6:E36 E42:E44</xm:sqref>
        </x14:dataValidation>
        <x14:dataValidation type="list" errorStyle="warning" allowBlank="1" showInputMessage="1" showErrorMessage="1" prompt="Select from drop down list">
          <x14:formula1>
            <xm:f>Lab_Mat!$C$62:$C$98</xm:f>
          </x14:formula1>
          <xm:sqref>I6:I36</xm:sqref>
        </x14:dataValidation>
        <x14:dataValidation type="list" errorStyle="warning" showInputMessage="1" showErrorMessage="1" error="Invalid data entered" prompt="Select from drop down list">
          <x14:formula1>
            <xm:f>Lookups!$I$5:$I$10</xm:f>
          </x14:formula1>
          <xm:sqref>G42 G6:G36</xm:sqref>
        </x14:dataValidation>
        <x14:dataValidation type="list" errorStyle="warning" allowBlank="1" showInputMessage="1" showErrorMessage="1" prompt="Select from drop down list">
          <x14:formula1>
            <xm:f>Lab_Mat!$C$13:$C$22</xm:f>
          </x14:formula1>
          <xm:sqref>H6:H10 H20:H36 H17:H18 H12:H14</xm:sqref>
        </x14:dataValidation>
        <x14:dataValidation type="list" errorStyle="warning" allowBlank="1" showInputMessage="1" showErrorMessage="1" prompt="Select from drop down list">
          <x14:formula1>
            <xm:f>Lab_Mat!$C$6:$C$22</xm:f>
          </x14:formula1>
          <xm:sqref>H11 H19 H15:H16</xm:sqref>
        </x14:dataValidation>
      </x14:dataValidations>
    </ex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filterMode="1"/>
  <dimension ref="B1:DE57"/>
  <sheetViews>
    <sheetView zoomScale="85" zoomScaleNormal="85" zoomScalePageLayoutView="125" workbookViewId="0">
      <selection activeCell="H49" sqref="H49"/>
    </sheetView>
  </sheetViews>
  <sheetFormatPr defaultColWidth="8.85546875" defaultRowHeight="15" outlineLevelCol="1" x14ac:dyDescent="0.25"/>
  <cols>
    <col min="1" max="1" width="4" style="1" customWidth="1"/>
    <col min="2" max="2" width="8.85546875" style="1"/>
    <col min="3" max="3" width="51.140625" style="1" customWidth="1"/>
    <col min="4" max="4" width="20.28515625" style="1" customWidth="1"/>
    <col min="5" max="5" width="24.42578125" style="1" customWidth="1" outlineLevel="1"/>
    <col min="6" max="6" width="32.5703125" style="1" customWidth="1" outlineLevel="1"/>
    <col min="7" max="7" width="24.140625" style="1" customWidth="1" outlineLevel="1"/>
    <col min="8" max="8" width="19.140625" style="1" customWidth="1" outlineLevel="1"/>
    <col min="9" max="9" width="23.140625" style="1" customWidth="1" outlineLevel="1"/>
    <col min="10" max="17" width="9.7109375" style="1" customWidth="1"/>
    <col min="18" max="18" width="3" style="1" customWidth="1"/>
    <col min="19" max="26" width="8.85546875" style="1"/>
    <col min="27" max="27" width="2.7109375" style="1" customWidth="1"/>
    <col min="28" max="32" width="10.42578125" style="1" hidden="1" customWidth="1" outlineLevel="1"/>
    <col min="33" max="33" width="8.85546875" style="1" collapsed="1"/>
    <col min="34" max="38" width="10.42578125" style="1" hidden="1" customWidth="1" outlineLevel="1"/>
    <col min="39" max="39" width="8.85546875" style="1" collapsed="1"/>
    <col min="40" max="44" width="10.42578125" style="1" hidden="1" customWidth="1" outlineLevel="1"/>
    <col min="45" max="45" width="8.85546875" style="1" collapsed="1"/>
    <col min="46" max="50" width="10.42578125" style="1" hidden="1" customWidth="1" outlineLevel="1"/>
    <col min="51" max="51" width="8.85546875" style="1" collapsed="1"/>
    <col min="52" max="56" width="9.140625" style="1" hidden="1" customWidth="1" outlineLevel="1"/>
    <col min="57" max="57" width="8.85546875" style="1" collapsed="1"/>
    <col min="58" max="62" width="9.140625" style="1" hidden="1" customWidth="1" outlineLevel="1"/>
    <col min="63" max="63" width="8.85546875" style="1" collapsed="1"/>
    <col min="64" max="68" width="9.140625" style="1" hidden="1" customWidth="1" outlineLevel="1"/>
    <col min="69" max="69" width="8.85546875" style="1" collapsed="1"/>
    <col min="70" max="74" width="9.140625" style="1" hidden="1" customWidth="1" outlineLevel="1"/>
    <col min="75" max="75" width="8.85546875" style="1" collapsed="1"/>
    <col min="76" max="76" width="2.7109375" style="1" customWidth="1"/>
    <col min="77" max="84" width="8.85546875" style="1"/>
    <col min="85" max="85" width="2.85546875" style="1" customWidth="1"/>
    <col min="86" max="93" width="8.85546875" style="1"/>
    <col min="94" max="94" width="2.85546875" style="1" customWidth="1"/>
    <col min="95" max="96" width="10.5703125" style="1" bestFit="1" customWidth="1"/>
    <col min="97" max="97" width="10.5703125" style="1" customWidth="1"/>
    <col min="98" max="99" width="10.5703125" style="1" bestFit="1" customWidth="1"/>
    <col min="100" max="100" width="9.5703125" style="1" bestFit="1" customWidth="1"/>
    <col min="101" max="102" width="9" style="1" bestFit="1" customWidth="1"/>
    <col min="103" max="16384" width="8.85546875" style="1"/>
  </cols>
  <sheetData>
    <row r="1" spans="2:109" ht="18.75" x14ac:dyDescent="0.3">
      <c r="B1" s="10" t="s">
        <v>411</v>
      </c>
      <c r="M1" s="825" t="s">
        <v>749</v>
      </c>
      <c r="N1" s="825"/>
    </row>
    <row r="2" spans="2:109" x14ac:dyDescent="0.25">
      <c r="B2" s="25" t="s">
        <v>6</v>
      </c>
    </row>
    <row r="3" spans="2:109" x14ac:dyDescent="0.25">
      <c r="J3" s="829"/>
      <c r="K3" s="829"/>
      <c r="L3" s="829"/>
      <c r="M3" s="829"/>
      <c r="N3" s="829"/>
      <c r="O3" s="829"/>
      <c r="P3" s="829"/>
      <c r="Q3" s="829"/>
      <c r="S3" s="829"/>
      <c r="T3" s="829"/>
      <c r="U3" s="829"/>
      <c r="V3" s="829"/>
      <c r="W3" s="829"/>
      <c r="X3" s="829"/>
      <c r="Y3" s="829"/>
      <c r="Z3" s="829"/>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Y3" s="829"/>
      <c r="BZ3" s="829"/>
      <c r="CA3" s="829"/>
      <c r="CB3" s="829"/>
      <c r="CC3" s="829"/>
      <c r="CD3" s="829"/>
      <c r="CE3" s="829"/>
      <c r="CF3" s="829"/>
      <c r="CH3" s="829"/>
      <c r="CI3" s="829"/>
      <c r="CJ3" s="829"/>
      <c r="CK3" s="829"/>
      <c r="CL3" s="829"/>
      <c r="CM3" s="829"/>
      <c r="CN3" s="829"/>
      <c r="CO3" s="829"/>
      <c r="CQ3" s="829"/>
      <c r="CR3" s="829"/>
      <c r="CS3" s="829"/>
      <c r="CT3" s="829"/>
      <c r="CU3" s="829"/>
      <c r="CV3" s="829"/>
      <c r="CW3" s="829"/>
      <c r="CX3" s="829"/>
    </row>
    <row r="4" spans="2:109" ht="45" x14ac:dyDescent="0.25">
      <c r="J4" s="826" t="s">
        <v>532</v>
      </c>
      <c r="K4" s="827"/>
      <c r="L4" s="827"/>
      <c r="M4" s="827"/>
      <c r="N4" s="827"/>
      <c r="O4" s="827"/>
      <c r="P4" s="827"/>
      <c r="Q4" s="828"/>
      <c r="S4" s="826" t="s">
        <v>174</v>
      </c>
      <c r="T4" s="827"/>
      <c r="U4" s="827"/>
      <c r="V4" s="827"/>
      <c r="W4" s="827"/>
      <c r="X4" s="827"/>
      <c r="Y4" s="827"/>
      <c r="Z4" s="828"/>
      <c r="AA4" s="57"/>
      <c r="AB4" s="9" t="s">
        <v>180</v>
      </c>
      <c r="AC4" s="9" t="s">
        <v>181</v>
      </c>
      <c r="AD4" s="9" t="s">
        <v>182</v>
      </c>
      <c r="AE4" s="9" t="s">
        <v>183</v>
      </c>
      <c r="AF4" s="9" t="s">
        <v>5</v>
      </c>
      <c r="AG4" s="9" t="s">
        <v>173</v>
      </c>
      <c r="AH4" s="9" t="s">
        <v>180</v>
      </c>
      <c r="AI4" s="9" t="s">
        <v>181</v>
      </c>
      <c r="AJ4" s="9" t="s">
        <v>182</v>
      </c>
      <c r="AK4" s="9" t="s">
        <v>183</v>
      </c>
      <c r="AL4" s="9" t="s">
        <v>5</v>
      </c>
      <c r="AM4" s="9" t="s">
        <v>173</v>
      </c>
      <c r="AN4" s="9" t="s">
        <v>180</v>
      </c>
      <c r="AO4" s="9" t="s">
        <v>181</v>
      </c>
      <c r="AP4" s="9" t="s">
        <v>182</v>
      </c>
      <c r="AQ4" s="9" t="s">
        <v>183</v>
      </c>
      <c r="AR4" s="9" t="s">
        <v>5</v>
      </c>
      <c r="AS4" s="9" t="s">
        <v>173</v>
      </c>
      <c r="AT4" s="9" t="s">
        <v>180</v>
      </c>
      <c r="AU4" s="9" t="s">
        <v>181</v>
      </c>
      <c r="AV4" s="9" t="s">
        <v>182</v>
      </c>
      <c r="AW4" s="9" t="s">
        <v>183</v>
      </c>
      <c r="AX4" s="9" t="s">
        <v>5</v>
      </c>
      <c r="AY4" s="9" t="s">
        <v>173</v>
      </c>
      <c r="AZ4" s="9" t="s">
        <v>180</v>
      </c>
      <c r="BA4" s="9" t="s">
        <v>181</v>
      </c>
      <c r="BB4" s="9" t="s">
        <v>182</v>
      </c>
      <c r="BC4" s="9" t="s">
        <v>183</v>
      </c>
      <c r="BD4" s="9" t="s">
        <v>5</v>
      </c>
      <c r="BE4" s="9" t="s">
        <v>173</v>
      </c>
      <c r="BF4" s="9" t="s">
        <v>180</v>
      </c>
      <c r="BG4" s="9" t="s">
        <v>181</v>
      </c>
      <c r="BH4" s="9" t="s">
        <v>182</v>
      </c>
      <c r="BI4" s="9" t="s">
        <v>183</v>
      </c>
      <c r="BJ4" s="9" t="s">
        <v>5</v>
      </c>
      <c r="BK4" s="9" t="s">
        <v>173</v>
      </c>
      <c r="BL4" s="9" t="s">
        <v>180</v>
      </c>
      <c r="BM4" s="9" t="s">
        <v>181</v>
      </c>
      <c r="BN4" s="9" t="s">
        <v>182</v>
      </c>
      <c r="BO4" s="9" t="s">
        <v>183</v>
      </c>
      <c r="BP4" s="9" t="s">
        <v>5</v>
      </c>
      <c r="BQ4" s="9" t="s">
        <v>173</v>
      </c>
      <c r="BR4" s="9" t="s">
        <v>180</v>
      </c>
      <c r="BS4" s="9" t="s">
        <v>181</v>
      </c>
      <c r="BT4" s="9" t="s">
        <v>182</v>
      </c>
      <c r="BU4" s="9" t="s">
        <v>183</v>
      </c>
      <c r="BV4" s="9" t="s">
        <v>5</v>
      </c>
      <c r="BW4" s="9" t="s">
        <v>173</v>
      </c>
      <c r="BX4" s="57"/>
      <c r="BY4" s="826" t="s">
        <v>299</v>
      </c>
      <c r="BZ4" s="827"/>
      <c r="CA4" s="827"/>
      <c r="CB4" s="827"/>
      <c r="CC4" s="827"/>
      <c r="CD4" s="827"/>
      <c r="CE4" s="827"/>
      <c r="CF4" s="828"/>
      <c r="CG4" s="57"/>
      <c r="CH4" s="826" t="s">
        <v>175</v>
      </c>
      <c r="CI4" s="827"/>
      <c r="CJ4" s="827"/>
      <c r="CK4" s="827"/>
      <c r="CL4" s="827"/>
      <c r="CM4" s="827"/>
      <c r="CN4" s="827"/>
      <c r="CO4" s="828"/>
      <c r="CP4" s="57"/>
      <c r="CQ4" s="826" t="s">
        <v>531</v>
      </c>
      <c r="CR4" s="827"/>
      <c r="CS4" s="827"/>
      <c r="CT4" s="827"/>
      <c r="CU4" s="827"/>
      <c r="CV4" s="827"/>
      <c r="CW4" s="827"/>
      <c r="CX4" s="828"/>
    </row>
    <row r="5" spans="2:109" x14ac:dyDescent="0.25">
      <c r="B5" s="8" t="s">
        <v>23</v>
      </c>
      <c r="C5" s="8" t="s">
        <v>24</v>
      </c>
      <c r="D5" s="17" t="s">
        <v>98</v>
      </c>
      <c r="E5" s="17" t="s">
        <v>76</v>
      </c>
      <c r="F5" s="17" t="s">
        <v>77</v>
      </c>
      <c r="G5" s="17" t="s">
        <v>324</v>
      </c>
      <c r="H5" s="17" t="s">
        <v>212</v>
      </c>
      <c r="I5" s="17" t="s">
        <v>177</v>
      </c>
      <c r="J5" s="335">
        <f>CP_Yr_4</f>
        <v>43800</v>
      </c>
      <c r="K5" s="335">
        <f>CP_Yr_5</f>
        <v>44166</v>
      </c>
      <c r="L5" s="335">
        <f>Stub</f>
        <v>44377</v>
      </c>
      <c r="M5" s="335">
        <f>Yr_1</f>
        <v>44742</v>
      </c>
      <c r="N5" s="335">
        <f>Yr_2</f>
        <v>45107</v>
      </c>
      <c r="O5" s="335">
        <f>Yr_3</f>
        <v>45473</v>
      </c>
      <c r="P5" s="335">
        <f>Yr_4</f>
        <v>45838</v>
      </c>
      <c r="Q5" s="335">
        <f>Yr_5</f>
        <v>46203</v>
      </c>
      <c r="R5" s="336"/>
      <c r="S5" s="335">
        <f>CP_Yr_4</f>
        <v>43800</v>
      </c>
      <c r="T5" s="335">
        <f>CP_Yr_5</f>
        <v>44166</v>
      </c>
      <c r="U5" s="335">
        <f>Stub</f>
        <v>44377</v>
      </c>
      <c r="V5" s="335">
        <f>Yr_1</f>
        <v>44742</v>
      </c>
      <c r="W5" s="335">
        <f>Yr_2</f>
        <v>45107</v>
      </c>
      <c r="X5" s="335">
        <f>Yr_3</f>
        <v>45473</v>
      </c>
      <c r="Y5" s="335">
        <f>Yr_4</f>
        <v>45838</v>
      </c>
      <c r="Z5" s="335">
        <f>Yr_5</f>
        <v>46203</v>
      </c>
      <c r="AA5" s="336"/>
      <c r="AB5" s="335">
        <f t="shared" ref="AB5:AG5" si="0">CP_Yr_4</f>
        <v>43800</v>
      </c>
      <c r="AC5" s="335">
        <f t="shared" si="0"/>
        <v>43800</v>
      </c>
      <c r="AD5" s="335">
        <f t="shared" si="0"/>
        <v>43800</v>
      </c>
      <c r="AE5" s="335">
        <f t="shared" si="0"/>
        <v>43800</v>
      </c>
      <c r="AF5" s="335">
        <f t="shared" si="0"/>
        <v>43800</v>
      </c>
      <c r="AG5" s="335">
        <f t="shared" si="0"/>
        <v>43800</v>
      </c>
      <c r="AH5" s="335">
        <f t="shared" ref="AH5:AM5" si="1">CP_Yr_5</f>
        <v>44166</v>
      </c>
      <c r="AI5" s="335">
        <f t="shared" si="1"/>
        <v>44166</v>
      </c>
      <c r="AJ5" s="335">
        <f t="shared" si="1"/>
        <v>44166</v>
      </c>
      <c r="AK5" s="335">
        <f t="shared" si="1"/>
        <v>44166</v>
      </c>
      <c r="AL5" s="335">
        <f t="shared" si="1"/>
        <v>44166</v>
      </c>
      <c r="AM5" s="335">
        <f t="shared" si="1"/>
        <v>44166</v>
      </c>
      <c r="AN5" s="335">
        <f t="shared" ref="AN5:AS5" si="2">Stub</f>
        <v>44377</v>
      </c>
      <c r="AO5" s="335">
        <f t="shared" si="2"/>
        <v>44377</v>
      </c>
      <c r="AP5" s="335">
        <f t="shared" si="2"/>
        <v>44377</v>
      </c>
      <c r="AQ5" s="335">
        <f t="shared" si="2"/>
        <v>44377</v>
      </c>
      <c r="AR5" s="335">
        <f t="shared" si="2"/>
        <v>44377</v>
      </c>
      <c r="AS5" s="335">
        <f t="shared" si="2"/>
        <v>44377</v>
      </c>
      <c r="AT5" s="335">
        <f t="shared" ref="AT5:AY5" si="3">Yr_1</f>
        <v>44742</v>
      </c>
      <c r="AU5" s="335">
        <f t="shared" si="3"/>
        <v>44742</v>
      </c>
      <c r="AV5" s="335">
        <f t="shared" si="3"/>
        <v>44742</v>
      </c>
      <c r="AW5" s="335">
        <f t="shared" si="3"/>
        <v>44742</v>
      </c>
      <c r="AX5" s="335">
        <f t="shared" si="3"/>
        <v>44742</v>
      </c>
      <c r="AY5" s="335">
        <f t="shared" si="3"/>
        <v>44742</v>
      </c>
      <c r="AZ5" s="335">
        <f t="shared" ref="AZ5:BE5" si="4">Yr_2</f>
        <v>45107</v>
      </c>
      <c r="BA5" s="335">
        <f t="shared" si="4"/>
        <v>45107</v>
      </c>
      <c r="BB5" s="335">
        <f t="shared" si="4"/>
        <v>45107</v>
      </c>
      <c r="BC5" s="335">
        <f t="shared" si="4"/>
        <v>45107</v>
      </c>
      <c r="BD5" s="335">
        <f t="shared" si="4"/>
        <v>45107</v>
      </c>
      <c r="BE5" s="335">
        <f t="shared" si="4"/>
        <v>45107</v>
      </c>
      <c r="BF5" s="335">
        <f t="shared" ref="BF5:BK5" si="5">Yr_3</f>
        <v>45473</v>
      </c>
      <c r="BG5" s="335">
        <f t="shared" si="5"/>
        <v>45473</v>
      </c>
      <c r="BH5" s="335">
        <f t="shared" si="5"/>
        <v>45473</v>
      </c>
      <c r="BI5" s="335">
        <f t="shared" si="5"/>
        <v>45473</v>
      </c>
      <c r="BJ5" s="335">
        <f t="shared" si="5"/>
        <v>45473</v>
      </c>
      <c r="BK5" s="335">
        <f t="shared" si="5"/>
        <v>45473</v>
      </c>
      <c r="BL5" s="335">
        <f t="shared" ref="BL5:BQ5" si="6">Yr_4</f>
        <v>45838</v>
      </c>
      <c r="BM5" s="335">
        <f t="shared" si="6"/>
        <v>45838</v>
      </c>
      <c r="BN5" s="335">
        <f t="shared" si="6"/>
        <v>45838</v>
      </c>
      <c r="BO5" s="335">
        <f t="shared" si="6"/>
        <v>45838</v>
      </c>
      <c r="BP5" s="335">
        <f t="shared" si="6"/>
        <v>45838</v>
      </c>
      <c r="BQ5" s="335">
        <f t="shared" si="6"/>
        <v>45838</v>
      </c>
      <c r="BR5" s="335">
        <f t="shared" ref="BR5:BW5" si="7">Yr_5</f>
        <v>46203</v>
      </c>
      <c r="BS5" s="335">
        <f t="shared" si="7"/>
        <v>46203</v>
      </c>
      <c r="BT5" s="335">
        <f t="shared" si="7"/>
        <v>46203</v>
      </c>
      <c r="BU5" s="335">
        <f t="shared" si="7"/>
        <v>46203</v>
      </c>
      <c r="BV5" s="335">
        <f t="shared" si="7"/>
        <v>46203</v>
      </c>
      <c r="BW5" s="335">
        <f t="shared" si="7"/>
        <v>46203</v>
      </c>
      <c r="BX5" s="336"/>
      <c r="BY5" s="335">
        <f>CP_Yr_4</f>
        <v>43800</v>
      </c>
      <c r="BZ5" s="335">
        <f>CP_Yr_5</f>
        <v>44166</v>
      </c>
      <c r="CA5" s="335">
        <f>Stub</f>
        <v>44377</v>
      </c>
      <c r="CB5" s="335">
        <f>Yr_1</f>
        <v>44742</v>
      </c>
      <c r="CC5" s="335">
        <f>Yr_2</f>
        <v>45107</v>
      </c>
      <c r="CD5" s="335">
        <f>Yr_3</f>
        <v>45473</v>
      </c>
      <c r="CE5" s="335">
        <f>Yr_4</f>
        <v>45838</v>
      </c>
      <c r="CF5" s="335">
        <f>Yr_5</f>
        <v>46203</v>
      </c>
      <c r="CG5" s="336"/>
      <c r="CH5" s="335">
        <f>CP_Yr_4</f>
        <v>43800</v>
      </c>
      <c r="CI5" s="335">
        <f>CP_Yr_5</f>
        <v>44166</v>
      </c>
      <c r="CJ5" s="335">
        <f>Stub</f>
        <v>44377</v>
      </c>
      <c r="CK5" s="335">
        <f>Yr_1</f>
        <v>44742</v>
      </c>
      <c r="CL5" s="335">
        <f>Yr_2</f>
        <v>45107</v>
      </c>
      <c r="CM5" s="335">
        <f>Yr_3</f>
        <v>45473</v>
      </c>
      <c r="CN5" s="335">
        <f>Yr_4</f>
        <v>45838</v>
      </c>
      <c r="CO5" s="335">
        <f>Yr_5</f>
        <v>46203</v>
      </c>
      <c r="CP5" s="336"/>
      <c r="CQ5" s="335">
        <f>CP_Yr_4</f>
        <v>43800</v>
      </c>
      <c r="CR5" s="335">
        <f>CP_Yr_5</f>
        <v>44166</v>
      </c>
      <c r="CS5" s="335">
        <f>Stub</f>
        <v>44377</v>
      </c>
      <c r="CT5" s="335">
        <f>Yr_1</f>
        <v>44742</v>
      </c>
      <c r="CU5" s="335">
        <f>Yr_2</f>
        <v>45107</v>
      </c>
      <c r="CV5" s="335">
        <f>Yr_3</f>
        <v>45473</v>
      </c>
      <c r="CW5" s="335">
        <f>Yr_4</f>
        <v>45838</v>
      </c>
      <c r="CX5" s="335">
        <f>Yr_5</f>
        <v>46203</v>
      </c>
    </row>
    <row r="6" spans="2:109" hidden="1" x14ac:dyDescent="0.25">
      <c r="B6" s="7"/>
      <c r="C6" s="7"/>
      <c r="D6" s="7"/>
      <c r="E6" s="7"/>
      <c r="F6" s="7"/>
      <c r="G6" s="7"/>
      <c r="H6" s="7"/>
      <c r="I6" s="7"/>
      <c r="J6" s="45"/>
      <c r="K6" s="45"/>
      <c r="L6" s="45"/>
      <c r="M6" s="45"/>
      <c r="N6" s="45"/>
      <c r="O6" s="45"/>
      <c r="P6" s="45"/>
      <c r="Q6" s="45"/>
      <c r="S6" s="47"/>
      <c r="T6" s="47"/>
      <c r="U6" s="47"/>
      <c r="V6" s="47"/>
      <c r="W6" s="47"/>
      <c r="X6" s="47"/>
      <c r="Y6" s="47"/>
      <c r="Z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374"/>
      <c r="BC6" s="47"/>
      <c r="BD6" s="47"/>
      <c r="BE6" s="47"/>
      <c r="BF6" s="47"/>
      <c r="BG6" s="47"/>
      <c r="BH6" s="47"/>
      <c r="BI6" s="47"/>
      <c r="BJ6" s="47"/>
      <c r="BK6" s="47"/>
      <c r="BL6" s="47"/>
      <c r="BM6" s="47"/>
      <c r="BN6" s="47"/>
      <c r="BO6" s="47"/>
      <c r="BP6" s="47"/>
      <c r="BQ6" s="47"/>
      <c r="BR6" s="47"/>
      <c r="BS6" s="47"/>
      <c r="BT6" s="47"/>
      <c r="BU6" s="47"/>
      <c r="BV6" s="47"/>
      <c r="BW6" s="47"/>
      <c r="BY6" s="47"/>
      <c r="BZ6" s="47"/>
      <c r="CA6" s="47"/>
      <c r="CB6" s="47"/>
      <c r="CC6" s="47"/>
      <c r="CD6" s="47"/>
      <c r="CE6" s="47"/>
      <c r="CF6" s="47"/>
      <c r="CH6" s="82"/>
      <c r="CI6" s="82"/>
      <c r="CJ6" s="82"/>
      <c r="CK6" s="82"/>
      <c r="CL6" s="82"/>
      <c r="CM6" s="82"/>
      <c r="CN6" s="82"/>
      <c r="CO6" s="82"/>
      <c r="CQ6" s="374"/>
      <c r="CR6" s="374"/>
      <c r="CS6" s="47"/>
      <c r="CT6" s="374"/>
      <c r="CU6" s="47"/>
      <c r="CV6" s="47"/>
      <c r="CW6" s="47"/>
      <c r="CX6" s="47"/>
      <c r="DE6" s="1" t="str">
        <f>E6&amp;G6</f>
        <v/>
      </c>
    </row>
    <row r="7" spans="2:109" hidden="1" x14ac:dyDescent="0.25">
      <c r="B7" s="7"/>
      <c r="C7" s="254" t="s">
        <v>560</v>
      </c>
      <c r="D7" s="7"/>
      <c r="E7" s="7"/>
      <c r="F7" s="7"/>
      <c r="G7" s="7"/>
      <c r="H7" s="7"/>
      <c r="I7" s="7"/>
      <c r="J7" s="45"/>
      <c r="K7" s="45"/>
      <c r="L7" s="45"/>
      <c r="M7" s="45"/>
      <c r="N7" s="45"/>
      <c r="O7" s="45"/>
      <c r="P7" s="45"/>
      <c r="Q7" s="45"/>
      <c r="S7" s="47"/>
      <c r="T7" s="47"/>
      <c r="U7" s="47"/>
      <c r="V7" s="47"/>
      <c r="W7" s="47"/>
      <c r="X7" s="47"/>
      <c r="Y7" s="47"/>
      <c r="Z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374"/>
      <c r="BC7" s="47"/>
      <c r="BD7" s="47"/>
      <c r="BE7" s="47"/>
      <c r="BF7" s="47"/>
      <c r="BG7" s="47"/>
      <c r="BH7" s="47"/>
      <c r="BI7" s="47"/>
      <c r="BJ7" s="47"/>
      <c r="BK7" s="47"/>
      <c r="BL7" s="47"/>
      <c r="BM7" s="47"/>
      <c r="BN7" s="47"/>
      <c r="BO7" s="47"/>
      <c r="BP7" s="47"/>
      <c r="BQ7" s="47"/>
      <c r="BR7" s="47"/>
      <c r="BS7" s="47"/>
      <c r="BT7" s="47"/>
      <c r="BU7" s="47"/>
      <c r="BV7" s="47"/>
      <c r="BW7" s="47"/>
      <c r="BY7" s="47"/>
      <c r="BZ7" s="47"/>
      <c r="CA7" s="47"/>
      <c r="CB7" s="47"/>
      <c r="CC7" s="47"/>
      <c r="CD7" s="47"/>
      <c r="CE7" s="47"/>
      <c r="CF7" s="47"/>
      <c r="CH7" s="82"/>
      <c r="CI7" s="82"/>
      <c r="CJ7" s="82"/>
      <c r="CK7" s="82"/>
      <c r="CL7" s="82"/>
      <c r="CM7" s="82"/>
      <c r="CN7" s="82"/>
      <c r="CO7" s="82"/>
      <c r="CQ7" s="374"/>
      <c r="CR7" s="374"/>
      <c r="CS7" s="47"/>
      <c r="CT7" s="374"/>
      <c r="CU7" s="47"/>
      <c r="CV7" s="47"/>
      <c r="CW7" s="47"/>
      <c r="CX7" s="47"/>
      <c r="DE7" s="1" t="str">
        <f t="shared" ref="DE7:DE36" si="8">E7&amp;G7</f>
        <v/>
      </c>
    </row>
    <row r="8" spans="2:109" hidden="1" x14ac:dyDescent="0.25">
      <c r="B8" s="7"/>
      <c r="C8" s="7" t="s">
        <v>412</v>
      </c>
      <c r="D8" s="7" t="s">
        <v>696</v>
      </c>
      <c r="E8" s="7" t="s">
        <v>44</v>
      </c>
      <c r="F8" s="7" t="s">
        <v>55</v>
      </c>
      <c r="G8" s="7" t="s">
        <v>10</v>
      </c>
      <c r="H8" s="7" t="s">
        <v>753</v>
      </c>
      <c r="I8" s="7" t="s">
        <v>186</v>
      </c>
      <c r="J8" s="45"/>
      <c r="K8" s="45"/>
      <c r="L8" s="45"/>
      <c r="M8" s="539">
        <v>0</v>
      </c>
      <c r="N8" s="539">
        <v>0</v>
      </c>
      <c r="O8" s="539">
        <v>0</v>
      </c>
      <c r="P8" s="539"/>
      <c r="Q8" s="539"/>
      <c r="R8" s="241"/>
      <c r="S8" s="539">
        <f>INDEX(Lab_Mat!$K$6:$N$9,MATCH($H8,Lab_Mat!$J$6:$J$9,0),MATCH($S$4,Lab_Mat!$K$5:$N$5,0))*J8*HLOOKUP(S$5,Escalators!$I$25:$U$30,3,FALSE)</f>
        <v>0</v>
      </c>
      <c r="T8" s="539">
        <f>INDEX(Lab_Mat!$K$6:$N$9,MATCH($H8,Lab_Mat!$J$6:$J$9,0),MATCH($S$4,Lab_Mat!$K$5:$N$5,0))*K8*HLOOKUP(T$5,Escalators!$I$25:$U$30,3,FALSE)</f>
        <v>0</v>
      </c>
      <c r="U8" s="539">
        <f>INDEX(Lab_Mat!$K$6:$N$9,MATCH($H8,Lab_Mat!$J$6:$J$9,0),MATCH($S$4,Lab_Mat!$K$5:$N$5,0))*L8*HLOOKUP(U$5,Escalators!$I$25:$U$30,3,FALSE)</f>
        <v>0</v>
      </c>
      <c r="V8" s="539">
        <f>INDEX(Lab_Mat!$K$6:$N$9,MATCH($H8,Lab_Mat!$J$6:$J$9,0),MATCH($S$4,Lab_Mat!$K$5:$N$5,0))*M8*HLOOKUP(V$5,Escalators!$I$25:$U$30,3,FALSE)</f>
        <v>0</v>
      </c>
      <c r="W8" s="539">
        <f>INDEX(Lab_Mat!$K$6:$N$9,MATCH($H8,Lab_Mat!$J$6:$J$9,0),MATCH($S$4,Lab_Mat!$K$5:$N$5,0))*N8*HLOOKUP(W$5,Escalators!$I$25:$U$30,3,FALSE)</f>
        <v>0</v>
      </c>
      <c r="X8" s="539">
        <f>INDEX(Lab_Mat!$K$6:$N$9,MATCH($H8,Lab_Mat!$J$6:$J$9,0),MATCH($S$4,Lab_Mat!$K$5:$N$5,0))*O8*HLOOKUP(X$5,Escalators!$I$25:$U$30,3,FALSE)</f>
        <v>0</v>
      </c>
      <c r="Y8" s="539">
        <f>INDEX(Lab_Mat!$K$6:$N$9,MATCH($H8,Lab_Mat!$J$6:$J$9,0),MATCH($S$4,Lab_Mat!$K$5:$N$5,0))*P8*HLOOKUP(Y$5,Escalators!$I$25:$U$30,3,FALSE)</f>
        <v>0</v>
      </c>
      <c r="Z8" s="539">
        <f>INDEX(Lab_Mat!$K$6:$N$9,MATCH($H8,Lab_Mat!$J$6:$J$9,0),MATCH($S$4,Lab_Mat!$K$5:$N$5,0))*Q8*HLOOKUP(Z$5,Escalators!$I$25:$U$30,3,FALSE)</f>
        <v>0</v>
      </c>
      <c r="AA8" s="241"/>
      <c r="AB8" s="539">
        <f>INDEX(Lab_Mat!$K$6:$N$9,MATCH($H8,Lab_Mat!$J$6:$J$9,0),MATCH($AG$4,Lab_Mat!$K$5:$N$5,0))*$J8*INDEX(Act_Type_Repex_Splits,MATCH($I8,Act_Type_Repex,0),MATCH(AB$4,Mat_Type,0))*INDEX(Escalators!$I$44:$Q$49,MATCH(AB$4,Escalators!$C$44:$C$49,0),MATCH(AB$5,Escalators!$I$43:$Q$43,0))</f>
        <v>0</v>
      </c>
      <c r="AC8" s="539">
        <f>INDEX(Lab_Mat!$K$6:$N$9,MATCH($H8,Lab_Mat!$J$6:$J$9,0),MATCH($AG$4,Lab_Mat!$K$5:$N$5,0))*$J8*INDEX(Act_Type_Repex_Splits,MATCH($I8,Act_Type_Repex,0),MATCH(AC$4,Mat_Type,0))*INDEX(Escalators!$I$44:$Q$49,MATCH(AC$4,Escalators!$C$44:$C$49,0),MATCH(AC$5,Escalators!$I$43:$Q$43,0))</f>
        <v>0</v>
      </c>
      <c r="AD8" s="539">
        <f>INDEX(Lab_Mat!$K$6:$N$9,MATCH($H8,Lab_Mat!$J$6:$J$9,0),MATCH($AG$4,Lab_Mat!$K$5:$N$5,0))*$J8*INDEX(Act_Type_Repex_Splits,MATCH($I8,Act_Type_Repex,0),MATCH(AD$4,Mat_Type,0))*INDEX(Escalators!$I$44:$Q$49,MATCH(AD$4,Escalators!$C$44:$C$49,0),MATCH(AD$5,Escalators!$I$43:$Q$43,0))</f>
        <v>0</v>
      </c>
      <c r="AE8" s="539">
        <f>INDEX(Lab_Mat!$K$6:$N$9,MATCH($H8,Lab_Mat!$J$6:$J$9,0),MATCH($AG$4,Lab_Mat!$K$5:$N$5,0))*$J8*INDEX(Act_Type_Repex_Splits,MATCH($I8,Act_Type_Repex,0),MATCH(AE$4,Mat_Type,0))*INDEX(Escalators!$I$44:$Q$49,MATCH(AE$4,Escalators!$C$44:$C$49,0),MATCH(AE$5,Escalators!$I$43:$Q$43,0))</f>
        <v>0</v>
      </c>
      <c r="AF8" s="539">
        <f>INDEX(Lab_Mat!$K$6:$N$9,MATCH($H8,Lab_Mat!$J$6:$J$9,0),MATCH($AG$4,Lab_Mat!$K$5:$N$5,0))*$J8*INDEX(Act_Type_Repex_Splits,MATCH($I8,Act_Type_Repex,0),MATCH(AF$4,Mat_Type,0))*INDEX(Escalators!$I$44:$Q$49,MATCH(AF$4,Escalators!$C$44:$C$49,0),MATCH(AF$5,Escalators!$I$43:$Q$43,0))</f>
        <v>0</v>
      </c>
      <c r="AG8" s="539">
        <f>SUM(AB8:AF8)</f>
        <v>0</v>
      </c>
      <c r="AH8" s="539">
        <f>INDEX(Lab_Mat!$K$6:$N$9,MATCH($H8,Lab_Mat!$J$6:$J$9,0),MATCH($AY$4,Lab_Mat!$K$5:$N$5,0))*$K8*INDEX(Act_Type_Repex_Splits,MATCH($I8,Act_Type_Repex,0),MATCH(AH$4,Mat_Type,0))*INDEX(Escalators!$I$44:$U$49,MATCH(AH$4,Escalators!$C$44:$C$49,0),MATCH(AH$5,Escalators!$I$43:$U$43,0))</f>
        <v>0</v>
      </c>
      <c r="AI8" s="539">
        <f>INDEX(Lab_Mat!$K$6:$N$9,MATCH($H8,Lab_Mat!$J$6:$J$9,0),MATCH($AY$4,Lab_Mat!$K$5:$N$5,0))*$K8*INDEX(Act_Type_Repex_Splits,MATCH($I8,Act_Type_Repex,0),MATCH(AI$4,Mat_Type,0))*INDEX(Escalators!$I$44:$U$49,MATCH(AI$4,Escalators!$C$44:$C$49,0),MATCH(AI$5,Escalators!$I$43:$U$43,0))</f>
        <v>0</v>
      </c>
      <c r="AJ8" s="539">
        <f>INDEX(Lab_Mat!$K$6:$N$9,MATCH($H8,Lab_Mat!$J$6:$J$9,0),MATCH($AY$4,Lab_Mat!$K$5:$N$5,0))*$K8*INDEX(Act_Type_Repex_Splits,MATCH($I8,Act_Type_Repex,0),MATCH(AJ$4,Mat_Type,0))*INDEX(Escalators!$I$44:$U$49,MATCH(AJ$4,Escalators!$C$44:$C$49,0),MATCH(AJ$5,Escalators!$I$43:$U$43,0))</f>
        <v>0</v>
      </c>
      <c r="AK8" s="539">
        <f>INDEX(Lab_Mat!$K$6:$N$9,MATCH($H8,Lab_Mat!$J$6:$J$9,0),MATCH($AY$4,Lab_Mat!$K$5:$N$5,0))*$K8*INDEX(Act_Type_Repex_Splits,MATCH($I8,Act_Type_Repex,0),MATCH(AK$4,Mat_Type,0))*INDEX(Escalators!$I$44:$U$49,MATCH(AK$4,Escalators!$C$44:$C$49,0),MATCH(AK$5,Escalators!$I$43:$U$43,0))</f>
        <v>0</v>
      </c>
      <c r="AL8" s="539">
        <f>INDEX(Lab_Mat!$K$6:$N$9,MATCH($H8,Lab_Mat!$J$6:$J$9,0),MATCH($AY$4,Lab_Mat!$K$5:$N$5,0))*$K8*INDEX(Act_Type_Repex_Splits,MATCH($I8,Act_Type_Repex,0),MATCH(AL$4,Mat_Type,0))*INDEX(Escalators!$I$44:$U$49,MATCH(AL$4,Escalators!$C$44:$C$49,0),MATCH(AL$5,Escalators!$I$43:$U$43,0))</f>
        <v>0</v>
      </c>
      <c r="AM8" s="539">
        <f>SUM(AH8:AL8)</f>
        <v>0</v>
      </c>
      <c r="AN8" s="539">
        <f>INDEX(Lab_Mat!$K$6:$N$9,MATCH($H8,Lab_Mat!$J$6:$J$9,0),MATCH($AY$4,Lab_Mat!$K$5:$N$5,0))*$L8*INDEX(Act_Type_Repex_Splits,MATCH($I8,Act_Type_Repex,0),MATCH(AN$4,Mat_Type,0))*INDEX(Escalators!$I$44:$U$49,MATCH(AN$4,Escalators!$C$44:$C$49,0),MATCH(AN$5,Escalators!$I$43:$U$43,0))</f>
        <v>0</v>
      </c>
      <c r="AO8" s="539">
        <f>INDEX(Lab_Mat!$K$6:$N$9,MATCH($H8,Lab_Mat!$J$6:$J$9,0),MATCH($AY$4,Lab_Mat!$K$5:$N$5,0))*$L8*INDEX(Act_Type_Repex_Splits,MATCH($I8,Act_Type_Repex,0),MATCH(AO$4,Mat_Type,0))*INDEX(Escalators!$I$44:$U$49,MATCH(AO$4,Escalators!$C$44:$C$49,0),MATCH(AO$5,Escalators!$I$43:$U$43,0))</f>
        <v>0</v>
      </c>
      <c r="AP8" s="539">
        <f>INDEX(Lab_Mat!$K$6:$N$9,MATCH($H8,Lab_Mat!$J$6:$J$9,0),MATCH($AY$4,Lab_Mat!$K$5:$N$5,0))*$L8*INDEX(Act_Type_Repex_Splits,MATCH($I8,Act_Type_Repex,0),MATCH(AP$4,Mat_Type,0))*INDEX(Escalators!$I$44:$U$49,MATCH(AP$4,Escalators!$C$44:$C$49,0),MATCH(AP$5,Escalators!$I$43:$U$43,0))</f>
        <v>0</v>
      </c>
      <c r="AQ8" s="539">
        <f>INDEX(Lab_Mat!$K$6:$N$9,MATCH($H8,Lab_Mat!$J$6:$J$9,0),MATCH($AY$4,Lab_Mat!$K$5:$N$5,0))*$L8*INDEX(Act_Type_Repex_Splits,MATCH($I8,Act_Type_Repex,0),MATCH(AQ$4,Mat_Type,0))*INDEX(Escalators!$I$44:$U$49,MATCH(AQ$4,Escalators!$C$44:$C$49,0),MATCH(AQ$5,Escalators!$I$43:$U$43,0))</f>
        <v>0</v>
      </c>
      <c r="AR8" s="539">
        <f>INDEX(Lab_Mat!$K$6:$N$9,MATCH($H8,Lab_Mat!$J$6:$J$9,0),MATCH($AY$4,Lab_Mat!$K$5:$N$5,0))*$L8*INDEX(Act_Type_Repex_Splits,MATCH($I8,Act_Type_Repex,0),MATCH(AR$4,Mat_Type,0))*INDEX(Escalators!$I$44:$U$49,MATCH(AR$4,Escalators!$C$44:$C$49,0),MATCH(AR$5,Escalators!$I$43:$U$43,0))</f>
        <v>0</v>
      </c>
      <c r="AS8" s="539">
        <f>SUM(AN8:AR8)</f>
        <v>0</v>
      </c>
      <c r="AT8" s="539">
        <f>INDEX(Lab_Mat!$K$6:$N$9,MATCH($H8,Lab_Mat!$J$6:$J$9,0),MATCH($AY$4,Lab_Mat!$K$5:$N$5,0))*$M8*INDEX(Act_Type_Repex_Splits,MATCH($I8,Act_Type_Repex,0),MATCH(AT$4,Mat_Type,0))*INDEX(Escalators!$I$44:$U$49,MATCH(AT$4,Escalators!$C$44:$C$49,0),MATCH(AT$5,Escalators!$I$43:$U$43,0))</f>
        <v>0</v>
      </c>
      <c r="AU8" s="539">
        <f>INDEX(Lab_Mat!$K$6:$N$9,MATCH($H8,Lab_Mat!$J$6:$J$9,0),MATCH($AY$4,Lab_Mat!$K$5:$N$5,0))*$M8*INDEX(Act_Type_Repex_Splits,MATCH($I8,Act_Type_Repex,0),MATCH(AU$4,Mat_Type,0))*INDEX(Escalators!$I$44:$U$49,MATCH(AU$4,Escalators!$C$44:$C$49,0),MATCH(AU$5,Escalators!$I$43:$U$43,0))</f>
        <v>0</v>
      </c>
      <c r="AV8" s="539">
        <f>INDEX(Lab_Mat!$K$6:$N$9,MATCH($H8,Lab_Mat!$J$6:$J$9,0),MATCH($AY$4,Lab_Mat!$K$5:$N$5,0))*$M8*INDEX(Act_Type_Repex_Splits,MATCH($I8,Act_Type_Repex,0),MATCH(AV$4,Mat_Type,0))*INDEX(Escalators!$I$44:$U$49,MATCH(AV$4,Escalators!$C$44:$C$49,0),MATCH(AV$5,Escalators!$I$43:$U$43,0))</f>
        <v>0</v>
      </c>
      <c r="AW8" s="539">
        <f>INDEX(Lab_Mat!$K$6:$N$9,MATCH($H8,Lab_Mat!$J$6:$J$9,0),MATCH($AY$4,Lab_Mat!$K$5:$N$5,0))*$M8*INDEX(Act_Type_Repex_Splits,MATCH($I8,Act_Type_Repex,0),MATCH(AW$4,Mat_Type,0))*INDEX(Escalators!$I$44:$U$49,MATCH(AW$4,Escalators!$C$44:$C$49,0),MATCH(AW$5,Escalators!$I$43:$U$43,0))</f>
        <v>0</v>
      </c>
      <c r="AX8" s="539">
        <f>INDEX(Lab_Mat!$K$6:$N$9,MATCH($H8,Lab_Mat!$J$6:$J$9,0),MATCH($AY$4,Lab_Mat!$K$5:$N$5,0))*$M8*INDEX(Act_Type_Repex_Splits,MATCH($I8,Act_Type_Repex,0),MATCH(AX$4,Mat_Type,0))*INDEX(Escalators!$I$44:$U$49,MATCH(AX$4,Escalators!$C$44:$C$49,0),MATCH(AX$5,Escalators!$I$43:$U$43,0))</f>
        <v>0</v>
      </c>
      <c r="AY8" s="539">
        <f>SUM(AT8:AX8)</f>
        <v>0</v>
      </c>
      <c r="AZ8" s="539">
        <f>INDEX(Lab_Mat!$K$6:$N$9,MATCH($H8,Lab_Mat!$J$6:$J$9,0),MATCH($BE$4,Lab_Mat!$K$5:$N$5,0))*$N8*INDEX(Act_Type_Repex_Splits,MATCH($I8,Act_Type_Repex,0),MATCH(AZ$4,Mat_Type,0))*INDEX(Escalators!$I$44:$U$49,MATCH(AZ$4,Escalators!$C$44:$C$49,0),MATCH(AZ$5,Escalators!$I$43:$U$43,0))</f>
        <v>0</v>
      </c>
      <c r="BA8" s="539">
        <f>INDEX(Lab_Mat!$K$6:$N$9,MATCH($H8,Lab_Mat!$J$6:$J$9,0),MATCH($BE$4,Lab_Mat!$K$5:$N$5,0))*$N8*INDEX(Act_Type_Repex_Splits,MATCH($I8,Act_Type_Repex,0),MATCH(BA$4,Mat_Type,0))*INDEX(Escalators!$I$44:$U$49,MATCH(BA$4,Escalators!$C$44:$C$49,0),MATCH(BA$5,Escalators!$I$43:$U$43,0))</f>
        <v>0</v>
      </c>
      <c r="BB8" s="539">
        <f>INDEX(Lab_Mat!$K$6:$N$9,MATCH($H8,Lab_Mat!$J$6:$J$9,0),MATCH($BE$4,Lab_Mat!$K$5:$N$5,0))*$N8*INDEX(Act_Type_Repex_Splits,MATCH($I8,Act_Type_Repex,0),MATCH(BB$4,Mat_Type,0))*INDEX(Escalators!$I$44:$U$49,MATCH(BB$4,Escalators!$C$44:$C$49,0),MATCH(BB$5,Escalators!$I$43:$U$43,0))</f>
        <v>0</v>
      </c>
      <c r="BC8" s="539">
        <f>INDEX(Lab_Mat!$K$6:$N$9,MATCH($H8,Lab_Mat!$J$6:$J$9,0),MATCH($BE$4,Lab_Mat!$K$5:$N$5,0))*$N8*INDEX(Act_Type_Repex_Splits,MATCH($I8,Act_Type_Repex,0),MATCH(BC$4,Mat_Type,0))*INDEX(Escalators!$I$44:$U$49,MATCH(BC$4,Escalators!$C$44:$C$49,0),MATCH(BC$5,Escalators!$I$43:$U$43,0))</f>
        <v>0</v>
      </c>
      <c r="BD8" s="539">
        <f>INDEX(Lab_Mat!$K$6:$N$9,MATCH($H8,Lab_Mat!$J$6:$J$9,0),MATCH($BE$4,Lab_Mat!$K$5:$N$5,0))*$N8*INDEX(Act_Type_Repex_Splits,MATCH($I8,Act_Type_Repex,0),MATCH(BD$4,Mat_Type,0))*INDEX(Escalators!$I$44:$U$49,MATCH(BD$4,Escalators!$C$44:$C$49,0),MATCH(BD$5,Escalators!$I$43:$U$43,0))</f>
        <v>0</v>
      </c>
      <c r="BE8" s="539">
        <f>SUM(AZ8:BD8)</f>
        <v>0</v>
      </c>
      <c r="BF8" s="539">
        <f>INDEX(Lab_Mat!$K$6:$N$9,MATCH($H8,Lab_Mat!$J$6:$J$9,0),MATCH($BK$4,Lab_Mat!$K$5:$N$5,0))*$O8*INDEX(Act_Type_Repex_Splits,MATCH($I8,Act_Type_Repex,0),MATCH(BF$4,Mat_Type,0))*INDEX(Escalators!$I$44:$U$49,MATCH(BF$4,Escalators!$C$44:$C$49,0),MATCH(BF$5,Escalators!$I$43:$U$43,0))</f>
        <v>0</v>
      </c>
      <c r="BG8" s="539">
        <f>INDEX(Lab_Mat!$K$6:$N$9,MATCH($H8,Lab_Mat!$J$6:$J$9,0),MATCH($BK$4,Lab_Mat!$K$5:$N$5,0))*$O8*INDEX(Act_Type_Repex_Splits,MATCH($I8,Act_Type_Repex,0),MATCH(BG$4,Mat_Type,0))*INDEX(Escalators!$I$44:$U$49,MATCH(BG$4,Escalators!$C$44:$C$49,0),MATCH(BG$5,Escalators!$I$43:$U$43,0))</f>
        <v>0</v>
      </c>
      <c r="BH8" s="539">
        <f>INDEX(Lab_Mat!$K$6:$N$9,MATCH($H8,Lab_Mat!$J$6:$J$9,0),MATCH($BK$4,Lab_Mat!$K$5:$N$5,0))*$O8*INDEX(Act_Type_Repex_Splits,MATCH($I8,Act_Type_Repex,0),MATCH(BH$4,Mat_Type,0))*INDEX(Escalators!$I$44:$U$49,MATCH(BH$4,Escalators!$C$44:$C$49,0),MATCH(BH$5,Escalators!$I$43:$U$43,0))</f>
        <v>0</v>
      </c>
      <c r="BI8" s="539">
        <f>INDEX(Lab_Mat!$K$6:$N$9,MATCH($H8,Lab_Mat!$J$6:$J$9,0),MATCH($BK$4,Lab_Mat!$K$5:$N$5,0))*$O8*INDEX(Act_Type_Repex_Splits,MATCH($I8,Act_Type_Repex,0),MATCH(BI$4,Mat_Type,0))*INDEX(Escalators!$I$44:$U$49,MATCH(BI$4,Escalators!$C$44:$C$49,0),MATCH(BI$5,Escalators!$I$43:$U$43,0))</f>
        <v>0</v>
      </c>
      <c r="BJ8" s="539">
        <f>INDEX(Lab_Mat!$K$6:$N$9,MATCH($H8,Lab_Mat!$J$6:$J$9,0),MATCH($BK$4,Lab_Mat!$K$5:$N$5,0))*$O8*INDEX(Act_Type_Repex_Splits,MATCH($I8,Act_Type_Repex,0),MATCH(BJ$4,Mat_Type,0))*INDEX(Escalators!$I$44:$U$49,MATCH(BJ$4,Escalators!$C$44:$C$49,0),MATCH(BJ$5,Escalators!$I$43:$U$43,0))</f>
        <v>0</v>
      </c>
      <c r="BK8" s="539">
        <f>SUM(BF8:BJ8)</f>
        <v>0</v>
      </c>
      <c r="BL8" s="539">
        <f>INDEX(Lab_Mat!$K$6:$N$9,MATCH($H8,Lab_Mat!$J$6:$J$9,0),MATCH($BQ$4,Lab_Mat!$K$5:$N$5,0))*$P8*INDEX(Act_Type_Repex_Splits,MATCH($I8,Act_Type_Repex,0),MATCH(BL$4,Mat_Type,0))*INDEX(Escalators!$I$44:$U$49,MATCH(BL$4,Escalators!$C$44:$C$49,0),MATCH(BL$5,Escalators!$I$43:$U$43,0))</f>
        <v>0</v>
      </c>
      <c r="BM8" s="539">
        <f>INDEX(Lab_Mat!$K$6:$N$9,MATCH($H8,Lab_Mat!$J$6:$J$9,0),MATCH($BQ$4,Lab_Mat!$K$5:$N$5,0))*$P8*INDEX(Act_Type_Repex_Splits,MATCH($I8,Act_Type_Repex,0),MATCH(BM$4,Mat_Type,0))*INDEX(Escalators!$I$44:$U$49,MATCH(BM$4,Escalators!$C$44:$C$49,0),MATCH(BM$5,Escalators!$I$43:$U$43,0))</f>
        <v>0</v>
      </c>
      <c r="BN8" s="539">
        <f>INDEX(Lab_Mat!$K$6:$N$9,MATCH($H8,Lab_Mat!$J$6:$J$9,0),MATCH($BQ$4,Lab_Mat!$K$5:$N$5,0))*$P8*INDEX(Act_Type_Repex_Splits,MATCH($I8,Act_Type_Repex,0),MATCH(BN$4,Mat_Type,0))*INDEX(Escalators!$I$44:$U$49,MATCH(BN$4,Escalators!$C$44:$C$49,0),MATCH(BN$5,Escalators!$I$43:$U$43,0))</f>
        <v>0</v>
      </c>
      <c r="BO8" s="539">
        <f>INDEX(Lab_Mat!$K$6:$N$9,MATCH($H8,Lab_Mat!$J$6:$J$9,0),MATCH($BQ$4,Lab_Mat!$K$5:$N$5,0))*$P8*INDEX(Act_Type_Repex_Splits,MATCH($I8,Act_Type_Repex,0),MATCH(BO$4,Mat_Type,0))*INDEX(Escalators!$I$44:$U$49,MATCH(BO$4,Escalators!$C$44:$C$49,0),MATCH(BO$5,Escalators!$I$43:$U$43,0))</f>
        <v>0</v>
      </c>
      <c r="BP8" s="539">
        <f>INDEX(Lab_Mat!$K$6:$N$9,MATCH($H8,Lab_Mat!$J$6:$J$9,0),MATCH($BQ$4,Lab_Mat!$K$5:$N$5,0))*$P8*INDEX(Act_Type_Repex_Splits,MATCH($I8,Act_Type_Repex,0),MATCH(BP$4,Mat_Type,0))*INDEX(Escalators!$I$44:$U$49,MATCH(BP$4,Escalators!$C$44:$C$49,0),MATCH(BP$5,Escalators!$I$43:$U$43,0))</f>
        <v>0</v>
      </c>
      <c r="BQ8" s="539">
        <f>SUM(BL8:BP8)</f>
        <v>0</v>
      </c>
      <c r="BR8" s="539">
        <f>INDEX(Lab_Mat!$K$6:$N$9,MATCH($H8,Lab_Mat!$J$6:$J$9,0),MATCH($BW$4,Lab_Mat!$K$5:$N$5,0))*$Q8*INDEX(Act_Type_Repex_Splits,MATCH($I8,Act_Type_Repex,0),MATCH(BR$4,Mat_Type,0))*INDEX(Escalators!$I$44:$U$49,MATCH(BR$4,Escalators!$C$44:$C$49,0),MATCH(BR$5,Escalators!$I$43:$U$43,0))</f>
        <v>0</v>
      </c>
      <c r="BS8" s="539">
        <f>INDEX(Lab_Mat!$K$6:$N$9,MATCH($H8,Lab_Mat!$J$6:$J$9,0),MATCH($BW$4,Lab_Mat!$K$5:$N$5,0))*$Q8*INDEX(Act_Type_Repex_Splits,MATCH($I8,Act_Type_Repex,0),MATCH(BS$4,Mat_Type,0))*INDEX(Escalators!$I$44:$U$49,MATCH(BS$4,Escalators!$C$44:$C$49,0),MATCH(BS$5,Escalators!$I$43:$U$43,0))</f>
        <v>0</v>
      </c>
      <c r="BT8" s="539">
        <f>INDEX(Lab_Mat!$K$6:$N$9,MATCH($H8,Lab_Mat!$J$6:$J$9,0),MATCH($BW$4,Lab_Mat!$K$5:$N$5,0))*$Q8*INDEX(Act_Type_Repex_Splits,MATCH($I8,Act_Type_Repex,0),MATCH(BT$4,Mat_Type,0))*INDEX(Escalators!$I$44:$U$49,MATCH(BT$4,Escalators!$C$44:$C$49,0),MATCH(BT$5,Escalators!$I$43:$U$43,0))</f>
        <v>0</v>
      </c>
      <c r="BU8" s="539">
        <f>INDEX(Lab_Mat!$K$6:$N$9,MATCH($H8,Lab_Mat!$J$6:$J$9,0),MATCH($BW$4,Lab_Mat!$K$5:$N$5,0))*$Q8*INDEX(Act_Type_Repex_Splits,MATCH($I8,Act_Type_Repex,0),MATCH(BU$4,Mat_Type,0))*INDEX(Escalators!$I$44:$U$49,MATCH(BU$4,Escalators!$C$44:$C$49,0),MATCH(BU$5,Escalators!$I$43:$U$43,0))</f>
        <v>0</v>
      </c>
      <c r="BV8" s="539">
        <f>INDEX(Lab_Mat!$K$6:$N$9,MATCH($H8,Lab_Mat!$J$6:$J$9,0),MATCH($BW$4,Lab_Mat!$K$5:$N$5,0))*$Q8*INDEX(Act_Type_Repex_Splits,MATCH($I8,Act_Type_Repex,0),MATCH(BV$4,Mat_Type,0))*INDEX(Escalators!$I$44:$U$49,MATCH(BV$4,Escalators!$C$44:$C$49,0),MATCH(BV$5,Escalators!$I$43:$U$43,0))</f>
        <v>0</v>
      </c>
      <c r="BW8" s="539">
        <f>SUM(BR8:BV8)</f>
        <v>0</v>
      </c>
      <c r="BX8" s="241"/>
      <c r="BY8" s="539">
        <f>INDEX(Lab_Mat!$K$6:$N$9,MATCH($H8,Lab_Mat!$J$6:$J$9,0),MATCH($BY$4,Lab_Mat!$K$5:$N$5,0))*J8*HLOOKUP(BY$5,Escalators!$I$25:$U$30,6,FALSE)</f>
        <v>0</v>
      </c>
      <c r="BZ8" s="539">
        <f>INDEX(Lab_Mat!$K$6:$N$9,MATCH($H8,Lab_Mat!$J$6:$J$9,0),MATCH($BY$4,Lab_Mat!$K$5:$N$5,0))*K8*HLOOKUP(BZ$5,Escalators!$I$25:$U$30,6,FALSE)</f>
        <v>0</v>
      </c>
      <c r="CA8" s="539">
        <f>INDEX(Lab_Mat!$K$6:$N$9,MATCH($H8,Lab_Mat!$J$6:$J$9,0),MATCH($BY$4,Lab_Mat!$K$5:$N$5,0))*L8*HLOOKUP(CA$5,Escalators!$I$25:$U$30,6,FALSE)</f>
        <v>0</v>
      </c>
      <c r="CB8" s="539">
        <f>INDEX(Lab_Mat!$K$6:$N$9,MATCH($H8,Lab_Mat!$J$6:$J$9,0),MATCH($BY$4,Lab_Mat!$K$5:$N$5,0))*M8*HLOOKUP(CB$5,Escalators!$I$25:$U$30,6,FALSE)</f>
        <v>0</v>
      </c>
      <c r="CC8" s="539">
        <f>INDEX(Lab_Mat!$K$6:$N$9,MATCH($H8,Lab_Mat!$J$6:$J$9,0),MATCH($BY$4,Lab_Mat!$K$5:$N$5,0))*N8*HLOOKUP(CC$5,Escalators!$I$25:$U$30,6,FALSE)</f>
        <v>0</v>
      </c>
      <c r="CD8" s="539">
        <f>INDEX(Lab_Mat!$K$6:$N$9,MATCH($H8,Lab_Mat!$J$6:$J$9,0),MATCH($BY$4,Lab_Mat!$K$5:$N$5,0))*O8*HLOOKUP(CD$5,Escalators!$I$25:$U$30,6,FALSE)</f>
        <v>0</v>
      </c>
      <c r="CE8" s="539">
        <f>INDEX(Lab_Mat!$K$6:$N$9,MATCH($H8,Lab_Mat!$J$6:$J$9,0),MATCH($BY$4,Lab_Mat!$K$5:$N$5,0))*P8*HLOOKUP(CE$5,Escalators!$I$25:$U$30,6,FALSE)</f>
        <v>0</v>
      </c>
      <c r="CF8" s="539">
        <f>INDEX(Lab_Mat!$K$6:$N$9,MATCH($H8,Lab_Mat!$J$6:$J$9,0),MATCH($BY$4,Lab_Mat!$K$5:$N$5,0))*Q8*HLOOKUP(CF$5,Escalators!$I$25:$U$30,6,FALSE)</f>
        <v>0</v>
      </c>
      <c r="CG8" s="241"/>
      <c r="CH8" s="540">
        <f>INDEX(Lab_Mat!$K$6:$N$9,MATCH($H8,Lab_Mat!$J$6:$J$9,0),MATCH($CH$4,Lab_Mat!$K$5:$N$5,0))*J8</f>
        <v>0</v>
      </c>
      <c r="CI8" s="540">
        <f>INDEX(Lab_Mat!$K$6:$N$9,MATCH($H8,Lab_Mat!$J$6:$J$9,0),MATCH($CH$4,Lab_Mat!$K$5:$N$5,0))*K8</f>
        <v>0</v>
      </c>
      <c r="CJ8" s="540">
        <f>INDEX(Lab_Mat!$K$6:$N$9,MATCH($H8,Lab_Mat!$J$6:$J$9,0),MATCH($CH$4,Lab_Mat!$K$5:$N$5,0))*L8</f>
        <v>0</v>
      </c>
      <c r="CK8" s="540">
        <f>INDEX(Lab_Mat!$K$6:$N$9,MATCH($H8,Lab_Mat!$J$6:$J$9,0),MATCH($CH$4,Lab_Mat!$K$5:$N$5,0))*M8</f>
        <v>0</v>
      </c>
      <c r="CL8" s="540">
        <f>INDEX(Lab_Mat!$K$6:$N$9,MATCH($H8,Lab_Mat!$J$6:$J$9,0),MATCH($CH$4,Lab_Mat!$K$5:$N$5,0))*N8</f>
        <v>0</v>
      </c>
      <c r="CM8" s="540">
        <f>INDEX(Lab_Mat!$K$6:$N$9,MATCH($H8,Lab_Mat!$J$6:$J$9,0),MATCH($CH$4,Lab_Mat!$K$5:$N$5,0))*O8</f>
        <v>0</v>
      </c>
      <c r="CN8" s="540">
        <f>INDEX(Lab_Mat!$K$6:$N$9,MATCH($H8,Lab_Mat!$J$6:$J$9,0),MATCH($CH$4,Lab_Mat!$K$5:$N$5,0))*P8</f>
        <v>0</v>
      </c>
      <c r="CO8" s="540">
        <f>INDEX(Lab_Mat!$K$6:$N$9,MATCH($H8,Lab_Mat!$J$6:$J$9,0),MATCH($CH$4,Lab_Mat!$K$5:$N$5,0))*Q8</f>
        <v>0</v>
      </c>
      <c r="CP8" s="241"/>
      <c r="CQ8" s="539">
        <f t="shared" ref="CQ8:CQ13" si="9">S8+AG8+BY8+CH8</f>
        <v>0</v>
      </c>
      <c r="CR8" s="539">
        <f t="shared" ref="CR8:CR13" si="10">T8+AM8+BZ8+CI8</f>
        <v>0</v>
      </c>
      <c r="CS8" s="539">
        <f>U8+AS8+CA8+CJ8</f>
        <v>0</v>
      </c>
      <c r="CT8" s="539">
        <f t="shared" ref="CT8:CT13" si="11">V8+AY8+CB8+CK8</f>
        <v>0</v>
      </c>
      <c r="CU8" s="539">
        <f t="shared" ref="CU8:CU13" si="12">W8+BE8+CC8+CL8</f>
        <v>0</v>
      </c>
      <c r="CV8" s="539">
        <f t="shared" ref="CV8:CV13" si="13">X8+BK8+CD8+CM8</f>
        <v>0</v>
      </c>
      <c r="CW8" s="539">
        <f t="shared" ref="CW8:CW13" si="14">Y8+BQ8+CE8+CN8</f>
        <v>0</v>
      </c>
      <c r="CX8" s="539">
        <f t="shared" ref="CX8:CX13" si="15">Z8+BW8+CF8+CO8</f>
        <v>0</v>
      </c>
      <c r="CY8" s="39"/>
      <c r="CZ8" s="39"/>
      <c r="DA8" s="39"/>
      <c r="DB8" s="39"/>
      <c r="DC8" s="39"/>
    </row>
    <row r="9" spans="2:109" hidden="1" x14ac:dyDescent="0.25">
      <c r="B9" s="7"/>
      <c r="C9" s="7" t="s">
        <v>413</v>
      </c>
      <c r="D9" s="7" t="s">
        <v>696</v>
      </c>
      <c r="E9" s="7" t="s">
        <v>45</v>
      </c>
      <c r="F9" s="7" t="s">
        <v>55</v>
      </c>
      <c r="G9" s="7" t="s">
        <v>10</v>
      </c>
      <c r="H9" s="7" t="s">
        <v>561</v>
      </c>
      <c r="I9" s="7" t="s">
        <v>186</v>
      </c>
      <c r="J9" s="45"/>
      <c r="K9" s="45"/>
      <c r="L9" s="45"/>
      <c r="M9" s="539">
        <v>0</v>
      </c>
      <c r="N9" s="539">
        <v>0</v>
      </c>
      <c r="O9" s="539">
        <v>0</v>
      </c>
      <c r="P9" s="539"/>
      <c r="Q9" s="539"/>
      <c r="R9" s="241"/>
      <c r="S9" s="539">
        <f>INDEX(Lab_Mat!$K$6:$N$9,MATCH($H9,Lab_Mat!$J$6:$J$9,0),MATCH($S$4,Lab_Mat!$K$5:$N$5,0))*J9*HLOOKUP(S$5,Escalators!$I$25:$U$30,3,FALSE)</f>
        <v>0</v>
      </c>
      <c r="T9" s="539">
        <f>INDEX(Lab_Mat!$K$6:$N$9,MATCH($H9,Lab_Mat!$J$6:$J$9,0),MATCH($S$4,Lab_Mat!$K$5:$N$5,0))*K9*HLOOKUP(T$5,Escalators!$I$25:$U$30,3,FALSE)</f>
        <v>0</v>
      </c>
      <c r="U9" s="539">
        <f>INDEX(Lab_Mat!$K$6:$N$9,MATCH($H9,Lab_Mat!$J$6:$J$9,0),MATCH($S$4,Lab_Mat!$K$5:$N$5,0))*L9*HLOOKUP(U$5,Escalators!$I$25:$U$30,3,FALSE)</f>
        <v>0</v>
      </c>
      <c r="V9" s="539">
        <f>INDEX(Lab_Mat!$K$6:$N$9,MATCH($H9,Lab_Mat!$J$6:$J$9,0),MATCH($S$4,Lab_Mat!$K$5:$N$5,0))*M9*HLOOKUP(V$5,Escalators!$I$25:$U$30,3,FALSE)</f>
        <v>0</v>
      </c>
      <c r="W9" s="539">
        <f>INDEX(Lab_Mat!$K$6:$N$9,MATCH($H9,Lab_Mat!$J$6:$J$9,0),MATCH($S$4,Lab_Mat!$K$5:$N$5,0))*N9*HLOOKUP(W$5,Escalators!$I$25:$U$30,3,FALSE)</f>
        <v>0</v>
      </c>
      <c r="X9" s="539">
        <f>INDEX(Lab_Mat!$K$6:$N$9,MATCH($H9,Lab_Mat!$J$6:$J$9,0),MATCH($S$4,Lab_Mat!$K$5:$N$5,0))*O9*HLOOKUP(X$5,Escalators!$I$25:$U$30,3,FALSE)</f>
        <v>0</v>
      </c>
      <c r="Y9" s="539">
        <f>INDEX(Lab_Mat!$K$6:$N$9,MATCH($H9,Lab_Mat!$J$6:$J$9,0),MATCH($S$4,Lab_Mat!$K$5:$N$5,0))*P9*HLOOKUP(Y$5,Escalators!$I$25:$U$30,3,FALSE)</f>
        <v>0</v>
      </c>
      <c r="Z9" s="539">
        <f>INDEX(Lab_Mat!$K$6:$N$9,MATCH($H9,Lab_Mat!$J$6:$J$9,0),MATCH($S$4,Lab_Mat!$K$5:$N$5,0))*Q9*HLOOKUP(Z$5,Escalators!$I$25:$U$30,3,FALSE)</f>
        <v>0</v>
      </c>
      <c r="AA9" s="241"/>
      <c r="AB9" s="539">
        <f>INDEX(Lab_Mat!$K$6:$N$9,MATCH($H9,Lab_Mat!$J$6:$J$9,0),MATCH($AG$4,Lab_Mat!$K$5:$N$5,0))*$J9*INDEX(Act_Type_Repex_Splits,MATCH($I9,Act_Type_Repex,0),MATCH(AB$4,Mat_Type,0))*INDEX(Escalators!$I$44:$Q$49,MATCH(AB$4,Escalators!$C$44:$C$49,0),MATCH(AB$5,Escalators!$I$43:$Q$43,0))</f>
        <v>0</v>
      </c>
      <c r="AC9" s="539">
        <f>INDEX(Lab_Mat!$K$6:$N$9,MATCH($H9,Lab_Mat!$J$6:$J$9,0),MATCH($AG$4,Lab_Mat!$K$5:$N$5,0))*$J9*INDEX(Act_Type_Repex_Splits,MATCH($I9,Act_Type_Repex,0),MATCH(AC$4,Mat_Type,0))*INDEX(Escalators!$I$44:$Q$49,MATCH(AC$4,Escalators!$C$44:$C$49,0),MATCH(AC$5,Escalators!$I$43:$Q$43,0))</f>
        <v>0</v>
      </c>
      <c r="AD9" s="539">
        <f>INDEX(Lab_Mat!$K$6:$N$9,MATCH($H9,Lab_Mat!$J$6:$J$9,0),MATCH($AG$4,Lab_Mat!$K$5:$N$5,0))*$J9*INDEX(Act_Type_Repex_Splits,MATCH($I9,Act_Type_Repex,0),MATCH(AD$4,Mat_Type,0))*INDEX(Escalators!$I$44:$Q$49,MATCH(AD$4,Escalators!$C$44:$C$49,0),MATCH(AD$5,Escalators!$I$43:$Q$43,0))</f>
        <v>0</v>
      </c>
      <c r="AE9" s="539">
        <f>INDEX(Lab_Mat!$K$6:$N$9,MATCH($H9,Lab_Mat!$J$6:$J$9,0),MATCH($AG$4,Lab_Mat!$K$5:$N$5,0))*$J9*INDEX(Act_Type_Repex_Splits,MATCH($I9,Act_Type_Repex,0),MATCH(AE$4,Mat_Type,0))*INDEX(Escalators!$I$44:$Q$49,MATCH(AE$4,Escalators!$C$44:$C$49,0),MATCH(AE$5,Escalators!$I$43:$Q$43,0))</f>
        <v>0</v>
      </c>
      <c r="AF9" s="539">
        <f>INDEX(Lab_Mat!$K$6:$N$9,MATCH($H9,Lab_Mat!$J$6:$J$9,0),MATCH($AG$4,Lab_Mat!$K$5:$N$5,0))*$J9*INDEX(Act_Type_Repex_Splits,MATCH($I9,Act_Type_Repex,0),MATCH(AF$4,Mat_Type,0))*INDEX(Escalators!$I$44:$Q$49,MATCH(AF$4,Escalators!$C$44:$C$49,0),MATCH(AF$5,Escalators!$I$43:$Q$43,0))</f>
        <v>0</v>
      </c>
      <c r="AG9" s="539">
        <f t="shared" ref="AG9:AG13" si="16">SUM(AB9:AF9)</f>
        <v>0</v>
      </c>
      <c r="AH9" s="539">
        <f>INDEX(Lab_Mat!$K$6:$N$9,MATCH($H9,Lab_Mat!$J$6:$J$9,0),MATCH($AY$4,Lab_Mat!$K$5:$N$5,0))*$K9*INDEX(Act_Type_Repex_Splits,MATCH($I9,Act_Type_Repex,0),MATCH(AH$4,Mat_Type,0))*INDEX(Escalators!$I$44:$U$49,MATCH(AH$4,Escalators!$C$44:$C$49,0),MATCH(AH$5,Escalators!$I$43:$U$43,0))</f>
        <v>0</v>
      </c>
      <c r="AI9" s="539">
        <f>INDEX(Lab_Mat!$K$6:$N$9,MATCH($H9,Lab_Mat!$J$6:$J$9,0),MATCH($AY$4,Lab_Mat!$K$5:$N$5,0))*$K9*INDEX(Act_Type_Repex_Splits,MATCH($I9,Act_Type_Repex,0),MATCH(AI$4,Mat_Type,0))*INDEX(Escalators!$I$44:$U$49,MATCH(AI$4,Escalators!$C$44:$C$49,0),MATCH(AI$5,Escalators!$I$43:$U$43,0))</f>
        <v>0</v>
      </c>
      <c r="AJ9" s="539">
        <f>INDEX(Lab_Mat!$K$6:$N$9,MATCH($H9,Lab_Mat!$J$6:$J$9,0),MATCH($AY$4,Lab_Mat!$K$5:$N$5,0))*$K9*INDEX(Act_Type_Repex_Splits,MATCH($I9,Act_Type_Repex,0),MATCH(AJ$4,Mat_Type,0))*INDEX(Escalators!$I$44:$U$49,MATCH(AJ$4,Escalators!$C$44:$C$49,0),MATCH(AJ$5,Escalators!$I$43:$U$43,0))</f>
        <v>0</v>
      </c>
      <c r="AK9" s="539">
        <f>INDEX(Lab_Mat!$K$6:$N$9,MATCH($H9,Lab_Mat!$J$6:$J$9,0),MATCH($AY$4,Lab_Mat!$K$5:$N$5,0))*$K9*INDEX(Act_Type_Repex_Splits,MATCH($I9,Act_Type_Repex,0),MATCH(AK$4,Mat_Type,0))*INDEX(Escalators!$I$44:$U$49,MATCH(AK$4,Escalators!$C$44:$C$49,0),MATCH(AK$5,Escalators!$I$43:$U$43,0))</f>
        <v>0</v>
      </c>
      <c r="AL9" s="539">
        <f>INDEX(Lab_Mat!$K$6:$N$9,MATCH($H9,Lab_Mat!$J$6:$J$9,0),MATCH($AY$4,Lab_Mat!$K$5:$N$5,0))*$K9*INDEX(Act_Type_Repex_Splits,MATCH($I9,Act_Type_Repex,0),MATCH(AL$4,Mat_Type,0))*INDEX(Escalators!$I$44:$U$49,MATCH(AL$4,Escalators!$C$44:$C$49,0),MATCH(AL$5,Escalators!$I$43:$U$43,0))</f>
        <v>0</v>
      </c>
      <c r="AM9" s="539">
        <f t="shared" ref="AM9:AM13" si="17">SUM(AH9:AL9)</f>
        <v>0</v>
      </c>
      <c r="AN9" s="539">
        <f>INDEX(Lab_Mat!$K$6:$N$9,MATCH($H9,Lab_Mat!$J$6:$J$9,0),MATCH($AY$4,Lab_Mat!$K$5:$N$5,0))*$L9*INDEX(Act_Type_Repex_Splits,MATCH($I9,Act_Type_Repex,0),MATCH(AN$4,Mat_Type,0))*INDEX(Escalators!$I$44:$U$49,MATCH(AN$4,Escalators!$C$44:$C$49,0),MATCH(AN$5,Escalators!$I$43:$U$43,0))</f>
        <v>0</v>
      </c>
      <c r="AO9" s="539">
        <f>INDEX(Lab_Mat!$K$6:$N$9,MATCH($H9,Lab_Mat!$J$6:$J$9,0),MATCH($AY$4,Lab_Mat!$K$5:$N$5,0))*$L9*INDEX(Act_Type_Repex_Splits,MATCH($I9,Act_Type_Repex,0),MATCH(AO$4,Mat_Type,0))*INDEX(Escalators!$I$44:$U$49,MATCH(AO$4,Escalators!$C$44:$C$49,0),MATCH(AO$5,Escalators!$I$43:$U$43,0))</f>
        <v>0</v>
      </c>
      <c r="AP9" s="539">
        <f>INDEX(Lab_Mat!$K$6:$N$9,MATCH($H9,Lab_Mat!$J$6:$J$9,0),MATCH($AY$4,Lab_Mat!$K$5:$N$5,0))*$L9*INDEX(Act_Type_Repex_Splits,MATCH($I9,Act_Type_Repex,0),MATCH(AP$4,Mat_Type,0))*INDEX(Escalators!$I$44:$U$49,MATCH(AP$4,Escalators!$C$44:$C$49,0),MATCH(AP$5,Escalators!$I$43:$U$43,0))</f>
        <v>0</v>
      </c>
      <c r="AQ9" s="539">
        <f>INDEX(Lab_Mat!$K$6:$N$9,MATCH($H9,Lab_Mat!$J$6:$J$9,0),MATCH($AY$4,Lab_Mat!$K$5:$N$5,0))*$L9*INDEX(Act_Type_Repex_Splits,MATCH($I9,Act_Type_Repex,0),MATCH(AQ$4,Mat_Type,0))*INDEX(Escalators!$I$44:$U$49,MATCH(AQ$4,Escalators!$C$44:$C$49,0),MATCH(AQ$5,Escalators!$I$43:$U$43,0))</f>
        <v>0</v>
      </c>
      <c r="AR9" s="539">
        <f>INDEX(Lab_Mat!$K$6:$N$9,MATCH($H9,Lab_Mat!$J$6:$J$9,0),MATCH($AY$4,Lab_Mat!$K$5:$N$5,0))*$L9*INDEX(Act_Type_Repex_Splits,MATCH($I9,Act_Type_Repex,0),MATCH(AR$4,Mat_Type,0))*INDEX(Escalators!$I$44:$U$49,MATCH(AR$4,Escalators!$C$44:$C$49,0),MATCH(AR$5,Escalators!$I$43:$U$43,0))</f>
        <v>0</v>
      </c>
      <c r="AS9" s="539">
        <f t="shared" ref="AS9:AS13" si="18">SUM(AN9:AR9)</f>
        <v>0</v>
      </c>
      <c r="AT9" s="539">
        <f>INDEX(Lab_Mat!$K$6:$N$9,MATCH($H9,Lab_Mat!$J$6:$J$9,0),MATCH($AY$4,Lab_Mat!$K$5:$N$5,0))*$M9*INDEX(Act_Type_Repex_Splits,MATCH($I9,Act_Type_Repex,0),MATCH(AT$4,Mat_Type,0))*INDEX(Escalators!$I$44:$U$49,MATCH(AT$4,Escalators!$C$44:$C$49,0),MATCH(AT$5,Escalators!$I$43:$U$43,0))</f>
        <v>0</v>
      </c>
      <c r="AU9" s="539">
        <f>INDEX(Lab_Mat!$K$6:$N$9,MATCH($H9,Lab_Mat!$J$6:$J$9,0),MATCH($AY$4,Lab_Mat!$K$5:$N$5,0))*$M9*INDEX(Act_Type_Repex_Splits,MATCH($I9,Act_Type_Repex,0),MATCH(AU$4,Mat_Type,0))*INDEX(Escalators!$I$44:$U$49,MATCH(AU$4,Escalators!$C$44:$C$49,0),MATCH(AU$5,Escalators!$I$43:$U$43,0))</f>
        <v>0</v>
      </c>
      <c r="AV9" s="539">
        <f>INDEX(Lab_Mat!$K$6:$N$9,MATCH($H9,Lab_Mat!$J$6:$J$9,0),MATCH($AY$4,Lab_Mat!$K$5:$N$5,0))*$M9*INDEX(Act_Type_Repex_Splits,MATCH($I9,Act_Type_Repex,0),MATCH(AV$4,Mat_Type,0))*INDEX(Escalators!$I$44:$U$49,MATCH(AV$4,Escalators!$C$44:$C$49,0),MATCH(AV$5,Escalators!$I$43:$U$43,0))</f>
        <v>0</v>
      </c>
      <c r="AW9" s="539">
        <f>INDEX(Lab_Mat!$K$6:$N$9,MATCH($H9,Lab_Mat!$J$6:$J$9,0),MATCH($AY$4,Lab_Mat!$K$5:$N$5,0))*$M9*INDEX(Act_Type_Repex_Splits,MATCH($I9,Act_Type_Repex,0),MATCH(AW$4,Mat_Type,0))*INDEX(Escalators!$I$44:$U$49,MATCH(AW$4,Escalators!$C$44:$C$49,0),MATCH(AW$5,Escalators!$I$43:$U$43,0))</f>
        <v>0</v>
      </c>
      <c r="AX9" s="539">
        <f>INDEX(Lab_Mat!$K$6:$N$9,MATCH($H9,Lab_Mat!$J$6:$J$9,0),MATCH($AY$4,Lab_Mat!$K$5:$N$5,0))*$M9*INDEX(Act_Type_Repex_Splits,MATCH($I9,Act_Type_Repex,0),MATCH(AX$4,Mat_Type,0))*INDEX(Escalators!$I$44:$U$49,MATCH(AX$4,Escalators!$C$44:$C$49,0),MATCH(AX$5,Escalators!$I$43:$U$43,0))</f>
        <v>0</v>
      </c>
      <c r="AY9" s="539">
        <f t="shared" ref="AY9:AY13" si="19">SUM(AT9:AX9)</f>
        <v>0</v>
      </c>
      <c r="AZ9" s="539">
        <f>INDEX(Lab_Mat!$K$6:$N$9,MATCH($H9,Lab_Mat!$J$6:$J$9,0),MATCH($BE$4,Lab_Mat!$K$5:$N$5,0))*$N9*INDEX(Act_Type_Repex_Splits,MATCH($I9,Act_Type_Repex,0),MATCH(AZ$4,Mat_Type,0))*INDEX(Escalators!$I$44:$U$49,MATCH(AZ$4,Escalators!$C$44:$C$49,0),MATCH(AZ$5,Escalators!$I$43:$U$43,0))</f>
        <v>0</v>
      </c>
      <c r="BA9" s="539">
        <f>INDEX(Lab_Mat!$K$6:$N$9,MATCH($H9,Lab_Mat!$J$6:$J$9,0),MATCH($BE$4,Lab_Mat!$K$5:$N$5,0))*$N9*INDEX(Act_Type_Repex_Splits,MATCH($I9,Act_Type_Repex,0),MATCH(BA$4,Mat_Type,0))*INDEX(Escalators!$I$44:$U$49,MATCH(BA$4,Escalators!$C$44:$C$49,0),MATCH(BA$5,Escalators!$I$43:$U$43,0))</f>
        <v>0</v>
      </c>
      <c r="BB9" s="539">
        <f>INDEX(Lab_Mat!$K$6:$N$9,MATCH($H9,Lab_Mat!$J$6:$J$9,0),MATCH($BE$4,Lab_Mat!$K$5:$N$5,0))*$N9*INDEX(Act_Type_Repex_Splits,MATCH($I9,Act_Type_Repex,0),MATCH(BB$4,Mat_Type,0))*INDEX(Escalators!$I$44:$U$49,MATCH(BB$4,Escalators!$C$44:$C$49,0),MATCH(BB$5,Escalators!$I$43:$U$43,0))</f>
        <v>0</v>
      </c>
      <c r="BC9" s="539">
        <f>INDEX(Lab_Mat!$K$6:$N$9,MATCH($H9,Lab_Mat!$J$6:$J$9,0),MATCH($BE$4,Lab_Mat!$K$5:$N$5,0))*$N9*INDEX(Act_Type_Repex_Splits,MATCH($I9,Act_Type_Repex,0),MATCH(BC$4,Mat_Type,0))*INDEX(Escalators!$I$44:$U$49,MATCH(BC$4,Escalators!$C$44:$C$49,0),MATCH(BC$5,Escalators!$I$43:$U$43,0))</f>
        <v>0</v>
      </c>
      <c r="BD9" s="539">
        <f>INDEX(Lab_Mat!$K$6:$N$9,MATCH($H9,Lab_Mat!$J$6:$J$9,0),MATCH($BE$4,Lab_Mat!$K$5:$N$5,0))*$N9*INDEX(Act_Type_Repex_Splits,MATCH($I9,Act_Type_Repex,0),MATCH(BD$4,Mat_Type,0))*INDEX(Escalators!$I$44:$U$49,MATCH(BD$4,Escalators!$C$44:$C$49,0),MATCH(BD$5,Escalators!$I$43:$U$43,0))</f>
        <v>0</v>
      </c>
      <c r="BE9" s="539">
        <f t="shared" ref="BE9:BE13" si="20">SUM(AZ9:BD9)</f>
        <v>0</v>
      </c>
      <c r="BF9" s="539">
        <f>INDEX(Lab_Mat!$K$6:$N$9,MATCH($H9,Lab_Mat!$J$6:$J$9,0),MATCH($BK$4,Lab_Mat!$K$5:$N$5,0))*$O9*INDEX(Act_Type_Repex_Splits,MATCH($I9,Act_Type_Repex,0),MATCH(BF$4,Mat_Type,0))*INDEX(Escalators!$I$44:$U$49,MATCH(BF$4,Escalators!$C$44:$C$49,0),MATCH(BF$5,Escalators!$I$43:$U$43,0))</f>
        <v>0</v>
      </c>
      <c r="BG9" s="539">
        <f>INDEX(Lab_Mat!$K$6:$N$9,MATCH($H9,Lab_Mat!$J$6:$J$9,0),MATCH($BK$4,Lab_Mat!$K$5:$N$5,0))*$O9*INDEX(Act_Type_Repex_Splits,MATCH($I9,Act_Type_Repex,0),MATCH(BG$4,Mat_Type,0))*INDEX(Escalators!$I$44:$U$49,MATCH(BG$4,Escalators!$C$44:$C$49,0),MATCH(BG$5,Escalators!$I$43:$U$43,0))</f>
        <v>0</v>
      </c>
      <c r="BH9" s="539">
        <f>INDEX(Lab_Mat!$K$6:$N$9,MATCH($H9,Lab_Mat!$J$6:$J$9,0),MATCH($BK$4,Lab_Mat!$K$5:$N$5,0))*$O9*INDEX(Act_Type_Repex_Splits,MATCH($I9,Act_Type_Repex,0),MATCH(BH$4,Mat_Type,0))*INDEX(Escalators!$I$44:$U$49,MATCH(BH$4,Escalators!$C$44:$C$49,0),MATCH(BH$5,Escalators!$I$43:$U$43,0))</f>
        <v>0</v>
      </c>
      <c r="BI9" s="539">
        <f>INDEX(Lab_Mat!$K$6:$N$9,MATCH($H9,Lab_Mat!$J$6:$J$9,0),MATCH($BK$4,Lab_Mat!$K$5:$N$5,0))*$O9*INDEX(Act_Type_Repex_Splits,MATCH($I9,Act_Type_Repex,0),MATCH(BI$4,Mat_Type,0))*INDEX(Escalators!$I$44:$U$49,MATCH(BI$4,Escalators!$C$44:$C$49,0),MATCH(BI$5,Escalators!$I$43:$U$43,0))</f>
        <v>0</v>
      </c>
      <c r="BJ9" s="539">
        <f>INDEX(Lab_Mat!$K$6:$N$9,MATCH($H9,Lab_Mat!$J$6:$J$9,0),MATCH($BK$4,Lab_Mat!$K$5:$N$5,0))*$O9*INDEX(Act_Type_Repex_Splits,MATCH($I9,Act_Type_Repex,0),MATCH(BJ$4,Mat_Type,0))*INDEX(Escalators!$I$44:$U$49,MATCH(BJ$4,Escalators!$C$44:$C$49,0),MATCH(BJ$5,Escalators!$I$43:$U$43,0))</f>
        <v>0</v>
      </c>
      <c r="BK9" s="539">
        <f t="shared" ref="BK9:BK13" si="21">SUM(BF9:BJ9)</f>
        <v>0</v>
      </c>
      <c r="BL9" s="539">
        <f>INDEX(Lab_Mat!$K$6:$N$9,MATCH($H9,Lab_Mat!$J$6:$J$9,0),MATCH($BQ$4,Lab_Mat!$K$5:$N$5,0))*$P9*INDEX(Act_Type_Repex_Splits,MATCH($I9,Act_Type_Repex,0),MATCH(BL$4,Mat_Type,0))*INDEX(Escalators!$I$44:$U$49,MATCH(BL$4,Escalators!$C$44:$C$49,0),MATCH(BL$5,Escalators!$I$43:$U$43,0))</f>
        <v>0</v>
      </c>
      <c r="BM9" s="539">
        <f>INDEX(Lab_Mat!$K$6:$N$9,MATCH($H9,Lab_Mat!$J$6:$J$9,0),MATCH($BQ$4,Lab_Mat!$K$5:$N$5,0))*$P9*INDEX(Act_Type_Repex_Splits,MATCH($I9,Act_Type_Repex,0),MATCH(BM$4,Mat_Type,0))*INDEX(Escalators!$I$44:$U$49,MATCH(BM$4,Escalators!$C$44:$C$49,0),MATCH(BM$5,Escalators!$I$43:$U$43,0))</f>
        <v>0</v>
      </c>
      <c r="BN9" s="539">
        <f>INDEX(Lab_Mat!$K$6:$N$9,MATCH($H9,Lab_Mat!$J$6:$J$9,0),MATCH($BQ$4,Lab_Mat!$K$5:$N$5,0))*$P9*INDEX(Act_Type_Repex_Splits,MATCH($I9,Act_Type_Repex,0),MATCH(BN$4,Mat_Type,0))*INDEX(Escalators!$I$44:$U$49,MATCH(BN$4,Escalators!$C$44:$C$49,0),MATCH(BN$5,Escalators!$I$43:$U$43,0))</f>
        <v>0</v>
      </c>
      <c r="BO9" s="539">
        <f>INDEX(Lab_Mat!$K$6:$N$9,MATCH($H9,Lab_Mat!$J$6:$J$9,0),MATCH($BQ$4,Lab_Mat!$K$5:$N$5,0))*$P9*INDEX(Act_Type_Repex_Splits,MATCH($I9,Act_Type_Repex,0),MATCH(BO$4,Mat_Type,0))*INDEX(Escalators!$I$44:$U$49,MATCH(BO$4,Escalators!$C$44:$C$49,0),MATCH(BO$5,Escalators!$I$43:$U$43,0))</f>
        <v>0</v>
      </c>
      <c r="BP9" s="539">
        <f>INDEX(Lab_Mat!$K$6:$N$9,MATCH($H9,Lab_Mat!$J$6:$J$9,0),MATCH($BQ$4,Lab_Mat!$K$5:$N$5,0))*$P9*INDEX(Act_Type_Repex_Splits,MATCH($I9,Act_Type_Repex,0),MATCH(BP$4,Mat_Type,0))*INDEX(Escalators!$I$44:$U$49,MATCH(BP$4,Escalators!$C$44:$C$49,0),MATCH(BP$5,Escalators!$I$43:$U$43,0))</f>
        <v>0</v>
      </c>
      <c r="BQ9" s="539">
        <f t="shared" ref="BQ9:BQ13" si="22">SUM(BL9:BP9)</f>
        <v>0</v>
      </c>
      <c r="BR9" s="539">
        <f>INDEX(Lab_Mat!$K$6:$N$9,MATCH($H9,Lab_Mat!$J$6:$J$9,0),MATCH($BW$4,Lab_Mat!$K$5:$N$5,0))*$Q9*INDEX(Act_Type_Repex_Splits,MATCH($I9,Act_Type_Repex,0),MATCH(BR$4,Mat_Type,0))*INDEX(Escalators!$I$44:$U$49,MATCH(BR$4,Escalators!$C$44:$C$49,0),MATCH(BR$5,Escalators!$I$43:$U$43,0))</f>
        <v>0</v>
      </c>
      <c r="BS9" s="539">
        <f>INDEX(Lab_Mat!$K$6:$N$9,MATCH($H9,Lab_Mat!$J$6:$J$9,0),MATCH($BW$4,Lab_Mat!$K$5:$N$5,0))*$Q9*INDEX(Act_Type_Repex_Splits,MATCH($I9,Act_Type_Repex,0),MATCH(BS$4,Mat_Type,0))*INDEX(Escalators!$I$44:$U$49,MATCH(BS$4,Escalators!$C$44:$C$49,0),MATCH(BS$5,Escalators!$I$43:$U$43,0))</f>
        <v>0</v>
      </c>
      <c r="BT9" s="539">
        <f>INDEX(Lab_Mat!$K$6:$N$9,MATCH($H9,Lab_Mat!$J$6:$J$9,0),MATCH($BW$4,Lab_Mat!$K$5:$N$5,0))*$Q9*INDEX(Act_Type_Repex_Splits,MATCH($I9,Act_Type_Repex,0),MATCH(BT$4,Mat_Type,0))*INDEX(Escalators!$I$44:$U$49,MATCH(BT$4,Escalators!$C$44:$C$49,0),MATCH(BT$5,Escalators!$I$43:$U$43,0))</f>
        <v>0</v>
      </c>
      <c r="BU9" s="539">
        <f>INDEX(Lab_Mat!$K$6:$N$9,MATCH($H9,Lab_Mat!$J$6:$J$9,0),MATCH($BW$4,Lab_Mat!$K$5:$N$5,0))*$Q9*INDEX(Act_Type_Repex_Splits,MATCH($I9,Act_Type_Repex,0),MATCH(BU$4,Mat_Type,0))*INDEX(Escalators!$I$44:$U$49,MATCH(BU$4,Escalators!$C$44:$C$49,0),MATCH(BU$5,Escalators!$I$43:$U$43,0))</f>
        <v>0</v>
      </c>
      <c r="BV9" s="539">
        <f>INDEX(Lab_Mat!$K$6:$N$9,MATCH($H9,Lab_Mat!$J$6:$J$9,0),MATCH($BW$4,Lab_Mat!$K$5:$N$5,0))*$Q9*INDEX(Act_Type_Repex_Splits,MATCH($I9,Act_Type_Repex,0),MATCH(BV$4,Mat_Type,0))*INDEX(Escalators!$I$44:$U$49,MATCH(BV$4,Escalators!$C$44:$C$49,0),MATCH(BV$5,Escalators!$I$43:$U$43,0))</f>
        <v>0</v>
      </c>
      <c r="BW9" s="539">
        <f t="shared" ref="BW9:BW13" si="23">SUM(BR9:BV9)</f>
        <v>0</v>
      </c>
      <c r="BX9" s="241"/>
      <c r="BY9" s="539">
        <f>INDEX(Lab_Mat!$K$6:$N$9,MATCH($H9,Lab_Mat!$J$6:$J$9,0),MATCH($BY$4,Lab_Mat!$K$5:$N$5,0))*J9*HLOOKUP(BY$5,Escalators!$I$25:$U$30,6,FALSE)</f>
        <v>0</v>
      </c>
      <c r="BZ9" s="539">
        <f>INDEX(Lab_Mat!$K$6:$N$9,MATCH($H9,Lab_Mat!$J$6:$J$9,0),MATCH($BY$4,Lab_Mat!$K$5:$N$5,0))*K9*HLOOKUP(BZ$5,Escalators!$I$25:$U$30,6,FALSE)</f>
        <v>0</v>
      </c>
      <c r="CA9" s="539">
        <f>INDEX(Lab_Mat!$K$6:$N$9,MATCH($H9,Lab_Mat!$J$6:$J$9,0),MATCH($BY$4,Lab_Mat!$K$5:$N$5,0))*L9*HLOOKUP(CA$5,Escalators!$I$25:$U$30,6,FALSE)</f>
        <v>0</v>
      </c>
      <c r="CB9" s="539">
        <f>INDEX(Lab_Mat!$K$6:$N$9,MATCH($H9,Lab_Mat!$J$6:$J$9,0),MATCH($BY$4,Lab_Mat!$K$5:$N$5,0))*M9*HLOOKUP(CB$5,Escalators!$I$25:$U$30,6,FALSE)</f>
        <v>0</v>
      </c>
      <c r="CC9" s="539">
        <f>INDEX(Lab_Mat!$K$6:$N$9,MATCH($H9,Lab_Mat!$J$6:$J$9,0),MATCH($BY$4,Lab_Mat!$K$5:$N$5,0))*N9*HLOOKUP(CC$5,Escalators!$I$25:$U$30,6,FALSE)</f>
        <v>0</v>
      </c>
      <c r="CD9" s="539">
        <f>INDEX(Lab_Mat!$K$6:$N$9,MATCH($H9,Lab_Mat!$J$6:$J$9,0),MATCH($BY$4,Lab_Mat!$K$5:$N$5,0))*O9*HLOOKUP(CD$5,Escalators!$I$25:$U$30,6,FALSE)</f>
        <v>0</v>
      </c>
      <c r="CE9" s="539">
        <f>INDEX(Lab_Mat!$K$6:$N$9,MATCH($H9,Lab_Mat!$J$6:$J$9,0),MATCH($BY$4,Lab_Mat!$K$5:$N$5,0))*P9*HLOOKUP(CE$5,Escalators!$I$25:$U$30,6,FALSE)</f>
        <v>0</v>
      </c>
      <c r="CF9" s="539">
        <f>INDEX(Lab_Mat!$K$6:$N$9,MATCH($H9,Lab_Mat!$J$6:$J$9,0),MATCH($BY$4,Lab_Mat!$K$5:$N$5,0))*Q9*HLOOKUP(CF$5,Escalators!$I$25:$U$30,6,FALSE)</f>
        <v>0</v>
      </c>
      <c r="CG9" s="241"/>
      <c r="CH9" s="540">
        <f>INDEX(Lab_Mat!$K$6:$N$9,MATCH($H9,Lab_Mat!$J$6:$J$9,0),MATCH($CH$4,Lab_Mat!$K$5:$N$5,0))*J9</f>
        <v>0</v>
      </c>
      <c r="CI9" s="540">
        <f>INDEX(Lab_Mat!$K$6:$N$9,MATCH($H9,Lab_Mat!$J$6:$J$9,0),MATCH($CH$4,Lab_Mat!$K$5:$N$5,0))*K9</f>
        <v>0</v>
      </c>
      <c r="CJ9" s="540">
        <f>INDEX(Lab_Mat!$K$6:$N$9,MATCH($H9,Lab_Mat!$J$6:$J$9,0),MATCH($CH$4,Lab_Mat!$K$5:$N$5,0))*L9</f>
        <v>0</v>
      </c>
      <c r="CK9" s="540">
        <f>INDEX(Lab_Mat!$K$6:$N$9,MATCH($H9,Lab_Mat!$J$6:$J$9,0),MATCH($CH$4,Lab_Mat!$K$5:$N$5,0))*M9</f>
        <v>0</v>
      </c>
      <c r="CL9" s="540">
        <f>INDEX(Lab_Mat!$K$6:$N$9,MATCH($H9,Lab_Mat!$J$6:$J$9,0),MATCH($CH$4,Lab_Mat!$K$5:$N$5,0))*N9</f>
        <v>0</v>
      </c>
      <c r="CM9" s="540">
        <f>INDEX(Lab_Mat!$K$6:$N$9,MATCH($H9,Lab_Mat!$J$6:$J$9,0),MATCH($CH$4,Lab_Mat!$K$5:$N$5,0))*O9</f>
        <v>0</v>
      </c>
      <c r="CN9" s="540">
        <f>INDEX(Lab_Mat!$K$6:$N$9,MATCH($H9,Lab_Mat!$J$6:$J$9,0),MATCH($CH$4,Lab_Mat!$K$5:$N$5,0))*P9</f>
        <v>0</v>
      </c>
      <c r="CO9" s="540">
        <f>INDEX(Lab_Mat!$K$6:$N$9,MATCH($H9,Lab_Mat!$J$6:$J$9,0),MATCH($CH$4,Lab_Mat!$K$5:$N$5,0))*Q9</f>
        <v>0</v>
      </c>
      <c r="CP9" s="241"/>
      <c r="CQ9" s="539">
        <f t="shared" si="9"/>
        <v>0</v>
      </c>
      <c r="CR9" s="539">
        <f t="shared" si="10"/>
        <v>0</v>
      </c>
      <c r="CS9" s="539">
        <f t="shared" ref="CS9:CS33" si="24">U9+AS9+CA9+CJ9</f>
        <v>0</v>
      </c>
      <c r="CT9" s="539">
        <f t="shared" si="11"/>
        <v>0</v>
      </c>
      <c r="CU9" s="539">
        <f t="shared" si="12"/>
        <v>0</v>
      </c>
      <c r="CV9" s="539">
        <f t="shared" si="13"/>
        <v>0</v>
      </c>
      <c r="CW9" s="539">
        <f t="shared" si="14"/>
        <v>0</v>
      </c>
      <c r="CX9" s="539">
        <f t="shared" si="15"/>
        <v>0</v>
      </c>
      <c r="CY9" s="39"/>
      <c r="CZ9" s="39"/>
      <c r="DA9" s="39"/>
      <c r="DB9" s="39"/>
      <c r="DC9" s="39"/>
    </row>
    <row r="10" spans="2:109" hidden="1" x14ac:dyDescent="0.25">
      <c r="B10" s="7"/>
      <c r="C10" s="7" t="s">
        <v>414</v>
      </c>
      <c r="D10" s="7" t="s">
        <v>696</v>
      </c>
      <c r="E10" s="7" t="s">
        <v>45</v>
      </c>
      <c r="F10" s="7" t="s">
        <v>55</v>
      </c>
      <c r="G10" s="7" t="s">
        <v>150</v>
      </c>
      <c r="H10" s="7" t="s">
        <v>562</v>
      </c>
      <c r="I10" s="7" t="s">
        <v>203</v>
      </c>
      <c r="J10" s="45"/>
      <c r="K10" s="45"/>
      <c r="L10" s="45"/>
      <c r="M10" s="539">
        <v>0</v>
      </c>
      <c r="N10" s="539">
        <v>0</v>
      </c>
      <c r="O10" s="539">
        <v>0</v>
      </c>
      <c r="P10" s="539"/>
      <c r="Q10" s="539"/>
      <c r="R10" s="241"/>
      <c r="S10" s="539">
        <f>INDEX(Lab_Mat!$K$6:$N$9,MATCH($H10,Lab_Mat!$J$6:$J$9,0),MATCH($S$4,Lab_Mat!$K$5:$N$5,0))*J10*HLOOKUP(S$5,Escalators!$I$25:$U$30,3,FALSE)</f>
        <v>0</v>
      </c>
      <c r="T10" s="539">
        <f>INDEX(Lab_Mat!$K$6:$N$9,MATCH($H10,Lab_Mat!$J$6:$J$9,0),MATCH($S$4,Lab_Mat!$K$5:$N$5,0))*K10*HLOOKUP(T$5,Escalators!$I$25:$U$30,3,FALSE)</f>
        <v>0</v>
      </c>
      <c r="U10" s="539">
        <f>INDEX(Lab_Mat!$K$6:$N$9,MATCH($H10,Lab_Mat!$J$6:$J$9,0),MATCH($S$4,Lab_Mat!$K$5:$N$5,0))*L10*HLOOKUP(U$5,Escalators!$I$25:$U$30,3,FALSE)</f>
        <v>0</v>
      </c>
      <c r="V10" s="539">
        <f>INDEX(Lab_Mat!$K$6:$N$9,MATCH($H10,Lab_Mat!$J$6:$J$9,0),MATCH($S$4,Lab_Mat!$K$5:$N$5,0))*M10*HLOOKUP(V$5,Escalators!$I$25:$U$30,3,FALSE)</f>
        <v>0</v>
      </c>
      <c r="W10" s="539">
        <f>INDEX(Lab_Mat!$K$6:$N$9,MATCH($H10,Lab_Mat!$J$6:$J$9,0),MATCH($S$4,Lab_Mat!$K$5:$N$5,0))*N10*HLOOKUP(W$5,Escalators!$I$25:$U$30,3,FALSE)</f>
        <v>0</v>
      </c>
      <c r="X10" s="539">
        <f>INDEX(Lab_Mat!$K$6:$N$9,MATCH($H10,Lab_Mat!$J$6:$J$9,0),MATCH($S$4,Lab_Mat!$K$5:$N$5,0))*O10*HLOOKUP(X$5,Escalators!$I$25:$U$30,3,FALSE)</f>
        <v>0</v>
      </c>
      <c r="Y10" s="539">
        <f>INDEX(Lab_Mat!$K$6:$N$9,MATCH($H10,Lab_Mat!$J$6:$J$9,0),MATCH($S$4,Lab_Mat!$K$5:$N$5,0))*P10*HLOOKUP(Y$5,Escalators!$I$25:$U$30,3,FALSE)</f>
        <v>0</v>
      </c>
      <c r="Z10" s="539">
        <f>INDEX(Lab_Mat!$K$6:$N$9,MATCH($H10,Lab_Mat!$J$6:$J$9,0),MATCH($S$4,Lab_Mat!$K$5:$N$5,0))*Q10*HLOOKUP(Z$5,Escalators!$I$25:$U$30,3,FALSE)</f>
        <v>0</v>
      </c>
      <c r="AA10" s="241"/>
      <c r="AB10" s="539">
        <f>INDEX(Lab_Mat!$K$6:$N$9,MATCH($H10,Lab_Mat!$J$6:$J$9,0),MATCH($AG$4,Lab_Mat!$K$5:$N$5,0))*$J10*INDEX(Act_Type_Repex_Splits,MATCH($I10,Act_Type_Repex,0),MATCH(AB$4,Mat_Type,0))*INDEX(Escalators!$I$44:$Q$49,MATCH(AB$4,Escalators!$C$44:$C$49,0),MATCH(AB$5,Escalators!$I$43:$Q$43,0))</f>
        <v>0</v>
      </c>
      <c r="AC10" s="539">
        <f>INDEX(Lab_Mat!$K$6:$N$9,MATCH($H10,Lab_Mat!$J$6:$J$9,0),MATCH($AG$4,Lab_Mat!$K$5:$N$5,0))*$J10*INDEX(Act_Type_Repex_Splits,MATCH($I10,Act_Type_Repex,0),MATCH(AC$4,Mat_Type,0))*INDEX(Escalators!$I$44:$Q$49,MATCH(AC$4,Escalators!$C$44:$C$49,0),MATCH(AC$5,Escalators!$I$43:$Q$43,0))</f>
        <v>0</v>
      </c>
      <c r="AD10" s="539">
        <f>INDEX(Lab_Mat!$K$6:$N$9,MATCH($H10,Lab_Mat!$J$6:$J$9,0),MATCH($AG$4,Lab_Mat!$K$5:$N$5,0))*$J10*INDEX(Act_Type_Repex_Splits,MATCH($I10,Act_Type_Repex,0),MATCH(AD$4,Mat_Type,0))*INDEX(Escalators!$I$44:$Q$49,MATCH(AD$4,Escalators!$C$44:$C$49,0),MATCH(AD$5,Escalators!$I$43:$Q$43,0))</f>
        <v>0</v>
      </c>
      <c r="AE10" s="539">
        <f>INDEX(Lab_Mat!$K$6:$N$9,MATCH($H10,Lab_Mat!$J$6:$J$9,0),MATCH($AG$4,Lab_Mat!$K$5:$N$5,0))*$J10*INDEX(Act_Type_Repex_Splits,MATCH($I10,Act_Type_Repex,0),MATCH(AE$4,Mat_Type,0))*INDEX(Escalators!$I$44:$Q$49,MATCH(AE$4,Escalators!$C$44:$C$49,0),MATCH(AE$5,Escalators!$I$43:$Q$43,0))</f>
        <v>0</v>
      </c>
      <c r="AF10" s="539">
        <f>INDEX(Lab_Mat!$K$6:$N$9,MATCH($H10,Lab_Mat!$J$6:$J$9,0),MATCH($AG$4,Lab_Mat!$K$5:$N$5,0))*$J10*INDEX(Act_Type_Repex_Splits,MATCH($I10,Act_Type_Repex,0),MATCH(AF$4,Mat_Type,0))*INDEX(Escalators!$I$44:$Q$49,MATCH(AF$4,Escalators!$C$44:$C$49,0),MATCH(AF$5,Escalators!$I$43:$Q$43,0))</f>
        <v>0</v>
      </c>
      <c r="AG10" s="539">
        <f t="shared" si="16"/>
        <v>0</v>
      </c>
      <c r="AH10" s="539">
        <f>INDEX(Lab_Mat!$K$6:$N$9,MATCH($H10,Lab_Mat!$J$6:$J$9,0),MATCH($AY$4,Lab_Mat!$K$5:$N$5,0))*$K10*INDEX(Act_Type_Repex_Splits,MATCH($I10,Act_Type_Repex,0),MATCH(AH$4,Mat_Type,0))*INDEX(Escalators!$I$44:$U$49,MATCH(AH$4,Escalators!$C$44:$C$49,0),MATCH(AH$5,Escalators!$I$43:$U$43,0))</f>
        <v>0</v>
      </c>
      <c r="AI10" s="539">
        <f>INDEX(Lab_Mat!$K$6:$N$9,MATCH($H10,Lab_Mat!$J$6:$J$9,0),MATCH($AY$4,Lab_Mat!$K$5:$N$5,0))*$K10*INDEX(Act_Type_Repex_Splits,MATCH($I10,Act_Type_Repex,0),MATCH(AI$4,Mat_Type,0))*INDEX(Escalators!$I$44:$U$49,MATCH(AI$4,Escalators!$C$44:$C$49,0),MATCH(AI$5,Escalators!$I$43:$U$43,0))</f>
        <v>0</v>
      </c>
      <c r="AJ10" s="539">
        <f>INDEX(Lab_Mat!$K$6:$N$9,MATCH($H10,Lab_Mat!$J$6:$J$9,0),MATCH($AY$4,Lab_Mat!$K$5:$N$5,0))*$K10*INDEX(Act_Type_Repex_Splits,MATCH($I10,Act_Type_Repex,0),MATCH(AJ$4,Mat_Type,0))*INDEX(Escalators!$I$44:$U$49,MATCH(AJ$4,Escalators!$C$44:$C$49,0),MATCH(AJ$5,Escalators!$I$43:$U$43,0))</f>
        <v>0</v>
      </c>
      <c r="AK10" s="539">
        <f>INDEX(Lab_Mat!$K$6:$N$9,MATCH($H10,Lab_Mat!$J$6:$J$9,0),MATCH($AY$4,Lab_Mat!$K$5:$N$5,0))*$K10*INDEX(Act_Type_Repex_Splits,MATCH($I10,Act_Type_Repex,0),MATCH(AK$4,Mat_Type,0))*INDEX(Escalators!$I$44:$U$49,MATCH(AK$4,Escalators!$C$44:$C$49,0),MATCH(AK$5,Escalators!$I$43:$U$43,0))</f>
        <v>0</v>
      </c>
      <c r="AL10" s="539">
        <f>INDEX(Lab_Mat!$K$6:$N$9,MATCH($H10,Lab_Mat!$J$6:$J$9,0),MATCH($AY$4,Lab_Mat!$K$5:$N$5,0))*$K10*INDEX(Act_Type_Repex_Splits,MATCH($I10,Act_Type_Repex,0),MATCH(AL$4,Mat_Type,0))*INDEX(Escalators!$I$44:$U$49,MATCH(AL$4,Escalators!$C$44:$C$49,0),MATCH(AL$5,Escalators!$I$43:$U$43,0))</f>
        <v>0</v>
      </c>
      <c r="AM10" s="539">
        <f t="shared" si="17"/>
        <v>0</v>
      </c>
      <c r="AN10" s="539">
        <f>INDEX(Lab_Mat!$K$6:$N$9,MATCH($H10,Lab_Mat!$J$6:$J$9,0),MATCH($AY$4,Lab_Mat!$K$5:$N$5,0))*$L10*INDEX(Act_Type_Repex_Splits,MATCH($I10,Act_Type_Repex,0),MATCH(AN$4,Mat_Type,0))*INDEX(Escalators!$I$44:$U$49,MATCH(AN$4,Escalators!$C$44:$C$49,0),MATCH(AN$5,Escalators!$I$43:$U$43,0))</f>
        <v>0</v>
      </c>
      <c r="AO10" s="539">
        <f>INDEX(Lab_Mat!$K$6:$N$9,MATCH($H10,Lab_Mat!$J$6:$J$9,0),MATCH($AY$4,Lab_Mat!$K$5:$N$5,0))*$L10*INDEX(Act_Type_Repex_Splits,MATCH($I10,Act_Type_Repex,0),MATCH(AO$4,Mat_Type,0))*INDEX(Escalators!$I$44:$U$49,MATCH(AO$4,Escalators!$C$44:$C$49,0),MATCH(AO$5,Escalators!$I$43:$U$43,0))</f>
        <v>0</v>
      </c>
      <c r="AP10" s="539">
        <f>INDEX(Lab_Mat!$K$6:$N$9,MATCH($H10,Lab_Mat!$J$6:$J$9,0),MATCH($AY$4,Lab_Mat!$K$5:$N$5,0))*$L10*INDEX(Act_Type_Repex_Splits,MATCH($I10,Act_Type_Repex,0),MATCH(AP$4,Mat_Type,0))*INDEX(Escalators!$I$44:$U$49,MATCH(AP$4,Escalators!$C$44:$C$49,0),MATCH(AP$5,Escalators!$I$43:$U$43,0))</f>
        <v>0</v>
      </c>
      <c r="AQ10" s="539">
        <f>INDEX(Lab_Mat!$K$6:$N$9,MATCH($H10,Lab_Mat!$J$6:$J$9,0),MATCH($AY$4,Lab_Mat!$K$5:$N$5,0))*$L10*INDEX(Act_Type_Repex_Splits,MATCH($I10,Act_Type_Repex,0),MATCH(AQ$4,Mat_Type,0))*INDEX(Escalators!$I$44:$U$49,MATCH(AQ$4,Escalators!$C$44:$C$49,0),MATCH(AQ$5,Escalators!$I$43:$U$43,0))</f>
        <v>0</v>
      </c>
      <c r="AR10" s="539">
        <f>INDEX(Lab_Mat!$K$6:$N$9,MATCH($H10,Lab_Mat!$J$6:$J$9,0),MATCH($AY$4,Lab_Mat!$K$5:$N$5,0))*$L10*INDEX(Act_Type_Repex_Splits,MATCH($I10,Act_Type_Repex,0),MATCH(AR$4,Mat_Type,0))*INDEX(Escalators!$I$44:$U$49,MATCH(AR$4,Escalators!$C$44:$C$49,0),MATCH(AR$5,Escalators!$I$43:$U$43,0))</f>
        <v>0</v>
      </c>
      <c r="AS10" s="539">
        <f t="shared" si="18"/>
        <v>0</v>
      </c>
      <c r="AT10" s="539">
        <f>INDEX(Lab_Mat!$K$6:$N$9,MATCH($H10,Lab_Mat!$J$6:$J$9,0),MATCH($AY$4,Lab_Mat!$K$5:$N$5,0))*$M10*INDEX(Act_Type_Repex_Splits,MATCH($I10,Act_Type_Repex,0),MATCH(AT$4,Mat_Type,0))*INDEX(Escalators!$I$44:$U$49,MATCH(AT$4,Escalators!$C$44:$C$49,0),MATCH(AT$5,Escalators!$I$43:$U$43,0))</f>
        <v>0</v>
      </c>
      <c r="AU10" s="539">
        <f>INDEX(Lab_Mat!$K$6:$N$9,MATCH($H10,Lab_Mat!$J$6:$J$9,0),MATCH($AY$4,Lab_Mat!$K$5:$N$5,0))*$M10*INDEX(Act_Type_Repex_Splits,MATCH($I10,Act_Type_Repex,0),MATCH(AU$4,Mat_Type,0))*INDEX(Escalators!$I$44:$U$49,MATCH(AU$4,Escalators!$C$44:$C$49,0),MATCH(AU$5,Escalators!$I$43:$U$43,0))</f>
        <v>0</v>
      </c>
      <c r="AV10" s="539">
        <f>INDEX(Lab_Mat!$K$6:$N$9,MATCH($H10,Lab_Mat!$J$6:$J$9,0),MATCH($AY$4,Lab_Mat!$K$5:$N$5,0))*$M10*INDEX(Act_Type_Repex_Splits,MATCH($I10,Act_Type_Repex,0),MATCH(AV$4,Mat_Type,0))*INDEX(Escalators!$I$44:$U$49,MATCH(AV$4,Escalators!$C$44:$C$49,0),MATCH(AV$5,Escalators!$I$43:$U$43,0))</f>
        <v>0</v>
      </c>
      <c r="AW10" s="539">
        <f>INDEX(Lab_Mat!$K$6:$N$9,MATCH($H10,Lab_Mat!$J$6:$J$9,0),MATCH($AY$4,Lab_Mat!$K$5:$N$5,0))*$M10*INDEX(Act_Type_Repex_Splits,MATCH($I10,Act_Type_Repex,0),MATCH(AW$4,Mat_Type,0))*INDEX(Escalators!$I$44:$U$49,MATCH(AW$4,Escalators!$C$44:$C$49,0),MATCH(AW$5,Escalators!$I$43:$U$43,0))</f>
        <v>0</v>
      </c>
      <c r="AX10" s="539">
        <f>INDEX(Lab_Mat!$K$6:$N$9,MATCH($H10,Lab_Mat!$J$6:$J$9,0),MATCH($AY$4,Lab_Mat!$K$5:$N$5,0))*$M10*INDEX(Act_Type_Repex_Splits,MATCH($I10,Act_Type_Repex,0),MATCH(AX$4,Mat_Type,0))*INDEX(Escalators!$I$44:$U$49,MATCH(AX$4,Escalators!$C$44:$C$49,0),MATCH(AX$5,Escalators!$I$43:$U$43,0))</f>
        <v>0</v>
      </c>
      <c r="AY10" s="539">
        <f t="shared" si="19"/>
        <v>0</v>
      </c>
      <c r="AZ10" s="539">
        <f>INDEX(Lab_Mat!$K$6:$N$9,MATCH($H10,Lab_Mat!$J$6:$J$9,0),MATCH($BE$4,Lab_Mat!$K$5:$N$5,0))*$N10*INDEX(Act_Type_Repex_Splits,MATCH($I10,Act_Type_Repex,0),MATCH(AZ$4,Mat_Type,0))*INDEX(Escalators!$I$44:$U$49,MATCH(AZ$4,Escalators!$C$44:$C$49,0),MATCH(AZ$5,Escalators!$I$43:$U$43,0))</f>
        <v>0</v>
      </c>
      <c r="BA10" s="539">
        <f>INDEX(Lab_Mat!$K$6:$N$9,MATCH($H10,Lab_Mat!$J$6:$J$9,0),MATCH($BE$4,Lab_Mat!$K$5:$N$5,0))*$N10*INDEX(Act_Type_Repex_Splits,MATCH($I10,Act_Type_Repex,0),MATCH(BA$4,Mat_Type,0))*INDEX(Escalators!$I$44:$U$49,MATCH(BA$4,Escalators!$C$44:$C$49,0),MATCH(BA$5,Escalators!$I$43:$U$43,0))</f>
        <v>0</v>
      </c>
      <c r="BB10" s="539">
        <f>INDEX(Lab_Mat!$K$6:$N$9,MATCH($H10,Lab_Mat!$J$6:$J$9,0),MATCH($BE$4,Lab_Mat!$K$5:$N$5,0))*$N10*INDEX(Act_Type_Repex_Splits,MATCH($I10,Act_Type_Repex,0),MATCH(BB$4,Mat_Type,0))*INDEX(Escalators!$I$44:$U$49,MATCH(BB$4,Escalators!$C$44:$C$49,0),MATCH(BB$5,Escalators!$I$43:$U$43,0))</f>
        <v>0</v>
      </c>
      <c r="BC10" s="539">
        <f>INDEX(Lab_Mat!$K$6:$N$9,MATCH($H10,Lab_Mat!$J$6:$J$9,0),MATCH($BE$4,Lab_Mat!$K$5:$N$5,0))*$N10*INDEX(Act_Type_Repex_Splits,MATCH($I10,Act_Type_Repex,0),MATCH(BC$4,Mat_Type,0))*INDEX(Escalators!$I$44:$U$49,MATCH(BC$4,Escalators!$C$44:$C$49,0),MATCH(BC$5,Escalators!$I$43:$U$43,0))</f>
        <v>0</v>
      </c>
      <c r="BD10" s="539">
        <f>INDEX(Lab_Mat!$K$6:$N$9,MATCH($H10,Lab_Mat!$J$6:$J$9,0),MATCH($BE$4,Lab_Mat!$K$5:$N$5,0))*$N10*INDEX(Act_Type_Repex_Splits,MATCH($I10,Act_Type_Repex,0),MATCH(BD$4,Mat_Type,0))*INDEX(Escalators!$I$44:$U$49,MATCH(BD$4,Escalators!$C$44:$C$49,0),MATCH(BD$5,Escalators!$I$43:$U$43,0))</f>
        <v>0</v>
      </c>
      <c r="BE10" s="539">
        <f t="shared" si="20"/>
        <v>0</v>
      </c>
      <c r="BF10" s="539">
        <f>INDEX(Lab_Mat!$K$6:$N$9,MATCH($H10,Lab_Mat!$J$6:$J$9,0),MATCH($BK$4,Lab_Mat!$K$5:$N$5,0))*$O10*INDEX(Act_Type_Repex_Splits,MATCH($I10,Act_Type_Repex,0),MATCH(BF$4,Mat_Type,0))*INDEX(Escalators!$I$44:$U$49,MATCH(BF$4,Escalators!$C$44:$C$49,0),MATCH(BF$5,Escalators!$I$43:$U$43,0))</f>
        <v>0</v>
      </c>
      <c r="BG10" s="539">
        <f>INDEX(Lab_Mat!$K$6:$N$9,MATCH($H10,Lab_Mat!$J$6:$J$9,0),MATCH($BK$4,Lab_Mat!$K$5:$N$5,0))*$O10*INDEX(Act_Type_Repex_Splits,MATCH($I10,Act_Type_Repex,0),MATCH(BG$4,Mat_Type,0))*INDEX(Escalators!$I$44:$U$49,MATCH(BG$4,Escalators!$C$44:$C$49,0),MATCH(BG$5,Escalators!$I$43:$U$43,0))</f>
        <v>0</v>
      </c>
      <c r="BH10" s="539">
        <f>INDEX(Lab_Mat!$K$6:$N$9,MATCH($H10,Lab_Mat!$J$6:$J$9,0),MATCH($BK$4,Lab_Mat!$K$5:$N$5,0))*$O10*INDEX(Act_Type_Repex_Splits,MATCH($I10,Act_Type_Repex,0),MATCH(BH$4,Mat_Type,0))*INDEX(Escalators!$I$44:$U$49,MATCH(BH$4,Escalators!$C$44:$C$49,0),MATCH(BH$5,Escalators!$I$43:$U$43,0))</f>
        <v>0</v>
      </c>
      <c r="BI10" s="539">
        <f>INDEX(Lab_Mat!$K$6:$N$9,MATCH($H10,Lab_Mat!$J$6:$J$9,0),MATCH($BK$4,Lab_Mat!$K$5:$N$5,0))*$O10*INDEX(Act_Type_Repex_Splits,MATCH($I10,Act_Type_Repex,0),MATCH(BI$4,Mat_Type,0))*INDEX(Escalators!$I$44:$U$49,MATCH(BI$4,Escalators!$C$44:$C$49,0),MATCH(BI$5,Escalators!$I$43:$U$43,0))</f>
        <v>0</v>
      </c>
      <c r="BJ10" s="539">
        <f>INDEX(Lab_Mat!$K$6:$N$9,MATCH($H10,Lab_Mat!$J$6:$J$9,0),MATCH($BK$4,Lab_Mat!$K$5:$N$5,0))*$O10*INDEX(Act_Type_Repex_Splits,MATCH($I10,Act_Type_Repex,0),MATCH(BJ$4,Mat_Type,0))*INDEX(Escalators!$I$44:$U$49,MATCH(BJ$4,Escalators!$C$44:$C$49,0),MATCH(BJ$5,Escalators!$I$43:$U$43,0))</f>
        <v>0</v>
      </c>
      <c r="BK10" s="539">
        <f t="shared" si="21"/>
        <v>0</v>
      </c>
      <c r="BL10" s="539">
        <f>INDEX(Lab_Mat!$K$6:$N$9,MATCH($H10,Lab_Mat!$J$6:$J$9,0),MATCH($BQ$4,Lab_Mat!$K$5:$N$5,0))*$P10*INDEX(Act_Type_Repex_Splits,MATCH($I10,Act_Type_Repex,0),MATCH(BL$4,Mat_Type,0))*INDEX(Escalators!$I$44:$U$49,MATCH(BL$4,Escalators!$C$44:$C$49,0),MATCH(BL$5,Escalators!$I$43:$U$43,0))</f>
        <v>0</v>
      </c>
      <c r="BM10" s="539">
        <f>INDEX(Lab_Mat!$K$6:$N$9,MATCH($H10,Lab_Mat!$J$6:$J$9,0),MATCH($BQ$4,Lab_Mat!$K$5:$N$5,0))*$P10*INDEX(Act_Type_Repex_Splits,MATCH($I10,Act_Type_Repex,0),MATCH(BM$4,Mat_Type,0))*INDEX(Escalators!$I$44:$U$49,MATCH(BM$4,Escalators!$C$44:$C$49,0),MATCH(BM$5,Escalators!$I$43:$U$43,0))</f>
        <v>0</v>
      </c>
      <c r="BN10" s="539">
        <f>INDEX(Lab_Mat!$K$6:$N$9,MATCH($H10,Lab_Mat!$J$6:$J$9,0),MATCH($BQ$4,Lab_Mat!$K$5:$N$5,0))*$P10*INDEX(Act_Type_Repex_Splits,MATCH($I10,Act_Type_Repex,0),MATCH(BN$4,Mat_Type,0))*INDEX(Escalators!$I$44:$U$49,MATCH(BN$4,Escalators!$C$44:$C$49,0),MATCH(BN$5,Escalators!$I$43:$U$43,0))</f>
        <v>0</v>
      </c>
      <c r="BO10" s="539">
        <f>INDEX(Lab_Mat!$K$6:$N$9,MATCH($H10,Lab_Mat!$J$6:$J$9,0),MATCH($BQ$4,Lab_Mat!$K$5:$N$5,0))*$P10*INDEX(Act_Type_Repex_Splits,MATCH($I10,Act_Type_Repex,0),MATCH(BO$4,Mat_Type,0))*INDEX(Escalators!$I$44:$U$49,MATCH(BO$4,Escalators!$C$44:$C$49,0),MATCH(BO$5,Escalators!$I$43:$U$43,0))</f>
        <v>0</v>
      </c>
      <c r="BP10" s="539">
        <f>INDEX(Lab_Mat!$K$6:$N$9,MATCH($H10,Lab_Mat!$J$6:$J$9,0),MATCH($BQ$4,Lab_Mat!$K$5:$N$5,0))*$P10*INDEX(Act_Type_Repex_Splits,MATCH($I10,Act_Type_Repex,0),MATCH(BP$4,Mat_Type,0))*INDEX(Escalators!$I$44:$U$49,MATCH(BP$4,Escalators!$C$44:$C$49,0),MATCH(BP$5,Escalators!$I$43:$U$43,0))</f>
        <v>0</v>
      </c>
      <c r="BQ10" s="539">
        <f t="shared" si="22"/>
        <v>0</v>
      </c>
      <c r="BR10" s="539">
        <f>INDEX(Lab_Mat!$K$6:$N$9,MATCH($H10,Lab_Mat!$J$6:$J$9,0),MATCH($BW$4,Lab_Mat!$K$5:$N$5,0))*$Q10*INDEX(Act_Type_Repex_Splits,MATCH($I10,Act_Type_Repex,0),MATCH(BR$4,Mat_Type,0))*INDEX(Escalators!$I$44:$U$49,MATCH(BR$4,Escalators!$C$44:$C$49,0),MATCH(BR$5,Escalators!$I$43:$U$43,0))</f>
        <v>0</v>
      </c>
      <c r="BS10" s="539">
        <f>INDEX(Lab_Mat!$K$6:$N$9,MATCH($H10,Lab_Mat!$J$6:$J$9,0),MATCH($BW$4,Lab_Mat!$K$5:$N$5,0))*$Q10*INDEX(Act_Type_Repex_Splits,MATCH($I10,Act_Type_Repex,0),MATCH(BS$4,Mat_Type,0))*INDEX(Escalators!$I$44:$U$49,MATCH(BS$4,Escalators!$C$44:$C$49,0),MATCH(BS$5,Escalators!$I$43:$U$43,0))</f>
        <v>0</v>
      </c>
      <c r="BT10" s="539">
        <f>INDEX(Lab_Mat!$K$6:$N$9,MATCH($H10,Lab_Mat!$J$6:$J$9,0),MATCH($BW$4,Lab_Mat!$K$5:$N$5,0))*$Q10*INDEX(Act_Type_Repex_Splits,MATCH($I10,Act_Type_Repex,0),MATCH(BT$4,Mat_Type,0))*INDEX(Escalators!$I$44:$U$49,MATCH(BT$4,Escalators!$C$44:$C$49,0),MATCH(BT$5,Escalators!$I$43:$U$43,0))</f>
        <v>0</v>
      </c>
      <c r="BU10" s="539">
        <f>INDEX(Lab_Mat!$K$6:$N$9,MATCH($H10,Lab_Mat!$J$6:$J$9,0),MATCH($BW$4,Lab_Mat!$K$5:$N$5,0))*$Q10*INDEX(Act_Type_Repex_Splits,MATCH($I10,Act_Type_Repex,0),MATCH(BU$4,Mat_Type,0))*INDEX(Escalators!$I$44:$U$49,MATCH(BU$4,Escalators!$C$44:$C$49,0),MATCH(BU$5,Escalators!$I$43:$U$43,0))</f>
        <v>0</v>
      </c>
      <c r="BV10" s="539">
        <f>INDEX(Lab_Mat!$K$6:$N$9,MATCH($H10,Lab_Mat!$J$6:$J$9,0),MATCH($BW$4,Lab_Mat!$K$5:$N$5,0))*$Q10*INDEX(Act_Type_Repex_Splits,MATCH($I10,Act_Type_Repex,0),MATCH(BV$4,Mat_Type,0))*INDEX(Escalators!$I$44:$U$49,MATCH(BV$4,Escalators!$C$44:$C$49,0),MATCH(BV$5,Escalators!$I$43:$U$43,0))</f>
        <v>0</v>
      </c>
      <c r="BW10" s="539">
        <f t="shared" si="23"/>
        <v>0</v>
      </c>
      <c r="BX10" s="241"/>
      <c r="BY10" s="539">
        <f>INDEX(Lab_Mat!$K$6:$N$9,MATCH($H10,Lab_Mat!$J$6:$J$9,0),MATCH($BY$4,Lab_Mat!$K$5:$N$5,0))*J10*HLOOKUP(BY$5,Escalators!$I$25:$U$30,6,FALSE)</f>
        <v>0</v>
      </c>
      <c r="BZ10" s="539">
        <f>INDEX(Lab_Mat!$K$6:$N$9,MATCH($H10,Lab_Mat!$J$6:$J$9,0),MATCH($BY$4,Lab_Mat!$K$5:$N$5,0))*K10*HLOOKUP(BZ$5,Escalators!$I$25:$U$30,6,FALSE)</f>
        <v>0</v>
      </c>
      <c r="CA10" s="539">
        <f>INDEX(Lab_Mat!$K$6:$N$9,MATCH($H10,Lab_Mat!$J$6:$J$9,0),MATCH($BY$4,Lab_Mat!$K$5:$N$5,0))*L10*HLOOKUP(CA$5,Escalators!$I$25:$U$30,6,FALSE)</f>
        <v>0</v>
      </c>
      <c r="CB10" s="539">
        <f>INDEX(Lab_Mat!$K$6:$N$9,MATCH($H10,Lab_Mat!$J$6:$J$9,0),MATCH($BY$4,Lab_Mat!$K$5:$N$5,0))*M10*HLOOKUP(CB$5,Escalators!$I$25:$U$30,6,FALSE)</f>
        <v>0</v>
      </c>
      <c r="CC10" s="539">
        <f>INDEX(Lab_Mat!$K$6:$N$9,MATCH($H10,Lab_Mat!$J$6:$J$9,0),MATCH($BY$4,Lab_Mat!$K$5:$N$5,0))*N10*HLOOKUP(CC$5,Escalators!$I$25:$U$30,6,FALSE)</f>
        <v>0</v>
      </c>
      <c r="CD10" s="539">
        <f>INDEX(Lab_Mat!$K$6:$N$9,MATCH($H10,Lab_Mat!$J$6:$J$9,0),MATCH($BY$4,Lab_Mat!$K$5:$N$5,0))*O10*HLOOKUP(CD$5,Escalators!$I$25:$U$30,6,FALSE)</f>
        <v>0</v>
      </c>
      <c r="CE10" s="539">
        <f>INDEX(Lab_Mat!$K$6:$N$9,MATCH($H10,Lab_Mat!$J$6:$J$9,0),MATCH($BY$4,Lab_Mat!$K$5:$N$5,0))*P10*HLOOKUP(CE$5,Escalators!$I$25:$U$30,6,FALSE)</f>
        <v>0</v>
      </c>
      <c r="CF10" s="539">
        <f>INDEX(Lab_Mat!$K$6:$N$9,MATCH($H10,Lab_Mat!$J$6:$J$9,0),MATCH($BY$4,Lab_Mat!$K$5:$N$5,0))*Q10*HLOOKUP(CF$5,Escalators!$I$25:$U$30,6,FALSE)</f>
        <v>0</v>
      </c>
      <c r="CG10" s="241"/>
      <c r="CH10" s="540">
        <f>INDEX(Lab_Mat!$K$6:$N$9,MATCH($H10,Lab_Mat!$J$6:$J$9,0),MATCH($CH$4,Lab_Mat!$K$5:$N$5,0))*J10</f>
        <v>0</v>
      </c>
      <c r="CI10" s="540">
        <f>INDEX(Lab_Mat!$K$6:$N$9,MATCH($H10,Lab_Mat!$J$6:$J$9,0),MATCH($CH$4,Lab_Mat!$K$5:$N$5,0))*K10</f>
        <v>0</v>
      </c>
      <c r="CJ10" s="540">
        <f>INDEX(Lab_Mat!$K$6:$N$9,MATCH($H10,Lab_Mat!$J$6:$J$9,0),MATCH($CH$4,Lab_Mat!$K$5:$N$5,0))*L10</f>
        <v>0</v>
      </c>
      <c r="CK10" s="540">
        <f>INDEX(Lab_Mat!$K$6:$N$9,MATCH($H10,Lab_Mat!$J$6:$J$9,0),MATCH($CH$4,Lab_Mat!$K$5:$N$5,0))*M10</f>
        <v>0</v>
      </c>
      <c r="CL10" s="540">
        <f>INDEX(Lab_Mat!$K$6:$N$9,MATCH($H10,Lab_Mat!$J$6:$J$9,0),MATCH($CH$4,Lab_Mat!$K$5:$N$5,0))*N10</f>
        <v>0</v>
      </c>
      <c r="CM10" s="540">
        <f>INDEX(Lab_Mat!$K$6:$N$9,MATCH($H10,Lab_Mat!$J$6:$J$9,0),MATCH($CH$4,Lab_Mat!$K$5:$N$5,0))*O10</f>
        <v>0</v>
      </c>
      <c r="CN10" s="540">
        <f>INDEX(Lab_Mat!$K$6:$N$9,MATCH($H10,Lab_Mat!$J$6:$J$9,0),MATCH($CH$4,Lab_Mat!$K$5:$N$5,0))*P10</f>
        <v>0</v>
      </c>
      <c r="CO10" s="540">
        <f>INDEX(Lab_Mat!$K$6:$N$9,MATCH($H10,Lab_Mat!$J$6:$J$9,0),MATCH($CH$4,Lab_Mat!$K$5:$N$5,0))*Q10</f>
        <v>0</v>
      </c>
      <c r="CP10" s="241"/>
      <c r="CQ10" s="539">
        <f t="shared" si="9"/>
        <v>0</v>
      </c>
      <c r="CR10" s="539">
        <f t="shared" si="10"/>
        <v>0</v>
      </c>
      <c r="CS10" s="539">
        <f t="shared" si="24"/>
        <v>0</v>
      </c>
      <c r="CT10" s="539">
        <f t="shared" si="11"/>
        <v>0</v>
      </c>
      <c r="CU10" s="539">
        <f t="shared" si="12"/>
        <v>0</v>
      </c>
      <c r="CV10" s="539">
        <f t="shared" si="13"/>
        <v>0</v>
      </c>
      <c r="CW10" s="539">
        <f t="shared" si="14"/>
        <v>0</v>
      </c>
      <c r="CX10" s="539">
        <f t="shared" si="15"/>
        <v>0</v>
      </c>
      <c r="CY10" s="39"/>
      <c r="CZ10" s="39"/>
      <c r="DA10" s="39"/>
      <c r="DB10" s="39"/>
      <c r="DC10" s="39"/>
    </row>
    <row r="11" spans="2:109" x14ac:dyDescent="0.25">
      <c r="B11" s="7"/>
      <c r="C11" s="7" t="s">
        <v>415</v>
      </c>
      <c r="D11" s="7" t="s">
        <v>696</v>
      </c>
      <c r="E11" s="7" t="s">
        <v>48</v>
      </c>
      <c r="F11" s="7" t="s">
        <v>55</v>
      </c>
      <c r="G11" s="7" t="s">
        <v>10</v>
      </c>
      <c r="H11" s="7" t="s">
        <v>753</v>
      </c>
      <c r="I11" s="7" t="s">
        <v>204</v>
      </c>
      <c r="J11" s="45"/>
      <c r="K11" s="45"/>
      <c r="L11" s="45"/>
      <c r="M11" s="128">
        <v>0</v>
      </c>
      <c r="N11" s="128">
        <v>0</v>
      </c>
      <c r="O11" s="128">
        <v>0</v>
      </c>
      <c r="P11" s="128"/>
      <c r="Q11" s="128"/>
      <c r="R11" s="129"/>
      <c r="S11" s="128">
        <f>INDEX(Lab_Mat!$K$6:$N$9,MATCH($H11,Lab_Mat!$J$6:$J$9,0),MATCH($S$4,Lab_Mat!$K$5:$N$5,0))*J11*HLOOKUP(S$5,Escalators!$I$25:$U$30,3,FALSE)</f>
        <v>0</v>
      </c>
      <c r="T11" s="128">
        <f>INDEX(Lab_Mat!$K$6:$N$9,MATCH($H11,Lab_Mat!$J$6:$J$9,0),MATCH($S$4,Lab_Mat!$K$5:$N$5,0))*K11*HLOOKUP(T$5,Escalators!$I$25:$U$30,3,FALSE)</f>
        <v>0</v>
      </c>
      <c r="U11" s="128">
        <f>INDEX(Lab_Mat!$K$6:$N$9,MATCH($H11,Lab_Mat!$J$6:$J$9,0),MATCH($S$4,Lab_Mat!$K$5:$N$5,0))*L11*HLOOKUP(U$5,Escalators!$I$25:$U$30,3,FALSE)</f>
        <v>0</v>
      </c>
      <c r="V11" s="128">
        <f>INDEX(Lab_Mat!$K$6:$N$9,MATCH($H11,Lab_Mat!$J$6:$J$9,0),MATCH($S$4,Lab_Mat!$K$5:$N$5,0))*M11*HLOOKUP(V$5,Escalators!$I$25:$U$30,3,FALSE)</f>
        <v>0</v>
      </c>
      <c r="W11" s="128">
        <f>INDEX(Lab_Mat!$K$6:$N$9,MATCH($H11,Lab_Mat!$J$6:$J$9,0),MATCH($S$4,Lab_Mat!$K$5:$N$5,0))*N11*HLOOKUP(W$5,Escalators!$I$25:$U$30,3,FALSE)</f>
        <v>0</v>
      </c>
      <c r="X11" s="128">
        <f>INDEX(Lab_Mat!$K$6:$N$9,MATCH($H11,Lab_Mat!$J$6:$J$9,0),MATCH($S$4,Lab_Mat!$K$5:$N$5,0))*O11*HLOOKUP(X$5,Escalators!$I$25:$U$30,3,FALSE)</f>
        <v>0</v>
      </c>
      <c r="Y11" s="128">
        <f>INDEX(Lab_Mat!$K$6:$N$9,MATCH($H11,Lab_Mat!$J$6:$J$9,0),MATCH($S$4,Lab_Mat!$K$5:$N$5,0))*P11*HLOOKUP(Y$5,Escalators!$I$25:$U$30,3,FALSE)</f>
        <v>0</v>
      </c>
      <c r="Z11" s="128">
        <f>INDEX(Lab_Mat!$K$6:$N$9,MATCH($H11,Lab_Mat!$J$6:$J$9,0),MATCH($S$4,Lab_Mat!$K$5:$N$5,0))*Q11*HLOOKUP(Z$5,Escalators!$I$25:$U$30,3,FALSE)</f>
        <v>0</v>
      </c>
      <c r="AA11" s="129"/>
      <c r="AB11" s="539">
        <f>INDEX(Lab_Mat!$K$6:$N$9,MATCH($H11,Lab_Mat!$J$6:$J$9,0),MATCH($AG$4,Lab_Mat!$K$5:$N$5,0))*$J11*INDEX(Act_Type_Repex_Splits,MATCH($I11,Act_Type_Repex,0),MATCH(AB$4,Mat_Type,0))*INDEX(Escalators!$I$44:$Q$49,MATCH(AB$4,Escalators!$C$44:$C$49,0),MATCH(AB$5,Escalators!$I$43:$Q$43,0))</f>
        <v>0</v>
      </c>
      <c r="AC11" s="539">
        <f>INDEX(Lab_Mat!$K$6:$N$9,MATCH($H11,Lab_Mat!$J$6:$J$9,0),MATCH($AG$4,Lab_Mat!$K$5:$N$5,0))*$J11*INDEX(Act_Type_Repex_Splits,MATCH($I11,Act_Type_Repex,0),MATCH(AC$4,Mat_Type,0))*INDEX(Escalators!$I$44:$Q$49,MATCH(AC$4,Escalators!$C$44:$C$49,0),MATCH(AC$5,Escalators!$I$43:$Q$43,0))</f>
        <v>0</v>
      </c>
      <c r="AD11" s="539">
        <f>INDEX(Lab_Mat!$K$6:$N$9,MATCH($H11,Lab_Mat!$J$6:$J$9,0),MATCH($AG$4,Lab_Mat!$K$5:$N$5,0))*$J11*INDEX(Act_Type_Repex_Splits,MATCH($I11,Act_Type_Repex,0),MATCH(AD$4,Mat_Type,0))*INDEX(Escalators!$I$44:$Q$49,MATCH(AD$4,Escalators!$C$44:$C$49,0),MATCH(AD$5,Escalators!$I$43:$Q$43,0))</f>
        <v>0</v>
      </c>
      <c r="AE11" s="539">
        <f>INDEX(Lab_Mat!$K$6:$N$9,MATCH($H11,Lab_Mat!$J$6:$J$9,0),MATCH($AG$4,Lab_Mat!$K$5:$N$5,0))*$J11*INDEX(Act_Type_Repex_Splits,MATCH($I11,Act_Type_Repex,0),MATCH(AE$4,Mat_Type,0))*INDEX(Escalators!$I$44:$Q$49,MATCH(AE$4,Escalators!$C$44:$C$49,0),MATCH(AE$5,Escalators!$I$43:$Q$43,0))</f>
        <v>0</v>
      </c>
      <c r="AF11" s="539">
        <f>INDEX(Lab_Mat!$K$6:$N$9,MATCH($H11,Lab_Mat!$J$6:$J$9,0),MATCH($AG$4,Lab_Mat!$K$5:$N$5,0))*$J11*INDEX(Act_Type_Repex_Splits,MATCH($I11,Act_Type_Repex,0),MATCH(AF$4,Mat_Type,0))*INDEX(Escalators!$I$44:$Q$49,MATCH(AF$4,Escalators!$C$44:$C$49,0),MATCH(AF$5,Escalators!$I$43:$Q$43,0))</f>
        <v>0</v>
      </c>
      <c r="AG11" s="128">
        <f t="shared" si="16"/>
        <v>0</v>
      </c>
      <c r="AH11" s="539">
        <f>INDEX(Lab_Mat!$K$6:$N$9,MATCH($H11,Lab_Mat!$J$6:$J$9,0),MATCH($AY$4,Lab_Mat!$K$5:$N$5,0))*$K11*INDEX(Act_Type_Repex_Splits,MATCH($I11,Act_Type_Repex,0),MATCH(AH$4,Mat_Type,0))*INDEX(Escalators!$I$44:$U$49,MATCH(AH$4,Escalators!$C$44:$C$49,0),MATCH(AH$5,Escalators!$I$43:$U$43,0))</f>
        <v>0</v>
      </c>
      <c r="AI11" s="539">
        <f>INDEX(Lab_Mat!$K$6:$N$9,MATCH($H11,Lab_Mat!$J$6:$J$9,0),MATCH($AY$4,Lab_Mat!$K$5:$N$5,0))*$K11*INDEX(Act_Type_Repex_Splits,MATCH($I11,Act_Type_Repex,0),MATCH(AI$4,Mat_Type,0))*INDEX(Escalators!$I$44:$U$49,MATCH(AI$4,Escalators!$C$44:$C$49,0),MATCH(AI$5,Escalators!$I$43:$U$43,0))</f>
        <v>0</v>
      </c>
      <c r="AJ11" s="539">
        <f>INDEX(Lab_Mat!$K$6:$N$9,MATCH($H11,Lab_Mat!$J$6:$J$9,0),MATCH($AY$4,Lab_Mat!$K$5:$N$5,0))*$K11*INDEX(Act_Type_Repex_Splits,MATCH($I11,Act_Type_Repex,0),MATCH(AJ$4,Mat_Type,0))*INDEX(Escalators!$I$44:$U$49,MATCH(AJ$4,Escalators!$C$44:$C$49,0),MATCH(AJ$5,Escalators!$I$43:$U$43,0))</f>
        <v>0</v>
      </c>
      <c r="AK11" s="539">
        <f>INDEX(Lab_Mat!$K$6:$N$9,MATCH($H11,Lab_Mat!$J$6:$J$9,0),MATCH($AY$4,Lab_Mat!$K$5:$N$5,0))*$K11*INDEX(Act_Type_Repex_Splits,MATCH($I11,Act_Type_Repex,0),MATCH(AK$4,Mat_Type,0))*INDEX(Escalators!$I$44:$U$49,MATCH(AK$4,Escalators!$C$44:$C$49,0),MATCH(AK$5,Escalators!$I$43:$U$43,0))</f>
        <v>0</v>
      </c>
      <c r="AL11" s="539">
        <f>INDEX(Lab_Mat!$K$6:$N$9,MATCH($H11,Lab_Mat!$J$6:$J$9,0),MATCH($AY$4,Lab_Mat!$K$5:$N$5,0))*$K11*INDEX(Act_Type_Repex_Splits,MATCH($I11,Act_Type_Repex,0),MATCH(AL$4,Mat_Type,0))*INDEX(Escalators!$I$44:$U$49,MATCH(AL$4,Escalators!$C$44:$C$49,0),MATCH(AL$5,Escalators!$I$43:$U$43,0))</f>
        <v>0</v>
      </c>
      <c r="AM11" s="128">
        <f t="shared" si="17"/>
        <v>0</v>
      </c>
      <c r="AN11" s="539">
        <f>INDEX(Lab_Mat!$K$6:$N$9,MATCH($H11,Lab_Mat!$J$6:$J$9,0),MATCH($AY$4,Lab_Mat!$K$5:$N$5,0))*$L11*INDEX(Act_Type_Repex_Splits,MATCH($I11,Act_Type_Repex,0),MATCH(AN$4,Mat_Type,0))*INDEX(Escalators!$I$44:$U$49,MATCH(AN$4,Escalators!$C$44:$C$49,0),MATCH(AN$5,Escalators!$I$43:$U$43,0))</f>
        <v>0</v>
      </c>
      <c r="AO11" s="539">
        <f>INDEX(Lab_Mat!$K$6:$N$9,MATCH($H11,Lab_Mat!$J$6:$J$9,0),MATCH($AY$4,Lab_Mat!$K$5:$N$5,0))*$L11*INDEX(Act_Type_Repex_Splits,MATCH($I11,Act_Type_Repex,0),MATCH(AO$4,Mat_Type,0))*INDEX(Escalators!$I$44:$U$49,MATCH(AO$4,Escalators!$C$44:$C$49,0),MATCH(AO$5,Escalators!$I$43:$U$43,0))</f>
        <v>0</v>
      </c>
      <c r="AP11" s="539">
        <f>INDEX(Lab_Mat!$K$6:$N$9,MATCH($H11,Lab_Mat!$J$6:$J$9,0),MATCH($AY$4,Lab_Mat!$K$5:$N$5,0))*$L11*INDEX(Act_Type_Repex_Splits,MATCH($I11,Act_Type_Repex,0),MATCH(AP$4,Mat_Type,0))*INDEX(Escalators!$I$44:$U$49,MATCH(AP$4,Escalators!$C$44:$C$49,0),MATCH(AP$5,Escalators!$I$43:$U$43,0))</f>
        <v>0</v>
      </c>
      <c r="AQ11" s="539">
        <f>INDEX(Lab_Mat!$K$6:$N$9,MATCH($H11,Lab_Mat!$J$6:$J$9,0),MATCH($AY$4,Lab_Mat!$K$5:$N$5,0))*$L11*INDEX(Act_Type_Repex_Splits,MATCH($I11,Act_Type_Repex,0),MATCH(AQ$4,Mat_Type,0))*INDEX(Escalators!$I$44:$U$49,MATCH(AQ$4,Escalators!$C$44:$C$49,0),MATCH(AQ$5,Escalators!$I$43:$U$43,0))</f>
        <v>0</v>
      </c>
      <c r="AR11" s="539">
        <f>INDEX(Lab_Mat!$K$6:$N$9,MATCH($H11,Lab_Mat!$J$6:$J$9,0),MATCH($AY$4,Lab_Mat!$K$5:$N$5,0))*$L11*INDEX(Act_Type_Repex_Splits,MATCH($I11,Act_Type_Repex,0),MATCH(AR$4,Mat_Type,0))*INDEX(Escalators!$I$44:$U$49,MATCH(AR$4,Escalators!$C$44:$C$49,0),MATCH(AR$5,Escalators!$I$43:$U$43,0))</f>
        <v>0</v>
      </c>
      <c r="AS11" s="128">
        <f t="shared" si="18"/>
        <v>0</v>
      </c>
      <c r="AT11" s="539">
        <f>INDEX(Lab_Mat!$K$6:$N$9,MATCH($H11,Lab_Mat!$J$6:$J$9,0),MATCH($AY$4,Lab_Mat!$K$5:$N$5,0))*$M11*INDEX(Act_Type_Repex_Splits,MATCH($I11,Act_Type_Repex,0),MATCH(AT$4,Mat_Type,0))*INDEX(Escalators!$I$44:$U$49,MATCH(AT$4,Escalators!$C$44:$C$49,0),MATCH(AT$5,Escalators!$I$43:$U$43,0))</f>
        <v>0</v>
      </c>
      <c r="AU11" s="539">
        <f>INDEX(Lab_Mat!$K$6:$N$9,MATCH($H11,Lab_Mat!$J$6:$J$9,0),MATCH($AY$4,Lab_Mat!$K$5:$N$5,0))*$M11*INDEX(Act_Type_Repex_Splits,MATCH($I11,Act_Type_Repex,0),MATCH(AU$4,Mat_Type,0))*INDEX(Escalators!$I$44:$U$49,MATCH(AU$4,Escalators!$C$44:$C$49,0),MATCH(AU$5,Escalators!$I$43:$U$43,0))</f>
        <v>0</v>
      </c>
      <c r="AV11" s="539">
        <f>INDEX(Lab_Mat!$K$6:$N$9,MATCH($H11,Lab_Mat!$J$6:$J$9,0),MATCH($AY$4,Lab_Mat!$K$5:$N$5,0))*$M11*INDEX(Act_Type_Repex_Splits,MATCH($I11,Act_Type_Repex,0),MATCH(AV$4,Mat_Type,0))*INDEX(Escalators!$I$44:$U$49,MATCH(AV$4,Escalators!$C$44:$C$49,0),MATCH(AV$5,Escalators!$I$43:$U$43,0))</f>
        <v>0</v>
      </c>
      <c r="AW11" s="539">
        <f>INDEX(Lab_Mat!$K$6:$N$9,MATCH($H11,Lab_Mat!$J$6:$J$9,0),MATCH($AY$4,Lab_Mat!$K$5:$N$5,0))*$M11*INDEX(Act_Type_Repex_Splits,MATCH($I11,Act_Type_Repex,0),MATCH(AW$4,Mat_Type,0))*INDEX(Escalators!$I$44:$U$49,MATCH(AW$4,Escalators!$C$44:$C$49,0),MATCH(AW$5,Escalators!$I$43:$U$43,0))</f>
        <v>0</v>
      </c>
      <c r="AX11" s="539">
        <f>INDEX(Lab_Mat!$K$6:$N$9,MATCH($H11,Lab_Mat!$J$6:$J$9,0),MATCH($AY$4,Lab_Mat!$K$5:$N$5,0))*$M11*INDEX(Act_Type_Repex_Splits,MATCH($I11,Act_Type_Repex,0),MATCH(AX$4,Mat_Type,0))*INDEX(Escalators!$I$44:$U$49,MATCH(AX$4,Escalators!$C$44:$C$49,0),MATCH(AX$5,Escalators!$I$43:$U$43,0))</f>
        <v>0</v>
      </c>
      <c r="AY11" s="128">
        <f t="shared" si="19"/>
        <v>0</v>
      </c>
      <c r="AZ11" s="539">
        <f>INDEX(Lab_Mat!$K$6:$N$9,MATCH($H11,Lab_Mat!$J$6:$J$9,0),MATCH($BE$4,Lab_Mat!$K$5:$N$5,0))*$N11*INDEX(Act_Type_Repex_Splits,MATCH($I11,Act_Type_Repex,0),MATCH(AZ$4,Mat_Type,0))*INDEX(Escalators!$I$44:$U$49,MATCH(AZ$4,Escalators!$C$44:$C$49,0),MATCH(AZ$5,Escalators!$I$43:$U$43,0))</f>
        <v>0</v>
      </c>
      <c r="BA11" s="539">
        <f>INDEX(Lab_Mat!$K$6:$N$9,MATCH($H11,Lab_Mat!$J$6:$J$9,0),MATCH($BE$4,Lab_Mat!$K$5:$N$5,0))*$N11*INDEX(Act_Type_Repex_Splits,MATCH($I11,Act_Type_Repex,0),MATCH(BA$4,Mat_Type,0))*INDEX(Escalators!$I$44:$U$49,MATCH(BA$4,Escalators!$C$44:$C$49,0),MATCH(BA$5,Escalators!$I$43:$U$43,0))</f>
        <v>0</v>
      </c>
      <c r="BB11" s="539">
        <f>INDEX(Lab_Mat!$K$6:$N$9,MATCH($H11,Lab_Mat!$J$6:$J$9,0),MATCH($BE$4,Lab_Mat!$K$5:$N$5,0))*$N11*INDEX(Act_Type_Repex_Splits,MATCH($I11,Act_Type_Repex,0),MATCH(BB$4,Mat_Type,0))*INDEX(Escalators!$I$44:$U$49,MATCH(BB$4,Escalators!$C$44:$C$49,0),MATCH(BB$5,Escalators!$I$43:$U$43,0))</f>
        <v>0</v>
      </c>
      <c r="BC11" s="539">
        <f>INDEX(Lab_Mat!$K$6:$N$9,MATCH($H11,Lab_Mat!$J$6:$J$9,0),MATCH($BE$4,Lab_Mat!$K$5:$N$5,0))*$N11*INDEX(Act_Type_Repex_Splits,MATCH($I11,Act_Type_Repex,0),MATCH(BC$4,Mat_Type,0))*INDEX(Escalators!$I$44:$U$49,MATCH(BC$4,Escalators!$C$44:$C$49,0),MATCH(BC$5,Escalators!$I$43:$U$43,0))</f>
        <v>0</v>
      </c>
      <c r="BD11" s="539">
        <f>INDEX(Lab_Mat!$K$6:$N$9,MATCH($H11,Lab_Mat!$J$6:$J$9,0),MATCH($BE$4,Lab_Mat!$K$5:$N$5,0))*$N11*INDEX(Act_Type_Repex_Splits,MATCH($I11,Act_Type_Repex,0),MATCH(BD$4,Mat_Type,0))*INDEX(Escalators!$I$44:$U$49,MATCH(BD$4,Escalators!$C$44:$C$49,0),MATCH(BD$5,Escalators!$I$43:$U$43,0))</f>
        <v>0</v>
      </c>
      <c r="BE11" s="128">
        <f t="shared" si="20"/>
        <v>0</v>
      </c>
      <c r="BF11" s="539">
        <f>INDEX(Lab_Mat!$K$6:$N$9,MATCH($H11,Lab_Mat!$J$6:$J$9,0),MATCH($BK$4,Lab_Mat!$K$5:$N$5,0))*$O11*INDEX(Act_Type_Repex_Splits,MATCH($I11,Act_Type_Repex,0),MATCH(BF$4,Mat_Type,0))*INDEX(Escalators!$I$44:$U$49,MATCH(BF$4,Escalators!$C$44:$C$49,0),MATCH(BF$5,Escalators!$I$43:$U$43,0))</f>
        <v>0</v>
      </c>
      <c r="BG11" s="539">
        <f>INDEX(Lab_Mat!$K$6:$N$9,MATCH($H11,Lab_Mat!$J$6:$J$9,0),MATCH($BK$4,Lab_Mat!$K$5:$N$5,0))*$O11*INDEX(Act_Type_Repex_Splits,MATCH($I11,Act_Type_Repex,0),MATCH(BG$4,Mat_Type,0))*INDEX(Escalators!$I$44:$U$49,MATCH(BG$4,Escalators!$C$44:$C$49,0),MATCH(BG$5,Escalators!$I$43:$U$43,0))</f>
        <v>0</v>
      </c>
      <c r="BH11" s="539">
        <f>INDEX(Lab_Mat!$K$6:$N$9,MATCH($H11,Lab_Mat!$J$6:$J$9,0),MATCH($BK$4,Lab_Mat!$K$5:$N$5,0))*$O11*INDEX(Act_Type_Repex_Splits,MATCH($I11,Act_Type_Repex,0),MATCH(BH$4,Mat_Type,0))*INDEX(Escalators!$I$44:$U$49,MATCH(BH$4,Escalators!$C$44:$C$49,0),MATCH(BH$5,Escalators!$I$43:$U$43,0))</f>
        <v>0</v>
      </c>
      <c r="BI11" s="539">
        <f>INDEX(Lab_Mat!$K$6:$N$9,MATCH($H11,Lab_Mat!$J$6:$J$9,0),MATCH($BK$4,Lab_Mat!$K$5:$N$5,0))*$O11*INDEX(Act_Type_Repex_Splits,MATCH($I11,Act_Type_Repex,0),MATCH(BI$4,Mat_Type,0))*INDEX(Escalators!$I$44:$U$49,MATCH(BI$4,Escalators!$C$44:$C$49,0),MATCH(BI$5,Escalators!$I$43:$U$43,0))</f>
        <v>0</v>
      </c>
      <c r="BJ11" s="539">
        <f>INDEX(Lab_Mat!$K$6:$N$9,MATCH($H11,Lab_Mat!$J$6:$J$9,0),MATCH($BK$4,Lab_Mat!$K$5:$N$5,0))*$O11*INDEX(Act_Type_Repex_Splits,MATCH($I11,Act_Type_Repex,0),MATCH(BJ$4,Mat_Type,0))*INDEX(Escalators!$I$44:$U$49,MATCH(BJ$4,Escalators!$C$44:$C$49,0),MATCH(BJ$5,Escalators!$I$43:$U$43,0))</f>
        <v>0</v>
      </c>
      <c r="BK11" s="128">
        <f t="shared" si="21"/>
        <v>0</v>
      </c>
      <c r="BL11" s="539">
        <f>INDEX(Lab_Mat!$K$6:$N$9,MATCH($H11,Lab_Mat!$J$6:$J$9,0),MATCH($BQ$4,Lab_Mat!$K$5:$N$5,0))*$P11*INDEX(Act_Type_Repex_Splits,MATCH($I11,Act_Type_Repex,0),MATCH(BL$4,Mat_Type,0))*INDEX(Escalators!$I$44:$U$49,MATCH(BL$4,Escalators!$C$44:$C$49,0),MATCH(BL$5,Escalators!$I$43:$U$43,0))</f>
        <v>0</v>
      </c>
      <c r="BM11" s="539">
        <f>INDEX(Lab_Mat!$K$6:$N$9,MATCH($H11,Lab_Mat!$J$6:$J$9,0),MATCH($BQ$4,Lab_Mat!$K$5:$N$5,0))*$P11*INDEX(Act_Type_Repex_Splits,MATCH($I11,Act_Type_Repex,0),MATCH(BM$4,Mat_Type,0))*INDEX(Escalators!$I$44:$U$49,MATCH(BM$4,Escalators!$C$44:$C$49,0),MATCH(BM$5,Escalators!$I$43:$U$43,0))</f>
        <v>0</v>
      </c>
      <c r="BN11" s="539">
        <f>INDEX(Lab_Mat!$K$6:$N$9,MATCH($H11,Lab_Mat!$J$6:$J$9,0),MATCH($BQ$4,Lab_Mat!$K$5:$N$5,0))*$P11*INDEX(Act_Type_Repex_Splits,MATCH($I11,Act_Type_Repex,0),MATCH(BN$4,Mat_Type,0))*INDEX(Escalators!$I$44:$U$49,MATCH(BN$4,Escalators!$C$44:$C$49,0),MATCH(BN$5,Escalators!$I$43:$U$43,0))</f>
        <v>0</v>
      </c>
      <c r="BO11" s="539">
        <f>INDEX(Lab_Mat!$K$6:$N$9,MATCH($H11,Lab_Mat!$J$6:$J$9,0),MATCH($BQ$4,Lab_Mat!$K$5:$N$5,0))*$P11*INDEX(Act_Type_Repex_Splits,MATCH($I11,Act_Type_Repex,0),MATCH(BO$4,Mat_Type,0))*INDEX(Escalators!$I$44:$U$49,MATCH(BO$4,Escalators!$C$44:$C$49,0),MATCH(BO$5,Escalators!$I$43:$U$43,0))</f>
        <v>0</v>
      </c>
      <c r="BP11" s="539">
        <f>INDEX(Lab_Mat!$K$6:$N$9,MATCH($H11,Lab_Mat!$J$6:$J$9,0),MATCH($BQ$4,Lab_Mat!$K$5:$N$5,0))*$P11*INDEX(Act_Type_Repex_Splits,MATCH($I11,Act_Type_Repex,0),MATCH(BP$4,Mat_Type,0))*INDEX(Escalators!$I$44:$U$49,MATCH(BP$4,Escalators!$C$44:$C$49,0),MATCH(BP$5,Escalators!$I$43:$U$43,0))</f>
        <v>0</v>
      </c>
      <c r="BQ11" s="128">
        <f t="shared" si="22"/>
        <v>0</v>
      </c>
      <c r="BR11" s="539">
        <f>INDEX(Lab_Mat!$K$6:$N$9,MATCH($H11,Lab_Mat!$J$6:$J$9,0),MATCH($BW$4,Lab_Mat!$K$5:$N$5,0))*$Q11*INDEX(Act_Type_Repex_Splits,MATCH($I11,Act_Type_Repex,0),MATCH(BR$4,Mat_Type,0))*INDEX(Escalators!$I$44:$U$49,MATCH(BR$4,Escalators!$C$44:$C$49,0),MATCH(BR$5,Escalators!$I$43:$U$43,0))</f>
        <v>0</v>
      </c>
      <c r="BS11" s="539">
        <f>INDEX(Lab_Mat!$K$6:$N$9,MATCH($H11,Lab_Mat!$J$6:$J$9,0),MATCH($BW$4,Lab_Mat!$K$5:$N$5,0))*$Q11*INDEX(Act_Type_Repex_Splits,MATCH($I11,Act_Type_Repex,0),MATCH(BS$4,Mat_Type,0))*INDEX(Escalators!$I$44:$U$49,MATCH(BS$4,Escalators!$C$44:$C$49,0),MATCH(BS$5,Escalators!$I$43:$U$43,0))</f>
        <v>0</v>
      </c>
      <c r="BT11" s="539">
        <f>INDEX(Lab_Mat!$K$6:$N$9,MATCH($H11,Lab_Mat!$J$6:$J$9,0),MATCH($BW$4,Lab_Mat!$K$5:$N$5,0))*$Q11*INDEX(Act_Type_Repex_Splits,MATCH($I11,Act_Type_Repex,0),MATCH(BT$4,Mat_Type,0))*INDEX(Escalators!$I$44:$U$49,MATCH(BT$4,Escalators!$C$44:$C$49,0),MATCH(BT$5,Escalators!$I$43:$U$43,0))</f>
        <v>0</v>
      </c>
      <c r="BU11" s="539">
        <f>INDEX(Lab_Mat!$K$6:$N$9,MATCH($H11,Lab_Mat!$J$6:$J$9,0),MATCH($BW$4,Lab_Mat!$K$5:$N$5,0))*$Q11*INDEX(Act_Type_Repex_Splits,MATCH($I11,Act_Type_Repex,0),MATCH(BU$4,Mat_Type,0))*INDEX(Escalators!$I$44:$U$49,MATCH(BU$4,Escalators!$C$44:$C$49,0),MATCH(BU$5,Escalators!$I$43:$U$43,0))</f>
        <v>0</v>
      </c>
      <c r="BV11" s="539">
        <f>INDEX(Lab_Mat!$K$6:$N$9,MATCH($H11,Lab_Mat!$J$6:$J$9,0),MATCH($BW$4,Lab_Mat!$K$5:$N$5,0))*$Q11*INDEX(Act_Type_Repex_Splits,MATCH($I11,Act_Type_Repex,0),MATCH(BV$4,Mat_Type,0))*INDEX(Escalators!$I$44:$U$49,MATCH(BV$4,Escalators!$C$44:$C$49,0),MATCH(BV$5,Escalators!$I$43:$U$43,0))</f>
        <v>0</v>
      </c>
      <c r="BW11" s="128">
        <f t="shared" si="23"/>
        <v>0</v>
      </c>
      <c r="BX11" s="129"/>
      <c r="BY11" s="128">
        <f>INDEX(Lab_Mat!$K$6:$N$9,MATCH($H11,Lab_Mat!$J$6:$J$9,0),MATCH($BY$4,Lab_Mat!$K$5:$N$5,0))*J11*HLOOKUP(BY$5,Escalators!$I$25:$U$30,6,FALSE)</f>
        <v>0</v>
      </c>
      <c r="BZ11" s="128">
        <f>INDEX(Lab_Mat!$K$6:$N$9,MATCH($H11,Lab_Mat!$J$6:$J$9,0),MATCH($BY$4,Lab_Mat!$K$5:$N$5,0))*K11*HLOOKUP(BZ$5,Escalators!$I$25:$U$30,6,FALSE)</f>
        <v>0</v>
      </c>
      <c r="CA11" s="128">
        <f>INDEX(Lab_Mat!$K$6:$N$9,MATCH($H11,Lab_Mat!$J$6:$J$9,0),MATCH($BY$4,Lab_Mat!$K$5:$N$5,0))*L11*HLOOKUP(CA$5,Escalators!$I$25:$U$30,6,FALSE)</f>
        <v>0</v>
      </c>
      <c r="CB11" s="128">
        <f>INDEX(Lab_Mat!$K$6:$N$9,MATCH($H11,Lab_Mat!$J$6:$J$9,0),MATCH($BY$4,Lab_Mat!$K$5:$N$5,0))*M11*HLOOKUP(CB$5,Escalators!$I$25:$U$30,6,FALSE)</f>
        <v>0</v>
      </c>
      <c r="CC11" s="128">
        <f>INDEX(Lab_Mat!$K$6:$N$9,MATCH($H11,Lab_Mat!$J$6:$J$9,0),MATCH($BY$4,Lab_Mat!$K$5:$N$5,0))*N11*HLOOKUP(CC$5,Escalators!$I$25:$U$30,6,FALSE)</f>
        <v>0</v>
      </c>
      <c r="CD11" s="128">
        <f>INDEX(Lab_Mat!$K$6:$N$9,MATCH($H11,Lab_Mat!$J$6:$J$9,0),MATCH($BY$4,Lab_Mat!$K$5:$N$5,0))*O11*HLOOKUP(CD$5,Escalators!$I$25:$U$30,6,FALSE)</f>
        <v>0</v>
      </c>
      <c r="CE11" s="128">
        <f>INDEX(Lab_Mat!$K$6:$N$9,MATCH($H11,Lab_Mat!$J$6:$J$9,0),MATCH($BY$4,Lab_Mat!$K$5:$N$5,0))*P11*HLOOKUP(CE$5,Escalators!$I$25:$U$30,6,FALSE)</f>
        <v>0</v>
      </c>
      <c r="CF11" s="128">
        <f>INDEX(Lab_Mat!$K$6:$N$9,MATCH($H11,Lab_Mat!$J$6:$J$9,0),MATCH($BY$4,Lab_Mat!$K$5:$N$5,0))*Q11*HLOOKUP(CF$5,Escalators!$I$25:$U$30,6,FALSE)</f>
        <v>0</v>
      </c>
      <c r="CG11" s="129"/>
      <c r="CH11" s="763">
        <f>INDEX(Lab_Mat!$K$6:$N$9,MATCH($H11,Lab_Mat!$J$6:$J$9,0),MATCH($CH$4,Lab_Mat!$K$5:$N$5,0))*J11</f>
        <v>0</v>
      </c>
      <c r="CI11" s="763">
        <f>INDEX(Lab_Mat!$K$6:$N$9,MATCH($H11,Lab_Mat!$J$6:$J$9,0),MATCH($CH$4,Lab_Mat!$K$5:$N$5,0))*K11</f>
        <v>0</v>
      </c>
      <c r="CJ11" s="763">
        <f>INDEX(Lab_Mat!$K$6:$N$9,MATCH($H11,Lab_Mat!$J$6:$J$9,0),MATCH($CH$4,Lab_Mat!$K$5:$N$5,0))*L11</f>
        <v>0</v>
      </c>
      <c r="CK11" s="763">
        <f>INDEX(Lab_Mat!$K$6:$N$9,MATCH($H11,Lab_Mat!$J$6:$J$9,0),MATCH($CH$4,Lab_Mat!$K$5:$N$5,0))*M11</f>
        <v>0</v>
      </c>
      <c r="CL11" s="763">
        <f>INDEX(Lab_Mat!$K$6:$N$9,MATCH($H11,Lab_Mat!$J$6:$J$9,0),MATCH($CH$4,Lab_Mat!$K$5:$N$5,0))*N11</f>
        <v>0</v>
      </c>
      <c r="CM11" s="763">
        <f>INDEX(Lab_Mat!$K$6:$N$9,MATCH($H11,Lab_Mat!$J$6:$J$9,0),MATCH($CH$4,Lab_Mat!$K$5:$N$5,0))*O11</f>
        <v>0</v>
      </c>
      <c r="CN11" s="763">
        <f>INDEX(Lab_Mat!$K$6:$N$9,MATCH($H11,Lab_Mat!$J$6:$J$9,0),MATCH($CH$4,Lab_Mat!$K$5:$N$5,0))*P11</f>
        <v>0</v>
      </c>
      <c r="CO11" s="763">
        <f>INDEX(Lab_Mat!$K$6:$N$9,MATCH($H11,Lab_Mat!$J$6:$J$9,0),MATCH($CH$4,Lab_Mat!$K$5:$N$5,0))*Q11</f>
        <v>0</v>
      </c>
      <c r="CP11" s="129"/>
      <c r="CQ11" s="128">
        <f t="shared" si="9"/>
        <v>0</v>
      </c>
      <c r="CR11" s="128">
        <f t="shared" si="10"/>
        <v>0</v>
      </c>
      <c r="CS11" s="128">
        <f t="shared" si="24"/>
        <v>0</v>
      </c>
      <c r="CT11" s="128">
        <f t="shared" si="11"/>
        <v>0</v>
      </c>
      <c r="CU11" s="128">
        <f t="shared" si="12"/>
        <v>0</v>
      </c>
      <c r="CV11" s="128">
        <f t="shared" si="13"/>
        <v>0</v>
      </c>
      <c r="CW11" s="128">
        <f t="shared" si="14"/>
        <v>0</v>
      </c>
      <c r="CX11" s="128">
        <f t="shared" si="15"/>
        <v>0</v>
      </c>
      <c r="CY11" s="39"/>
      <c r="CZ11" s="39"/>
      <c r="DA11" s="39"/>
      <c r="DB11" s="39"/>
      <c r="DC11" s="39"/>
    </row>
    <row r="12" spans="2:109" x14ac:dyDescent="0.25">
      <c r="B12" s="7"/>
      <c r="C12" s="7" t="s">
        <v>416</v>
      </c>
      <c r="D12" s="7" t="s">
        <v>696</v>
      </c>
      <c r="E12" s="7" t="s">
        <v>48</v>
      </c>
      <c r="F12" s="7" t="s">
        <v>55</v>
      </c>
      <c r="G12" s="7" t="s">
        <v>150</v>
      </c>
      <c r="H12" s="7" t="s">
        <v>753</v>
      </c>
      <c r="I12" s="7" t="s">
        <v>204</v>
      </c>
      <c r="J12" s="45"/>
      <c r="K12" s="45"/>
      <c r="L12" s="45"/>
      <c r="M12" s="128">
        <v>0</v>
      </c>
      <c r="N12" s="128">
        <v>0</v>
      </c>
      <c r="O12" s="128">
        <v>0</v>
      </c>
      <c r="P12" s="128"/>
      <c r="Q12" s="128"/>
      <c r="R12" s="129"/>
      <c r="S12" s="128">
        <f>INDEX(Lab_Mat!$K$6:$N$9,MATCH($H12,Lab_Mat!$J$6:$J$9,0),MATCH($S$4,Lab_Mat!$K$5:$N$5,0))*J12*HLOOKUP(S$5,Escalators!$I$25:$U$30,3,FALSE)</f>
        <v>0</v>
      </c>
      <c r="T12" s="128">
        <f>INDEX(Lab_Mat!$K$6:$N$9,MATCH($H12,Lab_Mat!$J$6:$J$9,0),MATCH($S$4,Lab_Mat!$K$5:$N$5,0))*K12*HLOOKUP(T$5,Escalators!$I$25:$U$30,3,FALSE)</f>
        <v>0</v>
      </c>
      <c r="U12" s="128">
        <f>INDEX(Lab_Mat!$K$6:$N$9,MATCH($H12,Lab_Mat!$J$6:$J$9,0),MATCH($S$4,Lab_Mat!$K$5:$N$5,0))*L12*HLOOKUP(U$5,Escalators!$I$25:$U$30,3,FALSE)</f>
        <v>0</v>
      </c>
      <c r="V12" s="128">
        <f>INDEX(Lab_Mat!$K$6:$N$9,MATCH($H12,Lab_Mat!$J$6:$J$9,0),MATCH($S$4,Lab_Mat!$K$5:$N$5,0))*M12*HLOOKUP(V$5,Escalators!$I$25:$U$30,3,FALSE)</f>
        <v>0</v>
      </c>
      <c r="W12" s="128">
        <f>INDEX(Lab_Mat!$K$6:$N$9,MATCH($H12,Lab_Mat!$J$6:$J$9,0),MATCH($S$4,Lab_Mat!$K$5:$N$5,0))*N12*HLOOKUP(W$5,Escalators!$I$25:$U$30,3,FALSE)</f>
        <v>0</v>
      </c>
      <c r="X12" s="128">
        <f>INDEX(Lab_Mat!$K$6:$N$9,MATCH($H12,Lab_Mat!$J$6:$J$9,0),MATCH($S$4,Lab_Mat!$K$5:$N$5,0))*O12*HLOOKUP(X$5,Escalators!$I$25:$U$30,3,FALSE)</f>
        <v>0</v>
      </c>
      <c r="Y12" s="128">
        <f>INDEX(Lab_Mat!$K$6:$N$9,MATCH($H12,Lab_Mat!$J$6:$J$9,0),MATCH($S$4,Lab_Mat!$K$5:$N$5,0))*P12*HLOOKUP(Y$5,Escalators!$I$25:$U$30,3,FALSE)</f>
        <v>0</v>
      </c>
      <c r="Z12" s="128">
        <f>INDEX(Lab_Mat!$K$6:$N$9,MATCH($H12,Lab_Mat!$J$6:$J$9,0),MATCH($S$4,Lab_Mat!$K$5:$N$5,0))*Q12*HLOOKUP(Z$5,Escalators!$I$25:$U$30,3,FALSE)</f>
        <v>0</v>
      </c>
      <c r="AA12" s="129"/>
      <c r="AB12" s="539">
        <f>INDEX(Lab_Mat!$K$6:$N$9,MATCH($H12,Lab_Mat!$J$6:$J$9,0),MATCH($AG$4,Lab_Mat!$K$5:$N$5,0))*$J12*INDEX(Act_Type_Repex_Splits,MATCH($I12,Act_Type_Repex,0),MATCH(AB$4,Mat_Type,0))*INDEX(Escalators!$I$44:$Q$49,MATCH(AB$4,Escalators!$C$44:$C$49,0),MATCH(AB$5,Escalators!$I$43:$Q$43,0))</f>
        <v>0</v>
      </c>
      <c r="AC12" s="539">
        <f>INDEX(Lab_Mat!$K$6:$N$9,MATCH($H12,Lab_Mat!$J$6:$J$9,0),MATCH($AG$4,Lab_Mat!$K$5:$N$5,0))*$J12*INDEX(Act_Type_Repex_Splits,MATCH($I12,Act_Type_Repex,0),MATCH(AC$4,Mat_Type,0))*INDEX(Escalators!$I$44:$Q$49,MATCH(AC$4,Escalators!$C$44:$C$49,0),MATCH(AC$5,Escalators!$I$43:$Q$43,0))</f>
        <v>0</v>
      </c>
      <c r="AD12" s="539">
        <f>INDEX(Lab_Mat!$K$6:$N$9,MATCH($H12,Lab_Mat!$J$6:$J$9,0),MATCH($AG$4,Lab_Mat!$K$5:$N$5,0))*$J12*INDEX(Act_Type_Repex_Splits,MATCH($I12,Act_Type_Repex,0),MATCH(AD$4,Mat_Type,0))*INDEX(Escalators!$I$44:$Q$49,MATCH(AD$4,Escalators!$C$44:$C$49,0),MATCH(AD$5,Escalators!$I$43:$Q$43,0))</f>
        <v>0</v>
      </c>
      <c r="AE12" s="539">
        <f>INDEX(Lab_Mat!$K$6:$N$9,MATCH($H12,Lab_Mat!$J$6:$J$9,0),MATCH($AG$4,Lab_Mat!$K$5:$N$5,0))*$J12*INDEX(Act_Type_Repex_Splits,MATCH($I12,Act_Type_Repex,0),MATCH(AE$4,Mat_Type,0))*INDEX(Escalators!$I$44:$Q$49,MATCH(AE$4,Escalators!$C$44:$C$49,0),MATCH(AE$5,Escalators!$I$43:$Q$43,0))</f>
        <v>0</v>
      </c>
      <c r="AF12" s="539">
        <f>INDEX(Lab_Mat!$K$6:$N$9,MATCH($H12,Lab_Mat!$J$6:$J$9,0),MATCH($AG$4,Lab_Mat!$K$5:$N$5,0))*$J12*INDEX(Act_Type_Repex_Splits,MATCH($I12,Act_Type_Repex,0),MATCH(AF$4,Mat_Type,0))*INDEX(Escalators!$I$44:$Q$49,MATCH(AF$4,Escalators!$C$44:$C$49,0),MATCH(AF$5,Escalators!$I$43:$Q$43,0))</f>
        <v>0</v>
      </c>
      <c r="AG12" s="128">
        <f t="shared" si="16"/>
        <v>0</v>
      </c>
      <c r="AH12" s="539">
        <f>INDEX(Lab_Mat!$K$6:$N$9,MATCH($H12,Lab_Mat!$J$6:$J$9,0),MATCH($AY$4,Lab_Mat!$K$5:$N$5,0))*$K12*INDEX(Act_Type_Repex_Splits,MATCH($I12,Act_Type_Repex,0),MATCH(AH$4,Mat_Type,0))*INDEX(Escalators!$I$44:$U$49,MATCH(AH$4,Escalators!$C$44:$C$49,0),MATCH(AH$5,Escalators!$I$43:$U$43,0))</f>
        <v>0</v>
      </c>
      <c r="AI12" s="539">
        <f>INDEX(Lab_Mat!$K$6:$N$9,MATCH($H12,Lab_Mat!$J$6:$J$9,0),MATCH($AY$4,Lab_Mat!$K$5:$N$5,0))*$K12*INDEX(Act_Type_Repex_Splits,MATCH($I12,Act_Type_Repex,0),MATCH(AI$4,Mat_Type,0))*INDEX(Escalators!$I$44:$U$49,MATCH(AI$4,Escalators!$C$44:$C$49,0),MATCH(AI$5,Escalators!$I$43:$U$43,0))</f>
        <v>0</v>
      </c>
      <c r="AJ12" s="539">
        <f>INDEX(Lab_Mat!$K$6:$N$9,MATCH($H12,Lab_Mat!$J$6:$J$9,0),MATCH($AY$4,Lab_Mat!$K$5:$N$5,0))*$K12*INDEX(Act_Type_Repex_Splits,MATCH($I12,Act_Type_Repex,0),MATCH(AJ$4,Mat_Type,0))*INDEX(Escalators!$I$44:$U$49,MATCH(AJ$4,Escalators!$C$44:$C$49,0),MATCH(AJ$5,Escalators!$I$43:$U$43,0))</f>
        <v>0</v>
      </c>
      <c r="AK12" s="539">
        <f>INDEX(Lab_Mat!$K$6:$N$9,MATCH($H12,Lab_Mat!$J$6:$J$9,0),MATCH($AY$4,Lab_Mat!$K$5:$N$5,0))*$K12*INDEX(Act_Type_Repex_Splits,MATCH($I12,Act_Type_Repex,0),MATCH(AK$4,Mat_Type,0))*INDEX(Escalators!$I$44:$U$49,MATCH(AK$4,Escalators!$C$44:$C$49,0),MATCH(AK$5,Escalators!$I$43:$U$43,0))</f>
        <v>0</v>
      </c>
      <c r="AL12" s="539">
        <f>INDEX(Lab_Mat!$K$6:$N$9,MATCH($H12,Lab_Mat!$J$6:$J$9,0),MATCH($AY$4,Lab_Mat!$K$5:$N$5,0))*$K12*INDEX(Act_Type_Repex_Splits,MATCH($I12,Act_Type_Repex,0),MATCH(AL$4,Mat_Type,0))*INDEX(Escalators!$I$44:$U$49,MATCH(AL$4,Escalators!$C$44:$C$49,0),MATCH(AL$5,Escalators!$I$43:$U$43,0))</f>
        <v>0</v>
      </c>
      <c r="AM12" s="128">
        <f t="shared" si="17"/>
        <v>0</v>
      </c>
      <c r="AN12" s="539">
        <f>INDEX(Lab_Mat!$K$6:$N$9,MATCH($H12,Lab_Mat!$J$6:$J$9,0),MATCH($AY$4,Lab_Mat!$K$5:$N$5,0))*$L12*INDEX(Act_Type_Repex_Splits,MATCH($I12,Act_Type_Repex,0),MATCH(AN$4,Mat_Type,0))*INDEX(Escalators!$I$44:$U$49,MATCH(AN$4,Escalators!$C$44:$C$49,0),MATCH(AN$5,Escalators!$I$43:$U$43,0))</f>
        <v>0</v>
      </c>
      <c r="AO12" s="539">
        <f>INDEX(Lab_Mat!$K$6:$N$9,MATCH($H12,Lab_Mat!$J$6:$J$9,0),MATCH($AY$4,Lab_Mat!$K$5:$N$5,0))*$L12*INDEX(Act_Type_Repex_Splits,MATCH($I12,Act_Type_Repex,0),MATCH(AO$4,Mat_Type,0))*INDEX(Escalators!$I$44:$U$49,MATCH(AO$4,Escalators!$C$44:$C$49,0),MATCH(AO$5,Escalators!$I$43:$U$43,0))</f>
        <v>0</v>
      </c>
      <c r="AP12" s="539">
        <f>INDEX(Lab_Mat!$K$6:$N$9,MATCH($H12,Lab_Mat!$J$6:$J$9,0),MATCH($AY$4,Lab_Mat!$K$5:$N$5,0))*$L12*INDEX(Act_Type_Repex_Splits,MATCH($I12,Act_Type_Repex,0),MATCH(AP$4,Mat_Type,0))*INDEX(Escalators!$I$44:$U$49,MATCH(AP$4,Escalators!$C$44:$C$49,0),MATCH(AP$5,Escalators!$I$43:$U$43,0))</f>
        <v>0</v>
      </c>
      <c r="AQ12" s="539">
        <f>INDEX(Lab_Mat!$K$6:$N$9,MATCH($H12,Lab_Mat!$J$6:$J$9,0),MATCH($AY$4,Lab_Mat!$K$5:$N$5,0))*$L12*INDEX(Act_Type_Repex_Splits,MATCH($I12,Act_Type_Repex,0),MATCH(AQ$4,Mat_Type,0))*INDEX(Escalators!$I$44:$U$49,MATCH(AQ$4,Escalators!$C$44:$C$49,0),MATCH(AQ$5,Escalators!$I$43:$U$43,0))</f>
        <v>0</v>
      </c>
      <c r="AR12" s="539">
        <f>INDEX(Lab_Mat!$K$6:$N$9,MATCH($H12,Lab_Mat!$J$6:$J$9,0),MATCH($AY$4,Lab_Mat!$K$5:$N$5,0))*$L12*INDEX(Act_Type_Repex_Splits,MATCH($I12,Act_Type_Repex,0),MATCH(AR$4,Mat_Type,0))*INDEX(Escalators!$I$44:$U$49,MATCH(AR$4,Escalators!$C$44:$C$49,0),MATCH(AR$5,Escalators!$I$43:$U$43,0))</f>
        <v>0</v>
      </c>
      <c r="AS12" s="128">
        <f t="shared" si="18"/>
        <v>0</v>
      </c>
      <c r="AT12" s="539">
        <f>INDEX(Lab_Mat!$K$6:$N$9,MATCH($H12,Lab_Mat!$J$6:$J$9,0),MATCH($AY$4,Lab_Mat!$K$5:$N$5,0))*$M12*INDEX(Act_Type_Repex_Splits,MATCH($I12,Act_Type_Repex,0),MATCH(AT$4,Mat_Type,0))*INDEX(Escalators!$I$44:$U$49,MATCH(AT$4,Escalators!$C$44:$C$49,0),MATCH(AT$5,Escalators!$I$43:$U$43,0))</f>
        <v>0</v>
      </c>
      <c r="AU12" s="539">
        <f>INDEX(Lab_Mat!$K$6:$N$9,MATCH($H12,Lab_Mat!$J$6:$J$9,0),MATCH($AY$4,Lab_Mat!$K$5:$N$5,0))*$M12*INDEX(Act_Type_Repex_Splits,MATCH($I12,Act_Type_Repex,0),MATCH(AU$4,Mat_Type,0))*INDEX(Escalators!$I$44:$U$49,MATCH(AU$4,Escalators!$C$44:$C$49,0),MATCH(AU$5,Escalators!$I$43:$U$43,0))</f>
        <v>0</v>
      </c>
      <c r="AV12" s="539">
        <f>INDEX(Lab_Mat!$K$6:$N$9,MATCH($H12,Lab_Mat!$J$6:$J$9,0),MATCH($AY$4,Lab_Mat!$K$5:$N$5,0))*$M12*INDEX(Act_Type_Repex_Splits,MATCH($I12,Act_Type_Repex,0),MATCH(AV$4,Mat_Type,0))*INDEX(Escalators!$I$44:$U$49,MATCH(AV$4,Escalators!$C$44:$C$49,0),MATCH(AV$5,Escalators!$I$43:$U$43,0))</f>
        <v>0</v>
      </c>
      <c r="AW12" s="539">
        <f>INDEX(Lab_Mat!$K$6:$N$9,MATCH($H12,Lab_Mat!$J$6:$J$9,0),MATCH($AY$4,Lab_Mat!$K$5:$N$5,0))*$M12*INDEX(Act_Type_Repex_Splits,MATCH($I12,Act_Type_Repex,0),MATCH(AW$4,Mat_Type,0))*INDEX(Escalators!$I$44:$U$49,MATCH(AW$4,Escalators!$C$44:$C$49,0),MATCH(AW$5,Escalators!$I$43:$U$43,0))</f>
        <v>0</v>
      </c>
      <c r="AX12" s="539">
        <f>INDEX(Lab_Mat!$K$6:$N$9,MATCH($H12,Lab_Mat!$J$6:$J$9,0),MATCH($AY$4,Lab_Mat!$K$5:$N$5,0))*$M12*INDEX(Act_Type_Repex_Splits,MATCH($I12,Act_Type_Repex,0),MATCH(AX$4,Mat_Type,0))*INDEX(Escalators!$I$44:$U$49,MATCH(AX$4,Escalators!$C$44:$C$49,0),MATCH(AX$5,Escalators!$I$43:$U$43,0))</f>
        <v>0</v>
      </c>
      <c r="AY12" s="128">
        <f t="shared" si="19"/>
        <v>0</v>
      </c>
      <c r="AZ12" s="539">
        <f>INDEX(Lab_Mat!$K$6:$N$9,MATCH($H12,Lab_Mat!$J$6:$J$9,0),MATCH($BE$4,Lab_Mat!$K$5:$N$5,0))*$N12*INDEX(Act_Type_Repex_Splits,MATCH($I12,Act_Type_Repex,0),MATCH(AZ$4,Mat_Type,0))*INDEX(Escalators!$I$44:$U$49,MATCH(AZ$4,Escalators!$C$44:$C$49,0),MATCH(AZ$5,Escalators!$I$43:$U$43,0))</f>
        <v>0</v>
      </c>
      <c r="BA12" s="539">
        <f>INDEX(Lab_Mat!$K$6:$N$9,MATCH($H12,Lab_Mat!$J$6:$J$9,0),MATCH($BE$4,Lab_Mat!$K$5:$N$5,0))*$N12*INDEX(Act_Type_Repex_Splits,MATCH($I12,Act_Type_Repex,0),MATCH(BA$4,Mat_Type,0))*INDEX(Escalators!$I$44:$U$49,MATCH(BA$4,Escalators!$C$44:$C$49,0),MATCH(BA$5,Escalators!$I$43:$U$43,0))</f>
        <v>0</v>
      </c>
      <c r="BB12" s="539">
        <f>INDEX(Lab_Mat!$K$6:$N$9,MATCH($H12,Lab_Mat!$J$6:$J$9,0),MATCH($BE$4,Lab_Mat!$K$5:$N$5,0))*$N12*INDEX(Act_Type_Repex_Splits,MATCH($I12,Act_Type_Repex,0),MATCH(BB$4,Mat_Type,0))*INDEX(Escalators!$I$44:$U$49,MATCH(BB$4,Escalators!$C$44:$C$49,0),MATCH(BB$5,Escalators!$I$43:$U$43,0))</f>
        <v>0</v>
      </c>
      <c r="BC12" s="539">
        <f>INDEX(Lab_Mat!$K$6:$N$9,MATCH($H12,Lab_Mat!$J$6:$J$9,0),MATCH($BE$4,Lab_Mat!$K$5:$N$5,0))*$N12*INDEX(Act_Type_Repex_Splits,MATCH($I12,Act_Type_Repex,0),MATCH(BC$4,Mat_Type,0))*INDEX(Escalators!$I$44:$U$49,MATCH(BC$4,Escalators!$C$44:$C$49,0),MATCH(BC$5,Escalators!$I$43:$U$43,0))</f>
        <v>0</v>
      </c>
      <c r="BD12" s="539">
        <f>INDEX(Lab_Mat!$K$6:$N$9,MATCH($H12,Lab_Mat!$J$6:$J$9,0),MATCH($BE$4,Lab_Mat!$K$5:$N$5,0))*$N12*INDEX(Act_Type_Repex_Splits,MATCH($I12,Act_Type_Repex,0),MATCH(BD$4,Mat_Type,0))*INDEX(Escalators!$I$44:$U$49,MATCH(BD$4,Escalators!$C$44:$C$49,0),MATCH(BD$5,Escalators!$I$43:$U$43,0))</f>
        <v>0</v>
      </c>
      <c r="BE12" s="128">
        <f t="shared" si="20"/>
        <v>0</v>
      </c>
      <c r="BF12" s="539">
        <f>INDEX(Lab_Mat!$K$6:$N$9,MATCH($H12,Lab_Mat!$J$6:$J$9,0),MATCH($BK$4,Lab_Mat!$K$5:$N$5,0))*$O12*INDEX(Act_Type_Repex_Splits,MATCH($I12,Act_Type_Repex,0),MATCH(BF$4,Mat_Type,0))*INDEX(Escalators!$I$44:$U$49,MATCH(BF$4,Escalators!$C$44:$C$49,0),MATCH(BF$5,Escalators!$I$43:$U$43,0))</f>
        <v>0</v>
      </c>
      <c r="BG12" s="539">
        <f>INDEX(Lab_Mat!$K$6:$N$9,MATCH($H12,Lab_Mat!$J$6:$J$9,0),MATCH($BK$4,Lab_Mat!$K$5:$N$5,0))*$O12*INDEX(Act_Type_Repex_Splits,MATCH($I12,Act_Type_Repex,0),MATCH(BG$4,Mat_Type,0))*INDEX(Escalators!$I$44:$U$49,MATCH(BG$4,Escalators!$C$44:$C$49,0),MATCH(BG$5,Escalators!$I$43:$U$43,0))</f>
        <v>0</v>
      </c>
      <c r="BH12" s="539">
        <f>INDEX(Lab_Mat!$K$6:$N$9,MATCH($H12,Lab_Mat!$J$6:$J$9,0),MATCH($BK$4,Lab_Mat!$K$5:$N$5,0))*$O12*INDEX(Act_Type_Repex_Splits,MATCH($I12,Act_Type_Repex,0),MATCH(BH$4,Mat_Type,0))*INDEX(Escalators!$I$44:$U$49,MATCH(BH$4,Escalators!$C$44:$C$49,0),MATCH(BH$5,Escalators!$I$43:$U$43,0))</f>
        <v>0</v>
      </c>
      <c r="BI12" s="539">
        <f>INDEX(Lab_Mat!$K$6:$N$9,MATCH($H12,Lab_Mat!$J$6:$J$9,0),MATCH($BK$4,Lab_Mat!$K$5:$N$5,0))*$O12*INDEX(Act_Type_Repex_Splits,MATCH($I12,Act_Type_Repex,0),MATCH(BI$4,Mat_Type,0))*INDEX(Escalators!$I$44:$U$49,MATCH(BI$4,Escalators!$C$44:$C$49,0),MATCH(BI$5,Escalators!$I$43:$U$43,0))</f>
        <v>0</v>
      </c>
      <c r="BJ12" s="539">
        <f>INDEX(Lab_Mat!$K$6:$N$9,MATCH($H12,Lab_Mat!$J$6:$J$9,0),MATCH($BK$4,Lab_Mat!$K$5:$N$5,0))*$O12*INDEX(Act_Type_Repex_Splits,MATCH($I12,Act_Type_Repex,0),MATCH(BJ$4,Mat_Type,0))*INDEX(Escalators!$I$44:$U$49,MATCH(BJ$4,Escalators!$C$44:$C$49,0),MATCH(BJ$5,Escalators!$I$43:$U$43,0))</f>
        <v>0</v>
      </c>
      <c r="BK12" s="128">
        <f t="shared" si="21"/>
        <v>0</v>
      </c>
      <c r="BL12" s="539">
        <f>INDEX(Lab_Mat!$K$6:$N$9,MATCH($H12,Lab_Mat!$J$6:$J$9,0),MATCH($BQ$4,Lab_Mat!$K$5:$N$5,0))*$P12*INDEX(Act_Type_Repex_Splits,MATCH($I12,Act_Type_Repex,0),MATCH(BL$4,Mat_Type,0))*INDEX(Escalators!$I$44:$U$49,MATCH(BL$4,Escalators!$C$44:$C$49,0),MATCH(BL$5,Escalators!$I$43:$U$43,0))</f>
        <v>0</v>
      </c>
      <c r="BM12" s="539">
        <f>INDEX(Lab_Mat!$K$6:$N$9,MATCH($H12,Lab_Mat!$J$6:$J$9,0),MATCH($BQ$4,Lab_Mat!$K$5:$N$5,0))*$P12*INDEX(Act_Type_Repex_Splits,MATCH($I12,Act_Type_Repex,0),MATCH(BM$4,Mat_Type,0))*INDEX(Escalators!$I$44:$U$49,MATCH(BM$4,Escalators!$C$44:$C$49,0),MATCH(BM$5,Escalators!$I$43:$U$43,0))</f>
        <v>0</v>
      </c>
      <c r="BN12" s="539">
        <f>INDEX(Lab_Mat!$K$6:$N$9,MATCH($H12,Lab_Mat!$J$6:$J$9,0),MATCH($BQ$4,Lab_Mat!$K$5:$N$5,0))*$P12*INDEX(Act_Type_Repex_Splits,MATCH($I12,Act_Type_Repex,0),MATCH(BN$4,Mat_Type,0))*INDEX(Escalators!$I$44:$U$49,MATCH(BN$4,Escalators!$C$44:$C$49,0),MATCH(BN$5,Escalators!$I$43:$U$43,0))</f>
        <v>0</v>
      </c>
      <c r="BO12" s="539">
        <f>INDEX(Lab_Mat!$K$6:$N$9,MATCH($H12,Lab_Mat!$J$6:$J$9,0),MATCH($BQ$4,Lab_Mat!$K$5:$N$5,0))*$P12*INDEX(Act_Type_Repex_Splits,MATCH($I12,Act_Type_Repex,0),MATCH(BO$4,Mat_Type,0))*INDEX(Escalators!$I$44:$U$49,MATCH(BO$4,Escalators!$C$44:$C$49,0),MATCH(BO$5,Escalators!$I$43:$U$43,0))</f>
        <v>0</v>
      </c>
      <c r="BP12" s="539">
        <f>INDEX(Lab_Mat!$K$6:$N$9,MATCH($H12,Lab_Mat!$J$6:$J$9,0),MATCH($BQ$4,Lab_Mat!$K$5:$N$5,0))*$P12*INDEX(Act_Type_Repex_Splits,MATCH($I12,Act_Type_Repex,0),MATCH(BP$4,Mat_Type,0))*INDEX(Escalators!$I$44:$U$49,MATCH(BP$4,Escalators!$C$44:$C$49,0),MATCH(BP$5,Escalators!$I$43:$U$43,0))</f>
        <v>0</v>
      </c>
      <c r="BQ12" s="128">
        <f t="shared" si="22"/>
        <v>0</v>
      </c>
      <c r="BR12" s="539">
        <f>INDEX(Lab_Mat!$K$6:$N$9,MATCH($H12,Lab_Mat!$J$6:$J$9,0),MATCH($BW$4,Lab_Mat!$K$5:$N$5,0))*$Q12*INDEX(Act_Type_Repex_Splits,MATCH($I12,Act_Type_Repex,0),MATCH(BR$4,Mat_Type,0))*INDEX(Escalators!$I$44:$U$49,MATCH(BR$4,Escalators!$C$44:$C$49,0),MATCH(BR$5,Escalators!$I$43:$U$43,0))</f>
        <v>0</v>
      </c>
      <c r="BS12" s="539">
        <f>INDEX(Lab_Mat!$K$6:$N$9,MATCH($H12,Lab_Mat!$J$6:$J$9,0),MATCH($BW$4,Lab_Mat!$K$5:$N$5,0))*$Q12*INDEX(Act_Type_Repex_Splits,MATCH($I12,Act_Type_Repex,0),MATCH(BS$4,Mat_Type,0))*INDEX(Escalators!$I$44:$U$49,MATCH(BS$4,Escalators!$C$44:$C$49,0),MATCH(BS$5,Escalators!$I$43:$U$43,0))</f>
        <v>0</v>
      </c>
      <c r="BT12" s="539">
        <f>INDEX(Lab_Mat!$K$6:$N$9,MATCH($H12,Lab_Mat!$J$6:$J$9,0),MATCH($BW$4,Lab_Mat!$K$5:$N$5,0))*$Q12*INDEX(Act_Type_Repex_Splits,MATCH($I12,Act_Type_Repex,0),MATCH(BT$4,Mat_Type,0))*INDEX(Escalators!$I$44:$U$49,MATCH(BT$4,Escalators!$C$44:$C$49,0),MATCH(BT$5,Escalators!$I$43:$U$43,0))</f>
        <v>0</v>
      </c>
      <c r="BU12" s="539">
        <f>INDEX(Lab_Mat!$K$6:$N$9,MATCH($H12,Lab_Mat!$J$6:$J$9,0),MATCH($BW$4,Lab_Mat!$K$5:$N$5,0))*$Q12*INDEX(Act_Type_Repex_Splits,MATCH($I12,Act_Type_Repex,0),MATCH(BU$4,Mat_Type,0))*INDEX(Escalators!$I$44:$U$49,MATCH(BU$4,Escalators!$C$44:$C$49,0),MATCH(BU$5,Escalators!$I$43:$U$43,0))</f>
        <v>0</v>
      </c>
      <c r="BV12" s="539">
        <f>INDEX(Lab_Mat!$K$6:$N$9,MATCH($H12,Lab_Mat!$J$6:$J$9,0),MATCH($BW$4,Lab_Mat!$K$5:$N$5,0))*$Q12*INDEX(Act_Type_Repex_Splits,MATCH($I12,Act_Type_Repex,0),MATCH(BV$4,Mat_Type,0))*INDEX(Escalators!$I$44:$U$49,MATCH(BV$4,Escalators!$C$44:$C$49,0),MATCH(BV$5,Escalators!$I$43:$U$43,0))</f>
        <v>0</v>
      </c>
      <c r="BW12" s="128">
        <f t="shared" si="23"/>
        <v>0</v>
      </c>
      <c r="BX12" s="129"/>
      <c r="BY12" s="128">
        <f>INDEX(Lab_Mat!$K$6:$N$9,MATCH($H12,Lab_Mat!$J$6:$J$9,0),MATCH($BY$4,Lab_Mat!$K$5:$N$5,0))*J12*HLOOKUP(BY$5,Escalators!$I$25:$U$30,6,FALSE)</f>
        <v>0</v>
      </c>
      <c r="BZ12" s="128">
        <f>INDEX(Lab_Mat!$K$6:$N$9,MATCH($H12,Lab_Mat!$J$6:$J$9,0),MATCH($BY$4,Lab_Mat!$K$5:$N$5,0))*K12*HLOOKUP(BZ$5,Escalators!$I$25:$U$30,6,FALSE)</f>
        <v>0</v>
      </c>
      <c r="CA12" s="128">
        <f>INDEX(Lab_Mat!$K$6:$N$9,MATCH($H12,Lab_Mat!$J$6:$J$9,0),MATCH($BY$4,Lab_Mat!$K$5:$N$5,0))*L12*HLOOKUP(CA$5,Escalators!$I$25:$U$30,6,FALSE)</f>
        <v>0</v>
      </c>
      <c r="CB12" s="128">
        <f>INDEX(Lab_Mat!$K$6:$N$9,MATCH($H12,Lab_Mat!$J$6:$J$9,0),MATCH($BY$4,Lab_Mat!$K$5:$N$5,0))*M12*HLOOKUP(CB$5,Escalators!$I$25:$U$30,6,FALSE)</f>
        <v>0</v>
      </c>
      <c r="CC12" s="128">
        <f>INDEX(Lab_Mat!$K$6:$N$9,MATCH($H12,Lab_Mat!$J$6:$J$9,0),MATCH($BY$4,Lab_Mat!$K$5:$N$5,0))*N12*HLOOKUP(CC$5,Escalators!$I$25:$U$30,6,FALSE)</f>
        <v>0</v>
      </c>
      <c r="CD12" s="128">
        <f>INDEX(Lab_Mat!$K$6:$N$9,MATCH($H12,Lab_Mat!$J$6:$J$9,0),MATCH($BY$4,Lab_Mat!$K$5:$N$5,0))*O12*HLOOKUP(CD$5,Escalators!$I$25:$U$30,6,FALSE)</f>
        <v>0</v>
      </c>
      <c r="CE12" s="128">
        <f>INDEX(Lab_Mat!$K$6:$N$9,MATCH($H12,Lab_Mat!$J$6:$J$9,0),MATCH($BY$4,Lab_Mat!$K$5:$N$5,0))*P12*HLOOKUP(CE$5,Escalators!$I$25:$U$30,6,FALSE)</f>
        <v>0</v>
      </c>
      <c r="CF12" s="128">
        <f>INDEX(Lab_Mat!$K$6:$N$9,MATCH($H12,Lab_Mat!$J$6:$J$9,0),MATCH($BY$4,Lab_Mat!$K$5:$N$5,0))*Q12*HLOOKUP(CF$5,Escalators!$I$25:$U$30,6,FALSE)</f>
        <v>0</v>
      </c>
      <c r="CG12" s="129"/>
      <c r="CH12" s="763">
        <f>INDEX(Lab_Mat!$K$6:$N$9,MATCH($H12,Lab_Mat!$J$6:$J$9,0),MATCH($CH$4,Lab_Mat!$K$5:$N$5,0))*J12</f>
        <v>0</v>
      </c>
      <c r="CI12" s="763">
        <f>INDEX(Lab_Mat!$K$6:$N$9,MATCH($H12,Lab_Mat!$J$6:$J$9,0),MATCH($CH$4,Lab_Mat!$K$5:$N$5,0))*K12</f>
        <v>0</v>
      </c>
      <c r="CJ12" s="763">
        <f>INDEX(Lab_Mat!$K$6:$N$9,MATCH($H12,Lab_Mat!$J$6:$J$9,0),MATCH($CH$4,Lab_Mat!$K$5:$N$5,0))*L12</f>
        <v>0</v>
      </c>
      <c r="CK12" s="763">
        <f>INDEX(Lab_Mat!$K$6:$N$9,MATCH($H12,Lab_Mat!$J$6:$J$9,0),MATCH($CH$4,Lab_Mat!$K$5:$N$5,0))*M12</f>
        <v>0</v>
      </c>
      <c r="CL12" s="763">
        <f>INDEX(Lab_Mat!$K$6:$N$9,MATCH($H12,Lab_Mat!$J$6:$J$9,0),MATCH($CH$4,Lab_Mat!$K$5:$N$5,0))*N12</f>
        <v>0</v>
      </c>
      <c r="CM12" s="763">
        <f>INDEX(Lab_Mat!$K$6:$N$9,MATCH($H12,Lab_Mat!$J$6:$J$9,0),MATCH($CH$4,Lab_Mat!$K$5:$N$5,0))*O12</f>
        <v>0</v>
      </c>
      <c r="CN12" s="763">
        <f>INDEX(Lab_Mat!$K$6:$N$9,MATCH($H12,Lab_Mat!$J$6:$J$9,0),MATCH($CH$4,Lab_Mat!$K$5:$N$5,0))*P12</f>
        <v>0</v>
      </c>
      <c r="CO12" s="763">
        <f>INDEX(Lab_Mat!$K$6:$N$9,MATCH($H12,Lab_Mat!$J$6:$J$9,0),MATCH($CH$4,Lab_Mat!$K$5:$N$5,0))*Q12</f>
        <v>0</v>
      </c>
      <c r="CP12" s="129"/>
      <c r="CQ12" s="128">
        <f t="shared" si="9"/>
        <v>0</v>
      </c>
      <c r="CR12" s="128">
        <f t="shared" si="10"/>
        <v>0</v>
      </c>
      <c r="CS12" s="128">
        <f t="shared" si="24"/>
        <v>0</v>
      </c>
      <c r="CT12" s="128">
        <f t="shared" si="11"/>
        <v>0</v>
      </c>
      <c r="CU12" s="128">
        <f t="shared" si="12"/>
        <v>0</v>
      </c>
      <c r="CV12" s="128">
        <f t="shared" si="13"/>
        <v>0</v>
      </c>
      <c r="CW12" s="128">
        <f t="shared" si="14"/>
        <v>0</v>
      </c>
      <c r="CX12" s="128">
        <f t="shared" si="15"/>
        <v>0</v>
      </c>
      <c r="CY12" s="39"/>
      <c r="CZ12" s="39"/>
      <c r="DA12" s="39"/>
      <c r="DB12" s="39"/>
      <c r="DC12" s="39"/>
    </row>
    <row r="13" spans="2:109" hidden="1" x14ac:dyDescent="0.25">
      <c r="B13" s="7"/>
      <c r="C13" s="7" t="s">
        <v>417</v>
      </c>
      <c r="D13" s="7" t="s">
        <v>696</v>
      </c>
      <c r="E13" s="7" t="s">
        <v>50</v>
      </c>
      <c r="F13" s="7" t="s">
        <v>55</v>
      </c>
      <c r="G13" s="7" t="s">
        <v>34</v>
      </c>
      <c r="H13" s="7" t="s">
        <v>563</v>
      </c>
      <c r="I13" s="7" t="s">
        <v>5</v>
      </c>
      <c r="J13" s="45"/>
      <c r="K13" s="45"/>
      <c r="L13" s="45"/>
      <c r="M13" s="539">
        <v>0</v>
      </c>
      <c r="N13" s="539">
        <v>0</v>
      </c>
      <c r="O13" s="539">
        <v>0</v>
      </c>
      <c r="P13" s="539"/>
      <c r="Q13" s="539"/>
      <c r="R13" s="241"/>
      <c r="S13" s="539">
        <f>INDEX(Lab_Mat!$K$6:$N$9,MATCH($H13,Lab_Mat!$J$6:$J$9,0),MATCH($S$4,Lab_Mat!$K$5:$N$5,0))*J13*HLOOKUP(S$5,Escalators!$I$25:$U$30,3,FALSE)</f>
        <v>0</v>
      </c>
      <c r="T13" s="539">
        <f>INDEX(Lab_Mat!$K$6:$N$9,MATCH($H13,Lab_Mat!$J$6:$J$9,0),MATCH($S$4,Lab_Mat!$K$5:$N$5,0))*K13*HLOOKUP(T$5,Escalators!$I$25:$U$30,3,FALSE)</f>
        <v>0</v>
      </c>
      <c r="U13" s="539">
        <f>INDEX(Lab_Mat!$K$6:$N$9,MATCH($H13,Lab_Mat!$J$6:$J$9,0),MATCH($S$4,Lab_Mat!$K$5:$N$5,0))*L13*HLOOKUP(U$5,Escalators!$I$25:$U$30,3,FALSE)</f>
        <v>0</v>
      </c>
      <c r="V13" s="539">
        <f>INDEX(Lab_Mat!$K$6:$N$9,MATCH($H13,Lab_Mat!$J$6:$J$9,0),MATCH($S$4,Lab_Mat!$K$5:$N$5,0))*M13*HLOOKUP(V$5,Escalators!$I$25:$U$30,3,FALSE)</f>
        <v>0</v>
      </c>
      <c r="W13" s="539">
        <f>INDEX(Lab_Mat!$K$6:$N$9,MATCH($H13,Lab_Mat!$J$6:$J$9,0),MATCH($S$4,Lab_Mat!$K$5:$N$5,0))*N13*HLOOKUP(W$5,Escalators!$I$25:$U$30,3,FALSE)</f>
        <v>0</v>
      </c>
      <c r="X13" s="539">
        <f>INDEX(Lab_Mat!$K$6:$N$9,MATCH($H13,Lab_Mat!$J$6:$J$9,0),MATCH($S$4,Lab_Mat!$K$5:$N$5,0))*O13*HLOOKUP(X$5,Escalators!$I$25:$U$30,3,FALSE)</f>
        <v>0</v>
      </c>
      <c r="Y13" s="539">
        <f>INDEX(Lab_Mat!$K$6:$N$9,MATCH($H13,Lab_Mat!$J$6:$J$9,0),MATCH($S$4,Lab_Mat!$K$5:$N$5,0))*P13*HLOOKUP(Y$5,Escalators!$I$25:$U$30,3,FALSE)</f>
        <v>0</v>
      </c>
      <c r="Z13" s="539">
        <f>INDEX(Lab_Mat!$K$6:$N$9,MATCH($H13,Lab_Mat!$J$6:$J$9,0),MATCH($S$4,Lab_Mat!$K$5:$N$5,0))*Q13*HLOOKUP(Z$5,Escalators!$I$25:$U$30,3,FALSE)</f>
        <v>0</v>
      </c>
      <c r="AA13" s="241"/>
      <c r="AB13" s="539">
        <f>INDEX(Lab_Mat!$K$6:$N$9,MATCH($H13,Lab_Mat!$J$6:$J$9,0),MATCH($AG$4,Lab_Mat!$K$5:$N$5,0))*$J13*INDEX(Act_Type_Repex_Splits,MATCH($I13,Act_Type_Repex,0),MATCH(AB$4,Mat_Type,0))*INDEX(Escalators!$I$44:$Q$49,MATCH(AB$4,Escalators!$C$44:$C$49,0),MATCH(AB$5,Escalators!$I$43:$Q$43,0))</f>
        <v>0</v>
      </c>
      <c r="AC13" s="539">
        <f>INDEX(Lab_Mat!$K$6:$N$9,MATCH($H13,Lab_Mat!$J$6:$J$9,0),MATCH($AG$4,Lab_Mat!$K$5:$N$5,0))*$J13*INDEX(Act_Type_Repex_Splits,MATCH($I13,Act_Type_Repex,0),MATCH(AC$4,Mat_Type,0))*INDEX(Escalators!$I$44:$Q$49,MATCH(AC$4,Escalators!$C$44:$C$49,0),MATCH(AC$5,Escalators!$I$43:$Q$43,0))</f>
        <v>0</v>
      </c>
      <c r="AD13" s="539">
        <f>INDEX(Lab_Mat!$K$6:$N$9,MATCH($H13,Lab_Mat!$J$6:$J$9,0),MATCH($AG$4,Lab_Mat!$K$5:$N$5,0))*$J13*INDEX(Act_Type_Repex_Splits,MATCH($I13,Act_Type_Repex,0),MATCH(AD$4,Mat_Type,0))*INDEX(Escalators!$I$44:$Q$49,MATCH(AD$4,Escalators!$C$44:$C$49,0),MATCH(AD$5,Escalators!$I$43:$Q$43,0))</f>
        <v>0</v>
      </c>
      <c r="AE13" s="539">
        <f>INDEX(Lab_Mat!$K$6:$N$9,MATCH($H13,Lab_Mat!$J$6:$J$9,0),MATCH($AG$4,Lab_Mat!$K$5:$N$5,0))*$J13*INDEX(Act_Type_Repex_Splits,MATCH($I13,Act_Type_Repex,0),MATCH(AE$4,Mat_Type,0))*INDEX(Escalators!$I$44:$Q$49,MATCH(AE$4,Escalators!$C$44:$C$49,0),MATCH(AE$5,Escalators!$I$43:$Q$43,0))</f>
        <v>0</v>
      </c>
      <c r="AF13" s="539">
        <f>INDEX(Lab_Mat!$K$6:$N$9,MATCH($H13,Lab_Mat!$J$6:$J$9,0),MATCH($AG$4,Lab_Mat!$K$5:$N$5,0))*$J13*INDEX(Act_Type_Repex_Splits,MATCH($I13,Act_Type_Repex,0),MATCH(AF$4,Mat_Type,0))*INDEX(Escalators!$I$44:$Q$49,MATCH(AF$4,Escalators!$C$44:$C$49,0),MATCH(AF$5,Escalators!$I$43:$Q$43,0))</f>
        <v>0</v>
      </c>
      <c r="AG13" s="539">
        <f t="shared" si="16"/>
        <v>0</v>
      </c>
      <c r="AH13" s="539">
        <f>INDEX(Lab_Mat!$K$6:$N$9,MATCH($H13,Lab_Mat!$J$6:$J$9,0),MATCH($AY$4,Lab_Mat!$K$5:$N$5,0))*$K13*INDEX(Act_Type_Repex_Splits,MATCH($I13,Act_Type_Repex,0),MATCH(AH$4,Mat_Type,0))*INDEX(Escalators!$I$44:$U$49,MATCH(AH$4,Escalators!$C$44:$C$49,0),MATCH(AH$5,Escalators!$I$43:$U$43,0))</f>
        <v>0</v>
      </c>
      <c r="AI13" s="539">
        <f>INDEX(Lab_Mat!$K$6:$N$9,MATCH($H13,Lab_Mat!$J$6:$J$9,0),MATCH($AY$4,Lab_Mat!$K$5:$N$5,0))*$K13*INDEX(Act_Type_Repex_Splits,MATCH($I13,Act_Type_Repex,0),MATCH(AI$4,Mat_Type,0))*INDEX(Escalators!$I$44:$U$49,MATCH(AI$4,Escalators!$C$44:$C$49,0),MATCH(AI$5,Escalators!$I$43:$U$43,0))</f>
        <v>0</v>
      </c>
      <c r="AJ13" s="539">
        <f>INDEX(Lab_Mat!$K$6:$N$9,MATCH($H13,Lab_Mat!$J$6:$J$9,0),MATCH($AY$4,Lab_Mat!$K$5:$N$5,0))*$K13*INDEX(Act_Type_Repex_Splits,MATCH($I13,Act_Type_Repex,0),MATCH(AJ$4,Mat_Type,0))*INDEX(Escalators!$I$44:$U$49,MATCH(AJ$4,Escalators!$C$44:$C$49,0),MATCH(AJ$5,Escalators!$I$43:$U$43,0))</f>
        <v>0</v>
      </c>
      <c r="AK13" s="539">
        <f>INDEX(Lab_Mat!$K$6:$N$9,MATCH($H13,Lab_Mat!$J$6:$J$9,0),MATCH($AY$4,Lab_Mat!$K$5:$N$5,0))*$K13*INDEX(Act_Type_Repex_Splits,MATCH($I13,Act_Type_Repex,0),MATCH(AK$4,Mat_Type,0))*INDEX(Escalators!$I$44:$U$49,MATCH(AK$4,Escalators!$C$44:$C$49,0),MATCH(AK$5,Escalators!$I$43:$U$43,0))</f>
        <v>0</v>
      </c>
      <c r="AL13" s="539">
        <f>INDEX(Lab_Mat!$K$6:$N$9,MATCH($H13,Lab_Mat!$J$6:$J$9,0),MATCH($AY$4,Lab_Mat!$K$5:$N$5,0))*$K13*INDEX(Act_Type_Repex_Splits,MATCH($I13,Act_Type_Repex,0),MATCH(AL$4,Mat_Type,0))*INDEX(Escalators!$I$44:$U$49,MATCH(AL$4,Escalators!$C$44:$C$49,0),MATCH(AL$5,Escalators!$I$43:$U$43,0))</f>
        <v>0</v>
      </c>
      <c r="AM13" s="539">
        <f t="shared" si="17"/>
        <v>0</v>
      </c>
      <c r="AN13" s="539">
        <f>INDEX(Lab_Mat!$K$6:$N$9,MATCH($H13,Lab_Mat!$J$6:$J$9,0),MATCH($AY$4,Lab_Mat!$K$5:$N$5,0))*$L13*INDEX(Act_Type_Repex_Splits,MATCH($I13,Act_Type_Repex,0),MATCH(AN$4,Mat_Type,0))*INDEX(Escalators!$I$44:$U$49,MATCH(AN$4,Escalators!$C$44:$C$49,0),MATCH(AN$5,Escalators!$I$43:$U$43,0))</f>
        <v>0</v>
      </c>
      <c r="AO13" s="539">
        <f>INDEX(Lab_Mat!$K$6:$N$9,MATCH($H13,Lab_Mat!$J$6:$J$9,0),MATCH($AY$4,Lab_Mat!$K$5:$N$5,0))*$L13*INDEX(Act_Type_Repex_Splits,MATCH($I13,Act_Type_Repex,0),MATCH(AO$4,Mat_Type,0))*INDEX(Escalators!$I$44:$U$49,MATCH(AO$4,Escalators!$C$44:$C$49,0),MATCH(AO$5,Escalators!$I$43:$U$43,0))</f>
        <v>0</v>
      </c>
      <c r="AP13" s="539">
        <f>INDEX(Lab_Mat!$K$6:$N$9,MATCH($H13,Lab_Mat!$J$6:$J$9,0),MATCH($AY$4,Lab_Mat!$K$5:$N$5,0))*$L13*INDEX(Act_Type_Repex_Splits,MATCH($I13,Act_Type_Repex,0),MATCH(AP$4,Mat_Type,0))*INDEX(Escalators!$I$44:$U$49,MATCH(AP$4,Escalators!$C$44:$C$49,0),MATCH(AP$5,Escalators!$I$43:$U$43,0))</f>
        <v>0</v>
      </c>
      <c r="AQ13" s="539">
        <f>INDEX(Lab_Mat!$K$6:$N$9,MATCH($H13,Lab_Mat!$J$6:$J$9,0),MATCH($AY$4,Lab_Mat!$K$5:$N$5,0))*$L13*INDEX(Act_Type_Repex_Splits,MATCH($I13,Act_Type_Repex,0),MATCH(AQ$4,Mat_Type,0))*INDEX(Escalators!$I$44:$U$49,MATCH(AQ$4,Escalators!$C$44:$C$49,0),MATCH(AQ$5,Escalators!$I$43:$U$43,0))</f>
        <v>0</v>
      </c>
      <c r="AR13" s="539">
        <f>INDEX(Lab_Mat!$K$6:$N$9,MATCH($H13,Lab_Mat!$J$6:$J$9,0),MATCH($AY$4,Lab_Mat!$K$5:$N$5,0))*$L13*INDEX(Act_Type_Repex_Splits,MATCH($I13,Act_Type_Repex,0),MATCH(AR$4,Mat_Type,0))*INDEX(Escalators!$I$44:$U$49,MATCH(AR$4,Escalators!$C$44:$C$49,0),MATCH(AR$5,Escalators!$I$43:$U$43,0))</f>
        <v>0</v>
      </c>
      <c r="AS13" s="539">
        <f t="shared" si="18"/>
        <v>0</v>
      </c>
      <c r="AT13" s="539">
        <f>INDEX(Lab_Mat!$K$6:$N$9,MATCH($H13,Lab_Mat!$J$6:$J$9,0),MATCH($AY$4,Lab_Mat!$K$5:$N$5,0))*$M13*INDEX(Act_Type_Repex_Splits,MATCH($I13,Act_Type_Repex,0),MATCH(AT$4,Mat_Type,0))*INDEX(Escalators!$I$44:$U$49,MATCH(AT$4,Escalators!$C$44:$C$49,0),MATCH(AT$5,Escalators!$I$43:$U$43,0))</f>
        <v>0</v>
      </c>
      <c r="AU13" s="539">
        <f>INDEX(Lab_Mat!$K$6:$N$9,MATCH($H13,Lab_Mat!$J$6:$J$9,0),MATCH($AY$4,Lab_Mat!$K$5:$N$5,0))*$M13*INDEX(Act_Type_Repex_Splits,MATCH($I13,Act_Type_Repex,0),MATCH(AU$4,Mat_Type,0))*INDEX(Escalators!$I$44:$U$49,MATCH(AU$4,Escalators!$C$44:$C$49,0),MATCH(AU$5,Escalators!$I$43:$U$43,0))</f>
        <v>0</v>
      </c>
      <c r="AV13" s="539">
        <f>INDEX(Lab_Mat!$K$6:$N$9,MATCH($H13,Lab_Mat!$J$6:$J$9,0),MATCH($AY$4,Lab_Mat!$K$5:$N$5,0))*$M13*INDEX(Act_Type_Repex_Splits,MATCH($I13,Act_Type_Repex,0),MATCH(AV$4,Mat_Type,0))*INDEX(Escalators!$I$44:$U$49,MATCH(AV$4,Escalators!$C$44:$C$49,0),MATCH(AV$5,Escalators!$I$43:$U$43,0))</f>
        <v>0</v>
      </c>
      <c r="AW13" s="539">
        <f>INDEX(Lab_Mat!$K$6:$N$9,MATCH($H13,Lab_Mat!$J$6:$J$9,0),MATCH($AY$4,Lab_Mat!$K$5:$N$5,0))*$M13*INDEX(Act_Type_Repex_Splits,MATCH($I13,Act_Type_Repex,0),MATCH(AW$4,Mat_Type,0))*INDEX(Escalators!$I$44:$U$49,MATCH(AW$4,Escalators!$C$44:$C$49,0),MATCH(AW$5,Escalators!$I$43:$U$43,0))</f>
        <v>0</v>
      </c>
      <c r="AX13" s="539">
        <f>INDEX(Lab_Mat!$K$6:$N$9,MATCH($H13,Lab_Mat!$J$6:$J$9,0),MATCH($AY$4,Lab_Mat!$K$5:$N$5,0))*$M13*INDEX(Act_Type_Repex_Splits,MATCH($I13,Act_Type_Repex,0),MATCH(AX$4,Mat_Type,0))*INDEX(Escalators!$I$44:$U$49,MATCH(AX$4,Escalators!$C$44:$C$49,0),MATCH(AX$5,Escalators!$I$43:$U$43,0))</f>
        <v>0</v>
      </c>
      <c r="AY13" s="539">
        <f t="shared" si="19"/>
        <v>0</v>
      </c>
      <c r="AZ13" s="539">
        <f>INDEX(Lab_Mat!$K$6:$N$9,MATCH($H13,Lab_Mat!$J$6:$J$9,0),MATCH($BE$4,Lab_Mat!$K$5:$N$5,0))*$N13*INDEX(Act_Type_Repex_Splits,MATCH($I13,Act_Type_Repex,0),MATCH(AZ$4,Mat_Type,0))*INDEX(Escalators!$I$44:$U$49,MATCH(AZ$4,Escalators!$C$44:$C$49,0),MATCH(AZ$5,Escalators!$I$43:$U$43,0))</f>
        <v>0</v>
      </c>
      <c r="BA13" s="539">
        <f>INDEX(Lab_Mat!$K$6:$N$9,MATCH($H13,Lab_Mat!$J$6:$J$9,0),MATCH($BE$4,Lab_Mat!$K$5:$N$5,0))*$N13*INDEX(Act_Type_Repex_Splits,MATCH($I13,Act_Type_Repex,0),MATCH(BA$4,Mat_Type,0))*INDEX(Escalators!$I$44:$U$49,MATCH(BA$4,Escalators!$C$44:$C$49,0),MATCH(BA$5,Escalators!$I$43:$U$43,0))</f>
        <v>0</v>
      </c>
      <c r="BB13" s="539">
        <f>INDEX(Lab_Mat!$K$6:$N$9,MATCH($H13,Lab_Mat!$J$6:$J$9,0),MATCH($BE$4,Lab_Mat!$K$5:$N$5,0))*$N13*INDEX(Act_Type_Repex_Splits,MATCH($I13,Act_Type_Repex,0),MATCH(BB$4,Mat_Type,0))*INDEX(Escalators!$I$44:$U$49,MATCH(BB$4,Escalators!$C$44:$C$49,0),MATCH(BB$5,Escalators!$I$43:$U$43,0))</f>
        <v>0</v>
      </c>
      <c r="BC13" s="539">
        <f>INDEX(Lab_Mat!$K$6:$N$9,MATCH($H13,Lab_Mat!$J$6:$J$9,0),MATCH($BE$4,Lab_Mat!$K$5:$N$5,0))*$N13*INDEX(Act_Type_Repex_Splits,MATCH($I13,Act_Type_Repex,0),MATCH(BC$4,Mat_Type,0))*INDEX(Escalators!$I$44:$U$49,MATCH(BC$4,Escalators!$C$44:$C$49,0),MATCH(BC$5,Escalators!$I$43:$U$43,0))</f>
        <v>0</v>
      </c>
      <c r="BD13" s="539">
        <f>INDEX(Lab_Mat!$K$6:$N$9,MATCH($H13,Lab_Mat!$J$6:$J$9,0),MATCH($BE$4,Lab_Mat!$K$5:$N$5,0))*$N13*INDEX(Act_Type_Repex_Splits,MATCH($I13,Act_Type_Repex,0),MATCH(BD$4,Mat_Type,0))*INDEX(Escalators!$I$44:$U$49,MATCH(BD$4,Escalators!$C$44:$C$49,0),MATCH(BD$5,Escalators!$I$43:$U$43,0))</f>
        <v>0</v>
      </c>
      <c r="BE13" s="539">
        <f t="shared" si="20"/>
        <v>0</v>
      </c>
      <c r="BF13" s="539">
        <f>INDEX(Lab_Mat!$K$6:$N$9,MATCH($H13,Lab_Mat!$J$6:$J$9,0),MATCH($BK$4,Lab_Mat!$K$5:$N$5,0))*$O13*INDEX(Act_Type_Repex_Splits,MATCH($I13,Act_Type_Repex,0),MATCH(BF$4,Mat_Type,0))*INDEX(Escalators!$I$44:$U$49,MATCH(BF$4,Escalators!$C$44:$C$49,0),MATCH(BF$5,Escalators!$I$43:$U$43,0))</f>
        <v>0</v>
      </c>
      <c r="BG13" s="539">
        <f>INDEX(Lab_Mat!$K$6:$N$9,MATCH($H13,Lab_Mat!$J$6:$J$9,0),MATCH($BK$4,Lab_Mat!$K$5:$N$5,0))*$O13*INDEX(Act_Type_Repex_Splits,MATCH($I13,Act_Type_Repex,0),MATCH(BG$4,Mat_Type,0))*INDEX(Escalators!$I$44:$U$49,MATCH(BG$4,Escalators!$C$44:$C$49,0),MATCH(BG$5,Escalators!$I$43:$U$43,0))</f>
        <v>0</v>
      </c>
      <c r="BH13" s="539">
        <f>INDEX(Lab_Mat!$K$6:$N$9,MATCH($H13,Lab_Mat!$J$6:$J$9,0),MATCH($BK$4,Lab_Mat!$K$5:$N$5,0))*$O13*INDEX(Act_Type_Repex_Splits,MATCH($I13,Act_Type_Repex,0),MATCH(BH$4,Mat_Type,0))*INDEX(Escalators!$I$44:$U$49,MATCH(BH$4,Escalators!$C$44:$C$49,0),MATCH(BH$5,Escalators!$I$43:$U$43,0))</f>
        <v>0</v>
      </c>
      <c r="BI13" s="539">
        <f>INDEX(Lab_Mat!$K$6:$N$9,MATCH($H13,Lab_Mat!$J$6:$J$9,0),MATCH($BK$4,Lab_Mat!$K$5:$N$5,0))*$O13*INDEX(Act_Type_Repex_Splits,MATCH($I13,Act_Type_Repex,0),MATCH(BI$4,Mat_Type,0))*INDEX(Escalators!$I$44:$U$49,MATCH(BI$4,Escalators!$C$44:$C$49,0),MATCH(BI$5,Escalators!$I$43:$U$43,0))</f>
        <v>0</v>
      </c>
      <c r="BJ13" s="539">
        <f>INDEX(Lab_Mat!$K$6:$N$9,MATCH($H13,Lab_Mat!$J$6:$J$9,0),MATCH($BK$4,Lab_Mat!$K$5:$N$5,0))*$O13*INDEX(Act_Type_Repex_Splits,MATCH($I13,Act_Type_Repex,0),MATCH(BJ$4,Mat_Type,0))*INDEX(Escalators!$I$44:$U$49,MATCH(BJ$4,Escalators!$C$44:$C$49,0),MATCH(BJ$5,Escalators!$I$43:$U$43,0))</f>
        <v>0</v>
      </c>
      <c r="BK13" s="539">
        <f t="shared" si="21"/>
        <v>0</v>
      </c>
      <c r="BL13" s="539">
        <f>INDEX(Lab_Mat!$K$6:$N$9,MATCH($H13,Lab_Mat!$J$6:$J$9,0),MATCH($BQ$4,Lab_Mat!$K$5:$N$5,0))*$P13*INDEX(Act_Type_Repex_Splits,MATCH($I13,Act_Type_Repex,0),MATCH(BL$4,Mat_Type,0))*INDEX(Escalators!$I$44:$U$49,MATCH(BL$4,Escalators!$C$44:$C$49,0),MATCH(BL$5,Escalators!$I$43:$U$43,0))</f>
        <v>0</v>
      </c>
      <c r="BM13" s="539">
        <f>INDEX(Lab_Mat!$K$6:$N$9,MATCH($H13,Lab_Mat!$J$6:$J$9,0),MATCH($BQ$4,Lab_Mat!$K$5:$N$5,0))*$P13*INDEX(Act_Type_Repex_Splits,MATCH($I13,Act_Type_Repex,0),MATCH(BM$4,Mat_Type,0))*INDEX(Escalators!$I$44:$U$49,MATCH(BM$4,Escalators!$C$44:$C$49,0),MATCH(BM$5,Escalators!$I$43:$U$43,0))</f>
        <v>0</v>
      </c>
      <c r="BN13" s="539">
        <f>INDEX(Lab_Mat!$K$6:$N$9,MATCH($H13,Lab_Mat!$J$6:$J$9,0),MATCH($BQ$4,Lab_Mat!$K$5:$N$5,0))*$P13*INDEX(Act_Type_Repex_Splits,MATCH($I13,Act_Type_Repex,0),MATCH(BN$4,Mat_Type,0))*INDEX(Escalators!$I$44:$U$49,MATCH(BN$4,Escalators!$C$44:$C$49,0),MATCH(BN$5,Escalators!$I$43:$U$43,0))</f>
        <v>0</v>
      </c>
      <c r="BO13" s="539">
        <f>INDEX(Lab_Mat!$K$6:$N$9,MATCH($H13,Lab_Mat!$J$6:$J$9,0),MATCH($BQ$4,Lab_Mat!$K$5:$N$5,0))*$P13*INDEX(Act_Type_Repex_Splits,MATCH($I13,Act_Type_Repex,0),MATCH(BO$4,Mat_Type,0))*INDEX(Escalators!$I$44:$U$49,MATCH(BO$4,Escalators!$C$44:$C$49,0),MATCH(BO$5,Escalators!$I$43:$U$43,0))</f>
        <v>0</v>
      </c>
      <c r="BP13" s="539">
        <f>INDEX(Lab_Mat!$K$6:$N$9,MATCH($H13,Lab_Mat!$J$6:$J$9,0),MATCH($BQ$4,Lab_Mat!$K$5:$N$5,0))*$P13*INDEX(Act_Type_Repex_Splits,MATCH($I13,Act_Type_Repex,0),MATCH(BP$4,Mat_Type,0))*INDEX(Escalators!$I$44:$U$49,MATCH(BP$4,Escalators!$C$44:$C$49,0),MATCH(BP$5,Escalators!$I$43:$U$43,0))</f>
        <v>0</v>
      </c>
      <c r="BQ13" s="539">
        <f t="shared" si="22"/>
        <v>0</v>
      </c>
      <c r="BR13" s="539">
        <f>INDEX(Lab_Mat!$K$6:$N$9,MATCH($H13,Lab_Mat!$J$6:$J$9,0),MATCH($BW$4,Lab_Mat!$K$5:$N$5,0))*$Q13*INDEX(Act_Type_Repex_Splits,MATCH($I13,Act_Type_Repex,0),MATCH(BR$4,Mat_Type,0))*INDEX(Escalators!$I$44:$U$49,MATCH(BR$4,Escalators!$C$44:$C$49,0),MATCH(BR$5,Escalators!$I$43:$U$43,0))</f>
        <v>0</v>
      </c>
      <c r="BS13" s="539">
        <f>INDEX(Lab_Mat!$K$6:$N$9,MATCH($H13,Lab_Mat!$J$6:$J$9,0),MATCH($BW$4,Lab_Mat!$K$5:$N$5,0))*$Q13*INDEX(Act_Type_Repex_Splits,MATCH($I13,Act_Type_Repex,0),MATCH(BS$4,Mat_Type,0))*INDEX(Escalators!$I$44:$U$49,MATCH(BS$4,Escalators!$C$44:$C$49,0),MATCH(BS$5,Escalators!$I$43:$U$43,0))</f>
        <v>0</v>
      </c>
      <c r="BT13" s="539">
        <f>INDEX(Lab_Mat!$K$6:$N$9,MATCH($H13,Lab_Mat!$J$6:$J$9,0),MATCH($BW$4,Lab_Mat!$K$5:$N$5,0))*$Q13*INDEX(Act_Type_Repex_Splits,MATCH($I13,Act_Type_Repex,0),MATCH(BT$4,Mat_Type,0))*INDEX(Escalators!$I$44:$U$49,MATCH(BT$4,Escalators!$C$44:$C$49,0),MATCH(BT$5,Escalators!$I$43:$U$43,0))</f>
        <v>0</v>
      </c>
      <c r="BU13" s="539">
        <f>INDEX(Lab_Mat!$K$6:$N$9,MATCH($H13,Lab_Mat!$J$6:$J$9,0),MATCH($BW$4,Lab_Mat!$K$5:$N$5,0))*$Q13*INDEX(Act_Type_Repex_Splits,MATCH($I13,Act_Type_Repex,0),MATCH(BU$4,Mat_Type,0))*INDEX(Escalators!$I$44:$U$49,MATCH(BU$4,Escalators!$C$44:$C$49,0),MATCH(BU$5,Escalators!$I$43:$U$43,0))</f>
        <v>0</v>
      </c>
      <c r="BV13" s="539">
        <f>INDEX(Lab_Mat!$K$6:$N$9,MATCH($H13,Lab_Mat!$J$6:$J$9,0),MATCH($BW$4,Lab_Mat!$K$5:$N$5,0))*$Q13*INDEX(Act_Type_Repex_Splits,MATCH($I13,Act_Type_Repex,0),MATCH(BV$4,Mat_Type,0))*INDEX(Escalators!$I$44:$U$49,MATCH(BV$4,Escalators!$C$44:$C$49,0),MATCH(BV$5,Escalators!$I$43:$U$43,0))</f>
        <v>0</v>
      </c>
      <c r="BW13" s="539">
        <f t="shared" si="23"/>
        <v>0</v>
      </c>
      <c r="BX13" s="241"/>
      <c r="BY13" s="539">
        <f>INDEX(Lab_Mat!$K$6:$N$9,MATCH($H13,Lab_Mat!$J$6:$J$9,0),MATCH($BY$4,Lab_Mat!$K$5:$N$5,0))*J13*HLOOKUP(BY$5,Escalators!$I$25:$U$30,6,FALSE)</f>
        <v>0</v>
      </c>
      <c r="BZ13" s="539">
        <f>INDEX(Lab_Mat!$K$6:$N$9,MATCH($H13,Lab_Mat!$J$6:$J$9,0),MATCH($BY$4,Lab_Mat!$K$5:$N$5,0))*K13*HLOOKUP(BZ$5,Escalators!$I$25:$U$30,6,FALSE)</f>
        <v>0</v>
      </c>
      <c r="CA13" s="539">
        <f>INDEX(Lab_Mat!$K$6:$N$9,MATCH($H13,Lab_Mat!$J$6:$J$9,0),MATCH($BY$4,Lab_Mat!$K$5:$N$5,0))*L13*HLOOKUP(CA$5,Escalators!$I$25:$U$30,6,FALSE)</f>
        <v>0</v>
      </c>
      <c r="CB13" s="539">
        <f>INDEX(Lab_Mat!$K$6:$N$9,MATCH($H13,Lab_Mat!$J$6:$J$9,0),MATCH($BY$4,Lab_Mat!$K$5:$N$5,0))*M13*HLOOKUP(CB$5,Escalators!$I$25:$U$30,6,FALSE)</f>
        <v>0</v>
      </c>
      <c r="CC13" s="539">
        <f>INDEX(Lab_Mat!$K$6:$N$9,MATCH($H13,Lab_Mat!$J$6:$J$9,0),MATCH($BY$4,Lab_Mat!$K$5:$N$5,0))*N13*HLOOKUP(CC$5,Escalators!$I$25:$U$30,6,FALSE)</f>
        <v>0</v>
      </c>
      <c r="CD13" s="539">
        <f>INDEX(Lab_Mat!$K$6:$N$9,MATCH($H13,Lab_Mat!$J$6:$J$9,0),MATCH($BY$4,Lab_Mat!$K$5:$N$5,0))*O13*HLOOKUP(CD$5,Escalators!$I$25:$U$30,6,FALSE)</f>
        <v>0</v>
      </c>
      <c r="CE13" s="539">
        <f>INDEX(Lab_Mat!$K$6:$N$9,MATCH($H13,Lab_Mat!$J$6:$J$9,0),MATCH($BY$4,Lab_Mat!$K$5:$N$5,0))*P13*HLOOKUP(CE$5,Escalators!$I$25:$U$30,6,FALSE)</f>
        <v>0</v>
      </c>
      <c r="CF13" s="539">
        <f>INDEX(Lab_Mat!$K$6:$N$9,MATCH($H13,Lab_Mat!$J$6:$J$9,0),MATCH($BY$4,Lab_Mat!$K$5:$N$5,0))*Q13*HLOOKUP(CF$5,Escalators!$I$25:$U$30,6,FALSE)</f>
        <v>0</v>
      </c>
      <c r="CG13" s="241"/>
      <c r="CH13" s="540">
        <f>INDEX(Lab_Mat!$K$6:$N$9,MATCH($H13,Lab_Mat!$J$6:$J$9,0),MATCH($CH$4,Lab_Mat!$K$5:$N$5,0))*J13</f>
        <v>0</v>
      </c>
      <c r="CI13" s="540">
        <f>INDEX(Lab_Mat!$K$6:$N$9,MATCH($H13,Lab_Mat!$J$6:$J$9,0),MATCH($CH$4,Lab_Mat!$K$5:$N$5,0))*K13</f>
        <v>0</v>
      </c>
      <c r="CJ13" s="540">
        <f>INDEX(Lab_Mat!$K$6:$N$9,MATCH($H13,Lab_Mat!$J$6:$J$9,0),MATCH($CH$4,Lab_Mat!$K$5:$N$5,0))*L13</f>
        <v>0</v>
      </c>
      <c r="CK13" s="540">
        <f>INDEX(Lab_Mat!$K$6:$N$9,MATCH($H13,Lab_Mat!$J$6:$J$9,0),MATCH($CH$4,Lab_Mat!$K$5:$N$5,0))*M13</f>
        <v>0</v>
      </c>
      <c r="CL13" s="540">
        <f>INDEX(Lab_Mat!$K$6:$N$9,MATCH($H13,Lab_Mat!$J$6:$J$9,0),MATCH($CH$4,Lab_Mat!$K$5:$N$5,0))*N13</f>
        <v>0</v>
      </c>
      <c r="CM13" s="540">
        <f>INDEX(Lab_Mat!$K$6:$N$9,MATCH($H13,Lab_Mat!$J$6:$J$9,0),MATCH($CH$4,Lab_Mat!$K$5:$N$5,0))*O13</f>
        <v>0</v>
      </c>
      <c r="CN13" s="540">
        <f>INDEX(Lab_Mat!$K$6:$N$9,MATCH($H13,Lab_Mat!$J$6:$J$9,0),MATCH($CH$4,Lab_Mat!$K$5:$N$5,0))*P13</f>
        <v>0</v>
      </c>
      <c r="CO13" s="540">
        <f>INDEX(Lab_Mat!$K$6:$N$9,MATCH($H13,Lab_Mat!$J$6:$J$9,0),MATCH($CH$4,Lab_Mat!$K$5:$N$5,0))*Q13</f>
        <v>0</v>
      </c>
      <c r="CP13" s="241"/>
      <c r="CQ13" s="539">
        <f t="shared" si="9"/>
        <v>0</v>
      </c>
      <c r="CR13" s="539">
        <f t="shared" si="10"/>
        <v>0</v>
      </c>
      <c r="CS13" s="539">
        <f t="shared" si="24"/>
        <v>0</v>
      </c>
      <c r="CT13" s="539">
        <f t="shared" si="11"/>
        <v>0</v>
      </c>
      <c r="CU13" s="539">
        <f t="shared" si="12"/>
        <v>0</v>
      </c>
      <c r="CV13" s="539">
        <f t="shared" si="13"/>
        <v>0</v>
      </c>
      <c r="CW13" s="539">
        <f t="shared" si="14"/>
        <v>0</v>
      </c>
      <c r="CX13" s="539">
        <f t="shared" si="15"/>
        <v>0</v>
      </c>
      <c r="CY13" s="39"/>
      <c r="CZ13" s="39"/>
      <c r="DA13" s="39"/>
      <c r="DB13" s="39"/>
      <c r="DC13" s="39"/>
    </row>
    <row r="14" spans="2:109" hidden="1" x14ac:dyDescent="0.25">
      <c r="B14" s="7"/>
      <c r="C14" s="7"/>
      <c r="D14" s="7"/>
      <c r="E14" s="7"/>
      <c r="F14" s="7"/>
      <c r="G14" s="7"/>
      <c r="H14" s="7"/>
      <c r="I14" s="7"/>
      <c r="J14" s="45"/>
      <c r="K14" s="45"/>
      <c r="L14" s="45"/>
      <c r="M14" s="539"/>
      <c r="N14" s="539"/>
      <c r="O14" s="539"/>
      <c r="P14" s="539"/>
      <c r="Q14" s="539"/>
      <c r="R14" s="241"/>
      <c r="S14" s="539"/>
      <c r="T14" s="539"/>
      <c r="U14" s="539"/>
      <c r="V14" s="539"/>
      <c r="W14" s="539"/>
      <c r="X14" s="539"/>
      <c r="Y14" s="539"/>
      <c r="Z14" s="539"/>
      <c r="AA14" s="241"/>
      <c r="AB14" s="255"/>
      <c r="AC14" s="255"/>
      <c r="AD14" s="255"/>
      <c r="AE14" s="255"/>
      <c r="AF14" s="255"/>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241"/>
      <c r="BY14" s="539"/>
      <c r="BZ14" s="539"/>
      <c r="CA14" s="539"/>
      <c r="CB14" s="539"/>
      <c r="CC14" s="539"/>
      <c r="CD14" s="539"/>
      <c r="CE14" s="539"/>
      <c r="CF14" s="539"/>
      <c r="CG14" s="241"/>
      <c r="CH14" s="540"/>
      <c r="CI14" s="540"/>
      <c r="CJ14" s="540"/>
      <c r="CK14" s="540"/>
      <c r="CL14" s="540"/>
      <c r="CM14" s="540"/>
      <c r="CN14" s="540"/>
      <c r="CO14" s="540"/>
      <c r="CP14" s="241"/>
      <c r="CQ14" s="539">
        <f t="shared" ref="CQ14:CQ18" si="25">S14+AG14+BY14+CH14</f>
        <v>0</v>
      </c>
      <c r="CR14" s="539">
        <f t="shared" ref="CR14:CR18" si="26">T14+AM14+BZ14+CI14</f>
        <v>0</v>
      </c>
      <c r="CS14" s="539">
        <f t="shared" si="24"/>
        <v>0</v>
      </c>
      <c r="CT14" s="539">
        <f t="shared" ref="CT14:CT18" si="27">V14+AY14+CB14+CK14</f>
        <v>0</v>
      </c>
      <c r="CU14" s="539">
        <f t="shared" ref="CU14:CU18" si="28">W14+BE14+CC14+CL14</f>
        <v>0</v>
      </c>
      <c r="CV14" s="539">
        <f t="shared" ref="CV14:CV18" si="29">X14+BK14+CD14+CM14</f>
        <v>0</v>
      </c>
      <c r="CW14" s="539">
        <f t="shared" ref="CW14:CW18" si="30">Y14+BQ14+CE14+CN14</f>
        <v>0</v>
      </c>
      <c r="CX14" s="539">
        <f t="shared" ref="CX14:CX18" si="31">Z14+BW14+CF14+CO14</f>
        <v>0</v>
      </c>
    </row>
    <row r="15" spans="2:109" hidden="1" x14ac:dyDescent="0.25">
      <c r="B15" s="7"/>
      <c r="C15" s="256" t="s">
        <v>412</v>
      </c>
      <c r="D15" s="7" t="s">
        <v>697</v>
      </c>
      <c r="E15" s="7" t="s">
        <v>44</v>
      </c>
      <c r="F15" s="7" t="s">
        <v>55</v>
      </c>
      <c r="G15" s="7" t="s">
        <v>10</v>
      </c>
      <c r="H15" s="7" t="s">
        <v>753</v>
      </c>
      <c r="I15" s="7" t="s">
        <v>186</v>
      </c>
      <c r="J15" s="45"/>
      <c r="K15" s="45"/>
      <c r="L15" s="45"/>
      <c r="M15" s="539">
        <v>2359.4685778400476</v>
      </c>
      <c r="N15" s="539">
        <v>1008.9199335561024</v>
      </c>
      <c r="O15" s="539">
        <v>0</v>
      </c>
      <c r="P15" s="539"/>
      <c r="Q15" s="539"/>
      <c r="R15" s="241"/>
      <c r="S15" s="539">
        <f>INDEX(Lab_Mat!$K$6:$N$9,MATCH($H15,Lab_Mat!$J$6:$J$9,0),MATCH($S$4,Lab_Mat!$K$5:$N$5,0))*J15*HLOOKUP(S$5,Escalators!$I$25:$U$30,3,FALSE)</f>
        <v>0</v>
      </c>
      <c r="T15" s="539">
        <f>INDEX(Lab_Mat!$K$6:$N$9,MATCH($H15,Lab_Mat!$J$6:$J$9,0),MATCH($S$4,Lab_Mat!$K$5:$N$5,0))*K15*HLOOKUP(T$5,Escalators!$I$25:$U$30,3,FALSE)</f>
        <v>0</v>
      </c>
      <c r="U15" s="539">
        <f>INDEX(Lab_Mat!$K$6:$N$9,MATCH($H15,Lab_Mat!$J$6:$J$9,0),MATCH($S$4,Lab_Mat!$K$5:$N$5,0))*L15*HLOOKUP(U$5,Escalators!$I$25:$U$30,3,FALSE)</f>
        <v>0</v>
      </c>
      <c r="V15" s="539">
        <f>INDEX(Lab_Mat!$K$6:$N$9,MATCH($H15,Lab_Mat!$J$6:$J$9,0),MATCH($S$4,Lab_Mat!$K$5:$N$5,0))*M15*HLOOKUP(V$5,Escalators!$I$25:$U$30,3,FALSE)</f>
        <v>441.75035932845151</v>
      </c>
      <c r="W15" s="539">
        <f>INDEX(Lab_Mat!$K$6:$N$9,MATCH($H15,Lab_Mat!$J$6:$J$9,0),MATCH($S$4,Lab_Mat!$K$5:$N$5,0))*N15*HLOOKUP(W$5,Escalators!$I$25:$U$30,3,FALSE)</f>
        <v>188.42273609901491</v>
      </c>
      <c r="X15" s="539">
        <f>INDEX(Lab_Mat!$K$6:$N$9,MATCH($H15,Lab_Mat!$J$6:$J$9,0),MATCH($S$4,Lab_Mat!$K$5:$N$5,0))*O15*HLOOKUP(X$5,Escalators!$I$25:$U$30,3,FALSE)</f>
        <v>0</v>
      </c>
      <c r="Y15" s="539">
        <f>INDEX(Lab_Mat!$K$6:$N$9,MATCH($H15,Lab_Mat!$J$6:$J$9,0),MATCH($S$4,Lab_Mat!$K$5:$N$5,0))*P15*HLOOKUP(Y$5,Escalators!$I$25:$U$30,3,FALSE)</f>
        <v>0</v>
      </c>
      <c r="Z15" s="539">
        <f>INDEX(Lab_Mat!$K$6:$N$9,MATCH($H15,Lab_Mat!$J$6:$J$9,0),MATCH($S$4,Lab_Mat!$K$5:$N$5,0))*Q15*HLOOKUP(Z$5,Escalators!$I$25:$U$30,3,FALSE)</f>
        <v>0</v>
      </c>
      <c r="AA15" s="241"/>
      <c r="AB15" s="539">
        <f>INDEX(Lab_Mat!$K$6:$N$9,MATCH($H15,Lab_Mat!$J$6:$J$9,0),MATCH($AG$4,Lab_Mat!$K$5:$N$5,0))*$J15*INDEX(Act_Type_Repex_Splits,MATCH($I15,Act_Type_Repex,0),MATCH(AB$4,Mat_Type,0))*INDEX(Escalators!$I$44:$Q$49,MATCH(AB$4,Escalators!$C$44:$C$49,0),MATCH(AB$5,Escalators!$I$43:$Q$43,0))</f>
        <v>0</v>
      </c>
      <c r="AC15" s="539">
        <f>INDEX(Lab_Mat!$K$6:$N$9,MATCH($H15,Lab_Mat!$J$6:$J$9,0),MATCH($AG$4,Lab_Mat!$K$5:$N$5,0))*$J15*INDEX(Act_Type_Repex_Splits,MATCH($I15,Act_Type_Repex,0),MATCH(AC$4,Mat_Type,0))*INDEX(Escalators!$I$44:$Q$49,MATCH(AC$4,Escalators!$C$44:$C$49,0),MATCH(AC$5,Escalators!$I$43:$Q$43,0))</f>
        <v>0</v>
      </c>
      <c r="AD15" s="539">
        <f>INDEX(Lab_Mat!$K$6:$N$9,MATCH($H15,Lab_Mat!$J$6:$J$9,0),MATCH($AG$4,Lab_Mat!$K$5:$N$5,0))*$J15*INDEX(Act_Type_Repex_Splits,MATCH($I15,Act_Type_Repex,0),MATCH(AD$4,Mat_Type,0))*INDEX(Escalators!$I$44:$Q$49,MATCH(AD$4,Escalators!$C$44:$C$49,0),MATCH(AD$5,Escalators!$I$43:$Q$43,0))</f>
        <v>0</v>
      </c>
      <c r="AE15" s="539">
        <f>INDEX(Lab_Mat!$K$6:$N$9,MATCH($H15,Lab_Mat!$J$6:$J$9,0),MATCH($AG$4,Lab_Mat!$K$5:$N$5,0))*$J15*INDEX(Act_Type_Repex_Splits,MATCH($I15,Act_Type_Repex,0),MATCH(AE$4,Mat_Type,0))*INDEX(Escalators!$I$44:$Q$49,MATCH(AE$4,Escalators!$C$44:$C$49,0),MATCH(AE$5,Escalators!$I$43:$Q$43,0))</f>
        <v>0</v>
      </c>
      <c r="AF15" s="539">
        <f>INDEX(Lab_Mat!$K$6:$N$9,MATCH($H15,Lab_Mat!$J$6:$J$9,0),MATCH($AG$4,Lab_Mat!$K$5:$N$5,0))*$J15*INDEX(Act_Type_Repex_Splits,MATCH($I15,Act_Type_Repex,0),MATCH(AF$4,Mat_Type,0))*INDEX(Escalators!$I$44:$Q$49,MATCH(AF$4,Escalators!$C$44:$C$49,0),MATCH(AF$5,Escalators!$I$43:$Q$43,0))</f>
        <v>0</v>
      </c>
      <c r="AG15" s="539">
        <f>SUM(AB15:AF15)</f>
        <v>0</v>
      </c>
      <c r="AH15" s="539">
        <f>INDEX(Lab_Mat!$K$6:$N$9,MATCH($H15,Lab_Mat!$J$6:$J$9,0),MATCH($AY$4,Lab_Mat!$K$5:$N$5,0))*$K15*INDEX(Act_Type_Repex_Splits,MATCH($I15,Act_Type_Repex,0),MATCH(AH$4,Mat_Type,0))*INDEX(Escalators!$I$44:$U$49,MATCH(AH$4,Escalators!$C$44:$C$49,0),MATCH(AH$5,Escalators!$I$43:$U$43,0))</f>
        <v>0</v>
      </c>
      <c r="AI15" s="539">
        <f>INDEX(Lab_Mat!$K$6:$N$9,MATCH($H15,Lab_Mat!$J$6:$J$9,0),MATCH($AY$4,Lab_Mat!$K$5:$N$5,0))*$K15*INDEX(Act_Type_Repex_Splits,MATCH($I15,Act_Type_Repex,0),MATCH(AI$4,Mat_Type,0))*INDEX(Escalators!$I$44:$U$49,MATCH(AI$4,Escalators!$C$44:$C$49,0),MATCH(AI$5,Escalators!$I$43:$U$43,0))</f>
        <v>0</v>
      </c>
      <c r="AJ15" s="539">
        <f>INDEX(Lab_Mat!$K$6:$N$9,MATCH($H15,Lab_Mat!$J$6:$J$9,0),MATCH($AY$4,Lab_Mat!$K$5:$N$5,0))*$K15*INDEX(Act_Type_Repex_Splits,MATCH($I15,Act_Type_Repex,0),MATCH(AJ$4,Mat_Type,0))*INDEX(Escalators!$I$44:$U$49,MATCH(AJ$4,Escalators!$C$44:$C$49,0),MATCH(AJ$5,Escalators!$I$43:$U$43,0))</f>
        <v>0</v>
      </c>
      <c r="AK15" s="539">
        <f>INDEX(Lab_Mat!$K$6:$N$9,MATCH($H15,Lab_Mat!$J$6:$J$9,0),MATCH($AY$4,Lab_Mat!$K$5:$N$5,0))*$K15*INDEX(Act_Type_Repex_Splits,MATCH($I15,Act_Type_Repex,0),MATCH(AK$4,Mat_Type,0))*INDEX(Escalators!$I$44:$U$49,MATCH(AK$4,Escalators!$C$44:$C$49,0),MATCH(AK$5,Escalators!$I$43:$U$43,0))</f>
        <v>0</v>
      </c>
      <c r="AL15" s="539">
        <f>INDEX(Lab_Mat!$K$6:$N$9,MATCH($H15,Lab_Mat!$J$6:$J$9,0),MATCH($AY$4,Lab_Mat!$K$5:$N$5,0))*$K15*INDEX(Act_Type_Repex_Splits,MATCH($I15,Act_Type_Repex,0),MATCH(AL$4,Mat_Type,0))*INDEX(Escalators!$I$44:$U$49,MATCH(AL$4,Escalators!$C$44:$C$49,0),MATCH(AL$5,Escalators!$I$43:$U$43,0))</f>
        <v>0</v>
      </c>
      <c r="AM15" s="539">
        <f>SUM(AH15:AL15)</f>
        <v>0</v>
      </c>
      <c r="AN15" s="539">
        <f>INDEX(Lab_Mat!$K$6:$N$9,MATCH($H15,Lab_Mat!$J$6:$J$9,0),MATCH($AY$4,Lab_Mat!$K$5:$N$5,0))*$L15*INDEX(Act_Type_Repex_Splits,MATCH($I15,Act_Type_Repex,0),MATCH(AN$4,Mat_Type,0))*INDEX(Escalators!$I$44:$U$49,MATCH(AN$4,Escalators!$C$44:$C$49,0),MATCH(AN$5,Escalators!$I$43:$U$43,0))</f>
        <v>0</v>
      </c>
      <c r="AO15" s="539">
        <f>INDEX(Lab_Mat!$K$6:$N$9,MATCH($H15,Lab_Mat!$J$6:$J$9,0),MATCH($AY$4,Lab_Mat!$K$5:$N$5,0))*$L15*INDEX(Act_Type_Repex_Splits,MATCH($I15,Act_Type_Repex,0),MATCH(AO$4,Mat_Type,0))*INDEX(Escalators!$I$44:$U$49,MATCH(AO$4,Escalators!$C$44:$C$49,0),MATCH(AO$5,Escalators!$I$43:$U$43,0))</f>
        <v>0</v>
      </c>
      <c r="AP15" s="539">
        <f>INDEX(Lab_Mat!$K$6:$N$9,MATCH($H15,Lab_Mat!$J$6:$J$9,0),MATCH($AY$4,Lab_Mat!$K$5:$N$5,0))*$L15*INDEX(Act_Type_Repex_Splits,MATCH($I15,Act_Type_Repex,0),MATCH(AP$4,Mat_Type,0))*INDEX(Escalators!$I$44:$U$49,MATCH(AP$4,Escalators!$C$44:$C$49,0),MATCH(AP$5,Escalators!$I$43:$U$43,0))</f>
        <v>0</v>
      </c>
      <c r="AQ15" s="539">
        <f>INDEX(Lab_Mat!$K$6:$N$9,MATCH($H15,Lab_Mat!$J$6:$J$9,0),MATCH($AY$4,Lab_Mat!$K$5:$N$5,0))*$L15*INDEX(Act_Type_Repex_Splits,MATCH($I15,Act_Type_Repex,0),MATCH(AQ$4,Mat_Type,0))*INDEX(Escalators!$I$44:$U$49,MATCH(AQ$4,Escalators!$C$44:$C$49,0),MATCH(AQ$5,Escalators!$I$43:$U$43,0))</f>
        <v>0</v>
      </c>
      <c r="AR15" s="539">
        <f>INDEX(Lab_Mat!$K$6:$N$9,MATCH($H15,Lab_Mat!$J$6:$J$9,0),MATCH($AY$4,Lab_Mat!$K$5:$N$5,0))*$L15*INDEX(Act_Type_Repex_Splits,MATCH($I15,Act_Type_Repex,0),MATCH(AR$4,Mat_Type,0))*INDEX(Escalators!$I$44:$U$49,MATCH(AR$4,Escalators!$C$44:$C$49,0),MATCH(AR$5,Escalators!$I$43:$U$43,0))</f>
        <v>0</v>
      </c>
      <c r="AS15" s="539">
        <f>SUM(AN15:AR15)</f>
        <v>0</v>
      </c>
      <c r="AT15" s="539">
        <f>INDEX(Lab_Mat!$K$6:$N$9,MATCH($H15,Lab_Mat!$J$6:$J$9,0),MATCH($AY$4,Lab_Mat!$K$5:$N$5,0))*$M15*INDEX(Act_Type_Repex_Splits,MATCH($I15,Act_Type_Repex,0),MATCH(AT$4,Mat_Type,0))*INDEX(Escalators!$I$44:$U$49,MATCH(AT$4,Escalators!$C$44:$C$49,0),MATCH(AT$5,Escalators!$I$43:$U$43,0))</f>
        <v>0</v>
      </c>
      <c r="AU15" s="539">
        <f>INDEX(Lab_Mat!$K$6:$N$9,MATCH($H15,Lab_Mat!$J$6:$J$9,0),MATCH($AY$4,Lab_Mat!$K$5:$N$5,0))*$M15*INDEX(Act_Type_Repex_Splits,MATCH($I15,Act_Type_Repex,0),MATCH(AU$4,Mat_Type,0))*INDEX(Escalators!$I$44:$U$49,MATCH(AU$4,Escalators!$C$44:$C$49,0),MATCH(AU$5,Escalators!$I$43:$U$43,0))</f>
        <v>383.20291763668268</v>
      </c>
      <c r="AV15" s="539">
        <f>INDEX(Lab_Mat!$K$6:$N$9,MATCH($H15,Lab_Mat!$J$6:$J$9,0),MATCH($AY$4,Lab_Mat!$K$5:$N$5,0))*$M15*INDEX(Act_Type_Repex_Splits,MATCH($I15,Act_Type_Repex,0),MATCH(AV$4,Mat_Type,0))*INDEX(Escalators!$I$44:$U$49,MATCH(AV$4,Escalators!$C$44:$C$49,0),MATCH(AV$5,Escalators!$I$43:$U$43,0))</f>
        <v>766.40583527336537</v>
      </c>
      <c r="AW15" s="539">
        <f>INDEX(Lab_Mat!$K$6:$N$9,MATCH($H15,Lab_Mat!$J$6:$J$9,0),MATCH($AY$4,Lab_Mat!$K$5:$N$5,0))*$M15*INDEX(Act_Type_Repex_Splits,MATCH($I15,Act_Type_Repex,0),MATCH(AW$4,Mat_Type,0))*INDEX(Escalators!$I$44:$U$49,MATCH(AW$4,Escalators!$C$44:$C$49,0),MATCH(AW$5,Escalators!$I$43:$U$43,0))</f>
        <v>127.73430587889423</v>
      </c>
      <c r="AX15" s="539">
        <f>INDEX(Lab_Mat!$K$6:$N$9,MATCH($H15,Lab_Mat!$J$6:$J$9,0),MATCH($AY$4,Lab_Mat!$K$5:$N$5,0))*$M15*INDEX(Act_Type_Repex_Splits,MATCH($I15,Act_Type_Repex,0),MATCH(AX$4,Mat_Type,0))*INDEX(Escalators!$I$44:$U$49,MATCH(AX$4,Escalators!$C$44:$C$49,0),MATCH(AX$5,Escalators!$I$43:$U$43,0))</f>
        <v>0</v>
      </c>
      <c r="AY15" s="539">
        <f>SUM(AT15:AX15)</f>
        <v>1277.3430587889422</v>
      </c>
      <c r="AZ15" s="539">
        <f>INDEX(Lab_Mat!$K$6:$N$9,MATCH($H15,Lab_Mat!$J$6:$J$9,0),MATCH($BE$4,Lab_Mat!$K$5:$N$5,0))*$N15*INDEX(Act_Type_Repex_Splits,MATCH($I15,Act_Type_Repex,0),MATCH(AZ$4,Mat_Type,0))*INDEX(Escalators!$I$44:$U$49,MATCH(AZ$4,Escalators!$C$44:$C$49,0),MATCH(AZ$5,Escalators!$I$43:$U$43,0))</f>
        <v>0</v>
      </c>
      <c r="BA15" s="539">
        <f>INDEX(Lab_Mat!$K$6:$N$9,MATCH($H15,Lab_Mat!$J$6:$J$9,0),MATCH($BE$4,Lab_Mat!$K$5:$N$5,0))*$N15*INDEX(Act_Type_Repex_Splits,MATCH($I15,Act_Type_Repex,0),MATCH(BA$4,Mat_Type,0))*INDEX(Escalators!$I$44:$U$49,MATCH(BA$4,Escalators!$C$44:$C$49,0),MATCH(BA$5,Escalators!$I$43:$U$43,0))</f>
        <v>163.85938165552298</v>
      </c>
      <c r="BB15" s="539">
        <f>INDEX(Lab_Mat!$K$6:$N$9,MATCH($H15,Lab_Mat!$J$6:$J$9,0),MATCH($BE$4,Lab_Mat!$K$5:$N$5,0))*$N15*INDEX(Act_Type_Repex_Splits,MATCH($I15,Act_Type_Repex,0),MATCH(BB$4,Mat_Type,0))*INDEX(Escalators!$I$44:$U$49,MATCH(BB$4,Escalators!$C$44:$C$49,0),MATCH(BB$5,Escalators!$I$43:$U$43,0))</f>
        <v>327.71876331104596</v>
      </c>
      <c r="BC15" s="539">
        <f>INDEX(Lab_Mat!$K$6:$N$9,MATCH($H15,Lab_Mat!$J$6:$J$9,0),MATCH($BE$4,Lab_Mat!$K$5:$N$5,0))*$N15*INDEX(Act_Type_Repex_Splits,MATCH($I15,Act_Type_Repex,0),MATCH(BC$4,Mat_Type,0))*INDEX(Escalators!$I$44:$U$49,MATCH(BC$4,Escalators!$C$44:$C$49,0),MATCH(BC$5,Escalators!$I$43:$U$43,0))</f>
        <v>54.619793885174332</v>
      </c>
      <c r="BD15" s="539">
        <f>INDEX(Lab_Mat!$K$6:$N$9,MATCH($H15,Lab_Mat!$J$6:$J$9,0),MATCH($BE$4,Lab_Mat!$K$5:$N$5,0))*$N15*INDEX(Act_Type_Repex_Splits,MATCH($I15,Act_Type_Repex,0),MATCH(BD$4,Mat_Type,0))*INDEX(Escalators!$I$44:$U$49,MATCH(BD$4,Escalators!$C$44:$C$49,0),MATCH(BD$5,Escalators!$I$43:$U$43,0))</f>
        <v>0</v>
      </c>
      <c r="BE15" s="539">
        <f>SUM(AZ15:BD15)</f>
        <v>546.19793885174329</v>
      </c>
      <c r="BF15" s="539">
        <f>INDEX(Lab_Mat!$K$6:$N$9,MATCH($H15,Lab_Mat!$J$6:$J$9,0),MATCH($BK$4,Lab_Mat!$K$5:$N$5,0))*$O15*INDEX(Act_Type_Repex_Splits,MATCH($I15,Act_Type_Repex,0),MATCH(BF$4,Mat_Type,0))*INDEX(Escalators!$I$44:$U$49,MATCH(BF$4,Escalators!$C$44:$C$49,0),MATCH(BF$5,Escalators!$I$43:$U$43,0))</f>
        <v>0</v>
      </c>
      <c r="BG15" s="539">
        <f>INDEX(Lab_Mat!$K$6:$N$9,MATCH($H15,Lab_Mat!$J$6:$J$9,0),MATCH($BK$4,Lab_Mat!$K$5:$N$5,0))*$O15*INDEX(Act_Type_Repex_Splits,MATCH($I15,Act_Type_Repex,0),MATCH(BG$4,Mat_Type,0))*INDEX(Escalators!$I$44:$U$49,MATCH(BG$4,Escalators!$C$44:$C$49,0),MATCH(BG$5,Escalators!$I$43:$U$43,0))</f>
        <v>0</v>
      </c>
      <c r="BH15" s="539">
        <f>INDEX(Lab_Mat!$K$6:$N$9,MATCH($H15,Lab_Mat!$J$6:$J$9,0),MATCH($BK$4,Lab_Mat!$K$5:$N$5,0))*$O15*INDEX(Act_Type_Repex_Splits,MATCH($I15,Act_Type_Repex,0),MATCH(BH$4,Mat_Type,0))*INDEX(Escalators!$I$44:$U$49,MATCH(BH$4,Escalators!$C$44:$C$49,0),MATCH(BH$5,Escalators!$I$43:$U$43,0))</f>
        <v>0</v>
      </c>
      <c r="BI15" s="539">
        <f>INDEX(Lab_Mat!$K$6:$N$9,MATCH($H15,Lab_Mat!$J$6:$J$9,0),MATCH($BK$4,Lab_Mat!$K$5:$N$5,0))*$O15*INDEX(Act_Type_Repex_Splits,MATCH($I15,Act_Type_Repex,0),MATCH(BI$4,Mat_Type,0))*INDEX(Escalators!$I$44:$U$49,MATCH(BI$4,Escalators!$C$44:$C$49,0),MATCH(BI$5,Escalators!$I$43:$U$43,0))</f>
        <v>0</v>
      </c>
      <c r="BJ15" s="539">
        <f>INDEX(Lab_Mat!$K$6:$N$9,MATCH($H15,Lab_Mat!$J$6:$J$9,0),MATCH($BK$4,Lab_Mat!$K$5:$N$5,0))*$O15*INDEX(Act_Type_Repex_Splits,MATCH($I15,Act_Type_Repex,0),MATCH(BJ$4,Mat_Type,0))*INDEX(Escalators!$I$44:$U$49,MATCH(BJ$4,Escalators!$C$44:$C$49,0),MATCH(BJ$5,Escalators!$I$43:$U$43,0))</f>
        <v>0</v>
      </c>
      <c r="BK15" s="539">
        <f>SUM(BF15:BJ15)</f>
        <v>0</v>
      </c>
      <c r="BL15" s="539">
        <f>INDEX(Lab_Mat!$K$6:$N$9,MATCH($H15,Lab_Mat!$J$6:$J$9,0),MATCH($BQ$4,Lab_Mat!$K$5:$N$5,0))*$P15*INDEX(Act_Type_Repex_Splits,MATCH($I15,Act_Type_Repex,0),MATCH(BL$4,Mat_Type,0))*INDEX(Escalators!$I$44:$U$49,MATCH(BL$4,Escalators!$C$44:$C$49,0),MATCH(BL$5,Escalators!$I$43:$U$43,0))</f>
        <v>0</v>
      </c>
      <c r="BM15" s="539">
        <f>INDEX(Lab_Mat!$K$6:$N$9,MATCH($H15,Lab_Mat!$J$6:$J$9,0),MATCH($BQ$4,Lab_Mat!$K$5:$N$5,0))*$P15*INDEX(Act_Type_Repex_Splits,MATCH($I15,Act_Type_Repex,0),MATCH(BM$4,Mat_Type,0))*INDEX(Escalators!$I$44:$U$49,MATCH(BM$4,Escalators!$C$44:$C$49,0),MATCH(BM$5,Escalators!$I$43:$U$43,0))</f>
        <v>0</v>
      </c>
      <c r="BN15" s="539">
        <f>INDEX(Lab_Mat!$K$6:$N$9,MATCH($H15,Lab_Mat!$J$6:$J$9,0),MATCH($BQ$4,Lab_Mat!$K$5:$N$5,0))*$P15*INDEX(Act_Type_Repex_Splits,MATCH($I15,Act_Type_Repex,0),MATCH(BN$4,Mat_Type,0))*INDEX(Escalators!$I$44:$U$49,MATCH(BN$4,Escalators!$C$44:$C$49,0),MATCH(BN$5,Escalators!$I$43:$U$43,0))</f>
        <v>0</v>
      </c>
      <c r="BO15" s="539">
        <f>INDEX(Lab_Mat!$K$6:$N$9,MATCH($H15,Lab_Mat!$J$6:$J$9,0),MATCH($BQ$4,Lab_Mat!$K$5:$N$5,0))*$P15*INDEX(Act_Type_Repex_Splits,MATCH($I15,Act_Type_Repex,0),MATCH(BO$4,Mat_Type,0))*INDEX(Escalators!$I$44:$U$49,MATCH(BO$4,Escalators!$C$44:$C$49,0),MATCH(BO$5,Escalators!$I$43:$U$43,0))</f>
        <v>0</v>
      </c>
      <c r="BP15" s="539">
        <f>INDEX(Lab_Mat!$K$6:$N$9,MATCH($H15,Lab_Mat!$J$6:$J$9,0),MATCH($BQ$4,Lab_Mat!$K$5:$N$5,0))*$P15*INDEX(Act_Type_Repex_Splits,MATCH($I15,Act_Type_Repex,0),MATCH(BP$4,Mat_Type,0))*INDEX(Escalators!$I$44:$U$49,MATCH(BP$4,Escalators!$C$44:$C$49,0),MATCH(BP$5,Escalators!$I$43:$U$43,0))</f>
        <v>0</v>
      </c>
      <c r="BQ15" s="539">
        <f>SUM(BL15:BP15)</f>
        <v>0</v>
      </c>
      <c r="BR15" s="539">
        <f>INDEX(Lab_Mat!$K$6:$N$9,MATCH($H15,Lab_Mat!$J$6:$J$9,0),MATCH($BW$4,Lab_Mat!$K$5:$N$5,0))*$Q15*INDEX(Act_Type_Repex_Splits,MATCH($I15,Act_Type_Repex,0),MATCH(BR$4,Mat_Type,0))*INDEX(Escalators!$I$44:$U$49,MATCH(BR$4,Escalators!$C$44:$C$49,0),MATCH(BR$5,Escalators!$I$43:$U$43,0))</f>
        <v>0</v>
      </c>
      <c r="BS15" s="539">
        <f>INDEX(Lab_Mat!$K$6:$N$9,MATCH($H15,Lab_Mat!$J$6:$J$9,0),MATCH($BW$4,Lab_Mat!$K$5:$N$5,0))*$Q15*INDEX(Act_Type_Repex_Splits,MATCH($I15,Act_Type_Repex,0),MATCH(BS$4,Mat_Type,0))*INDEX(Escalators!$I$44:$U$49,MATCH(BS$4,Escalators!$C$44:$C$49,0),MATCH(BS$5,Escalators!$I$43:$U$43,0))</f>
        <v>0</v>
      </c>
      <c r="BT15" s="539">
        <f>INDEX(Lab_Mat!$K$6:$N$9,MATCH($H15,Lab_Mat!$J$6:$J$9,0),MATCH($BW$4,Lab_Mat!$K$5:$N$5,0))*$Q15*INDEX(Act_Type_Repex_Splits,MATCH($I15,Act_Type_Repex,0),MATCH(BT$4,Mat_Type,0))*INDEX(Escalators!$I$44:$U$49,MATCH(BT$4,Escalators!$C$44:$C$49,0),MATCH(BT$5,Escalators!$I$43:$U$43,0))</f>
        <v>0</v>
      </c>
      <c r="BU15" s="539">
        <f>INDEX(Lab_Mat!$K$6:$N$9,MATCH($H15,Lab_Mat!$J$6:$J$9,0),MATCH($BW$4,Lab_Mat!$K$5:$N$5,0))*$Q15*INDEX(Act_Type_Repex_Splits,MATCH($I15,Act_Type_Repex,0),MATCH(BU$4,Mat_Type,0))*INDEX(Escalators!$I$44:$U$49,MATCH(BU$4,Escalators!$C$44:$C$49,0),MATCH(BU$5,Escalators!$I$43:$U$43,0))</f>
        <v>0</v>
      </c>
      <c r="BV15" s="539">
        <f>INDEX(Lab_Mat!$K$6:$N$9,MATCH($H15,Lab_Mat!$J$6:$J$9,0),MATCH($BW$4,Lab_Mat!$K$5:$N$5,0))*$Q15*INDEX(Act_Type_Repex_Splits,MATCH($I15,Act_Type_Repex,0),MATCH(BV$4,Mat_Type,0))*INDEX(Escalators!$I$44:$U$49,MATCH(BV$4,Escalators!$C$44:$C$49,0),MATCH(BV$5,Escalators!$I$43:$U$43,0))</f>
        <v>0</v>
      </c>
      <c r="BW15" s="539">
        <f>SUM(BR15:BV15)</f>
        <v>0</v>
      </c>
      <c r="BX15" s="241"/>
      <c r="BY15" s="539">
        <f>INDEX(Lab_Mat!$K$6:$N$9,MATCH($H15,Lab_Mat!$J$6:$J$9,0),MATCH($BY$4,Lab_Mat!$K$5:$N$5,0))*J15*HLOOKUP(BY$5,Escalators!$I$25:$U$30,6,FALSE)</f>
        <v>0</v>
      </c>
      <c r="BZ15" s="539">
        <f>INDEX(Lab_Mat!$K$6:$N$9,MATCH($H15,Lab_Mat!$J$6:$J$9,0),MATCH($BY$4,Lab_Mat!$K$5:$N$5,0))*K15*HLOOKUP(BZ$5,Escalators!$I$25:$U$30,6,FALSE)</f>
        <v>0</v>
      </c>
      <c r="CA15" s="539">
        <f>INDEX(Lab_Mat!$K$6:$N$9,MATCH($H15,Lab_Mat!$J$6:$J$9,0),MATCH($BY$4,Lab_Mat!$K$5:$N$5,0))*L15*HLOOKUP(CA$5,Escalators!$I$25:$U$30,6,FALSE)</f>
        <v>0</v>
      </c>
      <c r="CB15" s="539">
        <f>INDEX(Lab_Mat!$K$6:$N$9,MATCH($H15,Lab_Mat!$J$6:$J$9,0),MATCH($BY$4,Lab_Mat!$K$5:$N$5,0))*M15*HLOOKUP(CB$5,Escalators!$I$25:$U$30,6,FALSE)</f>
        <v>463.75841770565415</v>
      </c>
      <c r="CC15" s="539">
        <f>INDEX(Lab_Mat!$K$6:$N$9,MATCH($H15,Lab_Mat!$J$6:$J$9,0),MATCH($BY$4,Lab_Mat!$K$5:$N$5,0))*N15*HLOOKUP(CC$5,Escalators!$I$25:$U$30,6,FALSE)</f>
        <v>198.30529483295842</v>
      </c>
      <c r="CD15" s="539">
        <f>INDEX(Lab_Mat!$K$6:$N$9,MATCH($H15,Lab_Mat!$J$6:$J$9,0),MATCH($BY$4,Lab_Mat!$K$5:$N$5,0))*O15*HLOOKUP(CD$5,Escalators!$I$25:$U$30,6,FALSE)</f>
        <v>0</v>
      </c>
      <c r="CE15" s="539">
        <f>INDEX(Lab_Mat!$K$6:$N$9,MATCH($H15,Lab_Mat!$J$6:$J$9,0),MATCH($BY$4,Lab_Mat!$K$5:$N$5,0))*P15*HLOOKUP(CE$5,Escalators!$I$25:$U$30,6,FALSE)</f>
        <v>0</v>
      </c>
      <c r="CF15" s="539">
        <f>INDEX(Lab_Mat!$K$6:$N$9,MATCH($H15,Lab_Mat!$J$6:$J$9,0),MATCH($BY$4,Lab_Mat!$K$5:$N$5,0))*Q15*HLOOKUP(CF$5,Escalators!$I$25:$U$30,6,FALSE)</f>
        <v>0</v>
      </c>
      <c r="CG15" s="241"/>
      <c r="CH15" s="540">
        <f>INDEX(Lab_Mat!$K$6:$N$9,MATCH($H15,Lab_Mat!$J$6:$J$9,0),MATCH($CH$4,Lab_Mat!$K$5:$N$5,0))*J15</f>
        <v>0</v>
      </c>
      <c r="CI15" s="540">
        <f>INDEX(Lab_Mat!$K$6:$N$9,MATCH($H15,Lab_Mat!$J$6:$J$9,0),MATCH($CH$4,Lab_Mat!$K$5:$N$5,0))*K15</f>
        <v>0</v>
      </c>
      <c r="CJ15" s="540">
        <f>INDEX(Lab_Mat!$K$6:$N$9,MATCH($H15,Lab_Mat!$J$6:$J$9,0),MATCH($CH$4,Lab_Mat!$K$5:$N$5,0))*L15</f>
        <v>0</v>
      </c>
      <c r="CK15" s="540">
        <f>INDEX(Lab_Mat!$K$6:$N$9,MATCH($H15,Lab_Mat!$J$6:$J$9,0),MATCH($CH$4,Lab_Mat!$K$5:$N$5,0))*M15</f>
        <v>184.45262728480037</v>
      </c>
      <c r="CL15" s="540">
        <f>INDEX(Lab_Mat!$K$6:$N$9,MATCH($H15,Lab_Mat!$J$6:$J$9,0),MATCH($CH$4,Lab_Mat!$K$5:$N$5,0))*N15</f>
        <v>78.872816621610113</v>
      </c>
      <c r="CM15" s="540">
        <f>INDEX(Lab_Mat!$K$6:$N$9,MATCH($H15,Lab_Mat!$J$6:$J$9,0),MATCH($CH$4,Lab_Mat!$K$5:$N$5,0))*O15</f>
        <v>0</v>
      </c>
      <c r="CN15" s="540">
        <f>INDEX(Lab_Mat!$K$6:$N$9,MATCH($H15,Lab_Mat!$J$6:$J$9,0),MATCH($CH$4,Lab_Mat!$K$5:$N$5,0))*P15</f>
        <v>0</v>
      </c>
      <c r="CO15" s="540">
        <f>INDEX(Lab_Mat!$K$6:$N$9,MATCH($H15,Lab_Mat!$J$6:$J$9,0),MATCH($CH$4,Lab_Mat!$K$5:$N$5,0))*Q15</f>
        <v>0</v>
      </c>
      <c r="CP15" s="241"/>
      <c r="CQ15" s="539">
        <f t="shared" si="25"/>
        <v>0</v>
      </c>
      <c r="CR15" s="539">
        <f t="shared" si="26"/>
        <v>0</v>
      </c>
      <c r="CS15" s="539">
        <f t="shared" si="24"/>
        <v>0</v>
      </c>
      <c r="CT15" s="539">
        <f t="shared" si="27"/>
        <v>2367.3044631078483</v>
      </c>
      <c r="CU15" s="539">
        <f t="shared" si="28"/>
        <v>1011.7987864053268</v>
      </c>
      <c r="CV15" s="539">
        <f t="shared" si="29"/>
        <v>0</v>
      </c>
      <c r="CW15" s="539">
        <f t="shared" si="30"/>
        <v>0</v>
      </c>
      <c r="CX15" s="539">
        <f t="shared" si="31"/>
        <v>0</v>
      </c>
      <c r="CY15" s="56"/>
    </row>
    <row r="16" spans="2:109" hidden="1" x14ac:dyDescent="0.25">
      <c r="B16" s="7"/>
      <c r="C16" s="7" t="s">
        <v>413</v>
      </c>
      <c r="D16" s="7" t="s">
        <v>697</v>
      </c>
      <c r="E16" s="7" t="s">
        <v>45</v>
      </c>
      <c r="F16" s="7" t="s">
        <v>55</v>
      </c>
      <c r="G16" s="7" t="s">
        <v>10</v>
      </c>
      <c r="H16" s="7" t="s">
        <v>561</v>
      </c>
      <c r="I16" s="7" t="s">
        <v>186</v>
      </c>
      <c r="J16" s="45"/>
      <c r="K16" s="45"/>
      <c r="L16" s="45"/>
      <c r="M16" s="539">
        <v>1487.9347865858472</v>
      </c>
      <c r="N16" s="539">
        <v>636.2479585942491</v>
      </c>
      <c r="O16" s="539">
        <v>0</v>
      </c>
      <c r="P16" s="539"/>
      <c r="Q16" s="539"/>
      <c r="R16" s="241"/>
      <c r="S16" s="539">
        <f>INDEX(Lab_Mat!$K$6:$N$9,MATCH($H16,Lab_Mat!$J$6:$J$9,0),MATCH($S$4,Lab_Mat!$K$5:$N$5,0))*J16*HLOOKUP(S$5,Escalators!$I$25:$U$30,3,FALSE)</f>
        <v>0</v>
      </c>
      <c r="T16" s="539">
        <f>INDEX(Lab_Mat!$K$6:$N$9,MATCH($H16,Lab_Mat!$J$6:$J$9,0),MATCH($S$4,Lab_Mat!$K$5:$N$5,0))*K16*HLOOKUP(T$5,Escalators!$I$25:$U$30,3,FALSE)</f>
        <v>0</v>
      </c>
      <c r="U16" s="539">
        <f>INDEX(Lab_Mat!$K$6:$N$9,MATCH($H16,Lab_Mat!$J$6:$J$9,0),MATCH($S$4,Lab_Mat!$K$5:$N$5,0))*L16*HLOOKUP(U$5,Escalators!$I$25:$U$30,3,FALSE)</f>
        <v>0</v>
      </c>
      <c r="V16" s="539">
        <f>INDEX(Lab_Mat!$K$6:$N$9,MATCH($H16,Lab_Mat!$J$6:$J$9,0),MATCH($S$4,Lab_Mat!$K$5:$N$5,0))*M16*HLOOKUP(V$5,Escalators!$I$25:$U$30,3,FALSE)</f>
        <v>241.85643057261942</v>
      </c>
      <c r="W16" s="539">
        <f>INDEX(Lab_Mat!$K$6:$N$9,MATCH($H16,Lab_Mat!$J$6:$J$9,0),MATCH($S$4,Lab_Mat!$K$5:$N$5,0))*N16*HLOOKUP(W$5,Escalators!$I$25:$U$30,3,FALSE)</f>
        <v>103.16064136520853</v>
      </c>
      <c r="X16" s="539">
        <f>INDEX(Lab_Mat!$K$6:$N$9,MATCH($H16,Lab_Mat!$J$6:$J$9,0),MATCH($S$4,Lab_Mat!$K$5:$N$5,0))*O16*HLOOKUP(X$5,Escalators!$I$25:$U$30,3,FALSE)</f>
        <v>0</v>
      </c>
      <c r="Y16" s="539">
        <f>INDEX(Lab_Mat!$K$6:$N$9,MATCH($H16,Lab_Mat!$J$6:$J$9,0),MATCH($S$4,Lab_Mat!$K$5:$N$5,0))*P16*HLOOKUP(Y$5,Escalators!$I$25:$U$30,3,FALSE)</f>
        <v>0</v>
      </c>
      <c r="Z16" s="539">
        <f>INDEX(Lab_Mat!$K$6:$N$9,MATCH($H16,Lab_Mat!$J$6:$J$9,0),MATCH($S$4,Lab_Mat!$K$5:$N$5,0))*Q16*HLOOKUP(Z$5,Escalators!$I$25:$U$30,3,FALSE)</f>
        <v>0</v>
      </c>
      <c r="AA16" s="241"/>
      <c r="AB16" s="539">
        <f>INDEX(Lab_Mat!$K$6:$N$9,MATCH($H16,Lab_Mat!$J$6:$J$9,0),MATCH($AG$4,Lab_Mat!$K$5:$N$5,0))*$J16*INDEX(Act_Type_Repex_Splits,MATCH($I16,Act_Type_Repex,0),MATCH(AB$4,Mat_Type,0))*INDEX(Escalators!$I$44:$Q$49,MATCH(AB$4,Escalators!$C$44:$C$49,0),MATCH(AB$5,Escalators!$I$43:$Q$43,0))</f>
        <v>0</v>
      </c>
      <c r="AC16" s="539">
        <f>INDEX(Lab_Mat!$K$6:$N$9,MATCH($H16,Lab_Mat!$J$6:$J$9,0),MATCH($AG$4,Lab_Mat!$K$5:$N$5,0))*$J16*INDEX(Act_Type_Repex_Splits,MATCH($I16,Act_Type_Repex,0),MATCH(AC$4,Mat_Type,0))*INDEX(Escalators!$I$44:$Q$49,MATCH(AC$4,Escalators!$C$44:$C$49,0),MATCH(AC$5,Escalators!$I$43:$Q$43,0))</f>
        <v>0</v>
      </c>
      <c r="AD16" s="539">
        <f>INDEX(Lab_Mat!$K$6:$N$9,MATCH($H16,Lab_Mat!$J$6:$J$9,0),MATCH($AG$4,Lab_Mat!$K$5:$N$5,0))*$J16*INDEX(Act_Type_Repex_Splits,MATCH($I16,Act_Type_Repex,0),MATCH(AD$4,Mat_Type,0))*INDEX(Escalators!$I$44:$Q$49,MATCH(AD$4,Escalators!$C$44:$C$49,0),MATCH(AD$5,Escalators!$I$43:$Q$43,0))</f>
        <v>0</v>
      </c>
      <c r="AE16" s="539">
        <f>INDEX(Lab_Mat!$K$6:$N$9,MATCH($H16,Lab_Mat!$J$6:$J$9,0),MATCH($AG$4,Lab_Mat!$K$5:$N$5,0))*$J16*INDEX(Act_Type_Repex_Splits,MATCH($I16,Act_Type_Repex,0),MATCH(AE$4,Mat_Type,0))*INDEX(Escalators!$I$44:$Q$49,MATCH(AE$4,Escalators!$C$44:$C$49,0),MATCH(AE$5,Escalators!$I$43:$Q$43,0))</f>
        <v>0</v>
      </c>
      <c r="AF16" s="539">
        <f>INDEX(Lab_Mat!$K$6:$N$9,MATCH($H16,Lab_Mat!$J$6:$J$9,0),MATCH($AG$4,Lab_Mat!$K$5:$N$5,0))*$J16*INDEX(Act_Type_Repex_Splits,MATCH($I16,Act_Type_Repex,0),MATCH(AF$4,Mat_Type,0))*INDEX(Escalators!$I$44:$Q$49,MATCH(AF$4,Escalators!$C$44:$C$49,0),MATCH(AF$5,Escalators!$I$43:$Q$43,0))</f>
        <v>0</v>
      </c>
      <c r="AG16" s="539">
        <f t="shared" ref="AG16:AG20" si="32">SUM(AB16:AF16)</f>
        <v>0</v>
      </c>
      <c r="AH16" s="539">
        <f>INDEX(Lab_Mat!$K$6:$N$9,MATCH($H16,Lab_Mat!$J$6:$J$9,0),MATCH($AY$4,Lab_Mat!$K$5:$N$5,0))*$K16*INDEX(Act_Type_Repex_Splits,MATCH($I16,Act_Type_Repex,0),MATCH(AH$4,Mat_Type,0))*INDEX(Escalators!$I$44:$U$49,MATCH(AH$4,Escalators!$C$44:$C$49,0),MATCH(AH$5,Escalators!$I$43:$U$43,0))</f>
        <v>0</v>
      </c>
      <c r="AI16" s="539">
        <f>INDEX(Lab_Mat!$K$6:$N$9,MATCH($H16,Lab_Mat!$J$6:$J$9,0),MATCH($AY$4,Lab_Mat!$K$5:$N$5,0))*$K16*INDEX(Act_Type_Repex_Splits,MATCH($I16,Act_Type_Repex,0),MATCH(AI$4,Mat_Type,0))*INDEX(Escalators!$I$44:$U$49,MATCH(AI$4,Escalators!$C$44:$C$49,0),MATCH(AI$5,Escalators!$I$43:$U$43,0))</f>
        <v>0</v>
      </c>
      <c r="AJ16" s="539">
        <f>INDEX(Lab_Mat!$K$6:$N$9,MATCH($H16,Lab_Mat!$J$6:$J$9,0),MATCH($AY$4,Lab_Mat!$K$5:$N$5,0))*$K16*INDEX(Act_Type_Repex_Splits,MATCH($I16,Act_Type_Repex,0),MATCH(AJ$4,Mat_Type,0))*INDEX(Escalators!$I$44:$U$49,MATCH(AJ$4,Escalators!$C$44:$C$49,0),MATCH(AJ$5,Escalators!$I$43:$U$43,0))</f>
        <v>0</v>
      </c>
      <c r="AK16" s="539">
        <f>INDEX(Lab_Mat!$K$6:$N$9,MATCH($H16,Lab_Mat!$J$6:$J$9,0),MATCH($AY$4,Lab_Mat!$K$5:$N$5,0))*$K16*INDEX(Act_Type_Repex_Splits,MATCH($I16,Act_Type_Repex,0),MATCH(AK$4,Mat_Type,0))*INDEX(Escalators!$I$44:$U$49,MATCH(AK$4,Escalators!$C$44:$C$49,0),MATCH(AK$5,Escalators!$I$43:$U$43,0))</f>
        <v>0</v>
      </c>
      <c r="AL16" s="539">
        <f>INDEX(Lab_Mat!$K$6:$N$9,MATCH($H16,Lab_Mat!$J$6:$J$9,0),MATCH($AY$4,Lab_Mat!$K$5:$N$5,0))*$K16*INDEX(Act_Type_Repex_Splits,MATCH($I16,Act_Type_Repex,0),MATCH(AL$4,Mat_Type,0))*INDEX(Escalators!$I$44:$U$49,MATCH(AL$4,Escalators!$C$44:$C$49,0),MATCH(AL$5,Escalators!$I$43:$U$43,0))</f>
        <v>0</v>
      </c>
      <c r="AM16" s="539">
        <f t="shared" ref="AM16:AM20" si="33">SUM(AH16:AL16)</f>
        <v>0</v>
      </c>
      <c r="AN16" s="539">
        <f>INDEX(Lab_Mat!$K$6:$N$9,MATCH($H16,Lab_Mat!$J$6:$J$9,0),MATCH($AY$4,Lab_Mat!$K$5:$N$5,0))*$L16*INDEX(Act_Type_Repex_Splits,MATCH($I16,Act_Type_Repex,0),MATCH(AN$4,Mat_Type,0))*INDEX(Escalators!$I$44:$U$49,MATCH(AN$4,Escalators!$C$44:$C$49,0),MATCH(AN$5,Escalators!$I$43:$U$43,0))</f>
        <v>0</v>
      </c>
      <c r="AO16" s="539">
        <f>INDEX(Lab_Mat!$K$6:$N$9,MATCH($H16,Lab_Mat!$J$6:$J$9,0),MATCH($AY$4,Lab_Mat!$K$5:$N$5,0))*$L16*INDEX(Act_Type_Repex_Splits,MATCH($I16,Act_Type_Repex,0),MATCH(AO$4,Mat_Type,0))*INDEX(Escalators!$I$44:$U$49,MATCH(AO$4,Escalators!$C$44:$C$49,0),MATCH(AO$5,Escalators!$I$43:$U$43,0))</f>
        <v>0</v>
      </c>
      <c r="AP16" s="539">
        <f>INDEX(Lab_Mat!$K$6:$N$9,MATCH($H16,Lab_Mat!$J$6:$J$9,0),MATCH($AY$4,Lab_Mat!$K$5:$N$5,0))*$L16*INDEX(Act_Type_Repex_Splits,MATCH($I16,Act_Type_Repex,0),MATCH(AP$4,Mat_Type,0))*INDEX(Escalators!$I$44:$U$49,MATCH(AP$4,Escalators!$C$44:$C$49,0),MATCH(AP$5,Escalators!$I$43:$U$43,0))</f>
        <v>0</v>
      </c>
      <c r="AQ16" s="539">
        <f>INDEX(Lab_Mat!$K$6:$N$9,MATCH($H16,Lab_Mat!$J$6:$J$9,0),MATCH($AY$4,Lab_Mat!$K$5:$N$5,0))*$L16*INDEX(Act_Type_Repex_Splits,MATCH($I16,Act_Type_Repex,0),MATCH(AQ$4,Mat_Type,0))*INDEX(Escalators!$I$44:$U$49,MATCH(AQ$4,Escalators!$C$44:$C$49,0),MATCH(AQ$5,Escalators!$I$43:$U$43,0))</f>
        <v>0</v>
      </c>
      <c r="AR16" s="539">
        <f>INDEX(Lab_Mat!$K$6:$N$9,MATCH($H16,Lab_Mat!$J$6:$J$9,0),MATCH($AY$4,Lab_Mat!$K$5:$N$5,0))*$L16*INDEX(Act_Type_Repex_Splits,MATCH($I16,Act_Type_Repex,0),MATCH(AR$4,Mat_Type,0))*INDEX(Escalators!$I$44:$U$49,MATCH(AR$4,Escalators!$C$44:$C$49,0),MATCH(AR$5,Escalators!$I$43:$U$43,0))</f>
        <v>0</v>
      </c>
      <c r="AS16" s="539">
        <f t="shared" ref="AS16:AS20" si="34">SUM(AN16:AR16)</f>
        <v>0</v>
      </c>
      <c r="AT16" s="539">
        <f>INDEX(Lab_Mat!$K$6:$N$9,MATCH($H16,Lab_Mat!$J$6:$J$9,0),MATCH($AY$4,Lab_Mat!$K$5:$N$5,0))*$M16*INDEX(Act_Type_Repex_Splits,MATCH($I16,Act_Type_Repex,0),MATCH(AT$4,Mat_Type,0))*INDEX(Escalators!$I$44:$U$49,MATCH(AT$4,Escalators!$C$44:$C$49,0),MATCH(AT$5,Escalators!$I$43:$U$43,0))</f>
        <v>0</v>
      </c>
      <c r="AU16" s="539">
        <f>INDEX(Lab_Mat!$K$6:$N$9,MATCH($H16,Lab_Mat!$J$6:$J$9,0),MATCH($AY$4,Lab_Mat!$K$5:$N$5,0))*$M16*INDEX(Act_Type_Repex_Splits,MATCH($I16,Act_Type_Repex,0),MATCH(AU$4,Mat_Type,0))*INDEX(Escalators!$I$44:$U$49,MATCH(AU$4,Escalators!$C$44:$C$49,0),MATCH(AU$5,Escalators!$I$43:$U$43,0))</f>
        <v>148.68110940951649</v>
      </c>
      <c r="AV16" s="539">
        <f>INDEX(Lab_Mat!$K$6:$N$9,MATCH($H16,Lab_Mat!$J$6:$J$9,0),MATCH($AY$4,Lab_Mat!$K$5:$N$5,0))*$M16*INDEX(Act_Type_Repex_Splits,MATCH($I16,Act_Type_Repex,0),MATCH(AV$4,Mat_Type,0))*INDEX(Escalators!$I$44:$U$49,MATCH(AV$4,Escalators!$C$44:$C$49,0),MATCH(AV$5,Escalators!$I$43:$U$43,0))</f>
        <v>297.36221881903299</v>
      </c>
      <c r="AW16" s="539">
        <f>INDEX(Lab_Mat!$K$6:$N$9,MATCH($H16,Lab_Mat!$J$6:$J$9,0),MATCH($AY$4,Lab_Mat!$K$5:$N$5,0))*$M16*INDEX(Act_Type_Repex_Splits,MATCH($I16,Act_Type_Repex,0),MATCH(AW$4,Mat_Type,0))*INDEX(Escalators!$I$44:$U$49,MATCH(AW$4,Escalators!$C$44:$C$49,0),MATCH(AW$5,Escalators!$I$43:$U$43,0))</f>
        <v>49.560369803172172</v>
      </c>
      <c r="AX16" s="539">
        <f>INDEX(Lab_Mat!$K$6:$N$9,MATCH($H16,Lab_Mat!$J$6:$J$9,0),MATCH($AY$4,Lab_Mat!$K$5:$N$5,0))*$M16*INDEX(Act_Type_Repex_Splits,MATCH($I16,Act_Type_Repex,0),MATCH(AX$4,Mat_Type,0))*INDEX(Escalators!$I$44:$U$49,MATCH(AX$4,Escalators!$C$44:$C$49,0),MATCH(AX$5,Escalators!$I$43:$U$43,0))</f>
        <v>0</v>
      </c>
      <c r="AY16" s="539">
        <f t="shared" ref="AY16:AY20" si="35">SUM(AT16:AX16)</f>
        <v>495.60369803172171</v>
      </c>
      <c r="AZ16" s="539">
        <f>INDEX(Lab_Mat!$K$6:$N$9,MATCH($H16,Lab_Mat!$J$6:$J$9,0),MATCH($BE$4,Lab_Mat!$K$5:$N$5,0))*$N16*INDEX(Act_Type_Repex_Splits,MATCH($I16,Act_Type_Repex,0),MATCH(AZ$4,Mat_Type,0))*INDEX(Escalators!$I$44:$U$49,MATCH(AZ$4,Escalators!$C$44:$C$49,0),MATCH(AZ$5,Escalators!$I$43:$U$43,0))</f>
        <v>0</v>
      </c>
      <c r="BA16" s="539">
        <f>INDEX(Lab_Mat!$K$6:$N$9,MATCH($H16,Lab_Mat!$J$6:$J$9,0),MATCH($BE$4,Lab_Mat!$K$5:$N$5,0))*$N16*INDEX(Act_Type_Repex_Splits,MATCH($I16,Act_Type_Repex,0),MATCH(BA$4,Mat_Type,0))*INDEX(Escalators!$I$44:$U$49,MATCH(BA$4,Escalators!$C$44:$C$49,0),MATCH(BA$5,Escalators!$I$43:$U$43,0))</f>
        <v>63.576746236569825</v>
      </c>
      <c r="BB16" s="539">
        <f>INDEX(Lab_Mat!$K$6:$N$9,MATCH($H16,Lab_Mat!$J$6:$J$9,0),MATCH($BE$4,Lab_Mat!$K$5:$N$5,0))*$N16*INDEX(Act_Type_Repex_Splits,MATCH($I16,Act_Type_Repex,0),MATCH(BB$4,Mat_Type,0))*INDEX(Escalators!$I$44:$U$49,MATCH(BB$4,Escalators!$C$44:$C$49,0),MATCH(BB$5,Escalators!$I$43:$U$43,0))</f>
        <v>127.15349247313965</v>
      </c>
      <c r="BC16" s="539">
        <f>INDEX(Lab_Mat!$K$6:$N$9,MATCH($H16,Lab_Mat!$J$6:$J$9,0),MATCH($BE$4,Lab_Mat!$K$5:$N$5,0))*$N16*INDEX(Act_Type_Repex_Splits,MATCH($I16,Act_Type_Repex,0),MATCH(BC$4,Mat_Type,0))*INDEX(Escalators!$I$44:$U$49,MATCH(BC$4,Escalators!$C$44:$C$49,0),MATCH(BC$5,Escalators!$I$43:$U$43,0))</f>
        <v>21.192248745523276</v>
      </c>
      <c r="BD16" s="539">
        <f>INDEX(Lab_Mat!$K$6:$N$9,MATCH($H16,Lab_Mat!$J$6:$J$9,0),MATCH($BE$4,Lab_Mat!$K$5:$N$5,0))*$N16*INDEX(Act_Type_Repex_Splits,MATCH($I16,Act_Type_Repex,0),MATCH(BD$4,Mat_Type,0))*INDEX(Escalators!$I$44:$U$49,MATCH(BD$4,Escalators!$C$44:$C$49,0),MATCH(BD$5,Escalators!$I$43:$U$43,0))</f>
        <v>0</v>
      </c>
      <c r="BE16" s="539">
        <f t="shared" ref="BE16:BE20" si="36">SUM(AZ16:BD16)</f>
        <v>211.92248745523275</v>
      </c>
      <c r="BF16" s="539">
        <f>INDEX(Lab_Mat!$K$6:$N$9,MATCH($H16,Lab_Mat!$J$6:$J$9,0),MATCH($BK$4,Lab_Mat!$K$5:$N$5,0))*$O16*INDEX(Act_Type_Repex_Splits,MATCH($I16,Act_Type_Repex,0),MATCH(BF$4,Mat_Type,0))*INDEX(Escalators!$I$44:$U$49,MATCH(BF$4,Escalators!$C$44:$C$49,0),MATCH(BF$5,Escalators!$I$43:$U$43,0))</f>
        <v>0</v>
      </c>
      <c r="BG16" s="539">
        <f>INDEX(Lab_Mat!$K$6:$N$9,MATCH($H16,Lab_Mat!$J$6:$J$9,0),MATCH($BK$4,Lab_Mat!$K$5:$N$5,0))*$O16*INDEX(Act_Type_Repex_Splits,MATCH($I16,Act_Type_Repex,0),MATCH(BG$4,Mat_Type,0))*INDEX(Escalators!$I$44:$U$49,MATCH(BG$4,Escalators!$C$44:$C$49,0),MATCH(BG$5,Escalators!$I$43:$U$43,0))</f>
        <v>0</v>
      </c>
      <c r="BH16" s="539">
        <f>INDEX(Lab_Mat!$K$6:$N$9,MATCH($H16,Lab_Mat!$J$6:$J$9,0),MATCH($BK$4,Lab_Mat!$K$5:$N$5,0))*$O16*INDEX(Act_Type_Repex_Splits,MATCH($I16,Act_Type_Repex,0),MATCH(BH$4,Mat_Type,0))*INDEX(Escalators!$I$44:$U$49,MATCH(BH$4,Escalators!$C$44:$C$49,0),MATCH(BH$5,Escalators!$I$43:$U$43,0))</f>
        <v>0</v>
      </c>
      <c r="BI16" s="539">
        <f>INDEX(Lab_Mat!$K$6:$N$9,MATCH($H16,Lab_Mat!$J$6:$J$9,0),MATCH($BK$4,Lab_Mat!$K$5:$N$5,0))*$O16*INDEX(Act_Type_Repex_Splits,MATCH($I16,Act_Type_Repex,0),MATCH(BI$4,Mat_Type,0))*INDEX(Escalators!$I$44:$U$49,MATCH(BI$4,Escalators!$C$44:$C$49,0),MATCH(BI$5,Escalators!$I$43:$U$43,0))</f>
        <v>0</v>
      </c>
      <c r="BJ16" s="539">
        <f>INDEX(Lab_Mat!$K$6:$N$9,MATCH($H16,Lab_Mat!$J$6:$J$9,0),MATCH($BK$4,Lab_Mat!$K$5:$N$5,0))*$O16*INDEX(Act_Type_Repex_Splits,MATCH($I16,Act_Type_Repex,0),MATCH(BJ$4,Mat_Type,0))*INDEX(Escalators!$I$44:$U$49,MATCH(BJ$4,Escalators!$C$44:$C$49,0),MATCH(BJ$5,Escalators!$I$43:$U$43,0))</f>
        <v>0</v>
      </c>
      <c r="BK16" s="539">
        <f t="shared" ref="BK16:BK20" si="37">SUM(BF16:BJ16)</f>
        <v>0</v>
      </c>
      <c r="BL16" s="539">
        <f>INDEX(Lab_Mat!$K$6:$N$9,MATCH($H16,Lab_Mat!$J$6:$J$9,0),MATCH($BQ$4,Lab_Mat!$K$5:$N$5,0))*$P16*INDEX(Act_Type_Repex_Splits,MATCH($I16,Act_Type_Repex,0),MATCH(BL$4,Mat_Type,0))*INDEX(Escalators!$I$44:$U$49,MATCH(BL$4,Escalators!$C$44:$C$49,0),MATCH(BL$5,Escalators!$I$43:$U$43,0))</f>
        <v>0</v>
      </c>
      <c r="BM16" s="539">
        <f>INDEX(Lab_Mat!$K$6:$N$9,MATCH($H16,Lab_Mat!$J$6:$J$9,0),MATCH($BQ$4,Lab_Mat!$K$5:$N$5,0))*$P16*INDEX(Act_Type_Repex_Splits,MATCH($I16,Act_Type_Repex,0),MATCH(BM$4,Mat_Type,0))*INDEX(Escalators!$I$44:$U$49,MATCH(BM$4,Escalators!$C$44:$C$49,0),MATCH(BM$5,Escalators!$I$43:$U$43,0))</f>
        <v>0</v>
      </c>
      <c r="BN16" s="539">
        <f>INDEX(Lab_Mat!$K$6:$N$9,MATCH($H16,Lab_Mat!$J$6:$J$9,0),MATCH($BQ$4,Lab_Mat!$K$5:$N$5,0))*$P16*INDEX(Act_Type_Repex_Splits,MATCH($I16,Act_Type_Repex,0),MATCH(BN$4,Mat_Type,0))*INDEX(Escalators!$I$44:$U$49,MATCH(BN$4,Escalators!$C$44:$C$49,0),MATCH(BN$5,Escalators!$I$43:$U$43,0))</f>
        <v>0</v>
      </c>
      <c r="BO16" s="539">
        <f>INDEX(Lab_Mat!$K$6:$N$9,MATCH($H16,Lab_Mat!$J$6:$J$9,0),MATCH($BQ$4,Lab_Mat!$K$5:$N$5,0))*$P16*INDEX(Act_Type_Repex_Splits,MATCH($I16,Act_Type_Repex,0),MATCH(BO$4,Mat_Type,0))*INDEX(Escalators!$I$44:$U$49,MATCH(BO$4,Escalators!$C$44:$C$49,0),MATCH(BO$5,Escalators!$I$43:$U$43,0))</f>
        <v>0</v>
      </c>
      <c r="BP16" s="539">
        <f>INDEX(Lab_Mat!$K$6:$N$9,MATCH($H16,Lab_Mat!$J$6:$J$9,0),MATCH($BQ$4,Lab_Mat!$K$5:$N$5,0))*$P16*INDEX(Act_Type_Repex_Splits,MATCH($I16,Act_Type_Repex,0),MATCH(BP$4,Mat_Type,0))*INDEX(Escalators!$I$44:$U$49,MATCH(BP$4,Escalators!$C$44:$C$49,0),MATCH(BP$5,Escalators!$I$43:$U$43,0))</f>
        <v>0</v>
      </c>
      <c r="BQ16" s="539">
        <f t="shared" ref="BQ16:BQ20" si="38">SUM(BL16:BP16)</f>
        <v>0</v>
      </c>
      <c r="BR16" s="539">
        <f>INDEX(Lab_Mat!$K$6:$N$9,MATCH($H16,Lab_Mat!$J$6:$J$9,0),MATCH($BW$4,Lab_Mat!$K$5:$N$5,0))*$Q16*INDEX(Act_Type_Repex_Splits,MATCH($I16,Act_Type_Repex,0),MATCH(BR$4,Mat_Type,0))*INDEX(Escalators!$I$44:$U$49,MATCH(BR$4,Escalators!$C$44:$C$49,0),MATCH(BR$5,Escalators!$I$43:$U$43,0))</f>
        <v>0</v>
      </c>
      <c r="BS16" s="539">
        <f>INDEX(Lab_Mat!$K$6:$N$9,MATCH($H16,Lab_Mat!$J$6:$J$9,0),MATCH($BW$4,Lab_Mat!$K$5:$N$5,0))*$Q16*INDEX(Act_Type_Repex_Splits,MATCH($I16,Act_Type_Repex,0),MATCH(BS$4,Mat_Type,0))*INDEX(Escalators!$I$44:$U$49,MATCH(BS$4,Escalators!$C$44:$C$49,0),MATCH(BS$5,Escalators!$I$43:$U$43,0))</f>
        <v>0</v>
      </c>
      <c r="BT16" s="539">
        <f>INDEX(Lab_Mat!$K$6:$N$9,MATCH($H16,Lab_Mat!$J$6:$J$9,0),MATCH($BW$4,Lab_Mat!$K$5:$N$5,0))*$Q16*INDEX(Act_Type_Repex_Splits,MATCH($I16,Act_Type_Repex,0),MATCH(BT$4,Mat_Type,0))*INDEX(Escalators!$I$44:$U$49,MATCH(BT$4,Escalators!$C$44:$C$49,0),MATCH(BT$5,Escalators!$I$43:$U$43,0))</f>
        <v>0</v>
      </c>
      <c r="BU16" s="539">
        <f>INDEX(Lab_Mat!$K$6:$N$9,MATCH($H16,Lab_Mat!$J$6:$J$9,0),MATCH($BW$4,Lab_Mat!$K$5:$N$5,0))*$Q16*INDEX(Act_Type_Repex_Splits,MATCH($I16,Act_Type_Repex,0),MATCH(BU$4,Mat_Type,0))*INDEX(Escalators!$I$44:$U$49,MATCH(BU$4,Escalators!$C$44:$C$49,0),MATCH(BU$5,Escalators!$I$43:$U$43,0))</f>
        <v>0</v>
      </c>
      <c r="BV16" s="539">
        <f>INDEX(Lab_Mat!$K$6:$N$9,MATCH($H16,Lab_Mat!$J$6:$J$9,0),MATCH($BW$4,Lab_Mat!$K$5:$N$5,0))*$Q16*INDEX(Act_Type_Repex_Splits,MATCH($I16,Act_Type_Repex,0),MATCH(BV$4,Mat_Type,0))*INDEX(Escalators!$I$44:$U$49,MATCH(BV$4,Escalators!$C$44:$C$49,0),MATCH(BV$5,Escalators!$I$43:$U$43,0))</f>
        <v>0</v>
      </c>
      <c r="BW16" s="539">
        <f t="shared" ref="BW16:BW20" si="39">SUM(BR16:BV16)</f>
        <v>0</v>
      </c>
      <c r="BX16" s="241"/>
      <c r="BY16" s="539">
        <f>INDEX(Lab_Mat!$K$6:$N$9,MATCH($H16,Lab_Mat!$J$6:$J$9,0),MATCH($BY$4,Lab_Mat!$K$5:$N$5,0))*J16*HLOOKUP(BY$5,Escalators!$I$25:$U$30,6,FALSE)</f>
        <v>0</v>
      </c>
      <c r="BZ16" s="539">
        <f>INDEX(Lab_Mat!$K$6:$N$9,MATCH($H16,Lab_Mat!$J$6:$J$9,0),MATCH($BY$4,Lab_Mat!$K$5:$N$5,0))*K16*HLOOKUP(BZ$5,Escalators!$I$25:$U$30,6,FALSE)</f>
        <v>0</v>
      </c>
      <c r="CA16" s="539">
        <f>INDEX(Lab_Mat!$K$6:$N$9,MATCH($H16,Lab_Mat!$J$6:$J$9,0),MATCH($BY$4,Lab_Mat!$K$5:$N$5,0))*L16*HLOOKUP(CA$5,Escalators!$I$25:$U$30,6,FALSE)</f>
        <v>0</v>
      </c>
      <c r="CB16" s="539">
        <f>INDEX(Lab_Mat!$K$6:$N$9,MATCH($H16,Lab_Mat!$J$6:$J$9,0),MATCH($BY$4,Lab_Mat!$K$5:$N$5,0))*M16*HLOOKUP(CB$5,Escalators!$I$25:$U$30,6,FALSE)</f>
        <v>561.78674323086409</v>
      </c>
      <c r="CC16" s="539">
        <f>INDEX(Lab_Mat!$K$6:$N$9,MATCH($H16,Lab_Mat!$J$6:$J$9,0),MATCH($BY$4,Lab_Mat!$K$5:$N$5,0))*N16*HLOOKUP(CC$5,Escalators!$I$25:$U$30,6,FALSE)</f>
        <v>240.22267089144799</v>
      </c>
      <c r="CD16" s="539">
        <f>INDEX(Lab_Mat!$K$6:$N$9,MATCH($H16,Lab_Mat!$J$6:$J$9,0),MATCH($BY$4,Lab_Mat!$K$5:$N$5,0))*O16*HLOOKUP(CD$5,Escalators!$I$25:$U$30,6,FALSE)</f>
        <v>0</v>
      </c>
      <c r="CE16" s="539">
        <f>INDEX(Lab_Mat!$K$6:$N$9,MATCH($H16,Lab_Mat!$J$6:$J$9,0),MATCH($BY$4,Lab_Mat!$K$5:$N$5,0))*P16*HLOOKUP(CE$5,Escalators!$I$25:$U$30,6,FALSE)</f>
        <v>0</v>
      </c>
      <c r="CF16" s="539">
        <f>INDEX(Lab_Mat!$K$6:$N$9,MATCH($H16,Lab_Mat!$J$6:$J$9,0),MATCH($BY$4,Lab_Mat!$K$5:$N$5,0))*Q16*HLOOKUP(CF$5,Escalators!$I$25:$U$30,6,FALSE)</f>
        <v>0</v>
      </c>
      <c r="CG16" s="241"/>
      <c r="CH16" s="540">
        <f>INDEX(Lab_Mat!$K$6:$N$9,MATCH($H16,Lab_Mat!$J$6:$J$9,0),MATCH($CH$4,Lab_Mat!$K$5:$N$5,0))*J16</f>
        <v>0</v>
      </c>
      <c r="CI16" s="540">
        <f>INDEX(Lab_Mat!$K$6:$N$9,MATCH($H16,Lab_Mat!$J$6:$J$9,0),MATCH($CH$4,Lab_Mat!$K$5:$N$5,0))*K16</f>
        <v>0</v>
      </c>
      <c r="CJ16" s="540">
        <f>INDEX(Lab_Mat!$K$6:$N$9,MATCH($H16,Lab_Mat!$J$6:$J$9,0),MATCH($CH$4,Lab_Mat!$K$5:$N$5,0))*L16</f>
        <v>0</v>
      </c>
      <c r="CK16" s="540">
        <f>INDEX(Lab_Mat!$K$6:$N$9,MATCH($H16,Lab_Mat!$J$6:$J$9,0),MATCH($CH$4,Lab_Mat!$K$5:$N$5,0))*M16</f>
        <v>192.97802838886938</v>
      </c>
      <c r="CL16" s="540">
        <f>INDEX(Lab_Mat!$K$6:$N$9,MATCH($H16,Lab_Mat!$J$6:$J$9,0),MATCH($CH$4,Lab_Mat!$K$5:$N$5,0))*N16</f>
        <v>82.518318492768984</v>
      </c>
      <c r="CM16" s="540">
        <f>INDEX(Lab_Mat!$K$6:$N$9,MATCH($H16,Lab_Mat!$J$6:$J$9,0),MATCH($CH$4,Lab_Mat!$K$5:$N$5,0))*O16</f>
        <v>0</v>
      </c>
      <c r="CN16" s="540">
        <f>INDEX(Lab_Mat!$K$6:$N$9,MATCH($H16,Lab_Mat!$J$6:$J$9,0),MATCH($CH$4,Lab_Mat!$K$5:$N$5,0))*P16</f>
        <v>0</v>
      </c>
      <c r="CO16" s="540">
        <f>INDEX(Lab_Mat!$K$6:$N$9,MATCH($H16,Lab_Mat!$J$6:$J$9,0),MATCH($CH$4,Lab_Mat!$K$5:$N$5,0))*Q16</f>
        <v>0</v>
      </c>
      <c r="CP16" s="241"/>
      <c r="CQ16" s="539">
        <f t="shared" si="25"/>
        <v>0</v>
      </c>
      <c r="CR16" s="539">
        <f t="shared" si="26"/>
        <v>0</v>
      </c>
      <c r="CS16" s="539">
        <f t="shared" si="24"/>
        <v>0</v>
      </c>
      <c r="CT16" s="539">
        <f t="shared" si="27"/>
        <v>1492.2249002240746</v>
      </c>
      <c r="CU16" s="539">
        <f t="shared" si="28"/>
        <v>637.82411820465825</v>
      </c>
      <c r="CV16" s="539">
        <f t="shared" si="29"/>
        <v>0</v>
      </c>
      <c r="CW16" s="539">
        <f t="shared" si="30"/>
        <v>0</v>
      </c>
      <c r="CX16" s="539">
        <f t="shared" si="31"/>
        <v>0</v>
      </c>
      <c r="CY16" s="39"/>
      <c r="CZ16" s="39"/>
      <c r="DA16" s="39"/>
      <c r="DB16" s="39"/>
      <c r="DC16" s="39"/>
    </row>
    <row r="17" spans="2:109" hidden="1" x14ac:dyDescent="0.25">
      <c r="B17" s="7"/>
      <c r="C17" s="7" t="s">
        <v>414</v>
      </c>
      <c r="D17" s="7" t="s">
        <v>697</v>
      </c>
      <c r="E17" s="7" t="s">
        <v>45</v>
      </c>
      <c r="F17" s="7" t="s">
        <v>55</v>
      </c>
      <c r="G17" s="7" t="s">
        <v>150</v>
      </c>
      <c r="H17" s="7" t="s">
        <v>562</v>
      </c>
      <c r="I17" s="7" t="s">
        <v>203</v>
      </c>
      <c r="J17" s="45"/>
      <c r="K17" s="45"/>
      <c r="L17" s="45"/>
      <c r="M17" s="539">
        <v>2231.9021798787708</v>
      </c>
      <c r="N17" s="539">
        <v>954.37193789137359</v>
      </c>
      <c r="O17" s="539">
        <v>0</v>
      </c>
      <c r="P17" s="539"/>
      <c r="Q17" s="539"/>
      <c r="R17" s="241"/>
      <c r="S17" s="539">
        <f>INDEX(Lab_Mat!$K$6:$N$9,MATCH($H17,Lab_Mat!$J$6:$J$9,0),MATCH($S$4,Lab_Mat!$K$5:$N$5,0))*J17*HLOOKUP(S$5,Escalators!$I$25:$U$30,3,FALSE)</f>
        <v>0</v>
      </c>
      <c r="T17" s="539">
        <f>INDEX(Lab_Mat!$K$6:$N$9,MATCH($H17,Lab_Mat!$J$6:$J$9,0),MATCH($S$4,Lab_Mat!$K$5:$N$5,0))*K17*HLOOKUP(T$5,Escalators!$I$25:$U$30,3,FALSE)</f>
        <v>0</v>
      </c>
      <c r="U17" s="539">
        <f>INDEX(Lab_Mat!$K$6:$N$9,MATCH($H17,Lab_Mat!$J$6:$J$9,0),MATCH($S$4,Lab_Mat!$K$5:$N$5,0))*L17*HLOOKUP(U$5,Escalators!$I$25:$U$30,3,FALSE)</f>
        <v>0</v>
      </c>
      <c r="V17" s="539">
        <f>INDEX(Lab_Mat!$K$6:$N$9,MATCH($H17,Lab_Mat!$J$6:$J$9,0),MATCH($S$4,Lab_Mat!$K$5:$N$5,0))*M17*HLOOKUP(V$5,Escalators!$I$25:$U$30,3,FALSE)</f>
        <v>396.99153795071078</v>
      </c>
      <c r="W17" s="539">
        <f>INDEX(Lab_Mat!$K$6:$N$9,MATCH($H17,Lab_Mat!$J$6:$J$9,0),MATCH($S$4,Lab_Mat!$K$5:$N$5,0))*N17*HLOOKUP(W$5,Escalators!$I$25:$U$30,3,FALSE)</f>
        <v>169.33145657774477</v>
      </c>
      <c r="X17" s="539">
        <f>INDEX(Lab_Mat!$K$6:$N$9,MATCH($H17,Lab_Mat!$J$6:$J$9,0),MATCH($S$4,Lab_Mat!$K$5:$N$5,0))*O17*HLOOKUP(X$5,Escalators!$I$25:$U$30,3,FALSE)</f>
        <v>0</v>
      </c>
      <c r="Y17" s="539">
        <f>INDEX(Lab_Mat!$K$6:$N$9,MATCH($H17,Lab_Mat!$J$6:$J$9,0),MATCH($S$4,Lab_Mat!$K$5:$N$5,0))*P17*HLOOKUP(Y$5,Escalators!$I$25:$U$30,3,FALSE)</f>
        <v>0</v>
      </c>
      <c r="Z17" s="539">
        <f>INDEX(Lab_Mat!$K$6:$N$9,MATCH($H17,Lab_Mat!$J$6:$J$9,0),MATCH($S$4,Lab_Mat!$K$5:$N$5,0))*Q17*HLOOKUP(Z$5,Escalators!$I$25:$U$30,3,FALSE)</f>
        <v>0</v>
      </c>
      <c r="AA17" s="241"/>
      <c r="AB17" s="539">
        <f>INDEX(Lab_Mat!$K$6:$N$9,MATCH($H17,Lab_Mat!$J$6:$J$9,0),MATCH($AG$4,Lab_Mat!$K$5:$N$5,0))*$J17*INDEX(Act_Type_Repex_Splits,MATCH($I17,Act_Type_Repex,0),MATCH(AB$4,Mat_Type,0))*INDEX(Escalators!$I$44:$Q$49,MATCH(AB$4,Escalators!$C$44:$C$49,0),MATCH(AB$5,Escalators!$I$43:$Q$43,0))</f>
        <v>0</v>
      </c>
      <c r="AC17" s="539">
        <f>INDEX(Lab_Mat!$K$6:$N$9,MATCH($H17,Lab_Mat!$J$6:$J$9,0),MATCH($AG$4,Lab_Mat!$K$5:$N$5,0))*$J17*INDEX(Act_Type_Repex_Splits,MATCH($I17,Act_Type_Repex,0),MATCH(AC$4,Mat_Type,0))*INDEX(Escalators!$I$44:$Q$49,MATCH(AC$4,Escalators!$C$44:$C$49,0),MATCH(AC$5,Escalators!$I$43:$Q$43,0))</f>
        <v>0</v>
      </c>
      <c r="AD17" s="539">
        <f>INDEX(Lab_Mat!$K$6:$N$9,MATCH($H17,Lab_Mat!$J$6:$J$9,0),MATCH($AG$4,Lab_Mat!$K$5:$N$5,0))*$J17*INDEX(Act_Type_Repex_Splits,MATCH($I17,Act_Type_Repex,0),MATCH(AD$4,Mat_Type,0))*INDEX(Escalators!$I$44:$Q$49,MATCH(AD$4,Escalators!$C$44:$C$49,0),MATCH(AD$5,Escalators!$I$43:$Q$43,0))</f>
        <v>0</v>
      </c>
      <c r="AE17" s="539">
        <f>INDEX(Lab_Mat!$K$6:$N$9,MATCH($H17,Lab_Mat!$J$6:$J$9,0),MATCH($AG$4,Lab_Mat!$K$5:$N$5,0))*$J17*INDEX(Act_Type_Repex_Splits,MATCH($I17,Act_Type_Repex,0),MATCH(AE$4,Mat_Type,0))*INDEX(Escalators!$I$44:$Q$49,MATCH(AE$4,Escalators!$C$44:$C$49,0),MATCH(AE$5,Escalators!$I$43:$Q$43,0))</f>
        <v>0</v>
      </c>
      <c r="AF17" s="539">
        <f>INDEX(Lab_Mat!$K$6:$N$9,MATCH($H17,Lab_Mat!$J$6:$J$9,0),MATCH($AG$4,Lab_Mat!$K$5:$N$5,0))*$J17*INDEX(Act_Type_Repex_Splits,MATCH($I17,Act_Type_Repex,0),MATCH(AF$4,Mat_Type,0))*INDEX(Escalators!$I$44:$Q$49,MATCH(AF$4,Escalators!$C$44:$C$49,0),MATCH(AF$5,Escalators!$I$43:$Q$43,0))</f>
        <v>0</v>
      </c>
      <c r="AG17" s="539">
        <f t="shared" si="32"/>
        <v>0</v>
      </c>
      <c r="AH17" s="539">
        <f>INDEX(Lab_Mat!$K$6:$N$9,MATCH($H17,Lab_Mat!$J$6:$J$9,0),MATCH($AY$4,Lab_Mat!$K$5:$N$5,0))*$K17*INDEX(Act_Type_Repex_Splits,MATCH($I17,Act_Type_Repex,0),MATCH(AH$4,Mat_Type,0))*INDEX(Escalators!$I$44:$U$49,MATCH(AH$4,Escalators!$C$44:$C$49,0),MATCH(AH$5,Escalators!$I$43:$U$43,0))</f>
        <v>0</v>
      </c>
      <c r="AI17" s="539">
        <f>INDEX(Lab_Mat!$K$6:$N$9,MATCH($H17,Lab_Mat!$J$6:$J$9,0),MATCH($AY$4,Lab_Mat!$K$5:$N$5,0))*$K17*INDEX(Act_Type_Repex_Splits,MATCH($I17,Act_Type_Repex,0),MATCH(AI$4,Mat_Type,0))*INDEX(Escalators!$I$44:$U$49,MATCH(AI$4,Escalators!$C$44:$C$49,0),MATCH(AI$5,Escalators!$I$43:$U$43,0))</f>
        <v>0</v>
      </c>
      <c r="AJ17" s="539">
        <f>INDEX(Lab_Mat!$K$6:$N$9,MATCH($H17,Lab_Mat!$J$6:$J$9,0),MATCH($AY$4,Lab_Mat!$K$5:$N$5,0))*$K17*INDEX(Act_Type_Repex_Splits,MATCH($I17,Act_Type_Repex,0),MATCH(AJ$4,Mat_Type,0))*INDEX(Escalators!$I$44:$U$49,MATCH(AJ$4,Escalators!$C$44:$C$49,0),MATCH(AJ$5,Escalators!$I$43:$U$43,0))</f>
        <v>0</v>
      </c>
      <c r="AK17" s="539">
        <f>INDEX(Lab_Mat!$K$6:$N$9,MATCH($H17,Lab_Mat!$J$6:$J$9,0),MATCH($AY$4,Lab_Mat!$K$5:$N$5,0))*$K17*INDEX(Act_Type_Repex_Splits,MATCH($I17,Act_Type_Repex,0),MATCH(AK$4,Mat_Type,0))*INDEX(Escalators!$I$44:$U$49,MATCH(AK$4,Escalators!$C$44:$C$49,0),MATCH(AK$5,Escalators!$I$43:$U$43,0))</f>
        <v>0</v>
      </c>
      <c r="AL17" s="539">
        <f>INDEX(Lab_Mat!$K$6:$N$9,MATCH($H17,Lab_Mat!$J$6:$J$9,0),MATCH($AY$4,Lab_Mat!$K$5:$N$5,0))*$K17*INDEX(Act_Type_Repex_Splits,MATCH($I17,Act_Type_Repex,0),MATCH(AL$4,Mat_Type,0))*INDEX(Escalators!$I$44:$U$49,MATCH(AL$4,Escalators!$C$44:$C$49,0),MATCH(AL$5,Escalators!$I$43:$U$43,0))</f>
        <v>0</v>
      </c>
      <c r="AM17" s="539">
        <f t="shared" si="33"/>
        <v>0</v>
      </c>
      <c r="AN17" s="539">
        <f>INDEX(Lab_Mat!$K$6:$N$9,MATCH($H17,Lab_Mat!$J$6:$J$9,0),MATCH($AY$4,Lab_Mat!$K$5:$N$5,0))*$L17*INDEX(Act_Type_Repex_Splits,MATCH($I17,Act_Type_Repex,0),MATCH(AN$4,Mat_Type,0))*INDEX(Escalators!$I$44:$U$49,MATCH(AN$4,Escalators!$C$44:$C$49,0),MATCH(AN$5,Escalators!$I$43:$U$43,0))</f>
        <v>0</v>
      </c>
      <c r="AO17" s="539">
        <f>INDEX(Lab_Mat!$K$6:$N$9,MATCH($H17,Lab_Mat!$J$6:$J$9,0),MATCH($AY$4,Lab_Mat!$K$5:$N$5,0))*$L17*INDEX(Act_Type_Repex_Splits,MATCH($I17,Act_Type_Repex,0),MATCH(AO$4,Mat_Type,0))*INDEX(Escalators!$I$44:$U$49,MATCH(AO$4,Escalators!$C$44:$C$49,0),MATCH(AO$5,Escalators!$I$43:$U$43,0))</f>
        <v>0</v>
      </c>
      <c r="AP17" s="539">
        <f>INDEX(Lab_Mat!$K$6:$N$9,MATCH($H17,Lab_Mat!$J$6:$J$9,0),MATCH($AY$4,Lab_Mat!$K$5:$N$5,0))*$L17*INDEX(Act_Type_Repex_Splits,MATCH($I17,Act_Type_Repex,0),MATCH(AP$4,Mat_Type,0))*INDEX(Escalators!$I$44:$U$49,MATCH(AP$4,Escalators!$C$44:$C$49,0),MATCH(AP$5,Escalators!$I$43:$U$43,0))</f>
        <v>0</v>
      </c>
      <c r="AQ17" s="539">
        <f>INDEX(Lab_Mat!$K$6:$N$9,MATCH($H17,Lab_Mat!$J$6:$J$9,0),MATCH($AY$4,Lab_Mat!$K$5:$N$5,0))*$L17*INDEX(Act_Type_Repex_Splits,MATCH($I17,Act_Type_Repex,0),MATCH(AQ$4,Mat_Type,0))*INDEX(Escalators!$I$44:$U$49,MATCH(AQ$4,Escalators!$C$44:$C$49,0),MATCH(AQ$5,Escalators!$I$43:$U$43,0))</f>
        <v>0</v>
      </c>
      <c r="AR17" s="539">
        <f>INDEX(Lab_Mat!$K$6:$N$9,MATCH($H17,Lab_Mat!$J$6:$J$9,0),MATCH($AY$4,Lab_Mat!$K$5:$N$5,0))*$L17*INDEX(Act_Type_Repex_Splits,MATCH($I17,Act_Type_Repex,0),MATCH(AR$4,Mat_Type,0))*INDEX(Escalators!$I$44:$U$49,MATCH(AR$4,Escalators!$C$44:$C$49,0),MATCH(AR$5,Escalators!$I$43:$U$43,0))</f>
        <v>0</v>
      </c>
      <c r="AS17" s="539">
        <f t="shared" si="34"/>
        <v>0</v>
      </c>
      <c r="AT17" s="539">
        <f>INDEX(Lab_Mat!$K$6:$N$9,MATCH($H17,Lab_Mat!$J$6:$J$9,0),MATCH($AY$4,Lab_Mat!$K$5:$N$5,0))*$M17*INDEX(Act_Type_Repex_Splits,MATCH($I17,Act_Type_Repex,0),MATCH(AT$4,Mat_Type,0))*INDEX(Escalators!$I$44:$U$49,MATCH(AT$4,Escalators!$C$44:$C$49,0),MATCH(AT$5,Escalators!$I$43:$U$43,0))</f>
        <v>0</v>
      </c>
      <c r="AU17" s="539">
        <f>INDEX(Lab_Mat!$K$6:$N$9,MATCH($H17,Lab_Mat!$J$6:$J$9,0),MATCH($AY$4,Lab_Mat!$K$5:$N$5,0))*$M17*INDEX(Act_Type_Repex_Splits,MATCH($I17,Act_Type_Repex,0),MATCH(AU$4,Mat_Type,0))*INDEX(Escalators!$I$44:$U$49,MATCH(AU$4,Escalators!$C$44:$C$49,0),MATCH(AU$5,Escalators!$I$43:$U$43,0))</f>
        <v>0</v>
      </c>
      <c r="AV17" s="539">
        <f>INDEX(Lab_Mat!$K$6:$N$9,MATCH($H17,Lab_Mat!$J$6:$J$9,0),MATCH($AY$4,Lab_Mat!$K$5:$N$5,0))*$M17*INDEX(Act_Type_Repex_Splits,MATCH($I17,Act_Type_Repex,0),MATCH(AV$4,Mat_Type,0))*INDEX(Escalators!$I$44:$U$49,MATCH(AV$4,Escalators!$C$44:$C$49,0),MATCH(AV$5,Escalators!$I$43:$U$43,0))</f>
        <v>145.53154017762901</v>
      </c>
      <c r="AW17" s="539">
        <f>INDEX(Lab_Mat!$K$6:$N$9,MATCH($H17,Lab_Mat!$J$6:$J$9,0),MATCH($AY$4,Lab_Mat!$K$5:$N$5,0))*$M17*INDEX(Act_Type_Repex_Splits,MATCH($I17,Act_Type_Repex,0),MATCH(AW$4,Mat_Type,0))*INDEX(Escalators!$I$44:$U$49,MATCH(AW$4,Escalators!$C$44:$C$49,0),MATCH(AW$5,Escalators!$I$43:$U$43,0))</f>
        <v>0</v>
      </c>
      <c r="AX17" s="539">
        <f>INDEX(Lab_Mat!$K$6:$N$9,MATCH($H17,Lab_Mat!$J$6:$J$9,0),MATCH($AY$4,Lab_Mat!$K$5:$N$5,0))*$M17*INDEX(Act_Type_Repex_Splits,MATCH($I17,Act_Type_Repex,0),MATCH(AX$4,Mat_Type,0))*INDEX(Escalators!$I$44:$U$49,MATCH(AX$4,Escalators!$C$44:$C$49,0),MATCH(AX$5,Escalators!$I$43:$U$43,0))</f>
        <v>145.53154017762901</v>
      </c>
      <c r="AY17" s="539">
        <f t="shared" si="35"/>
        <v>291.06308035525802</v>
      </c>
      <c r="AZ17" s="539">
        <f>INDEX(Lab_Mat!$K$6:$N$9,MATCH($H17,Lab_Mat!$J$6:$J$9,0),MATCH($BE$4,Lab_Mat!$K$5:$N$5,0))*$N17*INDEX(Act_Type_Repex_Splits,MATCH($I17,Act_Type_Repex,0),MATCH(AZ$4,Mat_Type,0))*INDEX(Escalators!$I$44:$U$49,MATCH(AZ$4,Escalators!$C$44:$C$49,0),MATCH(AZ$5,Escalators!$I$43:$U$43,0))</f>
        <v>0</v>
      </c>
      <c r="BA17" s="539">
        <f>INDEX(Lab_Mat!$K$6:$N$9,MATCH($H17,Lab_Mat!$J$6:$J$9,0),MATCH($BE$4,Lab_Mat!$K$5:$N$5,0))*$N17*INDEX(Act_Type_Repex_Splits,MATCH($I17,Act_Type_Repex,0),MATCH(BA$4,Mat_Type,0))*INDEX(Escalators!$I$44:$U$49,MATCH(BA$4,Escalators!$C$44:$C$49,0),MATCH(BA$5,Escalators!$I$43:$U$43,0))</f>
        <v>0</v>
      </c>
      <c r="BB17" s="539">
        <f>INDEX(Lab_Mat!$K$6:$N$9,MATCH($H17,Lab_Mat!$J$6:$J$9,0),MATCH($BE$4,Lab_Mat!$K$5:$N$5,0))*$N17*INDEX(Act_Type_Repex_Splits,MATCH($I17,Act_Type_Repex,0),MATCH(BB$4,Mat_Type,0))*INDEX(Escalators!$I$44:$U$49,MATCH(BB$4,Escalators!$C$44:$C$49,0),MATCH(BB$5,Escalators!$I$43:$U$43,0))</f>
        <v>62.229975523024123</v>
      </c>
      <c r="BC17" s="539">
        <f>INDEX(Lab_Mat!$K$6:$N$9,MATCH($H17,Lab_Mat!$J$6:$J$9,0),MATCH($BE$4,Lab_Mat!$K$5:$N$5,0))*$N17*INDEX(Act_Type_Repex_Splits,MATCH($I17,Act_Type_Repex,0),MATCH(BC$4,Mat_Type,0))*INDEX(Escalators!$I$44:$U$49,MATCH(BC$4,Escalators!$C$44:$C$49,0),MATCH(BC$5,Escalators!$I$43:$U$43,0))</f>
        <v>0</v>
      </c>
      <c r="BD17" s="539">
        <f>INDEX(Lab_Mat!$K$6:$N$9,MATCH($H17,Lab_Mat!$J$6:$J$9,0),MATCH($BE$4,Lab_Mat!$K$5:$N$5,0))*$N17*INDEX(Act_Type_Repex_Splits,MATCH($I17,Act_Type_Repex,0),MATCH(BD$4,Mat_Type,0))*INDEX(Escalators!$I$44:$U$49,MATCH(BD$4,Escalators!$C$44:$C$49,0),MATCH(BD$5,Escalators!$I$43:$U$43,0))</f>
        <v>62.229975523024123</v>
      </c>
      <c r="BE17" s="539">
        <f t="shared" si="36"/>
        <v>124.45995104604825</v>
      </c>
      <c r="BF17" s="539">
        <f>INDEX(Lab_Mat!$K$6:$N$9,MATCH($H17,Lab_Mat!$J$6:$J$9,0),MATCH($BK$4,Lab_Mat!$K$5:$N$5,0))*$O17*INDEX(Act_Type_Repex_Splits,MATCH($I17,Act_Type_Repex,0),MATCH(BF$4,Mat_Type,0))*INDEX(Escalators!$I$44:$U$49,MATCH(BF$4,Escalators!$C$44:$C$49,0),MATCH(BF$5,Escalators!$I$43:$U$43,0))</f>
        <v>0</v>
      </c>
      <c r="BG17" s="539">
        <f>INDEX(Lab_Mat!$K$6:$N$9,MATCH($H17,Lab_Mat!$J$6:$J$9,0),MATCH($BK$4,Lab_Mat!$K$5:$N$5,0))*$O17*INDEX(Act_Type_Repex_Splits,MATCH($I17,Act_Type_Repex,0),MATCH(BG$4,Mat_Type,0))*INDEX(Escalators!$I$44:$U$49,MATCH(BG$4,Escalators!$C$44:$C$49,0),MATCH(BG$5,Escalators!$I$43:$U$43,0))</f>
        <v>0</v>
      </c>
      <c r="BH17" s="539">
        <f>INDEX(Lab_Mat!$K$6:$N$9,MATCH($H17,Lab_Mat!$J$6:$J$9,0),MATCH($BK$4,Lab_Mat!$K$5:$N$5,0))*$O17*INDEX(Act_Type_Repex_Splits,MATCH($I17,Act_Type_Repex,0),MATCH(BH$4,Mat_Type,0))*INDEX(Escalators!$I$44:$U$49,MATCH(BH$4,Escalators!$C$44:$C$49,0),MATCH(BH$5,Escalators!$I$43:$U$43,0))</f>
        <v>0</v>
      </c>
      <c r="BI17" s="539">
        <f>INDEX(Lab_Mat!$K$6:$N$9,MATCH($H17,Lab_Mat!$J$6:$J$9,0),MATCH($BK$4,Lab_Mat!$K$5:$N$5,0))*$O17*INDEX(Act_Type_Repex_Splits,MATCH($I17,Act_Type_Repex,0),MATCH(BI$4,Mat_Type,0))*INDEX(Escalators!$I$44:$U$49,MATCH(BI$4,Escalators!$C$44:$C$49,0),MATCH(BI$5,Escalators!$I$43:$U$43,0))</f>
        <v>0</v>
      </c>
      <c r="BJ17" s="539">
        <f>INDEX(Lab_Mat!$K$6:$N$9,MATCH($H17,Lab_Mat!$J$6:$J$9,0),MATCH($BK$4,Lab_Mat!$K$5:$N$5,0))*$O17*INDEX(Act_Type_Repex_Splits,MATCH($I17,Act_Type_Repex,0),MATCH(BJ$4,Mat_Type,0))*INDEX(Escalators!$I$44:$U$49,MATCH(BJ$4,Escalators!$C$44:$C$49,0),MATCH(BJ$5,Escalators!$I$43:$U$43,0))</f>
        <v>0</v>
      </c>
      <c r="BK17" s="539">
        <f t="shared" si="37"/>
        <v>0</v>
      </c>
      <c r="BL17" s="539">
        <f>INDEX(Lab_Mat!$K$6:$N$9,MATCH($H17,Lab_Mat!$J$6:$J$9,0),MATCH($BQ$4,Lab_Mat!$K$5:$N$5,0))*$P17*INDEX(Act_Type_Repex_Splits,MATCH($I17,Act_Type_Repex,0),MATCH(BL$4,Mat_Type,0))*INDEX(Escalators!$I$44:$U$49,MATCH(BL$4,Escalators!$C$44:$C$49,0),MATCH(BL$5,Escalators!$I$43:$U$43,0))</f>
        <v>0</v>
      </c>
      <c r="BM17" s="539">
        <f>INDEX(Lab_Mat!$K$6:$N$9,MATCH($H17,Lab_Mat!$J$6:$J$9,0),MATCH($BQ$4,Lab_Mat!$K$5:$N$5,0))*$P17*INDEX(Act_Type_Repex_Splits,MATCH($I17,Act_Type_Repex,0),MATCH(BM$4,Mat_Type,0))*INDEX(Escalators!$I$44:$U$49,MATCH(BM$4,Escalators!$C$44:$C$49,0),MATCH(BM$5,Escalators!$I$43:$U$43,0))</f>
        <v>0</v>
      </c>
      <c r="BN17" s="539">
        <f>INDEX(Lab_Mat!$K$6:$N$9,MATCH($H17,Lab_Mat!$J$6:$J$9,0),MATCH($BQ$4,Lab_Mat!$K$5:$N$5,0))*$P17*INDEX(Act_Type_Repex_Splits,MATCH($I17,Act_Type_Repex,0),MATCH(BN$4,Mat_Type,0))*INDEX(Escalators!$I$44:$U$49,MATCH(BN$4,Escalators!$C$44:$C$49,0),MATCH(BN$5,Escalators!$I$43:$U$43,0))</f>
        <v>0</v>
      </c>
      <c r="BO17" s="539">
        <f>INDEX(Lab_Mat!$K$6:$N$9,MATCH($H17,Lab_Mat!$J$6:$J$9,0),MATCH($BQ$4,Lab_Mat!$K$5:$N$5,0))*$P17*INDEX(Act_Type_Repex_Splits,MATCH($I17,Act_Type_Repex,0),MATCH(BO$4,Mat_Type,0))*INDEX(Escalators!$I$44:$U$49,MATCH(BO$4,Escalators!$C$44:$C$49,0),MATCH(BO$5,Escalators!$I$43:$U$43,0))</f>
        <v>0</v>
      </c>
      <c r="BP17" s="539">
        <f>INDEX(Lab_Mat!$K$6:$N$9,MATCH($H17,Lab_Mat!$J$6:$J$9,0),MATCH($BQ$4,Lab_Mat!$K$5:$N$5,0))*$P17*INDEX(Act_Type_Repex_Splits,MATCH($I17,Act_Type_Repex,0),MATCH(BP$4,Mat_Type,0))*INDEX(Escalators!$I$44:$U$49,MATCH(BP$4,Escalators!$C$44:$C$49,0),MATCH(BP$5,Escalators!$I$43:$U$43,0))</f>
        <v>0</v>
      </c>
      <c r="BQ17" s="539">
        <f t="shared" si="38"/>
        <v>0</v>
      </c>
      <c r="BR17" s="539">
        <f>INDEX(Lab_Mat!$K$6:$N$9,MATCH($H17,Lab_Mat!$J$6:$J$9,0),MATCH($BW$4,Lab_Mat!$K$5:$N$5,0))*$Q17*INDEX(Act_Type_Repex_Splits,MATCH($I17,Act_Type_Repex,0),MATCH(BR$4,Mat_Type,0))*INDEX(Escalators!$I$44:$U$49,MATCH(BR$4,Escalators!$C$44:$C$49,0),MATCH(BR$5,Escalators!$I$43:$U$43,0))</f>
        <v>0</v>
      </c>
      <c r="BS17" s="539">
        <f>INDEX(Lab_Mat!$K$6:$N$9,MATCH($H17,Lab_Mat!$J$6:$J$9,0),MATCH($BW$4,Lab_Mat!$K$5:$N$5,0))*$Q17*INDEX(Act_Type_Repex_Splits,MATCH($I17,Act_Type_Repex,0),MATCH(BS$4,Mat_Type,0))*INDEX(Escalators!$I$44:$U$49,MATCH(BS$4,Escalators!$C$44:$C$49,0),MATCH(BS$5,Escalators!$I$43:$U$43,0))</f>
        <v>0</v>
      </c>
      <c r="BT17" s="539">
        <f>INDEX(Lab_Mat!$K$6:$N$9,MATCH($H17,Lab_Mat!$J$6:$J$9,0),MATCH($BW$4,Lab_Mat!$K$5:$N$5,0))*$Q17*INDEX(Act_Type_Repex_Splits,MATCH($I17,Act_Type_Repex,0),MATCH(BT$4,Mat_Type,0))*INDEX(Escalators!$I$44:$U$49,MATCH(BT$4,Escalators!$C$44:$C$49,0),MATCH(BT$5,Escalators!$I$43:$U$43,0))</f>
        <v>0</v>
      </c>
      <c r="BU17" s="539">
        <f>INDEX(Lab_Mat!$K$6:$N$9,MATCH($H17,Lab_Mat!$J$6:$J$9,0),MATCH($BW$4,Lab_Mat!$K$5:$N$5,0))*$Q17*INDEX(Act_Type_Repex_Splits,MATCH($I17,Act_Type_Repex,0),MATCH(BU$4,Mat_Type,0))*INDEX(Escalators!$I$44:$U$49,MATCH(BU$4,Escalators!$C$44:$C$49,0),MATCH(BU$5,Escalators!$I$43:$U$43,0))</f>
        <v>0</v>
      </c>
      <c r="BV17" s="539">
        <f>INDEX(Lab_Mat!$K$6:$N$9,MATCH($H17,Lab_Mat!$J$6:$J$9,0),MATCH($BW$4,Lab_Mat!$K$5:$N$5,0))*$Q17*INDEX(Act_Type_Repex_Splits,MATCH($I17,Act_Type_Repex,0),MATCH(BV$4,Mat_Type,0))*INDEX(Escalators!$I$44:$U$49,MATCH(BV$4,Escalators!$C$44:$C$49,0),MATCH(BV$5,Escalators!$I$43:$U$43,0))</f>
        <v>0</v>
      </c>
      <c r="BW17" s="539">
        <f t="shared" si="39"/>
        <v>0</v>
      </c>
      <c r="BX17" s="241"/>
      <c r="BY17" s="539">
        <f>INDEX(Lab_Mat!$K$6:$N$9,MATCH($H17,Lab_Mat!$J$6:$J$9,0),MATCH($BY$4,Lab_Mat!$K$5:$N$5,0))*J17*HLOOKUP(BY$5,Escalators!$I$25:$U$30,6,FALSE)</f>
        <v>0</v>
      </c>
      <c r="BZ17" s="539">
        <f>INDEX(Lab_Mat!$K$6:$N$9,MATCH($H17,Lab_Mat!$J$6:$J$9,0),MATCH($BY$4,Lab_Mat!$K$5:$N$5,0))*K17*HLOOKUP(BZ$5,Escalators!$I$25:$U$30,6,FALSE)</f>
        <v>0</v>
      </c>
      <c r="CA17" s="539">
        <f>INDEX(Lab_Mat!$K$6:$N$9,MATCH($H17,Lab_Mat!$J$6:$J$9,0),MATCH($BY$4,Lab_Mat!$K$5:$N$5,0))*L17*HLOOKUP(CA$5,Escalators!$I$25:$U$30,6,FALSE)</f>
        <v>0</v>
      </c>
      <c r="CB17" s="539">
        <f>INDEX(Lab_Mat!$K$6:$N$9,MATCH($H17,Lab_Mat!$J$6:$J$9,0),MATCH($BY$4,Lab_Mat!$K$5:$N$5,0))*M17*HLOOKUP(CB$5,Escalators!$I$25:$U$30,6,FALSE)</f>
        <v>1159.9872272962732</v>
      </c>
      <c r="CC17" s="539">
        <f>INDEX(Lab_Mat!$K$6:$N$9,MATCH($H17,Lab_Mat!$J$6:$J$9,0),MATCH($BY$4,Lab_Mat!$K$5:$N$5,0))*N17*HLOOKUP(CC$5,Escalators!$I$25:$U$30,6,FALSE)</f>
        <v>496.01602974558551</v>
      </c>
      <c r="CD17" s="539">
        <f>INDEX(Lab_Mat!$K$6:$N$9,MATCH($H17,Lab_Mat!$J$6:$J$9,0),MATCH($BY$4,Lab_Mat!$K$5:$N$5,0))*O17*HLOOKUP(CD$5,Escalators!$I$25:$U$30,6,FALSE)</f>
        <v>0</v>
      </c>
      <c r="CE17" s="539">
        <f>INDEX(Lab_Mat!$K$6:$N$9,MATCH($H17,Lab_Mat!$J$6:$J$9,0),MATCH($BY$4,Lab_Mat!$K$5:$N$5,0))*P17*HLOOKUP(CE$5,Escalators!$I$25:$U$30,6,FALSE)</f>
        <v>0</v>
      </c>
      <c r="CF17" s="539">
        <f>INDEX(Lab_Mat!$K$6:$N$9,MATCH($H17,Lab_Mat!$J$6:$J$9,0),MATCH($BY$4,Lab_Mat!$K$5:$N$5,0))*Q17*HLOOKUP(CF$5,Escalators!$I$25:$U$30,6,FALSE)</f>
        <v>0</v>
      </c>
      <c r="CG17" s="241"/>
      <c r="CH17" s="540">
        <f>INDEX(Lab_Mat!$K$6:$N$9,MATCH($H17,Lab_Mat!$J$6:$J$9,0),MATCH($CH$4,Lab_Mat!$K$5:$N$5,0))*J17</f>
        <v>0</v>
      </c>
      <c r="CI17" s="540">
        <f>INDEX(Lab_Mat!$K$6:$N$9,MATCH($H17,Lab_Mat!$J$6:$J$9,0),MATCH($CH$4,Lab_Mat!$K$5:$N$5,0))*K17</f>
        <v>0</v>
      </c>
      <c r="CJ17" s="540">
        <f>INDEX(Lab_Mat!$K$6:$N$9,MATCH($H17,Lab_Mat!$J$6:$J$9,0),MATCH($CH$4,Lab_Mat!$K$5:$N$5,0))*L17</f>
        <v>0</v>
      </c>
      <c r="CK17" s="540">
        <f>INDEX(Lab_Mat!$K$6:$N$9,MATCH($H17,Lab_Mat!$J$6:$J$9,0),MATCH($CH$4,Lab_Mat!$K$5:$N$5,0))*M17</f>
        <v>390.90227567618814</v>
      </c>
      <c r="CL17" s="540">
        <f>INDEX(Lab_Mat!$K$6:$N$9,MATCH($H17,Lab_Mat!$J$6:$J$9,0),MATCH($CH$4,Lab_Mat!$K$5:$N$5,0))*N17</f>
        <v>167.15166360180501</v>
      </c>
      <c r="CM17" s="540">
        <f>INDEX(Lab_Mat!$K$6:$N$9,MATCH($H17,Lab_Mat!$J$6:$J$9,0),MATCH($CH$4,Lab_Mat!$K$5:$N$5,0))*O17</f>
        <v>0</v>
      </c>
      <c r="CN17" s="540">
        <f>INDEX(Lab_Mat!$K$6:$N$9,MATCH($H17,Lab_Mat!$J$6:$J$9,0),MATCH($CH$4,Lab_Mat!$K$5:$N$5,0))*P17</f>
        <v>0</v>
      </c>
      <c r="CO17" s="540">
        <f>INDEX(Lab_Mat!$K$6:$N$9,MATCH($H17,Lab_Mat!$J$6:$J$9,0),MATCH($CH$4,Lab_Mat!$K$5:$N$5,0))*Q17</f>
        <v>0</v>
      </c>
      <c r="CP17" s="241"/>
      <c r="CQ17" s="539">
        <f t="shared" si="25"/>
        <v>0</v>
      </c>
      <c r="CR17" s="539">
        <f t="shared" si="26"/>
        <v>0</v>
      </c>
      <c r="CS17" s="539">
        <f t="shared" si="24"/>
        <v>0</v>
      </c>
      <c r="CT17" s="539">
        <f t="shared" si="27"/>
        <v>2238.9441212784304</v>
      </c>
      <c r="CU17" s="539">
        <f t="shared" si="28"/>
        <v>956.95910097118349</v>
      </c>
      <c r="CV17" s="539">
        <f t="shared" si="29"/>
        <v>0</v>
      </c>
      <c r="CW17" s="539">
        <f t="shared" si="30"/>
        <v>0</v>
      </c>
      <c r="CX17" s="539">
        <f t="shared" si="31"/>
        <v>0</v>
      </c>
      <c r="CY17" s="39"/>
      <c r="CZ17" s="39"/>
      <c r="DA17" s="39"/>
      <c r="DB17" s="39"/>
      <c r="DC17" s="39"/>
    </row>
    <row r="18" spans="2:109" x14ac:dyDescent="0.25">
      <c r="B18" s="7"/>
      <c r="C18" s="7" t="s">
        <v>415</v>
      </c>
      <c r="D18" s="7" t="s">
        <v>697</v>
      </c>
      <c r="E18" s="7" t="s">
        <v>48</v>
      </c>
      <c r="F18" s="7" t="s">
        <v>55</v>
      </c>
      <c r="G18" s="7" t="s">
        <v>10</v>
      </c>
      <c r="H18" s="7" t="s">
        <v>753</v>
      </c>
      <c r="I18" s="7" t="s">
        <v>204</v>
      </c>
      <c r="J18" s="45"/>
      <c r="K18" s="45"/>
      <c r="L18" s="45"/>
      <c r="M18" s="128">
        <v>1695.6714179410474</v>
      </c>
      <c r="N18" s="128">
        <v>725.07712558231879</v>
      </c>
      <c r="O18" s="128">
        <v>0</v>
      </c>
      <c r="P18" s="128"/>
      <c r="Q18" s="128"/>
      <c r="R18" s="129"/>
      <c r="S18" s="128">
        <f>INDEX(Lab_Mat!$K$6:$N$9,MATCH($H18,Lab_Mat!$J$6:$J$9,0),MATCH($S$4,Lab_Mat!$K$5:$N$5,0))*J18*HLOOKUP(S$5,Escalators!$I$25:$U$30,3,FALSE)</f>
        <v>0</v>
      </c>
      <c r="T18" s="128">
        <f>INDEX(Lab_Mat!$K$6:$N$9,MATCH($H18,Lab_Mat!$J$6:$J$9,0),MATCH($S$4,Lab_Mat!$K$5:$N$5,0))*K18*HLOOKUP(T$5,Escalators!$I$25:$U$30,3,FALSE)</f>
        <v>0</v>
      </c>
      <c r="U18" s="128">
        <f>INDEX(Lab_Mat!$K$6:$N$9,MATCH($H18,Lab_Mat!$J$6:$J$9,0),MATCH($S$4,Lab_Mat!$K$5:$N$5,0))*L18*HLOOKUP(U$5,Escalators!$I$25:$U$30,3,FALSE)</f>
        <v>0</v>
      </c>
      <c r="V18" s="128">
        <f>INDEX(Lab_Mat!$K$6:$N$9,MATCH($H18,Lab_Mat!$J$6:$J$9,0),MATCH($S$4,Lab_Mat!$K$5:$N$5,0))*M18*HLOOKUP(V$5,Escalators!$I$25:$U$30,3,FALSE)</f>
        <v>317.47125823738043</v>
      </c>
      <c r="W18" s="128">
        <f>INDEX(Lab_Mat!$K$6:$N$9,MATCH($H18,Lab_Mat!$J$6:$J$9,0),MATCH($S$4,Lab_Mat!$K$5:$N$5,0))*N18*HLOOKUP(W$5,Escalators!$I$25:$U$30,3,FALSE)</f>
        <v>135.41313967649202</v>
      </c>
      <c r="X18" s="128">
        <f>INDEX(Lab_Mat!$K$6:$N$9,MATCH($H18,Lab_Mat!$J$6:$J$9,0),MATCH($S$4,Lab_Mat!$K$5:$N$5,0))*O18*HLOOKUP(X$5,Escalators!$I$25:$U$30,3,FALSE)</f>
        <v>0</v>
      </c>
      <c r="Y18" s="128">
        <f>INDEX(Lab_Mat!$K$6:$N$9,MATCH($H18,Lab_Mat!$J$6:$J$9,0),MATCH($S$4,Lab_Mat!$K$5:$N$5,0))*P18*HLOOKUP(Y$5,Escalators!$I$25:$U$30,3,FALSE)</f>
        <v>0</v>
      </c>
      <c r="Z18" s="128">
        <f>INDEX(Lab_Mat!$K$6:$N$9,MATCH($H18,Lab_Mat!$J$6:$J$9,0),MATCH($S$4,Lab_Mat!$K$5:$N$5,0))*Q18*HLOOKUP(Z$5,Escalators!$I$25:$U$30,3,FALSE)</f>
        <v>0</v>
      </c>
      <c r="AA18" s="129"/>
      <c r="AB18" s="539">
        <f>INDEX(Lab_Mat!$K$6:$N$9,MATCH($H18,Lab_Mat!$J$6:$J$9,0),MATCH($AG$4,Lab_Mat!$K$5:$N$5,0))*$J18*INDEX(Act_Type_Repex_Splits,MATCH($I18,Act_Type_Repex,0),MATCH(AB$4,Mat_Type,0))*INDEX(Escalators!$I$44:$Q$49,MATCH(AB$4,Escalators!$C$44:$C$49,0),MATCH(AB$5,Escalators!$I$43:$Q$43,0))</f>
        <v>0</v>
      </c>
      <c r="AC18" s="539">
        <f>INDEX(Lab_Mat!$K$6:$N$9,MATCH($H18,Lab_Mat!$J$6:$J$9,0),MATCH($AG$4,Lab_Mat!$K$5:$N$5,0))*$J18*INDEX(Act_Type_Repex_Splits,MATCH($I18,Act_Type_Repex,0),MATCH(AC$4,Mat_Type,0))*INDEX(Escalators!$I$44:$Q$49,MATCH(AC$4,Escalators!$C$44:$C$49,0),MATCH(AC$5,Escalators!$I$43:$Q$43,0))</f>
        <v>0</v>
      </c>
      <c r="AD18" s="539">
        <f>INDEX(Lab_Mat!$K$6:$N$9,MATCH($H18,Lab_Mat!$J$6:$J$9,0),MATCH($AG$4,Lab_Mat!$K$5:$N$5,0))*$J18*INDEX(Act_Type_Repex_Splits,MATCH($I18,Act_Type_Repex,0),MATCH(AD$4,Mat_Type,0))*INDEX(Escalators!$I$44:$Q$49,MATCH(AD$4,Escalators!$C$44:$C$49,0),MATCH(AD$5,Escalators!$I$43:$Q$43,0))</f>
        <v>0</v>
      </c>
      <c r="AE18" s="539">
        <f>INDEX(Lab_Mat!$K$6:$N$9,MATCH($H18,Lab_Mat!$J$6:$J$9,0),MATCH($AG$4,Lab_Mat!$K$5:$N$5,0))*$J18*INDEX(Act_Type_Repex_Splits,MATCH($I18,Act_Type_Repex,0),MATCH(AE$4,Mat_Type,0))*INDEX(Escalators!$I$44:$Q$49,MATCH(AE$4,Escalators!$C$44:$C$49,0),MATCH(AE$5,Escalators!$I$43:$Q$43,0))</f>
        <v>0</v>
      </c>
      <c r="AF18" s="539">
        <f>INDEX(Lab_Mat!$K$6:$N$9,MATCH($H18,Lab_Mat!$J$6:$J$9,0),MATCH($AG$4,Lab_Mat!$K$5:$N$5,0))*$J18*INDEX(Act_Type_Repex_Splits,MATCH($I18,Act_Type_Repex,0),MATCH(AF$4,Mat_Type,0))*INDEX(Escalators!$I$44:$Q$49,MATCH(AF$4,Escalators!$C$44:$C$49,0),MATCH(AF$5,Escalators!$I$43:$Q$43,0))</f>
        <v>0</v>
      </c>
      <c r="AG18" s="128">
        <f t="shared" si="32"/>
        <v>0</v>
      </c>
      <c r="AH18" s="539">
        <f>INDEX(Lab_Mat!$K$6:$N$9,MATCH($H18,Lab_Mat!$J$6:$J$9,0),MATCH($AY$4,Lab_Mat!$K$5:$N$5,0))*$K18*INDEX(Act_Type_Repex_Splits,MATCH($I18,Act_Type_Repex,0),MATCH(AH$4,Mat_Type,0))*INDEX(Escalators!$I$44:$U$49,MATCH(AH$4,Escalators!$C$44:$C$49,0),MATCH(AH$5,Escalators!$I$43:$U$43,0))</f>
        <v>0</v>
      </c>
      <c r="AI18" s="539">
        <f>INDEX(Lab_Mat!$K$6:$N$9,MATCH($H18,Lab_Mat!$J$6:$J$9,0),MATCH($AY$4,Lab_Mat!$K$5:$N$5,0))*$K18*INDEX(Act_Type_Repex_Splits,MATCH($I18,Act_Type_Repex,0),MATCH(AI$4,Mat_Type,0))*INDEX(Escalators!$I$44:$U$49,MATCH(AI$4,Escalators!$C$44:$C$49,0),MATCH(AI$5,Escalators!$I$43:$U$43,0))</f>
        <v>0</v>
      </c>
      <c r="AJ18" s="539">
        <f>INDEX(Lab_Mat!$K$6:$N$9,MATCH($H18,Lab_Mat!$J$6:$J$9,0),MATCH($AY$4,Lab_Mat!$K$5:$N$5,0))*$K18*INDEX(Act_Type_Repex_Splits,MATCH($I18,Act_Type_Repex,0),MATCH(AJ$4,Mat_Type,0))*INDEX(Escalators!$I$44:$U$49,MATCH(AJ$4,Escalators!$C$44:$C$49,0),MATCH(AJ$5,Escalators!$I$43:$U$43,0))</f>
        <v>0</v>
      </c>
      <c r="AK18" s="539">
        <f>INDEX(Lab_Mat!$K$6:$N$9,MATCH($H18,Lab_Mat!$J$6:$J$9,0),MATCH($AY$4,Lab_Mat!$K$5:$N$5,0))*$K18*INDEX(Act_Type_Repex_Splits,MATCH($I18,Act_Type_Repex,0),MATCH(AK$4,Mat_Type,0))*INDEX(Escalators!$I$44:$U$49,MATCH(AK$4,Escalators!$C$44:$C$49,0),MATCH(AK$5,Escalators!$I$43:$U$43,0))</f>
        <v>0</v>
      </c>
      <c r="AL18" s="539">
        <f>INDEX(Lab_Mat!$K$6:$N$9,MATCH($H18,Lab_Mat!$J$6:$J$9,0),MATCH($AY$4,Lab_Mat!$K$5:$N$5,0))*$K18*INDEX(Act_Type_Repex_Splits,MATCH($I18,Act_Type_Repex,0),MATCH(AL$4,Mat_Type,0))*INDEX(Escalators!$I$44:$U$49,MATCH(AL$4,Escalators!$C$44:$C$49,0),MATCH(AL$5,Escalators!$I$43:$U$43,0))</f>
        <v>0</v>
      </c>
      <c r="AM18" s="128">
        <f t="shared" si="33"/>
        <v>0</v>
      </c>
      <c r="AN18" s="539">
        <f>INDEX(Lab_Mat!$K$6:$N$9,MATCH($H18,Lab_Mat!$J$6:$J$9,0),MATCH($AY$4,Lab_Mat!$K$5:$N$5,0))*$L18*INDEX(Act_Type_Repex_Splits,MATCH($I18,Act_Type_Repex,0),MATCH(AN$4,Mat_Type,0))*INDEX(Escalators!$I$44:$U$49,MATCH(AN$4,Escalators!$C$44:$C$49,0),MATCH(AN$5,Escalators!$I$43:$U$43,0))</f>
        <v>0</v>
      </c>
      <c r="AO18" s="539">
        <f>INDEX(Lab_Mat!$K$6:$N$9,MATCH($H18,Lab_Mat!$J$6:$J$9,0),MATCH($AY$4,Lab_Mat!$K$5:$N$5,0))*$L18*INDEX(Act_Type_Repex_Splits,MATCH($I18,Act_Type_Repex,0),MATCH(AO$4,Mat_Type,0))*INDEX(Escalators!$I$44:$U$49,MATCH(AO$4,Escalators!$C$44:$C$49,0),MATCH(AO$5,Escalators!$I$43:$U$43,0))</f>
        <v>0</v>
      </c>
      <c r="AP18" s="539">
        <f>INDEX(Lab_Mat!$K$6:$N$9,MATCH($H18,Lab_Mat!$J$6:$J$9,0),MATCH($AY$4,Lab_Mat!$K$5:$N$5,0))*$L18*INDEX(Act_Type_Repex_Splits,MATCH($I18,Act_Type_Repex,0),MATCH(AP$4,Mat_Type,0))*INDEX(Escalators!$I$44:$U$49,MATCH(AP$4,Escalators!$C$44:$C$49,0),MATCH(AP$5,Escalators!$I$43:$U$43,0))</f>
        <v>0</v>
      </c>
      <c r="AQ18" s="539">
        <f>INDEX(Lab_Mat!$K$6:$N$9,MATCH($H18,Lab_Mat!$J$6:$J$9,0),MATCH($AY$4,Lab_Mat!$K$5:$N$5,0))*$L18*INDEX(Act_Type_Repex_Splits,MATCH($I18,Act_Type_Repex,0),MATCH(AQ$4,Mat_Type,0))*INDEX(Escalators!$I$44:$U$49,MATCH(AQ$4,Escalators!$C$44:$C$49,0),MATCH(AQ$5,Escalators!$I$43:$U$43,0))</f>
        <v>0</v>
      </c>
      <c r="AR18" s="539">
        <f>INDEX(Lab_Mat!$K$6:$N$9,MATCH($H18,Lab_Mat!$J$6:$J$9,0),MATCH($AY$4,Lab_Mat!$K$5:$N$5,0))*$L18*INDEX(Act_Type_Repex_Splits,MATCH($I18,Act_Type_Repex,0),MATCH(AR$4,Mat_Type,0))*INDEX(Escalators!$I$44:$U$49,MATCH(AR$4,Escalators!$C$44:$C$49,0),MATCH(AR$5,Escalators!$I$43:$U$43,0))</f>
        <v>0</v>
      </c>
      <c r="AS18" s="128">
        <f t="shared" si="34"/>
        <v>0</v>
      </c>
      <c r="AT18" s="539">
        <f>INDEX(Lab_Mat!$K$6:$N$9,MATCH($H18,Lab_Mat!$J$6:$J$9,0),MATCH($AY$4,Lab_Mat!$K$5:$N$5,0))*$M18*INDEX(Act_Type_Repex_Splits,MATCH($I18,Act_Type_Repex,0),MATCH(AT$4,Mat_Type,0))*INDEX(Escalators!$I$44:$U$49,MATCH(AT$4,Escalators!$C$44:$C$49,0),MATCH(AT$5,Escalators!$I$43:$U$43,0))</f>
        <v>0</v>
      </c>
      <c r="AU18" s="539">
        <f>INDEX(Lab_Mat!$K$6:$N$9,MATCH($H18,Lab_Mat!$J$6:$J$9,0),MATCH($AY$4,Lab_Mat!$K$5:$N$5,0))*$M18*INDEX(Act_Type_Repex_Splits,MATCH($I18,Act_Type_Repex,0),MATCH(AU$4,Mat_Type,0))*INDEX(Escalators!$I$44:$U$49,MATCH(AU$4,Escalators!$C$44:$C$49,0),MATCH(AU$5,Escalators!$I$43:$U$43,0))</f>
        <v>0</v>
      </c>
      <c r="AV18" s="539">
        <f>INDEX(Lab_Mat!$K$6:$N$9,MATCH($H18,Lab_Mat!$J$6:$J$9,0),MATCH($AY$4,Lab_Mat!$K$5:$N$5,0))*$M18*INDEX(Act_Type_Repex_Splits,MATCH($I18,Act_Type_Repex,0),MATCH(AV$4,Mat_Type,0))*INDEX(Escalators!$I$44:$U$49,MATCH(AV$4,Escalators!$C$44:$C$49,0),MATCH(AV$5,Escalators!$I$43:$U$43,0))</f>
        <v>183.59677564993061</v>
      </c>
      <c r="AW18" s="539">
        <f>INDEX(Lab_Mat!$K$6:$N$9,MATCH($H18,Lab_Mat!$J$6:$J$9,0),MATCH($AY$4,Lab_Mat!$K$5:$N$5,0))*$M18*INDEX(Act_Type_Repex_Splits,MATCH($I18,Act_Type_Repex,0),MATCH(AW$4,Mat_Type,0))*INDEX(Escalators!$I$44:$U$49,MATCH(AW$4,Escalators!$C$44:$C$49,0),MATCH(AW$5,Escalators!$I$43:$U$43,0))</f>
        <v>0</v>
      </c>
      <c r="AX18" s="539">
        <f>INDEX(Lab_Mat!$K$6:$N$9,MATCH($H18,Lab_Mat!$J$6:$J$9,0),MATCH($AY$4,Lab_Mat!$K$5:$N$5,0))*$M18*INDEX(Act_Type_Repex_Splits,MATCH($I18,Act_Type_Repex,0),MATCH(AX$4,Mat_Type,0))*INDEX(Escalators!$I$44:$U$49,MATCH(AX$4,Escalators!$C$44:$C$49,0),MATCH(AX$5,Escalators!$I$43:$U$43,0))</f>
        <v>734.38710259972243</v>
      </c>
      <c r="AY18" s="128">
        <f t="shared" si="35"/>
        <v>917.983878249653</v>
      </c>
      <c r="AZ18" s="539">
        <f>INDEX(Lab_Mat!$K$6:$N$9,MATCH($H18,Lab_Mat!$J$6:$J$9,0),MATCH($BE$4,Lab_Mat!$K$5:$N$5,0))*$N18*INDEX(Act_Type_Repex_Splits,MATCH($I18,Act_Type_Repex,0),MATCH(AZ$4,Mat_Type,0))*INDEX(Escalators!$I$44:$U$49,MATCH(AZ$4,Escalators!$C$44:$C$49,0),MATCH(AZ$5,Escalators!$I$43:$U$43,0))</f>
        <v>0</v>
      </c>
      <c r="BA18" s="539">
        <f>INDEX(Lab_Mat!$K$6:$N$9,MATCH($H18,Lab_Mat!$J$6:$J$9,0),MATCH($BE$4,Lab_Mat!$K$5:$N$5,0))*$N18*INDEX(Act_Type_Repex_Splits,MATCH($I18,Act_Type_Repex,0),MATCH(BA$4,Mat_Type,0))*INDEX(Escalators!$I$44:$U$49,MATCH(BA$4,Escalators!$C$44:$C$49,0),MATCH(BA$5,Escalators!$I$43:$U$43,0))</f>
        <v>0</v>
      </c>
      <c r="BB18" s="539">
        <f>INDEX(Lab_Mat!$K$6:$N$9,MATCH($H18,Lab_Mat!$J$6:$J$9,0),MATCH($BE$4,Lab_Mat!$K$5:$N$5,0))*$N18*INDEX(Act_Type_Repex_Splits,MATCH($I18,Act_Type_Repex,0),MATCH(BB$4,Mat_Type,0))*INDEX(Escalators!$I$44:$U$49,MATCH(BB$4,Escalators!$C$44:$C$49,0),MATCH(BB$5,Escalators!$I$43:$U$43,0))</f>
        <v>78.506850410957227</v>
      </c>
      <c r="BC18" s="539">
        <f>INDEX(Lab_Mat!$K$6:$N$9,MATCH($H18,Lab_Mat!$J$6:$J$9,0),MATCH($BE$4,Lab_Mat!$K$5:$N$5,0))*$N18*INDEX(Act_Type_Repex_Splits,MATCH($I18,Act_Type_Repex,0),MATCH(BC$4,Mat_Type,0))*INDEX(Escalators!$I$44:$U$49,MATCH(BC$4,Escalators!$C$44:$C$49,0),MATCH(BC$5,Escalators!$I$43:$U$43,0))</f>
        <v>0</v>
      </c>
      <c r="BD18" s="539">
        <f>INDEX(Lab_Mat!$K$6:$N$9,MATCH($H18,Lab_Mat!$J$6:$J$9,0),MATCH($BE$4,Lab_Mat!$K$5:$N$5,0))*$N18*INDEX(Act_Type_Repex_Splits,MATCH($I18,Act_Type_Repex,0),MATCH(BD$4,Mat_Type,0))*INDEX(Escalators!$I$44:$U$49,MATCH(BD$4,Escalators!$C$44:$C$49,0),MATCH(BD$5,Escalators!$I$43:$U$43,0))</f>
        <v>314.02740164382891</v>
      </c>
      <c r="BE18" s="128">
        <f t="shared" si="36"/>
        <v>392.53425205478612</v>
      </c>
      <c r="BF18" s="539">
        <f>INDEX(Lab_Mat!$K$6:$N$9,MATCH($H18,Lab_Mat!$J$6:$J$9,0),MATCH($BK$4,Lab_Mat!$K$5:$N$5,0))*$O18*INDEX(Act_Type_Repex_Splits,MATCH($I18,Act_Type_Repex,0),MATCH(BF$4,Mat_Type,0))*INDEX(Escalators!$I$44:$U$49,MATCH(BF$4,Escalators!$C$44:$C$49,0),MATCH(BF$5,Escalators!$I$43:$U$43,0))</f>
        <v>0</v>
      </c>
      <c r="BG18" s="539">
        <f>INDEX(Lab_Mat!$K$6:$N$9,MATCH($H18,Lab_Mat!$J$6:$J$9,0),MATCH($BK$4,Lab_Mat!$K$5:$N$5,0))*$O18*INDEX(Act_Type_Repex_Splits,MATCH($I18,Act_Type_Repex,0),MATCH(BG$4,Mat_Type,0))*INDEX(Escalators!$I$44:$U$49,MATCH(BG$4,Escalators!$C$44:$C$49,0),MATCH(BG$5,Escalators!$I$43:$U$43,0))</f>
        <v>0</v>
      </c>
      <c r="BH18" s="539">
        <f>INDEX(Lab_Mat!$K$6:$N$9,MATCH($H18,Lab_Mat!$J$6:$J$9,0),MATCH($BK$4,Lab_Mat!$K$5:$N$5,0))*$O18*INDEX(Act_Type_Repex_Splits,MATCH($I18,Act_Type_Repex,0),MATCH(BH$4,Mat_Type,0))*INDEX(Escalators!$I$44:$U$49,MATCH(BH$4,Escalators!$C$44:$C$49,0),MATCH(BH$5,Escalators!$I$43:$U$43,0))</f>
        <v>0</v>
      </c>
      <c r="BI18" s="539">
        <f>INDEX(Lab_Mat!$K$6:$N$9,MATCH($H18,Lab_Mat!$J$6:$J$9,0),MATCH($BK$4,Lab_Mat!$K$5:$N$5,0))*$O18*INDEX(Act_Type_Repex_Splits,MATCH($I18,Act_Type_Repex,0),MATCH(BI$4,Mat_Type,0))*INDEX(Escalators!$I$44:$U$49,MATCH(BI$4,Escalators!$C$44:$C$49,0),MATCH(BI$5,Escalators!$I$43:$U$43,0))</f>
        <v>0</v>
      </c>
      <c r="BJ18" s="539">
        <f>INDEX(Lab_Mat!$K$6:$N$9,MATCH($H18,Lab_Mat!$J$6:$J$9,0),MATCH($BK$4,Lab_Mat!$K$5:$N$5,0))*$O18*INDEX(Act_Type_Repex_Splits,MATCH($I18,Act_Type_Repex,0),MATCH(BJ$4,Mat_Type,0))*INDEX(Escalators!$I$44:$U$49,MATCH(BJ$4,Escalators!$C$44:$C$49,0),MATCH(BJ$5,Escalators!$I$43:$U$43,0))</f>
        <v>0</v>
      </c>
      <c r="BK18" s="128">
        <f t="shared" si="37"/>
        <v>0</v>
      </c>
      <c r="BL18" s="539">
        <f>INDEX(Lab_Mat!$K$6:$N$9,MATCH($H18,Lab_Mat!$J$6:$J$9,0),MATCH($BQ$4,Lab_Mat!$K$5:$N$5,0))*$P18*INDEX(Act_Type_Repex_Splits,MATCH($I18,Act_Type_Repex,0),MATCH(BL$4,Mat_Type,0))*INDEX(Escalators!$I$44:$U$49,MATCH(BL$4,Escalators!$C$44:$C$49,0),MATCH(BL$5,Escalators!$I$43:$U$43,0))</f>
        <v>0</v>
      </c>
      <c r="BM18" s="539">
        <f>INDEX(Lab_Mat!$K$6:$N$9,MATCH($H18,Lab_Mat!$J$6:$J$9,0),MATCH($BQ$4,Lab_Mat!$K$5:$N$5,0))*$P18*INDEX(Act_Type_Repex_Splits,MATCH($I18,Act_Type_Repex,0),MATCH(BM$4,Mat_Type,0))*INDEX(Escalators!$I$44:$U$49,MATCH(BM$4,Escalators!$C$44:$C$49,0),MATCH(BM$5,Escalators!$I$43:$U$43,0))</f>
        <v>0</v>
      </c>
      <c r="BN18" s="539">
        <f>INDEX(Lab_Mat!$K$6:$N$9,MATCH($H18,Lab_Mat!$J$6:$J$9,0),MATCH($BQ$4,Lab_Mat!$K$5:$N$5,0))*$P18*INDEX(Act_Type_Repex_Splits,MATCH($I18,Act_Type_Repex,0),MATCH(BN$4,Mat_Type,0))*INDEX(Escalators!$I$44:$U$49,MATCH(BN$4,Escalators!$C$44:$C$49,0),MATCH(BN$5,Escalators!$I$43:$U$43,0))</f>
        <v>0</v>
      </c>
      <c r="BO18" s="539">
        <f>INDEX(Lab_Mat!$K$6:$N$9,MATCH($H18,Lab_Mat!$J$6:$J$9,0),MATCH($BQ$4,Lab_Mat!$K$5:$N$5,0))*$P18*INDEX(Act_Type_Repex_Splits,MATCH($I18,Act_Type_Repex,0),MATCH(BO$4,Mat_Type,0))*INDEX(Escalators!$I$44:$U$49,MATCH(BO$4,Escalators!$C$44:$C$49,0),MATCH(BO$5,Escalators!$I$43:$U$43,0))</f>
        <v>0</v>
      </c>
      <c r="BP18" s="539">
        <f>INDEX(Lab_Mat!$K$6:$N$9,MATCH($H18,Lab_Mat!$J$6:$J$9,0),MATCH($BQ$4,Lab_Mat!$K$5:$N$5,0))*$P18*INDEX(Act_Type_Repex_Splits,MATCH($I18,Act_Type_Repex,0),MATCH(BP$4,Mat_Type,0))*INDEX(Escalators!$I$44:$U$49,MATCH(BP$4,Escalators!$C$44:$C$49,0),MATCH(BP$5,Escalators!$I$43:$U$43,0))</f>
        <v>0</v>
      </c>
      <c r="BQ18" s="128">
        <f t="shared" si="38"/>
        <v>0</v>
      </c>
      <c r="BR18" s="539">
        <f>INDEX(Lab_Mat!$K$6:$N$9,MATCH($H18,Lab_Mat!$J$6:$J$9,0),MATCH($BW$4,Lab_Mat!$K$5:$N$5,0))*$Q18*INDEX(Act_Type_Repex_Splits,MATCH($I18,Act_Type_Repex,0),MATCH(BR$4,Mat_Type,0))*INDEX(Escalators!$I$44:$U$49,MATCH(BR$4,Escalators!$C$44:$C$49,0),MATCH(BR$5,Escalators!$I$43:$U$43,0))</f>
        <v>0</v>
      </c>
      <c r="BS18" s="539">
        <f>INDEX(Lab_Mat!$K$6:$N$9,MATCH($H18,Lab_Mat!$J$6:$J$9,0),MATCH($BW$4,Lab_Mat!$K$5:$N$5,0))*$Q18*INDEX(Act_Type_Repex_Splits,MATCH($I18,Act_Type_Repex,0),MATCH(BS$4,Mat_Type,0))*INDEX(Escalators!$I$44:$U$49,MATCH(BS$4,Escalators!$C$44:$C$49,0),MATCH(BS$5,Escalators!$I$43:$U$43,0))</f>
        <v>0</v>
      </c>
      <c r="BT18" s="539">
        <f>INDEX(Lab_Mat!$K$6:$N$9,MATCH($H18,Lab_Mat!$J$6:$J$9,0),MATCH($BW$4,Lab_Mat!$K$5:$N$5,0))*$Q18*INDEX(Act_Type_Repex_Splits,MATCH($I18,Act_Type_Repex,0),MATCH(BT$4,Mat_Type,0))*INDEX(Escalators!$I$44:$U$49,MATCH(BT$4,Escalators!$C$44:$C$49,0),MATCH(BT$5,Escalators!$I$43:$U$43,0))</f>
        <v>0</v>
      </c>
      <c r="BU18" s="539">
        <f>INDEX(Lab_Mat!$K$6:$N$9,MATCH($H18,Lab_Mat!$J$6:$J$9,0),MATCH($BW$4,Lab_Mat!$K$5:$N$5,0))*$Q18*INDEX(Act_Type_Repex_Splits,MATCH($I18,Act_Type_Repex,0),MATCH(BU$4,Mat_Type,0))*INDEX(Escalators!$I$44:$U$49,MATCH(BU$4,Escalators!$C$44:$C$49,0),MATCH(BU$5,Escalators!$I$43:$U$43,0))</f>
        <v>0</v>
      </c>
      <c r="BV18" s="539">
        <f>INDEX(Lab_Mat!$K$6:$N$9,MATCH($H18,Lab_Mat!$J$6:$J$9,0),MATCH($BW$4,Lab_Mat!$K$5:$N$5,0))*$Q18*INDEX(Act_Type_Repex_Splits,MATCH($I18,Act_Type_Repex,0),MATCH(BV$4,Mat_Type,0))*INDEX(Escalators!$I$44:$U$49,MATCH(BV$4,Escalators!$C$44:$C$49,0),MATCH(BV$5,Escalators!$I$43:$U$43,0))</f>
        <v>0</v>
      </c>
      <c r="BW18" s="128">
        <f t="shared" si="39"/>
        <v>0</v>
      </c>
      <c r="BX18" s="129"/>
      <c r="BY18" s="128">
        <f>INDEX(Lab_Mat!$K$6:$N$9,MATCH($H18,Lab_Mat!$J$6:$J$9,0),MATCH($BY$4,Lab_Mat!$K$5:$N$5,0))*J18*HLOOKUP(BY$5,Escalators!$I$25:$U$30,6,FALSE)</f>
        <v>0</v>
      </c>
      <c r="BZ18" s="128">
        <f>INDEX(Lab_Mat!$K$6:$N$9,MATCH($H18,Lab_Mat!$J$6:$J$9,0),MATCH($BY$4,Lab_Mat!$K$5:$N$5,0))*K18*HLOOKUP(BZ$5,Escalators!$I$25:$U$30,6,FALSE)</f>
        <v>0</v>
      </c>
      <c r="CA18" s="128">
        <f>INDEX(Lab_Mat!$K$6:$N$9,MATCH($H18,Lab_Mat!$J$6:$J$9,0),MATCH($BY$4,Lab_Mat!$K$5:$N$5,0))*L18*HLOOKUP(CA$5,Escalators!$I$25:$U$30,6,FALSE)</f>
        <v>0</v>
      </c>
      <c r="CB18" s="128">
        <f>INDEX(Lab_Mat!$K$6:$N$9,MATCH($H18,Lab_Mat!$J$6:$J$9,0),MATCH($BY$4,Lab_Mat!$K$5:$N$5,0))*M18*HLOOKUP(CB$5,Escalators!$I$25:$U$30,6,FALSE)</f>
        <v>333.28771619113007</v>
      </c>
      <c r="CC18" s="128">
        <f>INDEX(Lab_Mat!$K$6:$N$9,MATCH($H18,Lab_Mat!$J$6:$J$9,0),MATCH($BY$4,Lab_Mat!$K$5:$N$5,0))*N18*HLOOKUP(CC$5,Escalators!$I$25:$U$30,6,FALSE)</f>
        <v>142.51540521995275</v>
      </c>
      <c r="CD18" s="128">
        <f>INDEX(Lab_Mat!$K$6:$N$9,MATCH($H18,Lab_Mat!$J$6:$J$9,0),MATCH($BY$4,Lab_Mat!$K$5:$N$5,0))*O18*HLOOKUP(CD$5,Escalators!$I$25:$U$30,6,FALSE)</f>
        <v>0</v>
      </c>
      <c r="CE18" s="128">
        <f>INDEX(Lab_Mat!$K$6:$N$9,MATCH($H18,Lab_Mat!$J$6:$J$9,0),MATCH($BY$4,Lab_Mat!$K$5:$N$5,0))*P18*HLOOKUP(CE$5,Escalators!$I$25:$U$30,6,FALSE)</f>
        <v>0</v>
      </c>
      <c r="CF18" s="128">
        <f>INDEX(Lab_Mat!$K$6:$N$9,MATCH($H18,Lab_Mat!$J$6:$J$9,0),MATCH($BY$4,Lab_Mat!$K$5:$N$5,0))*Q18*HLOOKUP(CF$5,Escalators!$I$25:$U$30,6,FALSE)</f>
        <v>0</v>
      </c>
      <c r="CG18" s="129"/>
      <c r="CH18" s="763">
        <f>INDEX(Lab_Mat!$K$6:$N$9,MATCH($H18,Lab_Mat!$J$6:$J$9,0),MATCH($CH$4,Lab_Mat!$K$5:$N$5,0))*J18</f>
        <v>0</v>
      </c>
      <c r="CI18" s="763">
        <f>INDEX(Lab_Mat!$K$6:$N$9,MATCH($H18,Lab_Mat!$J$6:$J$9,0),MATCH($CH$4,Lab_Mat!$K$5:$N$5,0))*K18</f>
        <v>0</v>
      </c>
      <c r="CJ18" s="763">
        <f>INDEX(Lab_Mat!$K$6:$N$9,MATCH($H18,Lab_Mat!$J$6:$J$9,0),MATCH($CH$4,Lab_Mat!$K$5:$N$5,0))*L18</f>
        <v>0</v>
      </c>
      <c r="CK18" s="763">
        <f>INDEX(Lab_Mat!$K$6:$N$9,MATCH($H18,Lab_Mat!$J$6:$J$9,0),MATCH($CH$4,Lab_Mat!$K$5:$N$5,0))*M18</f>
        <v>132.55995480867651</v>
      </c>
      <c r="CL18" s="763">
        <f>INDEX(Lab_Mat!$K$6:$N$9,MATCH($H18,Lab_Mat!$J$6:$J$9,0),MATCH($CH$4,Lab_Mat!$K$5:$N$5,0))*N18</f>
        <v>56.683264212063797</v>
      </c>
      <c r="CM18" s="763">
        <f>INDEX(Lab_Mat!$K$6:$N$9,MATCH($H18,Lab_Mat!$J$6:$J$9,0),MATCH($CH$4,Lab_Mat!$K$5:$N$5,0))*O18</f>
        <v>0</v>
      </c>
      <c r="CN18" s="763">
        <f>INDEX(Lab_Mat!$K$6:$N$9,MATCH($H18,Lab_Mat!$J$6:$J$9,0),MATCH($CH$4,Lab_Mat!$K$5:$N$5,0))*P18</f>
        <v>0</v>
      </c>
      <c r="CO18" s="763">
        <f>INDEX(Lab_Mat!$K$6:$N$9,MATCH($H18,Lab_Mat!$J$6:$J$9,0),MATCH($CH$4,Lab_Mat!$K$5:$N$5,0))*Q18</f>
        <v>0</v>
      </c>
      <c r="CP18" s="129"/>
      <c r="CQ18" s="128">
        <f t="shared" si="25"/>
        <v>0</v>
      </c>
      <c r="CR18" s="128">
        <f t="shared" si="26"/>
        <v>0</v>
      </c>
      <c r="CS18" s="128">
        <f t="shared" si="24"/>
        <v>0</v>
      </c>
      <c r="CT18" s="128">
        <f t="shared" si="27"/>
        <v>1701.3028074868403</v>
      </c>
      <c r="CU18" s="128">
        <f t="shared" si="28"/>
        <v>727.14606116329469</v>
      </c>
      <c r="CV18" s="128">
        <f t="shared" si="29"/>
        <v>0</v>
      </c>
      <c r="CW18" s="128">
        <f t="shared" si="30"/>
        <v>0</v>
      </c>
      <c r="CX18" s="128">
        <f t="shared" si="31"/>
        <v>0</v>
      </c>
      <c r="CY18" s="39"/>
      <c r="CZ18" s="39"/>
      <c r="DA18" s="39"/>
      <c r="DB18" s="39"/>
      <c r="DC18" s="39"/>
    </row>
    <row r="19" spans="2:109" x14ac:dyDescent="0.25">
      <c r="B19" s="7"/>
      <c r="C19" s="7" t="s">
        <v>416</v>
      </c>
      <c r="D19" s="7" t="s">
        <v>697</v>
      </c>
      <c r="E19" s="7" t="s">
        <v>48</v>
      </c>
      <c r="F19" s="7" t="s">
        <v>55</v>
      </c>
      <c r="G19" s="7" t="s">
        <v>150</v>
      </c>
      <c r="H19" s="7" t="s">
        <v>753</v>
      </c>
      <c r="I19" s="7" t="s">
        <v>204</v>
      </c>
      <c r="J19" s="45"/>
      <c r="K19" s="45"/>
      <c r="L19" s="45"/>
      <c r="M19" s="128">
        <v>34.605539141654027</v>
      </c>
      <c r="N19" s="128">
        <v>14.797492358822831</v>
      </c>
      <c r="O19" s="128">
        <v>0</v>
      </c>
      <c r="P19" s="128"/>
      <c r="Q19" s="128"/>
      <c r="R19" s="129"/>
      <c r="S19" s="128">
        <f>INDEX(Lab_Mat!$K$6:$N$9,MATCH($H19,Lab_Mat!$J$6:$J$9,0),MATCH($S$4,Lab_Mat!$K$5:$N$5,0))*J19*HLOOKUP(S$5,Escalators!$I$25:$U$30,3,FALSE)</f>
        <v>0</v>
      </c>
      <c r="T19" s="128">
        <f>INDEX(Lab_Mat!$K$6:$N$9,MATCH($H19,Lab_Mat!$J$6:$J$9,0),MATCH($S$4,Lab_Mat!$K$5:$N$5,0))*K19*HLOOKUP(T$5,Escalators!$I$25:$U$30,3,FALSE)</f>
        <v>0</v>
      </c>
      <c r="U19" s="128">
        <f>INDEX(Lab_Mat!$K$6:$N$9,MATCH($H19,Lab_Mat!$J$6:$J$9,0),MATCH($S$4,Lab_Mat!$K$5:$N$5,0))*L19*HLOOKUP(U$5,Escalators!$I$25:$U$30,3,FALSE)</f>
        <v>0</v>
      </c>
      <c r="V19" s="128">
        <f>INDEX(Lab_Mat!$K$6:$N$9,MATCH($H19,Lab_Mat!$J$6:$J$9,0),MATCH($S$4,Lab_Mat!$K$5:$N$5,0))*M19*HLOOKUP(V$5,Escalators!$I$25:$U$30,3,FALSE)</f>
        <v>6.4790052701506218</v>
      </c>
      <c r="W19" s="128">
        <f>INDEX(Lab_Mat!$K$6:$N$9,MATCH($H19,Lab_Mat!$J$6:$J$9,0),MATCH($S$4,Lab_Mat!$K$5:$N$5,0))*N19*HLOOKUP(W$5,Escalators!$I$25:$U$30,3,FALSE)</f>
        <v>2.7635334627855515</v>
      </c>
      <c r="X19" s="128">
        <f>INDEX(Lab_Mat!$K$6:$N$9,MATCH($H19,Lab_Mat!$J$6:$J$9,0),MATCH($S$4,Lab_Mat!$K$5:$N$5,0))*O19*HLOOKUP(X$5,Escalators!$I$25:$U$30,3,FALSE)</f>
        <v>0</v>
      </c>
      <c r="Y19" s="128">
        <f>INDEX(Lab_Mat!$K$6:$N$9,MATCH($H19,Lab_Mat!$J$6:$J$9,0),MATCH($S$4,Lab_Mat!$K$5:$N$5,0))*P19*HLOOKUP(Y$5,Escalators!$I$25:$U$30,3,FALSE)</f>
        <v>0</v>
      </c>
      <c r="Z19" s="128">
        <f>INDEX(Lab_Mat!$K$6:$N$9,MATCH($H19,Lab_Mat!$J$6:$J$9,0),MATCH($S$4,Lab_Mat!$K$5:$N$5,0))*Q19*HLOOKUP(Z$5,Escalators!$I$25:$U$30,3,FALSE)</f>
        <v>0</v>
      </c>
      <c r="AA19" s="129"/>
      <c r="AB19" s="539">
        <f>INDEX(Lab_Mat!$K$6:$N$9,MATCH($H19,Lab_Mat!$J$6:$J$9,0),MATCH($AG$4,Lab_Mat!$K$5:$N$5,0))*$J19*INDEX(Act_Type_Repex_Splits,MATCH($I19,Act_Type_Repex,0),MATCH(AB$4,Mat_Type,0))*INDEX(Escalators!$I$44:$Q$49,MATCH(AB$4,Escalators!$C$44:$C$49,0),MATCH(AB$5,Escalators!$I$43:$Q$43,0))</f>
        <v>0</v>
      </c>
      <c r="AC19" s="539">
        <f>INDEX(Lab_Mat!$K$6:$N$9,MATCH($H19,Lab_Mat!$J$6:$J$9,0),MATCH($AG$4,Lab_Mat!$K$5:$N$5,0))*$J19*INDEX(Act_Type_Repex_Splits,MATCH($I19,Act_Type_Repex,0),MATCH(AC$4,Mat_Type,0))*INDEX(Escalators!$I$44:$Q$49,MATCH(AC$4,Escalators!$C$44:$C$49,0),MATCH(AC$5,Escalators!$I$43:$Q$43,0))</f>
        <v>0</v>
      </c>
      <c r="AD19" s="539">
        <f>INDEX(Lab_Mat!$K$6:$N$9,MATCH($H19,Lab_Mat!$J$6:$J$9,0),MATCH($AG$4,Lab_Mat!$K$5:$N$5,0))*$J19*INDEX(Act_Type_Repex_Splits,MATCH($I19,Act_Type_Repex,0),MATCH(AD$4,Mat_Type,0))*INDEX(Escalators!$I$44:$Q$49,MATCH(AD$4,Escalators!$C$44:$C$49,0),MATCH(AD$5,Escalators!$I$43:$Q$43,0))</f>
        <v>0</v>
      </c>
      <c r="AE19" s="539">
        <f>INDEX(Lab_Mat!$K$6:$N$9,MATCH($H19,Lab_Mat!$J$6:$J$9,0),MATCH($AG$4,Lab_Mat!$K$5:$N$5,0))*$J19*INDEX(Act_Type_Repex_Splits,MATCH($I19,Act_Type_Repex,0),MATCH(AE$4,Mat_Type,0))*INDEX(Escalators!$I$44:$Q$49,MATCH(AE$4,Escalators!$C$44:$C$49,0),MATCH(AE$5,Escalators!$I$43:$Q$43,0))</f>
        <v>0</v>
      </c>
      <c r="AF19" s="539">
        <f>INDEX(Lab_Mat!$K$6:$N$9,MATCH($H19,Lab_Mat!$J$6:$J$9,0),MATCH($AG$4,Lab_Mat!$K$5:$N$5,0))*$J19*INDEX(Act_Type_Repex_Splits,MATCH($I19,Act_Type_Repex,0),MATCH(AF$4,Mat_Type,0))*INDEX(Escalators!$I$44:$Q$49,MATCH(AF$4,Escalators!$C$44:$C$49,0),MATCH(AF$5,Escalators!$I$43:$Q$43,0))</f>
        <v>0</v>
      </c>
      <c r="AG19" s="128">
        <f t="shared" si="32"/>
        <v>0</v>
      </c>
      <c r="AH19" s="539">
        <f>INDEX(Lab_Mat!$K$6:$N$9,MATCH($H19,Lab_Mat!$J$6:$J$9,0),MATCH($AY$4,Lab_Mat!$K$5:$N$5,0))*$K19*INDEX(Act_Type_Repex_Splits,MATCH($I19,Act_Type_Repex,0),MATCH(AH$4,Mat_Type,0))*INDEX(Escalators!$I$44:$U$49,MATCH(AH$4,Escalators!$C$44:$C$49,0),MATCH(AH$5,Escalators!$I$43:$U$43,0))</f>
        <v>0</v>
      </c>
      <c r="AI19" s="539">
        <f>INDEX(Lab_Mat!$K$6:$N$9,MATCH($H19,Lab_Mat!$J$6:$J$9,0),MATCH($AY$4,Lab_Mat!$K$5:$N$5,0))*$K19*INDEX(Act_Type_Repex_Splits,MATCH($I19,Act_Type_Repex,0),MATCH(AI$4,Mat_Type,0))*INDEX(Escalators!$I$44:$U$49,MATCH(AI$4,Escalators!$C$44:$C$49,0),MATCH(AI$5,Escalators!$I$43:$U$43,0))</f>
        <v>0</v>
      </c>
      <c r="AJ19" s="539">
        <f>INDEX(Lab_Mat!$K$6:$N$9,MATCH($H19,Lab_Mat!$J$6:$J$9,0),MATCH($AY$4,Lab_Mat!$K$5:$N$5,0))*$K19*INDEX(Act_Type_Repex_Splits,MATCH($I19,Act_Type_Repex,0),MATCH(AJ$4,Mat_Type,0))*INDEX(Escalators!$I$44:$U$49,MATCH(AJ$4,Escalators!$C$44:$C$49,0),MATCH(AJ$5,Escalators!$I$43:$U$43,0))</f>
        <v>0</v>
      </c>
      <c r="AK19" s="539">
        <f>INDEX(Lab_Mat!$K$6:$N$9,MATCH($H19,Lab_Mat!$J$6:$J$9,0),MATCH($AY$4,Lab_Mat!$K$5:$N$5,0))*$K19*INDEX(Act_Type_Repex_Splits,MATCH($I19,Act_Type_Repex,0),MATCH(AK$4,Mat_Type,0))*INDEX(Escalators!$I$44:$U$49,MATCH(AK$4,Escalators!$C$44:$C$49,0),MATCH(AK$5,Escalators!$I$43:$U$43,0))</f>
        <v>0</v>
      </c>
      <c r="AL19" s="539">
        <f>INDEX(Lab_Mat!$K$6:$N$9,MATCH($H19,Lab_Mat!$J$6:$J$9,0),MATCH($AY$4,Lab_Mat!$K$5:$N$5,0))*$K19*INDEX(Act_Type_Repex_Splits,MATCH($I19,Act_Type_Repex,0),MATCH(AL$4,Mat_Type,0))*INDEX(Escalators!$I$44:$U$49,MATCH(AL$4,Escalators!$C$44:$C$49,0),MATCH(AL$5,Escalators!$I$43:$U$43,0))</f>
        <v>0</v>
      </c>
      <c r="AM19" s="128">
        <f t="shared" si="33"/>
        <v>0</v>
      </c>
      <c r="AN19" s="539">
        <f>INDEX(Lab_Mat!$K$6:$N$9,MATCH($H19,Lab_Mat!$J$6:$J$9,0),MATCH($AY$4,Lab_Mat!$K$5:$N$5,0))*$L19*INDEX(Act_Type_Repex_Splits,MATCH($I19,Act_Type_Repex,0),MATCH(AN$4,Mat_Type,0))*INDEX(Escalators!$I$44:$U$49,MATCH(AN$4,Escalators!$C$44:$C$49,0),MATCH(AN$5,Escalators!$I$43:$U$43,0))</f>
        <v>0</v>
      </c>
      <c r="AO19" s="539">
        <f>INDEX(Lab_Mat!$K$6:$N$9,MATCH($H19,Lab_Mat!$J$6:$J$9,0),MATCH($AY$4,Lab_Mat!$K$5:$N$5,0))*$L19*INDEX(Act_Type_Repex_Splits,MATCH($I19,Act_Type_Repex,0),MATCH(AO$4,Mat_Type,0))*INDEX(Escalators!$I$44:$U$49,MATCH(AO$4,Escalators!$C$44:$C$49,0),MATCH(AO$5,Escalators!$I$43:$U$43,0))</f>
        <v>0</v>
      </c>
      <c r="AP19" s="539">
        <f>INDEX(Lab_Mat!$K$6:$N$9,MATCH($H19,Lab_Mat!$J$6:$J$9,0),MATCH($AY$4,Lab_Mat!$K$5:$N$5,0))*$L19*INDEX(Act_Type_Repex_Splits,MATCH($I19,Act_Type_Repex,0),MATCH(AP$4,Mat_Type,0))*INDEX(Escalators!$I$44:$U$49,MATCH(AP$4,Escalators!$C$44:$C$49,0),MATCH(AP$5,Escalators!$I$43:$U$43,0))</f>
        <v>0</v>
      </c>
      <c r="AQ19" s="539">
        <f>INDEX(Lab_Mat!$K$6:$N$9,MATCH($H19,Lab_Mat!$J$6:$J$9,0),MATCH($AY$4,Lab_Mat!$K$5:$N$5,0))*$L19*INDEX(Act_Type_Repex_Splits,MATCH($I19,Act_Type_Repex,0),MATCH(AQ$4,Mat_Type,0))*INDEX(Escalators!$I$44:$U$49,MATCH(AQ$4,Escalators!$C$44:$C$49,0),MATCH(AQ$5,Escalators!$I$43:$U$43,0))</f>
        <v>0</v>
      </c>
      <c r="AR19" s="539">
        <f>INDEX(Lab_Mat!$K$6:$N$9,MATCH($H19,Lab_Mat!$J$6:$J$9,0),MATCH($AY$4,Lab_Mat!$K$5:$N$5,0))*$L19*INDEX(Act_Type_Repex_Splits,MATCH($I19,Act_Type_Repex,0),MATCH(AR$4,Mat_Type,0))*INDEX(Escalators!$I$44:$U$49,MATCH(AR$4,Escalators!$C$44:$C$49,0),MATCH(AR$5,Escalators!$I$43:$U$43,0))</f>
        <v>0</v>
      </c>
      <c r="AS19" s="128">
        <f t="shared" si="34"/>
        <v>0</v>
      </c>
      <c r="AT19" s="539">
        <f>INDEX(Lab_Mat!$K$6:$N$9,MATCH($H19,Lab_Mat!$J$6:$J$9,0),MATCH($AY$4,Lab_Mat!$K$5:$N$5,0))*$M19*INDEX(Act_Type_Repex_Splits,MATCH($I19,Act_Type_Repex,0),MATCH(AT$4,Mat_Type,0))*INDEX(Escalators!$I$44:$U$49,MATCH(AT$4,Escalators!$C$44:$C$49,0),MATCH(AT$5,Escalators!$I$43:$U$43,0))</f>
        <v>0</v>
      </c>
      <c r="AU19" s="539">
        <f>INDEX(Lab_Mat!$K$6:$N$9,MATCH($H19,Lab_Mat!$J$6:$J$9,0),MATCH($AY$4,Lab_Mat!$K$5:$N$5,0))*$M19*INDEX(Act_Type_Repex_Splits,MATCH($I19,Act_Type_Repex,0),MATCH(AU$4,Mat_Type,0))*INDEX(Escalators!$I$44:$U$49,MATCH(AU$4,Escalators!$C$44:$C$49,0),MATCH(AU$5,Escalators!$I$43:$U$43,0))</f>
        <v>0</v>
      </c>
      <c r="AV19" s="539">
        <f>INDEX(Lab_Mat!$K$6:$N$9,MATCH($H19,Lab_Mat!$J$6:$J$9,0),MATCH($AY$4,Lab_Mat!$K$5:$N$5,0))*$M19*INDEX(Act_Type_Repex_Splits,MATCH($I19,Act_Type_Repex,0),MATCH(AV$4,Mat_Type,0))*INDEX(Escalators!$I$44:$U$49,MATCH(AV$4,Escalators!$C$44:$C$49,0),MATCH(AV$5,Escalators!$I$43:$U$43,0))</f>
        <v>3.7468729724475631</v>
      </c>
      <c r="AW19" s="539">
        <f>INDEX(Lab_Mat!$K$6:$N$9,MATCH($H19,Lab_Mat!$J$6:$J$9,0),MATCH($AY$4,Lab_Mat!$K$5:$N$5,0))*$M19*INDEX(Act_Type_Repex_Splits,MATCH($I19,Act_Type_Repex,0),MATCH(AW$4,Mat_Type,0))*INDEX(Escalators!$I$44:$U$49,MATCH(AW$4,Escalators!$C$44:$C$49,0),MATCH(AW$5,Escalators!$I$43:$U$43,0))</f>
        <v>0</v>
      </c>
      <c r="AX19" s="539">
        <f>INDEX(Lab_Mat!$K$6:$N$9,MATCH($H19,Lab_Mat!$J$6:$J$9,0),MATCH($AY$4,Lab_Mat!$K$5:$N$5,0))*$M19*INDEX(Act_Type_Repex_Splits,MATCH($I19,Act_Type_Repex,0),MATCH(AX$4,Mat_Type,0))*INDEX(Escalators!$I$44:$U$49,MATCH(AX$4,Escalators!$C$44:$C$49,0),MATCH(AX$5,Escalators!$I$43:$U$43,0))</f>
        <v>14.987491889790252</v>
      </c>
      <c r="AY19" s="128">
        <f t="shared" si="35"/>
        <v>18.734364862237815</v>
      </c>
      <c r="AZ19" s="539">
        <f>INDEX(Lab_Mat!$K$6:$N$9,MATCH($H19,Lab_Mat!$J$6:$J$9,0),MATCH($BE$4,Lab_Mat!$K$5:$N$5,0))*$N19*INDEX(Act_Type_Repex_Splits,MATCH($I19,Act_Type_Repex,0),MATCH(AZ$4,Mat_Type,0))*INDEX(Escalators!$I$44:$U$49,MATCH(AZ$4,Escalators!$C$44:$C$49,0),MATCH(AZ$5,Escalators!$I$43:$U$43,0))</f>
        <v>0</v>
      </c>
      <c r="BA19" s="539">
        <f>INDEX(Lab_Mat!$K$6:$N$9,MATCH($H19,Lab_Mat!$J$6:$J$9,0),MATCH($BE$4,Lab_Mat!$K$5:$N$5,0))*$N19*INDEX(Act_Type_Repex_Splits,MATCH($I19,Act_Type_Repex,0),MATCH(BA$4,Mat_Type,0))*INDEX(Escalators!$I$44:$U$49,MATCH(BA$4,Escalators!$C$44:$C$49,0),MATCH(BA$5,Escalators!$I$43:$U$43,0))</f>
        <v>0</v>
      </c>
      <c r="BB19" s="539">
        <f>INDEX(Lab_Mat!$K$6:$N$9,MATCH($H19,Lab_Mat!$J$6:$J$9,0),MATCH($BE$4,Lab_Mat!$K$5:$N$5,0))*$N19*INDEX(Act_Type_Repex_Splits,MATCH($I19,Act_Type_Repex,0),MATCH(BB$4,Mat_Type,0))*INDEX(Escalators!$I$44:$U$49,MATCH(BB$4,Escalators!$C$44:$C$49,0),MATCH(BB$5,Escalators!$I$43:$U$43,0))</f>
        <v>1.6021806206317799</v>
      </c>
      <c r="BC19" s="539">
        <f>INDEX(Lab_Mat!$K$6:$N$9,MATCH($H19,Lab_Mat!$J$6:$J$9,0),MATCH($BE$4,Lab_Mat!$K$5:$N$5,0))*$N19*INDEX(Act_Type_Repex_Splits,MATCH($I19,Act_Type_Repex,0),MATCH(BC$4,Mat_Type,0))*INDEX(Escalators!$I$44:$U$49,MATCH(BC$4,Escalators!$C$44:$C$49,0),MATCH(BC$5,Escalators!$I$43:$U$43,0))</f>
        <v>0</v>
      </c>
      <c r="BD19" s="539">
        <f>INDEX(Lab_Mat!$K$6:$N$9,MATCH($H19,Lab_Mat!$J$6:$J$9,0),MATCH($BE$4,Lab_Mat!$K$5:$N$5,0))*$N19*INDEX(Act_Type_Repex_Splits,MATCH($I19,Act_Type_Repex,0),MATCH(BD$4,Mat_Type,0))*INDEX(Escalators!$I$44:$U$49,MATCH(BD$4,Escalators!$C$44:$C$49,0),MATCH(BD$5,Escalators!$I$43:$U$43,0))</f>
        <v>6.4087224825271196</v>
      </c>
      <c r="BE19" s="128">
        <f t="shared" si="36"/>
        <v>8.0109031031588991</v>
      </c>
      <c r="BF19" s="539">
        <f>INDEX(Lab_Mat!$K$6:$N$9,MATCH($H19,Lab_Mat!$J$6:$J$9,0),MATCH($BK$4,Lab_Mat!$K$5:$N$5,0))*$O19*INDEX(Act_Type_Repex_Splits,MATCH($I19,Act_Type_Repex,0),MATCH(BF$4,Mat_Type,0))*INDEX(Escalators!$I$44:$U$49,MATCH(BF$4,Escalators!$C$44:$C$49,0),MATCH(BF$5,Escalators!$I$43:$U$43,0))</f>
        <v>0</v>
      </c>
      <c r="BG19" s="539">
        <f>INDEX(Lab_Mat!$K$6:$N$9,MATCH($H19,Lab_Mat!$J$6:$J$9,0),MATCH($BK$4,Lab_Mat!$K$5:$N$5,0))*$O19*INDEX(Act_Type_Repex_Splits,MATCH($I19,Act_Type_Repex,0),MATCH(BG$4,Mat_Type,0))*INDEX(Escalators!$I$44:$U$49,MATCH(BG$4,Escalators!$C$44:$C$49,0),MATCH(BG$5,Escalators!$I$43:$U$43,0))</f>
        <v>0</v>
      </c>
      <c r="BH19" s="539">
        <f>INDEX(Lab_Mat!$K$6:$N$9,MATCH($H19,Lab_Mat!$J$6:$J$9,0),MATCH($BK$4,Lab_Mat!$K$5:$N$5,0))*$O19*INDEX(Act_Type_Repex_Splits,MATCH($I19,Act_Type_Repex,0),MATCH(BH$4,Mat_Type,0))*INDEX(Escalators!$I$44:$U$49,MATCH(BH$4,Escalators!$C$44:$C$49,0),MATCH(BH$5,Escalators!$I$43:$U$43,0))</f>
        <v>0</v>
      </c>
      <c r="BI19" s="539">
        <f>INDEX(Lab_Mat!$K$6:$N$9,MATCH($H19,Lab_Mat!$J$6:$J$9,0),MATCH($BK$4,Lab_Mat!$K$5:$N$5,0))*$O19*INDEX(Act_Type_Repex_Splits,MATCH($I19,Act_Type_Repex,0),MATCH(BI$4,Mat_Type,0))*INDEX(Escalators!$I$44:$U$49,MATCH(BI$4,Escalators!$C$44:$C$49,0),MATCH(BI$5,Escalators!$I$43:$U$43,0))</f>
        <v>0</v>
      </c>
      <c r="BJ19" s="539">
        <f>INDEX(Lab_Mat!$K$6:$N$9,MATCH($H19,Lab_Mat!$J$6:$J$9,0),MATCH($BK$4,Lab_Mat!$K$5:$N$5,0))*$O19*INDEX(Act_Type_Repex_Splits,MATCH($I19,Act_Type_Repex,0),MATCH(BJ$4,Mat_Type,0))*INDEX(Escalators!$I$44:$U$49,MATCH(BJ$4,Escalators!$C$44:$C$49,0),MATCH(BJ$5,Escalators!$I$43:$U$43,0))</f>
        <v>0</v>
      </c>
      <c r="BK19" s="128">
        <f t="shared" si="37"/>
        <v>0</v>
      </c>
      <c r="BL19" s="539">
        <f>INDEX(Lab_Mat!$K$6:$N$9,MATCH($H19,Lab_Mat!$J$6:$J$9,0),MATCH($BQ$4,Lab_Mat!$K$5:$N$5,0))*$P19*INDEX(Act_Type_Repex_Splits,MATCH($I19,Act_Type_Repex,0),MATCH(BL$4,Mat_Type,0))*INDEX(Escalators!$I$44:$U$49,MATCH(BL$4,Escalators!$C$44:$C$49,0),MATCH(BL$5,Escalators!$I$43:$U$43,0))</f>
        <v>0</v>
      </c>
      <c r="BM19" s="539">
        <f>INDEX(Lab_Mat!$K$6:$N$9,MATCH($H19,Lab_Mat!$J$6:$J$9,0),MATCH($BQ$4,Lab_Mat!$K$5:$N$5,0))*$P19*INDEX(Act_Type_Repex_Splits,MATCH($I19,Act_Type_Repex,0),MATCH(BM$4,Mat_Type,0))*INDEX(Escalators!$I$44:$U$49,MATCH(BM$4,Escalators!$C$44:$C$49,0),MATCH(BM$5,Escalators!$I$43:$U$43,0))</f>
        <v>0</v>
      </c>
      <c r="BN19" s="539">
        <f>INDEX(Lab_Mat!$K$6:$N$9,MATCH($H19,Lab_Mat!$J$6:$J$9,0),MATCH($BQ$4,Lab_Mat!$K$5:$N$5,0))*$P19*INDEX(Act_Type_Repex_Splits,MATCH($I19,Act_Type_Repex,0),MATCH(BN$4,Mat_Type,0))*INDEX(Escalators!$I$44:$U$49,MATCH(BN$4,Escalators!$C$44:$C$49,0),MATCH(BN$5,Escalators!$I$43:$U$43,0))</f>
        <v>0</v>
      </c>
      <c r="BO19" s="539">
        <f>INDEX(Lab_Mat!$K$6:$N$9,MATCH($H19,Lab_Mat!$J$6:$J$9,0),MATCH($BQ$4,Lab_Mat!$K$5:$N$5,0))*$P19*INDEX(Act_Type_Repex_Splits,MATCH($I19,Act_Type_Repex,0),MATCH(BO$4,Mat_Type,0))*INDEX(Escalators!$I$44:$U$49,MATCH(BO$4,Escalators!$C$44:$C$49,0),MATCH(BO$5,Escalators!$I$43:$U$43,0))</f>
        <v>0</v>
      </c>
      <c r="BP19" s="539">
        <f>INDEX(Lab_Mat!$K$6:$N$9,MATCH($H19,Lab_Mat!$J$6:$J$9,0),MATCH($BQ$4,Lab_Mat!$K$5:$N$5,0))*$P19*INDEX(Act_Type_Repex_Splits,MATCH($I19,Act_Type_Repex,0),MATCH(BP$4,Mat_Type,0))*INDEX(Escalators!$I$44:$U$49,MATCH(BP$4,Escalators!$C$44:$C$49,0),MATCH(BP$5,Escalators!$I$43:$U$43,0))</f>
        <v>0</v>
      </c>
      <c r="BQ19" s="128">
        <f t="shared" si="38"/>
        <v>0</v>
      </c>
      <c r="BR19" s="539">
        <f>INDEX(Lab_Mat!$K$6:$N$9,MATCH($H19,Lab_Mat!$J$6:$J$9,0),MATCH($BW$4,Lab_Mat!$K$5:$N$5,0))*$Q19*INDEX(Act_Type_Repex_Splits,MATCH($I19,Act_Type_Repex,0),MATCH(BR$4,Mat_Type,0))*INDEX(Escalators!$I$44:$U$49,MATCH(BR$4,Escalators!$C$44:$C$49,0),MATCH(BR$5,Escalators!$I$43:$U$43,0))</f>
        <v>0</v>
      </c>
      <c r="BS19" s="539">
        <f>INDEX(Lab_Mat!$K$6:$N$9,MATCH($H19,Lab_Mat!$J$6:$J$9,0),MATCH($BW$4,Lab_Mat!$K$5:$N$5,0))*$Q19*INDEX(Act_Type_Repex_Splits,MATCH($I19,Act_Type_Repex,0),MATCH(BS$4,Mat_Type,0))*INDEX(Escalators!$I$44:$U$49,MATCH(BS$4,Escalators!$C$44:$C$49,0),MATCH(BS$5,Escalators!$I$43:$U$43,0))</f>
        <v>0</v>
      </c>
      <c r="BT19" s="539">
        <f>INDEX(Lab_Mat!$K$6:$N$9,MATCH($H19,Lab_Mat!$J$6:$J$9,0),MATCH($BW$4,Lab_Mat!$K$5:$N$5,0))*$Q19*INDEX(Act_Type_Repex_Splits,MATCH($I19,Act_Type_Repex,0),MATCH(BT$4,Mat_Type,0))*INDEX(Escalators!$I$44:$U$49,MATCH(BT$4,Escalators!$C$44:$C$49,0),MATCH(BT$5,Escalators!$I$43:$U$43,0))</f>
        <v>0</v>
      </c>
      <c r="BU19" s="539">
        <f>INDEX(Lab_Mat!$K$6:$N$9,MATCH($H19,Lab_Mat!$J$6:$J$9,0),MATCH($BW$4,Lab_Mat!$K$5:$N$5,0))*$Q19*INDEX(Act_Type_Repex_Splits,MATCH($I19,Act_Type_Repex,0),MATCH(BU$4,Mat_Type,0))*INDEX(Escalators!$I$44:$U$49,MATCH(BU$4,Escalators!$C$44:$C$49,0),MATCH(BU$5,Escalators!$I$43:$U$43,0))</f>
        <v>0</v>
      </c>
      <c r="BV19" s="539">
        <f>INDEX(Lab_Mat!$K$6:$N$9,MATCH($H19,Lab_Mat!$J$6:$J$9,0),MATCH($BW$4,Lab_Mat!$K$5:$N$5,0))*$Q19*INDEX(Act_Type_Repex_Splits,MATCH($I19,Act_Type_Repex,0),MATCH(BV$4,Mat_Type,0))*INDEX(Escalators!$I$44:$U$49,MATCH(BV$4,Escalators!$C$44:$C$49,0),MATCH(BV$5,Escalators!$I$43:$U$43,0))</f>
        <v>0</v>
      </c>
      <c r="BW19" s="128">
        <f t="shared" si="39"/>
        <v>0</v>
      </c>
      <c r="BX19" s="129"/>
      <c r="BY19" s="128">
        <f>INDEX(Lab_Mat!$K$6:$N$9,MATCH($H19,Lab_Mat!$J$6:$J$9,0),MATCH($BY$4,Lab_Mat!$K$5:$N$5,0))*J19*HLOOKUP(BY$5,Escalators!$I$25:$U$30,6,FALSE)</f>
        <v>0</v>
      </c>
      <c r="BZ19" s="128">
        <f>INDEX(Lab_Mat!$K$6:$N$9,MATCH($H19,Lab_Mat!$J$6:$J$9,0),MATCH($BY$4,Lab_Mat!$K$5:$N$5,0))*K19*HLOOKUP(BZ$5,Escalators!$I$25:$U$30,6,FALSE)</f>
        <v>0</v>
      </c>
      <c r="CA19" s="128">
        <f>INDEX(Lab_Mat!$K$6:$N$9,MATCH($H19,Lab_Mat!$J$6:$J$9,0),MATCH($BY$4,Lab_Mat!$K$5:$N$5,0))*L19*HLOOKUP(CA$5,Escalators!$I$25:$U$30,6,FALSE)</f>
        <v>0</v>
      </c>
      <c r="CB19" s="128">
        <f>INDEX(Lab_Mat!$K$6:$N$9,MATCH($H19,Lab_Mat!$J$6:$J$9,0),MATCH($BY$4,Lab_Mat!$K$5:$N$5,0))*M19*HLOOKUP(CB$5,Escalators!$I$25:$U$30,6,FALSE)</f>
        <v>6.8017901263495935</v>
      </c>
      <c r="CC19" s="128">
        <f>INDEX(Lab_Mat!$K$6:$N$9,MATCH($H19,Lab_Mat!$J$6:$J$9,0),MATCH($BY$4,Lab_Mat!$K$5:$N$5,0))*N19*HLOOKUP(CC$5,Escalators!$I$25:$U$30,6,FALSE)</f>
        <v>2.9084776575500562</v>
      </c>
      <c r="CD19" s="128">
        <f>INDEX(Lab_Mat!$K$6:$N$9,MATCH($H19,Lab_Mat!$J$6:$J$9,0),MATCH($BY$4,Lab_Mat!$K$5:$N$5,0))*O19*HLOOKUP(CD$5,Escalators!$I$25:$U$30,6,FALSE)</f>
        <v>0</v>
      </c>
      <c r="CE19" s="128">
        <f>INDEX(Lab_Mat!$K$6:$N$9,MATCH($H19,Lab_Mat!$J$6:$J$9,0),MATCH($BY$4,Lab_Mat!$K$5:$N$5,0))*P19*HLOOKUP(CE$5,Escalators!$I$25:$U$30,6,FALSE)</f>
        <v>0</v>
      </c>
      <c r="CF19" s="128">
        <f>INDEX(Lab_Mat!$K$6:$N$9,MATCH($H19,Lab_Mat!$J$6:$J$9,0),MATCH($BY$4,Lab_Mat!$K$5:$N$5,0))*Q19*HLOOKUP(CF$5,Escalators!$I$25:$U$30,6,FALSE)</f>
        <v>0</v>
      </c>
      <c r="CG19" s="129"/>
      <c r="CH19" s="763">
        <f>INDEX(Lab_Mat!$K$6:$N$9,MATCH($H19,Lab_Mat!$J$6:$J$9,0),MATCH($CH$4,Lab_Mat!$K$5:$N$5,0))*J19</f>
        <v>0</v>
      </c>
      <c r="CI19" s="763">
        <f>INDEX(Lab_Mat!$K$6:$N$9,MATCH($H19,Lab_Mat!$J$6:$J$9,0),MATCH($CH$4,Lab_Mat!$K$5:$N$5,0))*K19</f>
        <v>0</v>
      </c>
      <c r="CJ19" s="763">
        <f>INDEX(Lab_Mat!$K$6:$N$9,MATCH($H19,Lab_Mat!$J$6:$J$9,0),MATCH($CH$4,Lab_Mat!$K$5:$N$5,0))*L19</f>
        <v>0</v>
      </c>
      <c r="CK19" s="763">
        <f>INDEX(Lab_Mat!$K$6:$N$9,MATCH($H19,Lab_Mat!$J$6:$J$9,0),MATCH($CH$4,Lab_Mat!$K$5:$N$5,0))*M19</f>
        <v>2.7053052001770714</v>
      </c>
      <c r="CL19" s="763">
        <f>INDEX(Lab_Mat!$K$6:$N$9,MATCH($H19,Lab_Mat!$J$6:$J$9,0),MATCH($CH$4,Lab_Mat!$K$5:$N$5,0))*N19</f>
        <v>1.1568013104502815</v>
      </c>
      <c r="CM19" s="763">
        <f>INDEX(Lab_Mat!$K$6:$N$9,MATCH($H19,Lab_Mat!$J$6:$J$9,0),MATCH($CH$4,Lab_Mat!$K$5:$N$5,0))*O19</f>
        <v>0</v>
      </c>
      <c r="CN19" s="763">
        <f>INDEX(Lab_Mat!$K$6:$N$9,MATCH($H19,Lab_Mat!$J$6:$J$9,0),MATCH($CH$4,Lab_Mat!$K$5:$N$5,0))*P19</f>
        <v>0</v>
      </c>
      <c r="CO19" s="763">
        <f>INDEX(Lab_Mat!$K$6:$N$9,MATCH($H19,Lab_Mat!$J$6:$J$9,0),MATCH($CH$4,Lab_Mat!$K$5:$N$5,0))*Q19</f>
        <v>0</v>
      </c>
      <c r="CP19" s="129"/>
      <c r="CQ19" s="128">
        <f t="shared" ref="CQ19:CQ26" si="40">S19+AG19+BY19+CH19</f>
        <v>0</v>
      </c>
      <c r="CR19" s="128">
        <f t="shared" ref="CR19:CR26" si="41">T19+AM19+BZ19+CI19</f>
        <v>0</v>
      </c>
      <c r="CS19" s="128">
        <f t="shared" si="24"/>
        <v>0</v>
      </c>
      <c r="CT19" s="128">
        <f t="shared" ref="CT19:CT26" si="42">V19+AY19+CB19+CK19</f>
        <v>34.7204654589151</v>
      </c>
      <c r="CU19" s="128">
        <f t="shared" ref="CU19:CU26" si="43">W19+BE19+CC19+CL19</f>
        <v>14.839715533944789</v>
      </c>
      <c r="CV19" s="128">
        <f t="shared" ref="CV19:CV26" si="44">X19+BK19+CD19+CM19</f>
        <v>0</v>
      </c>
      <c r="CW19" s="128">
        <f t="shared" ref="CW19:CW26" si="45">Y19+BQ19+CE19+CN19</f>
        <v>0</v>
      </c>
      <c r="CX19" s="128">
        <f t="shared" ref="CX19:CX26" si="46">Z19+BW19+CF19+CO19</f>
        <v>0</v>
      </c>
      <c r="CY19" s="39"/>
      <c r="CZ19" s="39"/>
      <c r="DA19" s="39"/>
      <c r="DB19" s="39"/>
      <c r="DC19" s="39"/>
    </row>
    <row r="20" spans="2:109" hidden="1" x14ac:dyDescent="0.25">
      <c r="B20" s="7"/>
      <c r="C20" s="7" t="s">
        <v>417</v>
      </c>
      <c r="D20" s="7" t="s">
        <v>697</v>
      </c>
      <c r="E20" s="7" t="s">
        <v>50</v>
      </c>
      <c r="F20" s="7" t="s">
        <v>55</v>
      </c>
      <c r="G20" s="7" t="s">
        <v>34</v>
      </c>
      <c r="H20" s="7" t="s">
        <v>563</v>
      </c>
      <c r="I20" s="7" t="s">
        <v>5</v>
      </c>
      <c r="J20" s="45"/>
      <c r="K20" s="45"/>
      <c r="L20" s="45"/>
      <c r="M20" s="539">
        <v>0</v>
      </c>
      <c r="N20" s="539">
        <v>0</v>
      </c>
      <c r="O20" s="539">
        <v>0</v>
      </c>
      <c r="P20" s="539"/>
      <c r="Q20" s="539"/>
      <c r="R20" s="241"/>
      <c r="S20" s="539">
        <f>INDEX(Lab_Mat!$K$6:$N$9,MATCH($H20,Lab_Mat!$J$6:$J$9,0),MATCH($S$4,Lab_Mat!$K$5:$N$5,0))*J20*HLOOKUP(S$5,Escalators!$I$25:$U$30,3,FALSE)</f>
        <v>0</v>
      </c>
      <c r="T20" s="539">
        <f>INDEX(Lab_Mat!$K$6:$N$9,MATCH($H20,Lab_Mat!$J$6:$J$9,0),MATCH($S$4,Lab_Mat!$K$5:$N$5,0))*K20*HLOOKUP(T$5,Escalators!$I$25:$U$30,3,FALSE)</f>
        <v>0</v>
      </c>
      <c r="U20" s="539">
        <f>INDEX(Lab_Mat!$K$6:$N$9,MATCH($H20,Lab_Mat!$J$6:$J$9,0),MATCH($S$4,Lab_Mat!$K$5:$N$5,0))*L20*HLOOKUP(U$5,Escalators!$I$25:$U$30,3,FALSE)</f>
        <v>0</v>
      </c>
      <c r="V20" s="539">
        <f>INDEX(Lab_Mat!$K$6:$N$9,MATCH($H20,Lab_Mat!$J$6:$J$9,0),MATCH($S$4,Lab_Mat!$K$5:$N$5,0))*M20*HLOOKUP(V$5,Escalators!$I$25:$U$30,3,FALSE)</f>
        <v>0</v>
      </c>
      <c r="W20" s="539">
        <f>INDEX(Lab_Mat!$K$6:$N$9,MATCH($H20,Lab_Mat!$J$6:$J$9,0),MATCH($S$4,Lab_Mat!$K$5:$N$5,0))*N20*HLOOKUP(W$5,Escalators!$I$25:$U$30,3,FALSE)</f>
        <v>0</v>
      </c>
      <c r="X20" s="539">
        <f>INDEX(Lab_Mat!$K$6:$N$9,MATCH($H20,Lab_Mat!$J$6:$J$9,0),MATCH($S$4,Lab_Mat!$K$5:$N$5,0))*O20*HLOOKUP(X$5,Escalators!$I$25:$U$30,3,FALSE)</f>
        <v>0</v>
      </c>
      <c r="Y20" s="539">
        <f>INDEX(Lab_Mat!$K$6:$N$9,MATCH($H20,Lab_Mat!$J$6:$J$9,0),MATCH($S$4,Lab_Mat!$K$5:$N$5,0))*P20*HLOOKUP(Y$5,Escalators!$I$25:$U$30,3,FALSE)</f>
        <v>0</v>
      </c>
      <c r="Z20" s="539">
        <f>INDEX(Lab_Mat!$K$6:$N$9,MATCH($H20,Lab_Mat!$J$6:$J$9,0),MATCH($S$4,Lab_Mat!$K$5:$N$5,0))*Q20*HLOOKUP(Z$5,Escalators!$I$25:$U$30,3,FALSE)</f>
        <v>0</v>
      </c>
      <c r="AA20" s="241"/>
      <c r="AB20" s="539">
        <f>INDEX(Lab_Mat!$K$6:$N$9,MATCH($H20,Lab_Mat!$J$6:$J$9,0),MATCH($AG$4,Lab_Mat!$K$5:$N$5,0))*$J20*INDEX(Act_Type_Repex_Splits,MATCH($I20,Act_Type_Repex,0),MATCH(AB$4,Mat_Type,0))*INDEX(Escalators!$I$44:$Q$49,MATCH(AB$4,Escalators!$C$44:$C$49,0),MATCH(AB$5,Escalators!$I$43:$Q$43,0))</f>
        <v>0</v>
      </c>
      <c r="AC20" s="539">
        <f>INDEX(Lab_Mat!$K$6:$N$9,MATCH($H20,Lab_Mat!$J$6:$J$9,0),MATCH($AG$4,Lab_Mat!$K$5:$N$5,0))*$J20*INDEX(Act_Type_Repex_Splits,MATCH($I20,Act_Type_Repex,0),MATCH(AC$4,Mat_Type,0))*INDEX(Escalators!$I$44:$Q$49,MATCH(AC$4,Escalators!$C$44:$C$49,0),MATCH(AC$5,Escalators!$I$43:$Q$43,0))</f>
        <v>0</v>
      </c>
      <c r="AD20" s="539">
        <f>INDEX(Lab_Mat!$K$6:$N$9,MATCH($H20,Lab_Mat!$J$6:$J$9,0),MATCH($AG$4,Lab_Mat!$K$5:$N$5,0))*$J20*INDEX(Act_Type_Repex_Splits,MATCH($I20,Act_Type_Repex,0),MATCH(AD$4,Mat_Type,0))*INDEX(Escalators!$I$44:$Q$49,MATCH(AD$4,Escalators!$C$44:$C$49,0),MATCH(AD$5,Escalators!$I$43:$Q$43,0))</f>
        <v>0</v>
      </c>
      <c r="AE20" s="539">
        <f>INDEX(Lab_Mat!$K$6:$N$9,MATCH($H20,Lab_Mat!$J$6:$J$9,0),MATCH($AG$4,Lab_Mat!$K$5:$N$5,0))*$J20*INDEX(Act_Type_Repex_Splits,MATCH($I20,Act_Type_Repex,0),MATCH(AE$4,Mat_Type,0))*INDEX(Escalators!$I$44:$Q$49,MATCH(AE$4,Escalators!$C$44:$C$49,0),MATCH(AE$5,Escalators!$I$43:$Q$43,0))</f>
        <v>0</v>
      </c>
      <c r="AF20" s="539">
        <f>INDEX(Lab_Mat!$K$6:$N$9,MATCH($H20,Lab_Mat!$J$6:$J$9,0),MATCH($AG$4,Lab_Mat!$K$5:$N$5,0))*$J20*INDEX(Act_Type_Repex_Splits,MATCH($I20,Act_Type_Repex,0),MATCH(AF$4,Mat_Type,0))*INDEX(Escalators!$I$44:$Q$49,MATCH(AF$4,Escalators!$C$44:$C$49,0),MATCH(AF$5,Escalators!$I$43:$Q$43,0))</f>
        <v>0</v>
      </c>
      <c r="AG20" s="539">
        <f t="shared" si="32"/>
        <v>0</v>
      </c>
      <c r="AH20" s="539">
        <f>INDEX(Lab_Mat!$K$6:$N$9,MATCH($H20,Lab_Mat!$J$6:$J$9,0),MATCH($AY$4,Lab_Mat!$K$5:$N$5,0))*$K20*INDEX(Act_Type_Repex_Splits,MATCH($I20,Act_Type_Repex,0),MATCH(AH$4,Mat_Type,0))*INDEX(Escalators!$I$44:$U$49,MATCH(AH$4,Escalators!$C$44:$C$49,0),MATCH(AH$5,Escalators!$I$43:$U$43,0))</f>
        <v>0</v>
      </c>
      <c r="AI20" s="539">
        <f>INDEX(Lab_Mat!$K$6:$N$9,MATCH($H20,Lab_Mat!$J$6:$J$9,0),MATCH($AY$4,Lab_Mat!$K$5:$N$5,0))*$K20*INDEX(Act_Type_Repex_Splits,MATCH($I20,Act_Type_Repex,0),MATCH(AI$4,Mat_Type,0))*INDEX(Escalators!$I$44:$U$49,MATCH(AI$4,Escalators!$C$44:$C$49,0),MATCH(AI$5,Escalators!$I$43:$U$43,0))</f>
        <v>0</v>
      </c>
      <c r="AJ20" s="539">
        <f>INDEX(Lab_Mat!$K$6:$N$9,MATCH($H20,Lab_Mat!$J$6:$J$9,0),MATCH($AY$4,Lab_Mat!$K$5:$N$5,0))*$K20*INDEX(Act_Type_Repex_Splits,MATCH($I20,Act_Type_Repex,0),MATCH(AJ$4,Mat_Type,0))*INDEX(Escalators!$I$44:$U$49,MATCH(AJ$4,Escalators!$C$44:$C$49,0),MATCH(AJ$5,Escalators!$I$43:$U$43,0))</f>
        <v>0</v>
      </c>
      <c r="AK20" s="539">
        <f>INDEX(Lab_Mat!$K$6:$N$9,MATCH($H20,Lab_Mat!$J$6:$J$9,0),MATCH($AY$4,Lab_Mat!$K$5:$N$5,0))*$K20*INDEX(Act_Type_Repex_Splits,MATCH($I20,Act_Type_Repex,0),MATCH(AK$4,Mat_Type,0))*INDEX(Escalators!$I$44:$U$49,MATCH(AK$4,Escalators!$C$44:$C$49,0),MATCH(AK$5,Escalators!$I$43:$U$43,0))</f>
        <v>0</v>
      </c>
      <c r="AL20" s="539">
        <f>INDEX(Lab_Mat!$K$6:$N$9,MATCH($H20,Lab_Mat!$J$6:$J$9,0),MATCH($AY$4,Lab_Mat!$K$5:$N$5,0))*$K20*INDEX(Act_Type_Repex_Splits,MATCH($I20,Act_Type_Repex,0),MATCH(AL$4,Mat_Type,0))*INDEX(Escalators!$I$44:$U$49,MATCH(AL$4,Escalators!$C$44:$C$49,0),MATCH(AL$5,Escalators!$I$43:$U$43,0))</f>
        <v>0</v>
      </c>
      <c r="AM20" s="539">
        <f t="shared" si="33"/>
        <v>0</v>
      </c>
      <c r="AN20" s="539">
        <f>INDEX(Lab_Mat!$K$6:$N$9,MATCH($H20,Lab_Mat!$J$6:$J$9,0),MATCH($AY$4,Lab_Mat!$K$5:$N$5,0))*$L20*INDEX(Act_Type_Repex_Splits,MATCH($I20,Act_Type_Repex,0),MATCH(AN$4,Mat_Type,0))*INDEX(Escalators!$I$44:$U$49,MATCH(AN$4,Escalators!$C$44:$C$49,0),MATCH(AN$5,Escalators!$I$43:$U$43,0))</f>
        <v>0</v>
      </c>
      <c r="AO20" s="539">
        <f>INDEX(Lab_Mat!$K$6:$N$9,MATCH($H20,Lab_Mat!$J$6:$J$9,0),MATCH($AY$4,Lab_Mat!$K$5:$N$5,0))*$L20*INDEX(Act_Type_Repex_Splits,MATCH($I20,Act_Type_Repex,0),MATCH(AO$4,Mat_Type,0))*INDEX(Escalators!$I$44:$U$49,MATCH(AO$4,Escalators!$C$44:$C$49,0),MATCH(AO$5,Escalators!$I$43:$U$43,0))</f>
        <v>0</v>
      </c>
      <c r="AP20" s="539">
        <f>INDEX(Lab_Mat!$K$6:$N$9,MATCH($H20,Lab_Mat!$J$6:$J$9,0),MATCH($AY$4,Lab_Mat!$K$5:$N$5,0))*$L20*INDEX(Act_Type_Repex_Splits,MATCH($I20,Act_Type_Repex,0),MATCH(AP$4,Mat_Type,0))*INDEX(Escalators!$I$44:$U$49,MATCH(AP$4,Escalators!$C$44:$C$49,0),MATCH(AP$5,Escalators!$I$43:$U$43,0))</f>
        <v>0</v>
      </c>
      <c r="AQ20" s="539">
        <f>INDEX(Lab_Mat!$K$6:$N$9,MATCH($H20,Lab_Mat!$J$6:$J$9,0),MATCH($AY$4,Lab_Mat!$K$5:$N$5,0))*$L20*INDEX(Act_Type_Repex_Splits,MATCH($I20,Act_Type_Repex,0),MATCH(AQ$4,Mat_Type,0))*INDEX(Escalators!$I$44:$U$49,MATCH(AQ$4,Escalators!$C$44:$C$49,0),MATCH(AQ$5,Escalators!$I$43:$U$43,0))</f>
        <v>0</v>
      </c>
      <c r="AR20" s="539">
        <f>INDEX(Lab_Mat!$K$6:$N$9,MATCH($H20,Lab_Mat!$J$6:$J$9,0),MATCH($AY$4,Lab_Mat!$K$5:$N$5,0))*$L20*INDEX(Act_Type_Repex_Splits,MATCH($I20,Act_Type_Repex,0),MATCH(AR$4,Mat_Type,0))*INDEX(Escalators!$I$44:$U$49,MATCH(AR$4,Escalators!$C$44:$C$49,0),MATCH(AR$5,Escalators!$I$43:$U$43,0))</f>
        <v>0</v>
      </c>
      <c r="AS20" s="539">
        <f t="shared" si="34"/>
        <v>0</v>
      </c>
      <c r="AT20" s="539">
        <f>INDEX(Lab_Mat!$K$6:$N$9,MATCH($H20,Lab_Mat!$J$6:$J$9,0),MATCH($AY$4,Lab_Mat!$K$5:$N$5,0))*$M20*INDEX(Act_Type_Repex_Splits,MATCH($I20,Act_Type_Repex,0),MATCH(AT$4,Mat_Type,0))*INDEX(Escalators!$I$44:$U$49,MATCH(AT$4,Escalators!$C$44:$C$49,0),MATCH(AT$5,Escalators!$I$43:$U$43,0))</f>
        <v>0</v>
      </c>
      <c r="AU20" s="539">
        <f>INDEX(Lab_Mat!$K$6:$N$9,MATCH($H20,Lab_Mat!$J$6:$J$9,0),MATCH($AY$4,Lab_Mat!$K$5:$N$5,0))*$M20*INDEX(Act_Type_Repex_Splits,MATCH($I20,Act_Type_Repex,0),MATCH(AU$4,Mat_Type,0))*INDEX(Escalators!$I$44:$U$49,MATCH(AU$4,Escalators!$C$44:$C$49,0),MATCH(AU$5,Escalators!$I$43:$U$43,0))</f>
        <v>0</v>
      </c>
      <c r="AV20" s="539">
        <f>INDEX(Lab_Mat!$K$6:$N$9,MATCH($H20,Lab_Mat!$J$6:$J$9,0),MATCH($AY$4,Lab_Mat!$K$5:$N$5,0))*$M20*INDEX(Act_Type_Repex_Splits,MATCH($I20,Act_Type_Repex,0),MATCH(AV$4,Mat_Type,0))*INDEX(Escalators!$I$44:$U$49,MATCH(AV$4,Escalators!$C$44:$C$49,0),MATCH(AV$5,Escalators!$I$43:$U$43,0))</f>
        <v>0</v>
      </c>
      <c r="AW20" s="539">
        <f>INDEX(Lab_Mat!$K$6:$N$9,MATCH($H20,Lab_Mat!$J$6:$J$9,0),MATCH($AY$4,Lab_Mat!$K$5:$N$5,0))*$M20*INDEX(Act_Type_Repex_Splits,MATCH($I20,Act_Type_Repex,0),MATCH(AW$4,Mat_Type,0))*INDEX(Escalators!$I$44:$U$49,MATCH(AW$4,Escalators!$C$44:$C$49,0),MATCH(AW$5,Escalators!$I$43:$U$43,0))</f>
        <v>0</v>
      </c>
      <c r="AX20" s="539">
        <f>INDEX(Lab_Mat!$K$6:$N$9,MATCH($H20,Lab_Mat!$J$6:$J$9,0),MATCH($AY$4,Lab_Mat!$K$5:$N$5,0))*$M20*INDEX(Act_Type_Repex_Splits,MATCH($I20,Act_Type_Repex,0),MATCH(AX$4,Mat_Type,0))*INDEX(Escalators!$I$44:$U$49,MATCH(AX$4,Escalators!$C$44:$C$49,0),MATCH(AX$5,Escalators!$I$43:$U$43,0))</f>
        <v>0</v>
      </c>
      <c r="AY20" s="539">
        <f t="shared" si="35"/>
        <v>0</v>
      </c>
      <c r="AZ20" s="539">
        <f>INDEX(Lab_Mat!$K$6:$N$9,MATCH($H20,Lab_Mat!$J$6:$J$9,0),MATCH($BE$4,Lab_Mat!$K$5:$N$5,0))*$N20*INDEX(Act_Type_Repex_Splits,MATCH($I20,Act_Type_Repex,0),MATCH(AZ$4,Mat_Type,0))*INDEX(Escalators!$I$44:$U$49,MATCH(AZ$4,Escalators!$C$44:$C$49,0),MATCH(AZ$5,Escalators!$I$43:$U$43,0))</f>
        <v>0</v>
      </c>
      <c r="BA20" s="539">
        <f>INDEX(Lab_Mat!$K$6:$N$9,MATCH($H20,Lab_Mat!$J$6:$J$9,0),MATCH($BE$4,Lab_Mat!$K$5:$N$5,0))*$N20*INDEX(Act_Type_Repex_Splits,MATCH($I20,Act_Type_Repex,0),MATCH(BA$4,Mat_Type,0))*INDEX(Escalators!$I$44:$U$49,MATCH(BA$4,Escalators!$C$44:$C$49,0),MATCH(BA$5,Escalators!$I$43:$U$43,0))</f>
        <v>0</v>
      </c>
      <c r="BB20" s="539">
        <f>INDEX(Lab_Mat!$K$6:$N$9,MATCH($H20,Lab_Mat!$J$6:$J$9,0),MATCH($BE$4,Lab_Mat!$K$5:$N$5,0))*$N20*INDEX(Act_Type_Repex_Splits,MATCH($I20,Act_Type_Repex,0),MATCH(BB$4,Mat_Type,0))*INDEX(Escalators!$I$44:$U$49,MATCH(BB$4,Escalators!$C$44:$C$49,0),MATCH(BB$5,Escalators!$I$43:$U$43,0))</f>
        <v>0</v>
      </c>
      <c r="BC20" s="539">
        <f>INDEX(Lab_Mat!$K$6:$N$9,MATCH($H20,Lab_Mat!$J$6:$J$9,0),MATCH($BE$4,Lab_Mat!$K$5:$N$5,0))*$N20*INDEX(Act_Type_Repex_Splits,MATCH($I20,Act_Type_Repex,0),MATCH(BC$4,Mat_Type,0))*INDEX(Escalators!$I$44:$U$49,MATCH(BC$4,Escalators!$C$44:$C$49,0),MATCH(BC$5,Escalators!$I$43:$U$43,0))</f>
        <v>0</v>
      </c>
      <c r="BD20" s="539">
        <f>INDEX(Lab_Mat!$K$6:$N$9,MATCH($H20,Lab_Mat!$J$6:$J$9,0),MATCH($BE$4,Lab_Mat!$K$5:$N$5,0))*$N20*INDEX(Act_Type_Repex_Splits,MATCH($I20,Act_Type_Repex,0),MATCH(BD$4,Mat_Type,0))*INDEX(Escalators!$I$44:$U$49,MATCH(BD$4,Escalators!$C$44:$C$49,0),MATCH(BD$5,Escalators!$I$43:$U$43,0))</f>
        <v>0</v>
      </c>
      <c r="BE20" s="539">
        <f t="shared" si="36"/>
        <v>0</v>
      </c>
      <c r="BF20" s="539">
        <f>INDEX(Lab_Mat!$K$6:$N$9,MATCH($H20,Lab_Mat!$J$6:$J$9,0),MATCH($BK$4,Lab_Mat!$K$5:$N$5,0))*$O20*INDEX(Act_Type_Repex_Splits,MATCH($I20,Act_Type_Repex,0),MATCH(BF$4,Mat_Type,0))*INDEX(Escalators!$I$44:$U$49,MATCH(BF$4,Escalators!$C$44:$C$49,0),MATCH(BF$5,Escalators!$I$43:$U$43,0))</f>
        <v>0</v>
      </c>
      <c r="BG20" s="539">
        <f>INDEX(Lab_Mat!$K$6:$N$9,MATCH($H20,Lab_Mat!$J$6:$J$9,0),MATCH($BK$4,Lab_Mat!$K$5:$N$5,0))*$O20*INDEX(Act_Type_Repex_Splits,MATCH($I20,Act_Type_Repex,0),MATCH(BG$4,Mat_Type,0))*INDEX(Escalators!$I$44:$U$49,MATCH(BG$4,Escalators!$C$44:$C$49,0),MATCH(BG$5,Escalators!$I$43:$U$43,0))</f>
        <v>0</v>
      </c>
      <c r="BH20" s="539">
        <f>INDEX(Lab_Mat!$K$6:$N$9,MATCH($H20,Lab_Mat!$J$6:$J$9,0),MATCH($BK$4,Lab_Mat!$K$5:$N$5,0))*$O20*INDEX(Act_Type_Repex_Splits,MATCH($I20,Act_Type_Repex,0),MATCH(BH$4,Mat_Type,0))*INDEX(Escalators!$I$44:$U$49,MATCH(BH$4,Escalators!$C$44:$C$49,0),MATCH(BH$5,Escalators!$I$43:$U$43,0))</f>
        <v>0</v>
      </c>
      <c r="BI20" s="539">
        <f>INDEX(Lab_Mat!$K$6:$N$9,MATCH($H20,Lab_Mat!$J$6:$J$9,0),MATCH($BK$4,Lab_Mat!$K$5:$N$5,0))*$O20*INDEX(Act_Type_Repex_Splits,MATCH($I20,Act_Type_Repex,0),MATCH(BI$4,Mat_Type,0))*INDEX(Escalators!$I$44:$U$49,MATCH(BI$4,Escalators!$C$44:$C$49,0),MATCH(BI$5,Escalators!$I$43:$U$43,0))</f>
        <v>0</v>
      </c>
      <c r="BJ20" s="539">
        <f>INDEX(Lab_Mat!$K$6:$N$9,MATCH($H20,Lab_Mat!$J$6:$J$9,0),MATCH($BK$4,Lab_Mat!$K$5:$N$5,0))*$O20*INDEX(Act_Type_Repex_Splits,MATCH($I20,Act_Type_Repex,0),MATCH(BJ$4,Mat_Type,0))*INDEX(Escalators!$I$44:$U$49,MATCH(BJ$4,Escalators!$C$44:$C$49,0),MATCH(BJ$5,Escalators!$I$43:$U$43,0))</f>
        <v>0</v>
      </c>
      <c r="BK20" s="539">
        <f t="shared" si="37"/>
        <v>0</v>
      </c>
      <c r="BL20" s="539">
        <f>INDEX(Lab_Mat!$K$6:$N$9,MATCH($H20,Lab_Mat!$J$6:$J$9,0),MATCH($BQ$4,Lab_Mat!$K$5:$N$5,0))*$P20*INDEX(Act_Type_Repex_Splits,MATCH($I20,Act_Type_Repex,0),MATCH(BL$4,Mat_Type,0))*INDEX(Escalators!$I$44:$U$49,MATCH(BL$4,Escalators!$C$44:$C$49,0),MATCH(BL$5,Escalators!$I$43:$U$43,0))</f>
        <v>0</v>
      </c>
      <c r="BM20" s="539">
        <f>INDEX(Lab_Mat!$K$6:$N$9,MATCH($H20,Lab_Mat!$J$6:$J$9,0),MATCH($BQ$4,Lab_Mat!$K$5:$N$5,0))*$P20*INDEX(Act_Type_Repex_Splits,MATCH($I20,Act_Type_Repex,0),MATCH(BM$4,Mat_Type,0))*INDEX(Escalators!$I$44:$U$49,MATCH(BM$4,Escalators!$C$44:$C$49,0),MATCH(BM$5,Escalators!$I$43:$U$43,0))</f>
        <v>0</v>
      </c>
      <c r="BN20" s="539">
        <f>INDEX(Lab_Mat!$K$6:$N$9,MATCH($H20,Lab_Mat!$J$6:$J$9,0),MATCH($BQ$4,Lab_Mat!$K$5:$N$5,0))*$P20*INDEX(Act_Type_Repex_Splits,MATCH($I20,Act_Type_Repex,0),MATCH(BN$4,Mat_Type,0))*INDEX(Escalators!$I$44:$U$49,MATCH(BN$4,Escalators!$C$44:$C$49,0),MATCH(BN$5,Escalators!$I$43:$U$43,0))</f>
        <v>0</v>
      </c>
      <c r="BO20" s="539">
        <f>INDEX(Lab_Mat!$K$6:$N$9,MATCH($H20,Lab_Mat!$J$6:$J$9,0),MATCH($BQ$4,Lab_Mat!$K$5:$N$5,0))*$P20*INDEX(Act_Type_Repex_Splits,MATCH($I20,Act_Type_Repex,0),MATCH(BO$4,Mat_Type,0))*INDEX(Escalators!$I$44:$U$49,MATCH(BO$4,Escalators!$C$44:$C$49,0),MATCH(BO$5,Escalators!$I$43:$U$43,0))</f>
        <v>0</v>
      </c>
      <c r="BP20" s="539">
        <f>INDEX(Lab_Mat!$K$6:$N$9,MATCH($H20,Lab_Mat!$J$6:$J$9,0),MATCH($BQ$4,Lab_Mat!$K$5:$N$5,0))*$P20*INDEX(Act_Type_Repex_Splits,MATCH($I20,Act_Type_Repex,0),MATCH(BP$4,Mat_Type,0))*INDEX(Escalators!$I$44:$U$49,MATCH(BP$4,Escalators!$C$44:$C$49,0),MATCH(BP$5,Escalators!$I$43:$U$43,0))</f>
        <v>0</v>
      </c>
      <c r="BQ20" s="539">
        <f t="shared" si="38"/>
        <v>0</v>
      </c>
      <c r="BR20" s="539">
        <f>INDEX(Lab_Mat!$K$6:$N$9,MATCH($H20,Lab_Mat!$J$6:$J$9,0),MATCH($BW$4,Lab_Mat!$K$5:$N$5,0))*$Q20*INDEX(Act_Type_Repex_Splits,MATCH($I20,Act_Type_Repex,0),MATCH(BR$4,Mat_Type,0))*INDEX(Escalators!$I$44:$U$49,MATCH(BR$4,Escalators!$C$44:$C$49,0),MATCH(BR$5,Escalators!$I$43:$U$43,0))</f>
        <v>0</v>
      </c>
      <c r="BS20" s="539">
        <f>INDEX(Lab_Mat!$K$6:$N$9,MATCH($H20,Lab_Mat!$J$6:$J$9,0),MATCH($BW$4,Lab_Mat!$K$5:$N$5,0))*$Q20*INDEX(Act_Type_Repex_Splits,MATCH($I20,Act_Type_Repex,0),MATCH(BS$4,Mat_Type,0))*INDEX(Escalators!$I$44:$U$49,MATCH(BS$4,Escalators!$C$44:$C$49,0),MATCH(BS$5,Escalators!$I$43:$U$43,0))</f>
        <v>0</v>
      </c>
      <c r="BT20" s="539">
        <f>INDEX(Lab_Mat!$K$6:$N$9,MATCH($H20,Lab_Mat!$J$6:$J$9,0),MATCH($BW$4,Lab_Mat!$K$5:$N$5,0))*$Q20*INDEX(Act_Type_Repex_Splits,MATCH($I20,Act_Type_Repex,0),MATCH(BT$4,Mat_Type,0))*INDEX(Escalators!$I$44:$U$49,MATCH(BT$4,Escalators!$C$44:$C$49,0),MATCH(BT$5,Escalators!$I$43:$U$43,0))</f>
        <v>0</v>
      </c>
      <c r="BU20" s="539">
        <f>INDEX(Lab_Mat!$K$6:$N$9,MATCH($H20,Lab_Mat!$J$6:$J$9,0),MATCH($BW$4,Lab_Mat!$K$5:$N$5,0))*$Q20*INDEX(Act_Type_Repex_Splits,MATCH($I20,Act_Type_Repex,0),MATCH(BU$4,Mat_Type,0))*INDEX(Escalators!$I$44:$U$49,MATCH(BU$4,Escalators!$C$44:$C$49,0),MATCH(BU$5,Escalators!$I$43:$U$43,0))</f>
        <v>0</v>
      </c>
      <c r="BV20" s="539">
        <f>INDEX(Lab_Mat!$K$6:$N$9,MATCH($H20,Lab_Mat!$J$6:$J$9,0),MATCH($BW$4,Lab_Mat!$K$5:$N$5,0))*$Q20*INDEX(Act_Type_Repex_Splits,MATCH($I20,Act_Type_Repex,0),MATCH(BV$4,Mat_Type,0))*INDEX(Escalators!$I$44:$U$49,MATCH(BV$4,Escalators!$C$44:$C$49,0),MATCH(BV$5,Escalators!$I$43:$U$43,0))</f>
        <v>0</v>
      </c>
      <c r="BW20" s="539">
        <f t="shared" si="39"/>
        <v>0</v>
      </c>
      <c r="BX20" s="241"/>
      <c r="BY20" s="539">
        <f>INDEX(Lab_Mat!$K$6:$N$9,MATCH($H20,Lab_Mat!$J$6:$J$9,0),MATCH($BY$4,Lab_Mat!$K$5:$N$5,0))*J20*HLOOKUP(BY$5,Escalators!$I$25:$U$30,6,FALSE)</f>
        <v>0</v>
      </c>
      <c r="BZ20" s="539">
        <f>INDEX(Lab_Mat!$K$6:$N$9,MATCH($H20,Lab_Mat!$J$6:$J$9,0),MATCH($BY$4,Lab_Mat!$K$5:$N$5,0))*K20*HLOOKUP(BZ$5,Escalators!$I$25:$U$30,6,FALSE)</f>
        <v>0</v>
      </c>
      <c r="CA20" s="539">
        <f>INDEX(Lab_Mat!$K$6:$N$9,MATCH($H20,Lab_Mat!$J$6:$J$9,0),MATCH($BY$4,Lab_Mat!$K$5:$N$5,0))*L20*HLOOKUP(CA$5,Escalators!$I$25:$U$30,6,FALSE)</f>
        <v>0</v>
      </c>
      <c r="CB20" s="539">
        <f>INDEX(Lab_Mat!$K$6:$N$9,MATCH($H20,Lab_Mat!$J$6:$J$9,0),MATCH($BY$4,Lab_Mat!$K$5:$N$5,0))*M20*HLOOKUP(CB$5,Escalators!$I$25:$U$30,6,FALSE)</f>
        <v>0</v>
      </c>
      <c r="CC20" s="539">
        <f>INDEX(Lab_Mat!$K$6:$N$9,MATCH($H20,Lab_Mat!$J$6:$J$9,0),MATCH($BY$4,Lab_Mat!$K$5:$N$5,0))*N20*HLOOKUP(CC$5,Escalators!$I$25:$U$30,6,FALSE)</f>
        <v>0</v>
      </c>
      <c r="CD20" s="539">
        <f>INDEX(Lab_Mat!$K$6:$N$9,MATCH($H20,Lab_Mat!$J$6:$J$9,0),MATCH($BY$4,Lab_Mat!$K$5:$N$5,0))*O20*HLOOKUP(CD$5,Escalators!$I$25:$U$30,6,FALSE)</f>
        <v>0</v>
      </c>
      <c r="CE20" s="539">
        <f>INDEX(Lab_Mat!$K$6:$N$9,MATCH($H20,Lab_Mat!$J$6:$J$9,0),MATCH($BY$4,Lab_Mat!$K$5:$N$5,0))*P20*HLOOKUP(CE$5,Escalators!$I$25:$U$30,6,FALSE)</f>
        <v>0</v>
      </c>
      <c r="CF20" s="539">
        <f>INDEX(Lab_Mat!$K$6:$N$9,MATCH($H20,Lab_Mat!$J$6:$J$9,0),MATCH($BY$4,Lab_Mat!$K$5:$N$5,0))*Q20*HLOOKUP(CF$5,Escalators!$I$25:$U$30,6,FALSE)</f>
        <v>0</v>
      </c>
      <c r="CG20" s="241"/>
      <c r="CH20" s="540">
        <f>INDEX(Lab_Mat!$K$6:$N$9,MATCH($H20,Lab_Mat!$J$6:$J$9,0),MATCH($CH$4,Lab_Mat!$K$5:$N$5,0))*J20</f>
        <v>0</v>
      </c>
      <c r="CI20" s="540">
        <f>INDEX(Lab_Mat!$K$6:$N$9,MATCH($H20,Lab_Mat!$J$6:$J$9,0),MATCH($CH$4,Lab_Mat!$K$5:$N$5,0))*K20</f>
        <v>0</v>
      </c>
      <c r="CJ20" s="540">
        <f>INDEX(Lab_Mat!$K$6:$N$9,MATCH($H20,Lab_Mat!$J$6:$J$9,0),MATCH($CH$4,Lab_Mat!$K$5:$N$5,0))*L20</f>
        <v>0</v>
      </c>
      <c r="CK20" s="540">
        <f>INDEX(Lab_Mat!$K$6:$N$9,MATCH($H20,Lab_Mat!$J$6:$J$9,0),MATCH($CH$4,Lab_Mat!$K$5:$N$5,0))*M20</f>
        <v>0</v>
      </c>
      <c r="CL20" s="540">
        <f>INDEX(Lab_Mat!$K$6:$N$9,MATCH($H20,Lab_Mat!$J$6:$J$9,0),MATCH($CH$4,Lab_Mat!$K$5:$N$5,0))*N20</f>
        <v>0</v>
      </c>
      <c r="CM20" s="540">
        <f>INDEX(Lab_Mat!$K$6:$N$9,MATCH($H20,Lab_Mat!$J$6:$J$9,0),MATCH($CH$4,Lab_Mat!$K$5:$N$5,0))*O20</f>
        <v>0</v>
      </c>
      <c r="CN20" s="540">
        <f>INDEX(Lab_Mat!$K$6:$N$9,MATCH($H20,Lab_Mat!$J$6:$J$9,0),MATCH($CH$4,Lab_Mat!$K$5:$N$5,0))*P20</f>
        <v>0</v>
      </c>
      <c r="CO20" s="540">
        <f>INDEX(Lab_Mat!$K$6:$N$9,MATCH($H20,Lab_Mat!$J$6:$J$9,0),MATCH($CH$4,Lab_Mat!$K$5:$N$5,0))*Q20</f>
        <v>0</v>
      </c>
      <c r="CP20" s="241"/>
      <c r="CQ20" s="539">
        <f t="shared" si="40"/>
        <v>0</v>
      </c>
      <c r="CR20" s="539">
        <f t="shared" si="41"/>
        <v>0</v>
      </c>
      <c r="CS20" s="539">
        <f t="shared" si="24"/>
        <v>0</v>
      </c>
      <c r="CT20" s="539">
        <f t="shared" si="42"/>
        <v>0</v>
      </c>
      <c r="CU20" s="539">
        <f t="shared" si="43"/>
        <v>0</v>
      </c>
      <c r="CV20" s="539">
        <f t="shared" si="44"/>
        <v>0</v>
      </c>
      <c r="CW20" s="539">
        <f t="shared" si="45"/>
        <v>0</v>
      </c>
      <c r="CX20" s="539">
        <f t="shared" si="46"/>
        <v>0</v>
      </c>
      <c r="CY20" s="39"/>
      <c r="CZ20" s="39"/>
      <c r="DA20" s="39"/>
      <c r="DB20" s="39"/>
      <c r="DC20" s="39"/>
    </row>
    <row r="21" spans="2:109" hidden="1" x14ac:dyDescent="0.25">
      <c r="B21" s="7"/>
      <c r="C21" s="7" t="s">
        <v>579</v>
      </c>
      <c r="D21" s="7" t="s">
        <v>697</v>
      </c>
      <c r="E21" s="7" t="s">
        <v>399</v>
      </c>
      <c r="F21" s="7" t="s">
        <v>55</v>
      </c>
      <c r="G21" s="7" t="s">
        <v>34</v>
      </c>
      <c r="H21" s="7" t="s">
        <v>753</v>
      </c>
      <c r="I21" s="7" t="s">
        <v>5</v>
      </c>
      <c r="J21" s="45"/>
      <c r="K21" s="45"/>
      <c r="L21" s="45"/>
      <c r="M21" s="539">
        <v>0</v>
      </c>
      <c r="N21" s="539">
        <v>0</v>
      </c>
      <c r="O21" s="539">
        <v>0</v>
      </c>
      <c r="P21" s="539"/>
      <c r="Q21" s="539"/>
      <c r="R21" s="241"/>
      <c r="S21" s="539">
        <f>INDEX(Lab_Mat!$K$6:$N$9,MATCH($H21,Lab_Mat!$J$6:$J$9,0),MATCH($S$4,Lab_Mat!$K$5:$N$5,0))*J21*HLOOKUP(S$5,Escalators!$I$25:$U$30,3,FALSE)</f>
        <v>0</v>
      </c>
      <c r="T21" s="539">
        <f>INDEX(Lab_Mat!$K$6:$N$9,MATCH($H21,Lab_Mat!$J$6:$J$9,0),MATCH($S$4,Lab_Mat!$K$5:$N$5,0))*K21*HLOOKUP(T$5,Escalators!$I$25:$U$30,3,FALSE)</f>
        <v>0</v>
      </c>
      <c r="U21" s="539">
        <f>INDEX(Lab_Mat!$K$6:$N$9,MATCH($H21,Lab_Mat!$J$6:$J$9,0),MATCH($S$4,Lab_Mat!$K$5:$N$5,0))*L21*HLOOKUP(U$5,Escalators!$I$25:$U$30,3,FALSE)</f>
        <v>0</v>
      </c>
      <c r="V21" s="539">
        <f>INDEX(Lab_Mat!$K$6:$N$9,MATCH($H21,Lab_Mat!$J$6:$J$9,0),MATCH($S$4,Lab_Mat!$K$5:$N$5,0))*M21*HLOOKUP(V$5,Escalators!$I$25:$U$30,3,FALSE)</f>
        <v>0</v>
      </c>
      <c r="W21" s="539">
        <f>INDEX(Lab_Mat!$K$6:$N$9,MATCH($H21,Lab_Mat!$J$6:$J$9,0),MATCH($S$4,Lab_Mat!$K$5:$N$5,0))*N21*HLOOKUP(W$5,Escalators!$I$25:$U$30,3,FALSE)</f>
        <v>0</v>
      </c>
      <c r="X21" s="539">
        <f>INDEX(Lab_Mat!$K$6:$N$9,MATCH($H21,Lab_Mat!$J$6:$J$9,0),MATCH($S$4,Lab_Mat!$K$5:$N$5,0))*O21*HLOOKUP(X$5,Escalators!$I$25:$U$30,3,FALSE)</f>
        <v>0</v>
      </c>
      <c r="Y21" s="539">
        <f>INDEX(Lab_Mat!$K$6:$N$9,MATCH($H21,Lab_Mat!$J$6:$J$9,0),MATCH($S$4,Lab_Mat!$K$5:$N$5,0))*P21*HLOOKUP(Y$5,Escalators!$I$25:$U$30,3,FALSE)</f>
        <v>0</v>
      </c>
      <c r="Z21" s="539">
        <f>INDEX(Lab_Mat!$K$6:$N$9,MATCH($H21,Lab_Mat!$J$6:$J$9,0),MATCH($S$4,Lab_Mat!$K$5:$N$5,0))*Q21*HLOOKUP(Z$5,Escalators!$I$25:$U$30,3,FALSE)</f>
        <v>0</v>
      </c>
      <c r="AA21" s="241"/>
      <c r="AB21" s="539">
        <f>INDEX(Lab_Mat!$K$6:$N$9,MATCH($H21,Lab_Mat!$J$6:$J$9,0),MATCH($AG$4,Lab_Mat!$K$5:$N$5,0))*$J21*INDEX(Act_Type_Repex_Splits,MATCH($I21,Act_Type_Repex,0),MATCH(AB$4,Mat_Type,0))*INDEX(Escalators!$I$44:$Q$49,MATCH(AB$4,Escalators!$C$44:$C$49,0),MATCH(AB$5,Escalators!$I$43:$Q$43,0))</f>
        <v>0</v>
      </c>
      <c r="AC21" s="539">
        <f>INDEX(Lab_Mat!$K$6:$N$9,MATCH($H21,Lab_Mat!$J$6:$J$9,0),MATCH($AG$4,Lab_Mat!$K$5:$N$5,0))*$J21*INDEX(Act_Type_Repex_Splits,MATCH($I21,Act_Type_Repex,0),MATCH(AC$4,Mat_Type,0))*INDEX(Escalators!$I$44:$Q$49,MATCH(AC$4,Escalators!$C$44:$C$49,0),MATCH(AC$5,Escalators!$I$43:$Q$43,0))</f>
        <v>0</v>
      </c>
      <c r="AD21" s="539">
        <f>INDEX(Lab_Mat!$K$6:$N$9,MATCH($H21,Lab_Mat!$J$6:$J$9,0),MATCH($AG$4,Lab_Mat!$K$5:$N$5,0))*$J21*INDEX(Act_Type_Repex_Splits,MATCH($I21,Act_Type_Repex,0),MATCH(AD$4,Mat_Type,0))*INDEX(Escalators!$I$44:$Q$49,MATCH(AD$4,Escalators!$C$44:$C$49,0),MATCH(AD$5,Escalators!$I$43:$Q$43,0))</f>
        <v>0</v>
      </c>
      <c r="AE21" s="539">
        <f>INDEX(Lab_Mat!$K$6:$N$9,MATCH($H21,Lab_Mat!$J$6:$J$9,0),MATCH($AG$4,Lab_Mat!$K$5:$N$5,0))*$J21*INDEX(Act_Type_Repex_Splits,MATCH($I21,Act_Type_Repex,0),MATCH(AE$4,Mat_Type,0))*INDEX(Escalators!$I$44:$Q$49,MATCH(AE$4,Escalators!$C$44:$C$49,0),MATCH(AE$5,Escalators!$I$43:$Q$43,0))</f>
        <v>0</v>
      </c>
      <c r="AF21" s="539">
        <f>INDEX(Lab_Mat!$K$6:$N$9,MATCH($H21,Lab_Mat!$J$6:$J$9,0),MATCH($AG$4,Lab_Mat!$K$5:$N$5,0))*$J21*INDEX(Act_Type_Repex_Splits,MATCH($I21,Act_Type_Repex,0),MATCH(AF$4,Mat_Type,0))*INDEX(Escalators!$I$44:$Q$49,MATCH(AF$4,Escalators!$C$44:$C$49,0),MATCH(AF$5,Escalators!$I$43:$Q$43,0))</f>
        <v>0</v>
      </c>
      <c r="AG21" s="539">
        <f t="shared" ref="AG21" si="47">SUM(AB21:AF21)</f>
        <v>0</v>
      </c>
      <c r="AH21" s="539">
        <f>INDEX(Lab_Mat!$K$6:$N$9,MATCH($H21,Lab_Mat!$J$6:$J$9,0),MATCH($AY$4,Lab_Mat!$K$5:$N$5,0))*$K21*INDEX(Act_Type_Repex_Splits,MATCH($I21,Act_Type_Repex,0),MATCH(AH$4,Mat_Type,0))*INDEX(Escalators!$I$44:$U$49,MATCH(AH$4,Escalators!$C$44:$C$49,0),MATCH(AH$5,Escalators!$I$43:$U$43,0))</f>
        <v>0</v>
      </c>
      <c r="AI21" s="539">
        <f>INDEX(Lab_Mat!$K$6:$N$9,MATCH($H21,Lab_Mat!$J$6:$J$9,0),MATCH($AY$4,Lab_Mat!$K$5:$N$5,0))*$K21*INDEX(Act_Type_Repex_Splits,MATCH($I21,Act_Type_Repex,0),MATCH(AI$4,Mat_Type,0))*INDEX(Escalators!$I$44:$U$49,MATCH(AI$4,Escalators!$C$44:$C$49,0),MATCH(AI$5,Escalators!$I$43:$U$43,0))</f>
        <v>0</v>
      </c>
      <c r="AJ21" s="539">
        <f>INDEX(Lab_Mat!$K$6:$N$9,MATCH($H21,Lab_Mat!$J$6:$J$9,0),MATCH($AY$4,Lab_Mat!$K$5:$N$5,0))*$K21*INDEX(Act_Type_Repex_Splits,MATCH($I21,Act_Type_Repex,0),MATCH(AJ$4,Mat_Type,0))*INDEX(Escalators!$I$44:$U$49,MATCH(AJ$4,Escalators!$C$44:$C$49,0),MATCH(AJ$5,Escalators!$I$43:$U$43,0))</f>
        <v>0</v>
      </c>
      <c r="AK21" s="539">
        <f>INDEX(Lab_Mat!$K$6:$N$9,MATCH($H21,Lab_Mat!$J$6:$J$9,0),MATCH($AY$4,Lab_Mat!$K$5:$N$5,0))*$K21*INDEX(Act_Type_Repex_Splits,MATCH($I21,Act_Type_Repex,0),MATCH(AK$4,Mat_Type,0))*INDEX(Escalators!$I$44:$U$49,MATCH(AK$4,Escalators!$C$44:$C$49,0),MATCH(AK$5,Escalators!$I$43:$U$43,0))</f>
        <v>0</v>
      </c>
      <c r="AL21" s="539">
        <f>INDEX(Lab_Mat!$K$6:$N$9,MATCH($H21,Lab_Mat!$J$6:$J$9,0),MATCH($AY$4,Lab_Mat!$K$5:$N$5,0))*$K21*INDEX(Act_Type_Repex_Splits,MATCH($I21,Act_Type_Repex,0),MATCH(AL$4,Mat_Type,0))*INDEX(Escalators!$I$44:$U$49,MATCH(AL$4,Escalators!$C$44:$C$49,0),MATCH(AL$5,Escalators!$I$43:$U$43,0))</f>
        <v>0</v>
      </c>
      <c r="AM21" s="539">
        <f t="shared" ref="AM21" si="48">SUM(AH21:AL21)</f>
        <v>0</v>
      </c>
      <c r="AN21" s="539">
        <f>INDEX(Lab_Mat!$K$6:$N$9,MATCH($H21,Lab_Mat!$J$6:$J$9,0),MATCH($AY$4,Lab_Mat!$K$5:$N$5,0))*$L21*INDEX(Act_Type_Repex_Splits,MATCH($I21,Act_Type_Repex,0),MATCH(AN$4,Mat_Type,0))*INDEX(Escalators!$I$44:$U$49,MATCH(AN$4,Escalators!$C$44:$C$49,0),MATCH(AN$5,Escalators!$I$43:$U$43,0))</f>
        <v>0</v>
      </c>
      <c r="AO21" s="539">
        <f>INDEX(Lab_Mat!$K$6:$N$9,MATCH($H21,Lab_Mat!$J$6:$J$9,0),MATCH($AY$4,Lab_Mat!$K$5:$N$5,0))*$L21*INDEX(Act_Type_Repex_Splits,MATCH($I21,Act_Type_Repex,0),MATCH(AO$4,Mat_Type,0))*INDEX(Escalators!$I$44:$U$49,MATCH(AO$4,Escalators!$C$44:$C$49,0),MATCH(AO$5,Escalators!$I$43:$U$43,0))</f>
        <v>0</v>
      </c>
      <c r="AP21" s="539">
        <f>INDEX(Lab_Mat!$K$6:$N$9,MATCH($H21,Lab_Mat!$J$6:$J$9,0),MATCH($AY$4,Lab_Mat!$K$5:$N$5,0))*$L21*INDEX(Act_Type_Repex_Splits,MATCH($I21,Act_Type_Repex,0),MATCH(AP$4,Mat_Type,0))*INDEX(Escalators!$I$44:$U$49,MATCH(AP$4,Escalators!$C$44:$C$49,0),MATCH(AP$5,Escalators!$I$43:$U$43,0))</f>
        <v>0</v>
      </c>
      <c r="AQ21" s="539">
        <f>INDEX(Lab_Mat!$K$6:$N$9,MATCH($H21,Lab_Mat!$J$6:$J$9,0),MATCH($AY$4,Lab_Mat!$K$5:$N$5,0))*$L21*INDEX(Act_Type_Repex_Splits,MATCH($I21,Act_Type_Repex,0),MATCH(AQ$4,Mat_Type,0))*INDEX(Escalators!$I$44:$U$49,MATCH(AQ$4,Escalators!$C$44:$C$49,0),MATCH(AQ$5,Escalators!$I$43:$U$43,0))</f>
        <v>0</v>
      </c>
      <c r="AR21" s="539">
        <f>INDEX(Lab_Mat!$K$6:$N$9,MATCH($H21,Lab_Mat!$J$6:$J$9,0),MATCH($AY$4,Lab_Mat!$K$5:$N$5,0))*$L21*INDEX(Act_Type_Repex_Splits,MATCH($I21,Act_Type_Repex,0),MATCH(AR$4,Mat_Type,0))*INDEX(Escalators!$I$44:$U$49,MATCH(AR$4,Escalators!$C$44:$C$49,0),MATCH(AR$5,Escalators!$I$43:$U$43,0))</f>
        <v>0</v>
      </c>
      <c r="AS21" s="539">
        <f t="shared" ref="AS21" si="49">SUM(AN21:AR21)</f>
        <v>0</v>
      </c>
      <c r="AT21" s="539">
        <f>INDEX(Lab_Mat!$K$6:$N$9,MATCH($H21,Lab_Mat!$J$6:$J$9,0),MATCH($AY$4,Lab_Mat!$K$5:$N$5,0))*$M21*INDEX(Act_Type_Repex_Splits,MATCH($I21,Act_Type_Repex,0),MATCH(AT$4,Mat_Type,0))*INDEX(Escalators!$I$44:$U$49,MATCH(AT$4,Escalators!$C$44:$C$49,0),MATCH(AT$5,Escalators!$I$43:$U$43,0))</f>
        <v>0</v>
      </c>
      <c r="AU21" s="539">
        <f>INDEX(Lab_Mat!$K$6:$N$9,MATCH($H21,Lab_Mat!$J$6:$J$9,0),MATCH($AY$4,Lab_Mat!$K$5:$N$5,0))*$M21*INDEX(Act_Type_Repex_Splits,MATCH($I21,Act_Type_Repex,0),MATCH(AU$4,Mat_Type,0))*INDEX(Escalators!$I$44:$U$49,MATCH(AU$4,Escalators!$C$44:$C$49,0),MATCH(AU$5,Escalators!$I$43:$U$43,0))</f>
        <v>0</v>
      </c>
      <c r="AV21" s="539">
        <f>INDEX(Lab_Mat!$K$6:$N$9,MATCH($H21,Lab_Mat!$J$6:$J$9,0),MATCH($AY$4,Lab_Mat!$K$5:$N$5,0))*$M21*INDEX(Act_Type_Repex_Splits,MATCH($I21,Act_Type_Repex,0),MATCH(AV$4,Mat_Type,0))*INDEX(Escalators!$I$44:$U$49,MATCH(AV$4,Escalators!$C$44:$C$49,0),MATCH(AV$5,Escalators!$I$43:$U$43,0))</f>
        <v>0</v>
      </c>
      <c r="AW21" s="539">
        <f>INDEX(Lab_Mat!$K$6:$N$9,MATCH($H21,Lab_Mat!$J$6:$J$9,0),MATCH($AY$4,Lab_Mat!$K$5:$N$5,0))*$M21*INDEX(Act_Type_Repex_Splits,MATCH($I21,Act_Type_Repex,0),MATCH(AW$4,Mat_Type,0))*INDEX(Escalators!$I$44:$U$49,MATCH(AW$4,Escalators!$C$44:$C$49,0),MATCH(AW$5,Escalators!$I$43:$U$43,0))</f>
        <v>0</v>
      </c>
      <c r="AX21" s="539">
        <f>INDEX(Lab_Mat!$K$6:$N$9,MATCH($H21,Lab_Mat!$J$6:$J$9,0),MATCH($AY$4,Lab_Mat!$K$5:$N$5,0))*$M21*INDEX(Act_Type_Repex_Splits,MATCH($I21,Act_Type_Repex,0),MATCH(AX$4,Mat_Type,0))*INDEX(Escalators!$I$44:$U$49,MATCH(AX$4,Escalators!$C$44:$C$49,0),MATCH(AX$5,Escalators!$I$43:$U$43,0))</f>
        <v>0</v>
      </c>
      <c r="AY21" s="539">
        <f t="shared" ref="AY21" si="50">SUM(AT21:AX21)</f>
        <v>0</v>
      </c>
      <c r="AZ21" s="539">
        <f>INDEX(Lab_Mat!$K$6:$N$9,MATCH($H21,Lab_Mat!$J$6:$J$9,0),MATCH($BE$4,Lab_Mat!$K$5:$N$5,0))*$N21*INDEX(Act_Type_Repex_Splits,MATCH($I21,Act_Type_Repex,0),MATCH(AZ$4,Mat_Type,0))*INDEX(Escalators!$I$44:$U$49,MATCH(AZ$4,Escalators!$C$44:$C$49,0),MATCH(AZ$5,Escalators!$I$43:$U$43,0))</f>
        <v>0</v>
      </c>
      <c r="BA21" s="539">
        <f>INDEX(Lab_Mat!$K$6:$N$9,MATCH($H21,Lab_Mat!$J$6:$J$9,0),MATCH($BE$4,Lab_Mat!$K$5:$N$5,0))*$N21*INDEX(Act_Type_Repex_Splits,MATCH($I21,Act_Type_Repex,0),MATCH(BA$4,Mat_Type,0))*INDEX(Escalators!$I$44:$U$49,MATCH(BA$4,Escalators!$C$44:$C$49,0),MATCH(BA$5,Escalators!$I$43:$U$43,0))</f>
        <v>0</v>
      </c>
      <c r="BB21" s="539">
        <f>INDEX(Lab_Mat!$K$6:$N$9,MATCH($H21,Lab_Mat!$J$6:$J$9,0),MATCH($BE$4,Lab_Mat!$K$5:$N$5,0))*$N21*INDEX(Act_Type_Repex_Splits,MATCH($I21,Act_Type_Repex,0),MATCH(BB$4,Mat_Type,0))*INDEX(Escalators!$I$44:$U$49,MATCH(BB$4,Escalators!$C$44:$C$49,0),MATCH(BB$5,Escalators!$I$43:$U$43,0))</f>
        <v>0</v>
      </c>
      <c r="BC21" s="539">
        <f>INDEX(Lab_Mat!$K$6:$N$9,MATCH($H21,Lab_Mat!$J$6:$J$9,0),MATCH($BE$4,Lab_Mat!$K$5:$N$5,0))*$N21*INDEX(Act_Type_Repex_Splits,MATCH($I21,Act_Type_Repex,0),MATCH(BC$4,Mat_Type,0))*INDEX(Escalators!$I$44:$U$49,MATCH(BC$4,Escalators!$C$44:$C$49,0),MATCH(BC$5,Escalators!$I$43:$U$43,0))</f>
        <v>0</v>
      </c>
      <c r="BD21" s="539">
        <f>INDEX(Lab_Mat!$K$6:$N$9,MATCH($H21,Lab_Mat!$J$6:$J$9,0),MATCH($BE$4,Lab_Mat!$K$5:$N$5,0))*$N21*INDEX(Act_Type_Repex_Splits,MATCH($I21,Act_Type_Repex,0),MATCH(BD$4,Mat_Type,0))*INDEX(Escalators!$I$44:$U$49,MATCH(BD$4,Escalators!$C$44:$C$49,0),MATCH(BD$5,Escalators!$I$43:$U$43,0))</f>
        <v>0</v>
      </c>
      <c r="BE21" s="539">
        <f t="shared" ref="BE21" si="51">SUM(AZ21:BD21)</f>
        <v>0</v>
      </c>
      <c r="BF21" s="539">
        <f>INDEX(Lab_Mat!$K$6:$N$9,MATCH($H21,Lab_Mat!$J$6:$J$9,0),MATCH($BK$4,Lab_Mat!$K$5:$N$5,0))*$O21*INDEX(Act_Type_Repex_Splits,MATCH($I21,Act_Type_Repex,0),MATCH(BF$4,Mat_Type,0))*INDEX(Escalators!$I$44:$U$49,MATCH(BF$4,Escalators!$C$44:$C$49,0),MATCH(BF$5,Escalators!$I$43:$U$43,0))</f>
        <v>0</v>
      </c>
      <c r="BG21" s="539">
        <f>INDEX(Lab_Mat!$K$6:$N$9,MATCH($H21,Lab_Mat!$J$6:$J$9,0),MATCH($BK$4,Lab_Mat!$K$5:$N$5,0))*$O21*INDEX(Act_Type_Repex_Splits,MATCH($I21,Act_Type_Repex,0),MATCH(BG$4,Mat_Type,0))*INDEX(Escalators!$I$44:$U$49,MATCH(BG$4,Escalators!$C$44:$C$49,0),MATCH(BG$5,Escalators!$I$43:$U$43,0))</f>
        <v>0</v>
      </c>
      <c r="BH21" s="539">
        <f>INDEX(Lab_Mat!$K$6:$N$9,MATCH($H21,Lab_Mat!$J$6:$J$9,0),MATCH($BK$4,Lab_Mat!$K$5:$N$5,0))*$O21*INDEX(Act_Type_Repex_Splits,MATCH($I21,Act_Type_Repex,0),MATCH(BH$4,Mat_Type,0))*INDEX(Escalators!$I$44:$U$49,MATCH(BH$4,Escalators!$C$44:$C$49,0),MATCH(BH$5,Escalators!$I$43:$U$43,0))</f>
        <v>0</v>
      </c>
      <c r="BI21" s="539">
        <f>INDEX(Lab_Mat!$K$6:$N$9,MATCH($H21,Lab_Mat!$J$6:$J$9,0),MATCH($BK$4,Lab_Mat!$K$5:$N$5,0))*$O21*INDEX(Act_Type_Repex_Splits,MATCH($I21,Act_Type_Repex,0),MATCH(BI$4,Mat_Type,0))*INDEX(Escalators!$I$44:$U$49,MATCH(BI$4,Escalators!$C$44:$C$49,0),MATCH(BI$5,Escalators!$I$43:$U$43,0))</f>
        <v>0</v>
      </c>
      <c r="BJ21" s="539">
        <f>INDEX(Lab_Mat!$K$6:$N$9,MATCH($H21,Lab_Mat!$J$6:$J$9,0),MATCH($BK$4,Lab_Mat!$K$5:$N$5,0))*$O21*INDEX(Act_Type_Repex_Splits,MATCH($I21,Act_Type_Repex,0),MATCH(BJ$4,Mat_Type,0))*INDEX(Escalators!$I$44:$U$49,MATCH(BJ$4,Escalators!$C$44:$C$49,0),MATCH(BJ$5,Escalators!$I$43:$U$43,0))</f>
        <v>0</v>
      </c>
      <c r="BK21" s="539">
        <f t="shared" ref="BK21" si="52">SUM(BF21:BJ21)</f>
        <v>0</v>
      </c>
      <c r="BL21" s="539">
        <f>INDEX(Lab_Mat!$K$6:$N$9,MATCH($H21,Lab_Mat!$J$6:$J$9,0),MATCH($BQ$4,Lab_Mat!$K$5:$N$5,0))*$P21*INDEX(Act_Type_Repex_Splits,MATCH($I21,Act_Type_Repex,0),MATCH(BL$4,Mat_Type,0))*INDEX(Escalators!$I$44:$U$49,MATCH(BL$4,Escalators!$C$44:$C$49,0),MATCH(BL$5,Escalators!$I$43:$U$43,0))</f>
        <v>0</v>
      </c>
      <c r="BM21" s="539">
        <f>INDEX(Lab_Mat!$K$6:$N$9,MATCH($H21,Lab_Mat!$J$6:$J$9,0),MATCH($BQ$4,Lab_Mat!$K$5:$N$5,0))*$P21*INDEX(Act_Type_Repex_Splits,MATCH($I21,Act_Type_Repex,0),MATCH(BM$4,Mat_Type,0))*INDEX(Escalators!$I$44:$U$49,MATCH(BM$4,Escalators!$C$44:$C$49,0),MATCH(BM$5,Escalators!$I$43:$U$43,0))</f>
        <v>0</v>
      </c>
      <c r="BN21" s="539">
        <f>INDEX(Lab_Mat!$K$6:$N$9,MATCH($H21,Lab_Mat!$J$6:$J$9,0),MATCH($BQ$4,Lab_Mat!$K$5:$N$5,0))*$P21*INDEX(Act_Type_Repex_Splits,MATCH($I21,Act_Type_Repex,0),MATCH(BN$4,Mat_Type,0))*INDEX(Escalators!$I$44:$U$49,MATCH(BN$4,Escalators!$C$44:$C$49,0),MATCH(BN$5,Escalators!$I$43:$U$43,0))</f>
        <v>0</v>
      </c>
      <c r="BO21" s="539">
        <f>INDEX(Lab_Mat!$K$6:$N$9,MATCH($H21,Lab_Mat!$J$6:$J$9,0),MATCH($BQ$4,Lab_Mat!$K$5:$N$5,0))*$P21*INDEX(Act_Type_Repex_Splits,MATCH($I21,Act_Type_Repex,0),MATCH(BO$4,Mat_Type,0))*INDEX(Escalators!$I$44:$U$49,MATCH(BO$4,Escalators!$C$44:$C$49,0),MATCH(BO$5,Escalators!$I$43:$U$43,0))</f>
        <v>0</v>
      </c>
      <c r="BP21" s="539">
        <f>INDEX(Lab_Mat!$K$6:$N$9,MATCH($H21,Lab_Mat!$J$6:$J$9,0),MATCH($BQ$4,Lab_Mat!$K$5:$N$5,0))*$P21*INDEX(Act_Type_Repex_Splits,MATCH($I21,Act_Type_Repex,0),MATCH(BP$4,Mat_Type,0))*INDEX(Escalators!$I$44:$U$49,MATCH(BP$4,Escalators!$C$44:$C$49,0),MATCH(BP$5,Escalators!$I$43:$U$43,0))</f>
        <v>0</v>
      </c>
      <c r="BQ21" s="539">
        <f t="shared" ref="BQ21" si="53">SUM(BL21:BP21)</f>
        <v>0</v>
      </c>
      <c r="BR21" s="539">
        <f>INDEX(Lab_Mat!$K$6:$N$9,MATCH($H21,Lab_Mat!$J$6:$J$9,0),MATCH($BW$4,Lab_Mat!$K$5:$N$5,0))*$Q21*INDEX(Act_Type_Repex_Splits,MATCH($I21,Act_Type_Repex,0),MATCH(BR$4,Mat_Type,0))*INDEX(Escalators!$I$44:$U$49,MATCH(BR$4,Escalators!$C$44:$C$49,0),MATCH(BR$5,Escalators!$I$43:$U$43,0))</f>
        <v>0</v>
      </c>
      <c r="BS21" s="539">
        <f>INDEX(Lab_Mat!$K$6:$N$9,MATCH($H21,Lab_Mat!$J$6:$J$9,0),MATCH($BW$4,Lab_Mat!$K$5:$N$5,0))*$Q21*INDEX(Act_Type_Repex_Splits,MATCH($I21,Act_Type_Repex,0),MATCH(BS$4,Mat_Type,0))*INDEX(Escalators!$I$44:$U$49,MATCH(BS$4,Escalators!$C$44:$C$49,0),MATCH(BS$5,Escalators!$I$43:$U$43,0))</f>
        <v>0</v>
      </c>
      <c r="BT21" s="539">
        <f>INDEX(Lab_Mat!$K$6:$N$9,MATCH($H21,Lab_Mat!$J$6:$J$9,0),MATCH($BW$4,Lab_Mat!$K$5:$N$5,0))*$Q21*INDEX(Act_Type_Repex_Splits,MATCH($I21,Act_Type_Repex,0),MATCH(BT$4,Mat_Type,0))*INDEX(Escalators!$I$44:$U$49,MATCH(BT$4,Escalators!$C$44:$C$49,0),MATCH(BT$5,Escalators!$I$43:$U$43,0))</f>
        <v>0</v>
      </c>
      <c r="BU21" s="539">
        <f>INDEX(Lab_Mat!$K$6:$N$9,MATCH($H21,Lab_Mat!$J$6:$J$9,0),MATCH($BW$4,Lab_Mat!$K$5:$N$5,0))*$Q21*INDEX(Act_Type_Repex_Splits,MATCH($I21,Act_Type_Repex,0),MATCH(BU$4,Mat_Type,0))*INDEX(Escalators!$I$44:$U$49,MATCH(BU$4,Escalators!$C$44:$C$49,0),MATCH(BU$5,Escalators!$I$43:$U$43,0))</f>
        <v>0</v>
      </c>
      <c r="BV21" s="539">
        <f>INDEX(Lab_Mat!$K$6:$N$9,MATCH($H21,Lab_Mat!$J$6:$J$9,0),MATCH($BW$4,Lab_Mat!$K$5:$N$5,0))*$Q21*INDEX(Act_Type_Repex_Splits,MATCH($I21,Act_Type_Repex,0),MATCH(BV$4,Mat_Type,0))*INDEX(Escalators!$I$44:$U$49,MATCH(BV$4,Escalators!$C$44:$C$49,0),MATCH(BV$5,Escalators!$I$43:$U$43,0))</f>
        <v>0</v>
      </c>
      <c r="BW21" s="539">
        <f t="shared" ref="BW21" si="54">SUM(BR21:BV21)</f>
        <v>0</v>
      </c>
      <c r="BX21" s="241"/>
      <c r="BY21" s="539">
        <f>INDEX(Lab_Mat!$K$6:$N$9,MATCH($H21,Lab_Mat!$J$6:$J$9,0),MATCH($BY$4,Lab_Mat!$K$5:$N$5,0))*J21*HLOOKUP(BY$5,Escalators!$I$25:$U$30,6,FALSE)</f>
        <v>0</v>
      </c>
      <c r="BZ21" s="539">
        <f>INDEX(Lab_Mat!$K$6:$N$9,MATCH($H21,Lab_Mat!$J$6:$J$9,0),MATCH($BY$4,Lab_Mat!$K$5:$N$5,0))*K21*HLOOKUP(BZ$5,Escalators!$I$25:$U$30,6,FALSE)</f>
        <v>0</v>
      </c>
      <c r="CA21" s="539">
        <f>INDEX(Lab_Mat!$K$6:$N$9,MATCH($H21,Lab_Mat!$J$6:$J$9,0),MATCH($BY$4,Lab_Mat!$K$5:$N$5,0))*L21*HLOOKUP(CA$5,Escalators!$I$25:$U$30,6,FALSE)</f>
        <v>0</v>
      </c>
      <c r="CB21" s="539">
        <f>INDEX(Lab_Mat!$K$6:$N$9,MATCH($H21,Lab_Mat!$J$6:$J$9,0),MATCH($BY$4,Lab_Mat!$K$5:$N$5,0))*M21*HLOOKUP(CB$5,Escalators!$I$25:$U$30,6,FALSE)</f>
        <v>0</v>
      </c>
      <c r="CC21" s="539">
        <f>INDEX(Lab_Mat!$K$6:$N$9,MATCH($H21,Lab_Mat!$J$6:$J$9,0),MATCH($BY$4,Lab_Mat!$K$5:$N$5,0))*N21*HLOOKUP(CC$5,Escalators!$I$25:$U$30,6,FALSE)</f>
        <v>0</v>
      </c>
      <c r="CD21" s="539">
        <f>INDEX(Lab_Mat!$K$6:$N$9,MATCH($H21,Lab_Mat!$J$6:$J$9,0),MATCH($BY$4,Lab_Mat!$K$5:$N$5,0))*O21*HLOOKUP(CD$5,Escalators!$I$25:$U$30,6,FALSE)</f>
        <v>0</v>
      </c>
      <c r="CE21" s="539">
        <f>INDEX(Lab_Mat!$K$6:$N$9,MATCH($H21,Lab_Mat!$J$6:$J$9,0),MATCH($BY$4,Lab_Mat!$K$5:$N$5,0))*P21*HLOOKUP(CE$5,Escalators!$I$25:$U$30,6,FALSE)</f>
        <v>0</v>
      </c>
      <c r="CF21" s="539">
        <f>INDEX(Lab_Mat!$K$6:$N$9,MATCH($H21,Lab_Mat!$J$6:$J$9,0),MATCH($BY$4,Lab_Mat!$K$5:$N$5,0))*Q21*HLOOKUP(CF$5,Escalators!$I$25:$U$30,6,FALSE)</f>
        <v>0</v>
      </c>
      <c r="CG21" s="241"/>
      <c r="CH21" s="540">
        <f>INDEX(Lab_Mat!$K$6:$N$9,MATCH($H21,Lab_Mat!$J$6:$J$9,0),MATCH($CH$4,Lab_Mat!$K$5:$N$5,0))*J21</f>
        <v>0</v>
      </c>
      <c r="CI21" s="540">
        <f>INDEX(Lab_Mat!$K$6:$N$9,MATCH($H21,Lab_Mat!$J$6:$J$9,0),MATCH($CH$4,Lab_Mat!$K$5:$N$5,0))*K21</f>
        <v>0</v>
      </c>
      <c r="CJ21" s="540">
        <f>INDEX(Lab_Mat!$K$6:$N$9,MATCH($H21,Lab_Mat!$J$6:$J$9,0),MATCH($CH$4,Lab_Mat!$K$5:$N$5,0))*L21</f>
        <v>0</v>
      </c>
      <c r="CK21" s="540">
        <f>INDEX(Lab_Mat!$K$6:$N$9,MATCH($H21,Lab_Mat!$J$6:$J$9,0),MATCH($CH$4,Lab_Mat!$K$5:$N$5,0))*M21</f>
        <v>0</v>
      </c>
      <c r="CL21" s="540">
        <f>INDEX(Lab_Mat!$K$6:$N$9,MATCH($H21,Lab_Mat!$J$6:$J$9,0),MATCH($CH$4,Lab_Mat!$K$5:$N$5,0))*N21</f>
        <v>0</v>
      </c>
      <c r="CM21" s="540">
        <f>INDEX(Lab_Mat!$K$6:$N$9,MATCH($H21,Lab_Mat!$J$6:$J$9,0),MATCH($CH$4,Lab_Mat!$K$5:$N$5,0))*O21</f>
        <v>0</v>
      </c>
      <c r="CN21" s="540">
        <f>INDEX(Lab_Mat!$K$6:$N$9,MATCH($H21,Lab_Mat!$J$6:$J$9,0),MATCH($CH$4,Lab_Mat!$K$5:$N$5,0))*P21</f>
        <v>0</v>
      </c>
      <c r="CO21" s="540">
        <f>INDEX(Lab_Mat!$K$6:$N$9,MATCH($H21,Lab_Mat!$J$6:$J$9,0),MATCH($CH$4,Lab_Mat!$K$5:$N$5,0))*Q21</f>
        <v>0</v>
      </c>
      <c r="CP21" s="241"/>
      <c r="CQ21" s="539">
        <f t="shared" si="40"/>
        <v>0</v>
      </c>
      <c r="CR21" s="539">
        <f t="shared" si="41"/>
        <v>0</v>
      </c>
      <c r="CS21" s="539">
        <f t="shared" si="24"/>
        <v>0</v>
      </c>
      <c r="CT21" s="539">
        <f t="shared" si="42"/>
        <v>0</v>
      </c>
      <c r="CU21" s="539">
        <f t="shared" si="43"/>
        <v>0</v>
      </c>
      <c r="CV21" s="539">
        <f t="shared" si="44"/>
        <v>0</v>
      </c>
      <c r="CW21" s="539">
        <f t="shared" si="45"/>
        <v>0</v>
      </c>
      <c r="CX21" s="539">
        <f t="shared" si="46"/>
        <v>0</v>
      </c>
      <c r="CY21" s="39"/>
      <c r="CZ21" s="39"/>
      <c r="DA21" s="39"/>
      <c r="DB21" s="39"/>
      <c r="DC21" s="39"/>
    </row>
    <row r="22" spans="2:109" hidden="1" x14ac:dyDescent="0.25">
      <c r="B22" s="7"/>
      <c r="C22" s="7"/>
      <c r="D22" s="7"/>
      <c r="E22" s="7"/>
      <c r="F22" s="7"/>
      <c r="G22" s="7"/>
      <c r="H22" s="7"/>
      <c r="I22" s="7"/>
      <c r="J22" s="45"/>
      <c r="K22" s="45"/>
      <c r="L22" s="45"/>
      <c r="M22" s="539"/>
      <c r="N22" s="539"/>
      <c r="O22" s="539"/>
      <c r="P22" s="539"/>
      <c r="Q22" s="539"/>
      <c r="R22" s="241"/>
      <c r="S22" s="539"/>
      <c r="T22" s="539"/>
      <c r="U22" s="539"/>
      <c r="V22" s="539"/>
      <c r="W22" s="539"/>
      <c r="X22" s="539"/>
      <c r="Y22" s="539"/>
      <c r="Z22" s="539"/>
      <c r="AA22" s="241"/>
      <c r="AB22" s="255"/>
      <c r="AC22" s="255"/>
      <c r="AD22" s="255"/>
      <c r="AE22" s="255"/>
      <c r="AF22" s="255"/>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241"/>
      <c r="BY22" s="539"/>
      <c r="BZ22" s="539"/>
      <c r="CA22" s="539"/>
      <c r="CB22" s="539"/>
      <c r="CC22" s="539"/>
      <c r="CD22" s="539"/>
      <c r="CE22" s="539"/>
      <c r="CF22" s="539"/>
      <c r="CG22" s="241"/>
      <c r="CH22" s="539"/>
      <c r="CI22" s="539"/>
      <c r="CJ22" s="539"/>
      <c r="CK22" s="539"/>
      <c r="CL22" s="539"/>
      <c r="CM22" s="539"/>
      <c r="CN22" s="539"/>
      <c r="CO22" s="539"/>
      <c r="CP22" s="241"/>
      <c r="CQ22" s="539">
        <f t="shared" si="40"/>
        <v>0</v>
      </c>
      <c r="CR22" s="539">
        <f t="shared" si="41"/>
        <v>0</v>
      </c>
      <c r="CS22" s="539">
        <f t="shared" si="24"/>
        <v>0</v>
      </c>
      <c r="CT22" s="539">
        <f t="shared" si="42"/>
        <v>0</v>
      </c>
      <c r="CU22" s="539">
        <f t="shared" si="43"/>
        <v>0</v>
      </c>
      <c r="CV22" s="539">
        <f t="shared" si="44"/>
        <v>0</v>
      </c>
      <c r="CW22" s="539">
        <f t="shared" si="45"/>
        <v>0</v>
      </c>
      <c r="CX22" s="539">
        <f t="shared" si="46"/>
        <v>0</v>
      </c>
      <c r="DE22" s="1" t="str">
        <f t="shared" si="8"/>
        <v/>
      </c>
    </row>
    <row r="23" spans="2:109" hidden="1" x14ac:dyDescent="0.25">
      <c r="B23" s="7"/>
      <c r="C23" s="256" t="s">
        <v>412</v>
      </c>
      <c r="D23" s="7" t="s">
        <v>409</v>
      </c>
      <c r="E23" s="7" t="s">
        <v>44</v>
      </c>
      <c r="F23" s="7" t="s">
        <v>55</v>
      </c>
      <c r="G23" s="7" t="s">
        <v>10</v>
      </c>
      <c r="H23" s="7" t="s">
        <v>753</v>
      </c>
      <c r="I23" s="7" t="s">
        <v>186</v>
      </c>
      <c r="J23" s="45"/>
      <c r="K23" s="45"/>
      <c r="L23" s="45"/>
      <c r="M23" s="539">
        <v>10410.48366778005</v>
      </c>
      <c r="N23" s="539">
        <v>3331.203348339935</v>
      </c>
      <c r="O23" s="539">
        <v>0</v>
      </c>
      <c r="P23" s="539"/>
      <c r="Q23" s="539"/>
      <c r="R23" s="241"/>
      <c r="S23" s="539">
        <f>INDEX(Lab_Mat!$K$6:$N$9,MATCH($H23,Lab_Mat!$J$6:$J$9,0),MATCH($S$4,Lab_Mat!$K$5:$N$5,0))*J23*HLOOKUP(S$5,Escalators!$I$25:$U$30,3,FALSE)</f>
        <v>0</v>
      </c>
      <c r="T23" s="539">
        <f>INDEX(Lab_Mat!$K$6:$N$9,MATCH($H23,Lab_Mat!$J$6:$J$9,0),MATCH($S$4,Lab_Mat!$K$5:$N$5,0))*K23*HLOOKUP(T$5,Escalators!$I$25:$U$30,3,FALSE)</f>
        <v>0</v>
      </c>
      <c r="U23" s="539">
        <f>INDEX(Lab_Mat!$K$6:$N$9,MATCH($H23,Lab_Mat!$J$6:$J$9,0),MATCH($S$4,Lab_Mat!$K$5:$N$5,0))*L23*HLOOKUP(U$5,Escalators!$I$25:$U$30,3,FALSE)</f>
        <v>0</v>
      </c>
      <c r="V23" s="539">
        <f>INDEX(Lab_Mat!$K$6:$N$9,MATCH($H23,Lab_Mat!$J$6:$J$9,0),MATCH($S$4,Lab_Mat!$K$5:$N$5,0))*M23*HLOOKUP(V$5,Escalators!$I$25:$U$30,3,FALSE)</f>
        <v>1949.0977520178599</v>
      </c>
      <c r="W23" s="539">
        <f>INDEX(Lab_Mat!$K$6:$N$9,MATCH($H23,Lab_Mat!$J$6:$J$9,0),MATCH($S$4,Lab_Mat!$K$5:$N$5,0))*N23*HLOOKUP(W$5,Escalators!$I$25:$U$30,3,FALSE)</f>
        <v>622.12513453279666</v>
      </c>
      <c r="X23" s="539">
        <f>INDEX(Lab_Mat!$K$6:$N$9,MATCH($H23,Lab_Mat!$J$6:$J$9,0),MATCH($S$4,Lab_Mat!$K$5:$N$5,0))*O23*HLOOKUP(X$5,Escalators!$I$25:$U$30,3,FALSE)</f>
        <v>0</v>
      </c>
      <c r="Y23" s="539">
        <f>INDEX(Lab_Mat!$K$6:$N$9,MATCH($H23,Lab_Mat!$J$6:$J$9,0),MATCH($S$4,Lab_Mat!$K$5:$N$5,0))*P23*HLOOKUP(Y$5,Escalators!$I$25:$U$30,3,FALSE)</f>
        <v>0</v>
      </c>
      <c r="Z23" s="539">
        <f>INDEX(Lab_Mat!$K$6:$N$9,MATCH($H23,Lab_Mat!$J$6:$J$9,0),MATCH($S$4,Lab_Mat!$K$5:$N$5,0))*Q23*HLOOKUP(Z$5,Escalators!$I$25:$U$30,3,FALSE)</f>
        <v>0</v>
      </c>
      <c r="AA23" s="241"/>
      <c r="AB23" s="539">
        <f>INDEX(Lab_Mat!$K$6:$N$9,MATCH($H23,Lab_Mat!$J$6:$J$9,0),MATCH($AG$4,Lab_Mat!$K$5:$N$5,0))*$J23*INDEX(Act_Type_Repex_Splits,MATCH($I23,Act_Type_Repex,0),MATCH(AB$4,Mat_Type,0))*INDEX(Escalators!$I$44:$Q$49,MATCH(AB$4,Escalators!$C$44:$C$49,0),MATCH(AB$5,Escalators!$I$43:$Q$43,0))</f>
        <v>0</v>
      </c>
      <c r="AC23" s="539">
        <f>INDEX(Lab_Mat!$K$6:$N$9,MATCH($H23,Lab_Mat!$J$6:$J$9,0),MATCH($AG$4,Lab_Mat!$K$5:$N$5,0))*$J23*INDEX(Act_Type_Repex_Splits,MATCH($I23,Act_Type_Repex,0),MATCH(AC$4,Mat_Type,0))*INDEX(Escalators!$I$44:$Q$49,MATCH(AC$4,Escalators!$C$44:$C$49,0),MATCH(AC$5,Escalators!$I$43:$Q$43,0))</f>
        <v>0</v>
      </c>
      <c r="AD23" s="539">
        <f>INDEX(Lab_Mat!$K$6:$N$9,MATCH($H23,Lab_Mat!$J$6:$J$9,0),MATCH($AG$4,Lab_Mat!$K$5:$N$5,0))*$J23*INDEX(Act_Type_Repex_Splits,MATCH($I23,Act_Type_Repex,0),MATCH(AD$4,Mat_Type,0))*INDEX(Escalators!$I$44:$Q$49,MATCH(AD$4,Escalators!$C$44:$C$49,0),MATCH(AD$5,Escalators!$I$43:$Q$43,0))</f>
        <v>0</v>
      </c>
      <c r="AE23" s="539">
        <f>INDEX(Lab_Mat!$K$6:$N$9,MATCH($H23,Lab_Mat!$J$6:$J$9,0),MATCH($AG$4,Lab_Mat!$K$5:$N$5,0))*$J23*INDEX(Act_Type_Repex_Splits,MATCH($I23,Act_Type_Repex,0),MATCH(AE$4,Mat_Type,0))*INDEX(Escalators!$I$44:$Q$49,MATCH(AE$4,Escalators!$C$44:$C$49,0),MATCH(AE$5,Escalators!$I$43:$Q$43,0))</f>
        <v>0</v>
      </c>
      <c r="AF23" s="539">
        <f>INDEX(Lab_Mat!$K$6:$N$9,MATCH($H23,Lab_Mat!$J$6:$J$9,0),MATCH($AG$4,Lab_Mat!$K$5:$N$5,0))*$J23*INDEX(Act_Type_Repex_Splits,MATCH($I23,Act_Type_Repex,0),MATCH(AF$4,Mat_Type,0))*INDEX(Escalators!$I$44:$Q$49,MATCH(AF$4,Escalators!$C$44:$C$49,0),MATCH(AF$5,Escalators!$I$43:$Q$43,0))</f>
        <v>0</v>
      </c>
      <c r="AG23" s="539">
        <f>SUM(AB23:AF23)</f>
        <v>0</v>
      </c>
      <c r="AH23" s="539">
        <f>INDEX(Lab_Mat!$K$6:$N$9,MATCH($H23,Lab_Mat!$J$6:$J$9,0),MATCH($AY$4,Lab_Mat!$K$5:$N$5,0))*$K23*INDEX(Act_Type_Repex_Splits,MATCH($I23,Act_Type_Repex,0),MATCH(AH$4,Mat_Type,0))*INDEX(Escalators!$I$44:$U$49,MATCH(AH$4,Escalators!$C$44:$C$49,0),MATCH(AH$5,Escalators!$I$43:$U$43,0))</f>
        <v>0</v>
      </c>
      <c r="AI23" s="539">
        <f>INDEX(Lab_Mat!$K$6:$N$9,MATCH($H23,Lab_Mat!$J$6:$J$9,0),MATCH($AY$4,Lab_Mat!$K$5:$N$5,0))*$K23*INDEX(Act_Type_Repex_Splits,MATCH($I23,Act_Type_Repex,0),MATCH(AI$4,Mat_Type,0))*INDEX(Escalators!$I$44:$U$49,MATCH(AI$4,Escalators!$C$44:$C$49,0),MATCH(AI$5,Escalators!$I$43:$U$43,0))</f>
        <v>0</v>
      </c>
      <c r="AJ23" s="539">
        <f>INDEX(Lab_Mat!$K$6:$N$9,MATCH($H23,Lab_Mat!$J$6:$J$9,0),MATCH($AY$4,Lab_Mat!$K$5:$N$5,0))*$K23*INDEX(Act_Type_Repex_Splits,MATCH($I23,Act_Type_Repex,0),MATCH(AJ$4,Mat_Type,0))*INDEX(Escalators!$I$44:$U$49,MATCH(AJ$4,Escalators!$C$44:$C$49,0),MATCH(AJ$5,Escalators!$I$43:$U$43,0))</f>
        <v>0</v>
      </c>
      <c r="AK23" s="539">
        <f>INDEX(Lab_Mat!$K$6:$N$9,MATCH($H23,Lab_Mat!$J$6:$J$9,0),MATCH($AY$4,Lab_Mat!$K$5:$N$5,0))*$K23*INDEX(Act_Type_Repex_Splits,MATCH($I23,Act_Type_Repex,0),MATCH(AK$4,Mat_Type,0))*INDEX(Escalators!$I$44:$U$49,MATCH(AK$4,Escalators!$C$44:$C$49,0),MATCH(AK$5,Escalators!$I$43:$U$43,0))</f>
        <v>0</v>
      </c>
      <c r="AL23" s="539">
        <f>INDEX(Lab_Mat!$K$6:$N$9,MATCH($H23,Lab_Mat!$J$6:$J$9,0),MATCH($AY$4,Lab_Mat!$K$5:$N$5,0))*$K23*INDEX(Act_Type_Repex_Splits,MATCH($I23,Act_Type_Repex,0),MATCH(AL$4,Mat_Type,0))*INDEX(Escalators!$I$44:$U$49,MATCH(AL$4,Escalators!$C$44:$C$49,0),MATCH(AL$5,Escalators!$I$43:$U$43,0))</f>
        <v>0</v>
      </c>
      <c r="AM23" s="539">
        <f>SUM(AH23:AL23)</f>
        <v>0</v>
      </c>
      <c r="AN23" s="539">
        <f>INDEX(Lab_Mat!$K$6:$N$9,MATCH($H23,Lab_Mat!$J$6:$J$9,0),MATCH($AY$4,Lab_Mat!$K$5:$N$5,0))*$L23*INDEX(Act_Type_Repex_Splits,MATCH($I23,Act_Type_Repex,0),MATCH(AN$4,Mat_Type,0))*INDEX(Escalators!$I$44:$U$49,MATCH(AN$4,Escalators!$C$44:$C$49,0),MATCH(AN$5,Escalators!$I$43:$U$43,0))</f>
        <v>0</v>
      </c>
      <c r="AO23" s="539">
        <f>INDEX(Lab_Mat!$K$6:$N$9,MATCH($H23,Lab_Mat!$J$6:$J$9,0),MATCH($AY$4,Lab_Mat!$K$5:$N$5,0))*$L23*INDEX(Act_Type_Repex_Splits,MATCH($I23,Act_Type_Repex,0),MATCH(AO$4,Mat_Type,0))*INDEX(Escalators!$I$44:$U$49,MATCH(AO$4,Escalators!$C$44:$C$49,0),MATCH(AO$5,Escalators!$I$43:$U$43,0))</f>
        <v>0</v>
      </c>
      <c r="AP23" s="539">
        <f>INDEX(Lab_Mat!$K$6:$N$9,MATCH($H23,Lab_Mat!$J$6:$J$9,0),MATCH($AY$4,Lab_Mat!$K$5:$N$5,0))*$L23*INDEX(Act_Type_Repex_Splits,MATCH($I23,Act_Type_Repex,0),MATCH(AP$4,Mat_Type,0))*INDEX(Escalators!$I$44:$U$49,MATCH(AP$4,Escalators!$C$44:$C$49,0),MATCH(AP$5,Escalators!$I$43:$U$43,0))</f>
        <v>0</v>
      </c>
      <c r="AQ23" s="539">
        <f>INDEX(Lab_Mat!$K$6:$N$9,MATCH($H23,Lab_Mat!$J$6:$J$9,0),MATCH($AY$4,Lab_Mat!$K$5:$N$5,0))*$L23*INDEX(Act_Type_Repex_Splits,MATCH($I23,Act_Type_Repex,0),MATCH(AQ$4,Mat_Type,0))*INDEX(Escalators!$I$44:$U$49,MATCH(AQ$4,Escalators!$C$44:$C$49,0),MATCH(AQ$5,Escalators!$I$43:$U$43,0))</f>
        <v>0</v>
      </c>
      <c r="AR23" s="539">
        <f>INDEX(Lab_Mat!$K$6:$N$9,MATCH($H23,Lab_Mat!$J$6:$J$9,0),MATCH($AY$4,Lab_Mat!$K$5:$N$5,0))*$L23*INDEX(Act_Type_Repex_Splits,MATCH($I23,Act_Type_Repex,0),MATCH(AR$4,Mat_Type,0))*INDEX(Escalators!$I$44:$U$49,MATCH(AR$4,Escalators!$C$44:$C$49,0),MATCH(AR$5,Escalators!$I$43:$U$43,0))</f>
        <v>0</v>
      </c>
      <c r="AS23" s="539">
        <f>SUM(AN23:AR23)</f>
        <v>0</v>
      </c>
      <c r="AT23" s="539">
        <f>INDEX(Lab_Mat!$K$6:$N$9,MATCH($H23,Lab_Mat!$J$6:$J$9,0),MATCH($AY$4,Lab_Mat!$K$5:$N$5,0))*$M23*INDEX(Act_Type_Repex_Splits,MATCH($I23,Act_Type_Repex,0),MATCH(AT$4,Mat_Type,0))*INDEX(Escalators!$I$44:$U$49,MATCH(AT$4,Escalators!$C$44:$C$49,0),MATCH(AT$5,Escalators!$I$43:$U$43,0))</f>
        <v>0</v>
      </c>
      <c r="AU23" s="539">
        <f>INDEX(Lab_Mat!$K$6:$N$9,MATCH($H23,Lab_Mat!$J$6:$J$9,0),MATCH($AY$4,Lab_Mat!$K$5:$N$5,0))*$M23*INDEX(Act_Type_Repex_Splits,MATCH($I23,Act_Type_Repex,0),MATCH(AU$4,Mat_Type,0))*INDEX(Escalators!$I$44:$U$49,MATCH(AU$4,Escalators!$C$44:$C$49,0),MATCH(AU$5,Escalators!$I$43:$U$43,0))</f>
        <v>1690.7738263479393</v>
      </c>
      <c r="AV23" s="539">
        <f>INDEX(Lab_Mat!$K$6:$N$9,MATCH($H23,Lab_Mat!$J$6:$J$9,0),MATCH($AY$4,Lab_Mat!$K$5:$N$5,0))*$M23*INDEX(Act_Type_Repex_Splits,MATCH($I23,Act_Type_Repex,0),MATCH(AV$4,Mat_Type,0))*INDEX(Escalators!$I$44:$U$49,MATCH(AV$4,Escalators!$C$44:$C$49,0),MATCH(AV$5,Escalators!$I$43:$U$43,0))</f>
        <v>3381.5476526958787</v>
      </c>
      <c r="AW23" s="539">
        <f>INDEX(Lab_Mat!$K$6:$N$9,MATCH($H23,Lab_Mat!$J$6:$J$9,0),MATCH($AY$4,Lab_Mat!$K$5:$N$5,0))*$M23*INDEX(Act_Type_Repex_Splits,MATCH($I23,Act_Type_Repex,0),MATCH(AW$4,Mat_Type,0))*INDEX(Escalators!$I$44:$U$49,MATCH(AW$4,Escalators!$C$44:$C$49,0),MATCH(AW$5,Escalators!$I$43:$U$43,0))</f>
        <v>563.59127544931323</v>
      </c>
      <c r="AX23" s="539">
        <f>INDEX(Lab_Mat!$K$6:$N$9,MATCH($H23,Lab_Mat!$J$6:$J$9,0),MATCH($AY$4,Lab_Mat!$K$5:$N$5,0))*$M23*INDEX(Act_Type_Repex_Splits,MATCH($I23,Act_Type_Repex,0),MATCH(AX$4,Mat_Type,0))*INDEX(Escalators!$I$44:$U$49,MATCH(AX$4,Escalators!$C$44:$C$49,0),MATCH(AX$5,Escalators!$I$43:$U$43,0))</f>
        <v>0</v>
      </c>
      <c r="AY23" s="539">
        <f>SUM(AT23:AX23)</f>
        <v>5635.9127544931307</v>
      </c>
      <c r="AZ23" s="539">
        <f>INDEX(Lab_Mat!$K$6:$N$9,MATCH($H23,Lab_Mat!$J$6:$J$9,0),MATCH($BE$4,Lab_Mat!$K$5:$N$5,0))*$N23*INDEX(Act_Type_Repex_Splits,MATCH($I23,Act_Type_Repex,0),MATCH(AZ$4,Mat_Type,0))*INDEX(Escalators!$I$44:$U$49,MATCH(AZ$4,Escalators!$C$44:$C$49,0),MATCH(AZ$5,Escalators!$I$43:$U$43,0))</f>
        <v>0</v>
      </c>
      <c r="BA23" s="539">
        <f>INDEX(Lab_Mat!$K$6:$N$9,MATCH($H23,Lab_Mat!$J$6:$J$9,0),MATCH($BE$4,Lab_Mat!$K$5:$N$5,0))*$N23*INDEX(Act_Type_Repex_Splits,MATCH($I23,Act_Type_Repex,0),MATCH(BA$4,Mat_Type,0))*INDEX(Escalators!$I$44:$U$49,MATCH(BA$4,Escalators!$C$44:$C$49,0),MATCH(BA$5,Escalators!$I$43:$U$43,0))</f>
        <v>541.02303133595171</v>
      </c>
      <c r="BB23" s="539">
        <f>INDEX(Lab_Mat!$K$6:$N$9,MATCH($H23,Lab_Mat!$J$6:$J$9,0),MATCH($BE$4,Lab_Mat!$K$5:$N$5,0))*$N23*INDEX(Act_Type_Repex_Splits,MATCH($I23,Act_Type_Repex,0),MATCH(BB$4,Mat_Type,0))*INDEX(Escalators!$I$44:$U$49,MATCH(BB$4,Escalators!$C$44:$C$49,0),MATCH(BB$5,Escalators!$I$43:$U$43,0))</f>
        <v>1082.0460626719034</v>
      </c>
      <c r="BC23" s="539">
        <f>INDEX(Lab_Mat!$K$6:$N$9,MATCH($H23,Lab_Mat!$J$6:$J$9,0),MATCH($BE$4,Lab_Mat!$K$5:$N$5,0))*$N23*INDEX(Act_Type_Repex_Splits,MATCH($I23,Act_Type_Repex,0),MATCH(BC$4,Mat_Type,0))*INDEX(Escalators!$I$44:$U$49,MATCH(BC$4,Escalators!$C$44:$C$49,0),MATCH(BC$5,Escalators!$I$43:$U$43,0))</f>
        <v>180.34101044531724</v>
      </c>
      <c r="BD23" s="539">
        <f>INDEX(Lab_Mat!$K$6:$N$9,MATCH($H23,Lab_Mat!$J$6:$J$9,0),MATCH($BE$4,Lab_Mat!$K$5:$N$5,0))*$N23*INDEX(Act_Type_Repex_Splits,MATCH($I23,Act_Type_Repex,0),MATCH(BD$4,Mat_Type,0))*INDEX(Escalators!$I$44:$U$49,MATCH(BD$4,Escalators!$C$44:$C$49,0),MATCH(BD$5,Escalators!$I$43:$U$43,0))</f>
        <v>0</v>
      </c>
      <c r="BE23" s="539">
        <f>SUM(AZ23:BD23)</f>
        <v>1803.4101044531726</v>
      </c>
      <c r="BF23" s="539">
        <f>INDEX(Lab_Mat!$K$6:$N$9,MATCH($H23,Lab_Mat!$J$6:$J$9,0),MATCH($BK$4,Lab_Mat!$K$5:$N$5,0))*$O23*INDEX(Act_Type_Repex_Splits,MATCH($I23,Act_Type_Repex,0),MATCH(BF$4,Mat_Type,0))*INDEX(Escalators!$I$44:$U$49,MATCH(BF$4,Escalators!$C$44:$C$49,0),MATCH(BF$5,Escalators!$I$43:$U$43,0))</f>
        <v>0</v>
      </c>
      <c r="BG23" s="539">
        <f>INDEX(Lab_Mat!$K$6:$N$9,MATCH($H23,Lab_Mat!$J$6:$J$9,0),MATCH($BK$4,Lab_Mat!$K$5:$N$5,0))*$O23*INDEX(Act_Type_Repex_Splits,MATCH($I23,Act_Type_Repex,0),MATCH(BG$4,Mat_Type,0))*INDEX(Escalators!$I$44:$U$49,MATCH(BG$4,Escalators!$C$44:$C$49,0),MATCH(BG$5,Escalators!$I$43:$U$43,0))</f>
        <v>0</v>
      </c>
      <c r="BH23" s="539">
        <f>INDEX(Lab_Mat!$K$6:$N$9,MATCH($H23,Lab_Mat!$J$6:$J$9,0),MATCH($BK$4,Lab_Mat!$K$5:$N$5,0))*$O23*INDEX(Act_Type_Repex_Splits,MATCH($I23,Act_Type_Repex,0),MATCH(BH$4,Mat_Type,0))*INDEX(Escalators!$I$44:$U$49,MATCH(BH$4,Escalators!$C$44:$C$49,0),MATCH(BH$5,Escalators!$I$43:$U$43,0))</f>
        <v>0</v>
      </c>
      <c r="BI23" s="539">
        <f>INDEX(Lab_Mat!$K$6:$N$9,MATCH($H23,Lab_Mat!$J$6:$J$9,0),MATCH($BK$4,Lab_Mat!$K$5:$N$5,0))*$O23*INDEX(Act_Type_Repex_Splits,MATCH($I23,Act_Type_Repex,0),MATCH(BI$4,Mat_Type,0))*INDEX(Escalators!$I$44:$U$49,MATCH(BI$4,Escalators!$C$44:$C$49,0),MATCH(BI$5,Escalators!$I$43:$U$43,0))</f>
        <v>0</v>
      </c>
      <c r="BJ23" s="539">
        <f>INDEX(Lab_Mat!$K$6:$N$9,MATCH($H23,Lab_Mat!$J$6:$J$9,0),MATCH($BK$4,Lab_Mat!$K$5:$N$5,0))*$O23*INDEX(Act_Type_Repex_Splits,MATCH($I23,Act_Type_Repex,0),MATCH(BJ$4,Mat_Type,0))*INDEX(Escalators!$I$44:$U$49,MATCH(BJ$4,Escalators!$C$44:$C$49,0),MATCH(BJ$5,Escalators!$I$43:$U$43,0))</f>
        <v>0</v>
      </c>
      <c r="BK23" s="539">
        <f>SUM(BF23:BJ23)</f>
        <v>0</v>
      </c>
      <c r="BL23" s="539">
        <f>INDEX(Lab_Mat!$K$6:$N$9,MATCH($H23,Lab_Mat!$J$6:$J$9,0),MATCH($BQ$4,Lab_Mat!$K$5:$N$5,0))*$P23*INDEX(Act_Type_Repex_Splits,MATCH($I23,Act_Type_Repex,0),MATCH(BL$4,Mat_Type,0))*INDEX(Escalators!$I$44:$U$49,MATCH(BL$4,Escalators!$C$44:$C$49,0),MATCH(BL$5,Escalators!$I$43:$U$43,0))</f>
        <v>0</v>
      </c>
      <c r="BM23" s="539">
        <f>INDEX(Lab_Mat!$K$6:$N$9,MATCH($H23,Lab_Mat!$J$6:$J$9,0),MATCH($BQ$4,Lab_Mat!$K$5:$N$5,0))*$P23*INDEX(Act_Type_Repex_Splits,MATCH($I23,Act_Type_Repex,0),MATCH(BM$4,Mat_Type,0))*INDEX(Escalators!$I$44:$U$49,MATCH(BM$4,Escalators!$C$44:$C$49,0),MATCH(BM$5,Escalators!$I$43:$U$43,0))</f>
        <v>0</v>
      </c>
      <c r="BN23" s="539">
        <f>INDEX(Lab_Mat!$K$6:$N$9,MATCH($H23,Lab_Mat!$J$6:$J$9,0),MATCH($BQ$4,Lab_Mat!$K$5:$N$5,0))*$P23*INDEX(Act_Type_Repex_Splits,MATCH($I23,Act_Type_Repex,0),MATCH(BN$4,Mat_Type,0))*INDEX(Escalators!$I$44:$U$49,MATCH(BN$4,Escalators!$C$44:$C$49,0),MATCH(BN$5,Escalators!$I$43:$U$43,0))</f>
        <v>0</v>
      </c>
      <c r="BO23" s="539">
        <f>INDEX(Lab_Mat!$K$6:$N$9,MATCH($H23,Lab_Mat!$J$6:$J$9,0),MATCH($BQ$4,Lab_Mat!$K$5:$N$5,0))*$P23*INDEX(Act_Type_Repex_Splits,MATCH($I23,Act_Type_Repex,0),MATCH(BO$4,Mat_Type,0))*INDEX(Escalators!$I$44:$U$49,MATCH(BO$4,Escalators!$C$44:$C$49,0),MATCH(BO$5,Escalators!$I$43:$U$43,0))</f>
        <v>0</v>
      </c>
      <c r="BP23" s="539">
        <f>INDEX(Lab_Mat!$K$6:$N$9,MATCH($H23,Lab_Mat!$J$6:$J$9,0),MATCH($BQ$4,Lab_Mat!$K$5:$N$5,0))*$P23*INDEX(Act_Type_Repex_Splits,MATCH($I23,Act_Type_Repex,0),MATCH(BP$4,Mat_Type,0))*INDEX(Escalators!$I$44:$U$49,MATCH(BP$4,Escalators!$C$44:$C$49,0),MATCH(BP$5,Escalators!$I$43:$U$43,0))</f>
        <v>0</v>
      </c>
      <c r="BQ23" s="539">
        <f>SUM(BL23:BP23)</f>
        <v>0</v>
      </c>
      <c r="BR23" s="539">
        <f>INDEX(Lab_Mat!$K$6:$N$9,MATCH($H23,Lab_Mat!$J$6:$J$9,0),MATCH($BW$4,Lab_Mat!$K$5:$N$5,0))*$Q23*INDEX(Act_Type_Repex_Splits,MATCH($I23,Act_Type_Repex,0),MATCH(BR$4,Mat_Type,0))*INDEX(Escalators!$I$44:$U$49,MATCH(BR$4,Escalators!$C$44:$C$49,0),MATCH(BR$5,Escalators!$I$43:$U$43,0))</f>
        <v>0</v>
      </c>
      <c r="BS23" s="539">
        <f>INDEX(Lab_Mat!$K$6:$N$9,MATCH($H23,Lab_Mat!$J$6:$J$9,0),MATCH($BW$4,Lab_Mat!$K$5:$N$5,0))*$Q23*INDEX(Act_Type_Repex_Splits,MATCH($I23,Act_Type_Repex,0),MATCH(BS$4,Mat_Type,0))*INDEX(Escalators!$I$44:$U$49,MATCH(BS$4,Escalators!$C$44:$C$49,0),MATCH(BS$5,Escalators!$I$43:$U$43,0))</f>
        <v>0</v>
      </c>
      <c r="BT23" s="539">
        <f>INDEX(Lab_Mat!$K$6:$N$9,MATCH($H23,Lab_Mat!$J$6:$J$9,0),MATCH($BW$4,Lab_Mat!$K$5:$N$5,0))*$Q23*INDEX(Act_Type_Repex_Splits,MATCH($I23,Act_Type_Repex,0),MATCH(BT$4,Mat_Type,0))*INDEX(Escalators!$I$44:$U$49,MATCH(BT$4,Escalators!$C$44:$C$49,0),MATCH(BT$5,Escalators!$I$43:$U$43,0))</f>
        <v>0</v>
      </c>
      <c r="BU23" s="539">
        <f>INDEX(Lab_Mat!$K$6:$N$9,MATCH($H23,Lab_Mat!$J$6:$J$9,0),MATCH($BW$4,Lab_Mat!$K$5:$N$5,0))*$Q23*INDEX(Act_Type_Repex_Splits,MATCH($I23,Act_Type_Repex,0),MATCH(BU$4,Mat_Type,0))*INDEX(Escalators!$I$44:$U$49,MATCH(BU$4,Escalators!$C$44:$C$49,0),MATCH(BU$5,Escalators!$I$43:$U$43,0))</f>
        <v>0</v>
      </c>
      <c r="BV23" s="539">
        <f>INDEX(Lab_Mat!$K$6:$N$9,MATCH($H23,Lab_Mat!$J$6:$J$9,0),MATCH($BW$4,Lab_Mat!$K$5:$N$5,0))*$Q23*INDEX(Act_Type_Repex_Splits,MATCH($I23,Act_Type_Repex,0),MATCH(BV$4,Mat_Type,0))*INDEX(Escalators!$I$44:$U$49,MATCH(BV$4,Escalators!$C$44:$C$49,0),MATCH(BV$5,Escalators!$I$43:$U$43,0))</f>
        <v>0</v>
      </c>
      <c r="BW23" s="539">
        <f>SUM(BR23:BV23)</f>
        <v>0</v>
      </c>
      <c r="BX23" s="241"/>
      <c r="BY23" s="539">
        <f>INDEX(Lab_Mat!$K$6:$N$9,MATCH($H23,Lab_Mat!$J$6:$J$9,0),MATCH($BY$4,Lab_Mat!$K$5:$N$5,0))*J23*HLOOKUP(BY$5,Escalators!$I$25:$U$30,6,FALSE)</f>
        <v>0</v>
      </c>
      <c r="BZ23" s="539">
        <f>INDEX(Lab_Mat!$K$6:$N$9,MATCH($H23,Lab_Mat!$J$6:$J$9,0),MATCH($BY$4,Lab_Mat!$K$5:$N$5,0))*K23*HLOOKUP(BZ$5,Escalators!$I$25:$U$30,6,FALSE)</f>
        <v>0</v>
      </c>
      <c r="CA23" s="539">
        <f>INDEX(Lab_Mat!$K$6:$N$9,MATCH($H23,Lab_Mat!$J$6:$J$9,0),MATCH($BY$4,Lab_Mat!$K$5:$N$5,0))*L23*HLOOKUP(CA$5,Escalators!$I$25:$U$30,6,FALSE)</f>
        <v>0</v>
      </c>
      <c r="CB23" s="539">
        <f>INDEX(Lab_Mat!$K$6:$N$9,MATCH($H23,Lab_Mat!$J$6:$J$9,0),MATCH($BY$4,Lab_Mat!$K$5:$N$5,0))*M23*HLOOKUP(CB$5,Escalators!$I$25:$U$30,6,FALSE)</f>
        <v>2046.2020467930665</v>
      </c>
      <c r="CC23" s="539">
        <f>INDEX(Lab_Mat!$K$6:$N$9,MATCH($H23,Lab_Mat!$J$6:$J$9,0),MATCH($BY$4,Lab_Mat!$K$5:$N$5,0))*N23*HLOOKUP(CC$5,Escalators!$I$25:$U$30,6,FALSE)</f>
        <v>654.75489200883726</v>
      </c>
      <c r="CD23" s="539">
        <f>INDEX(Lab_Mat!$K$6:$N$9,MATCH($H23,Lab_Mat!$J$6:$J$9,0),MATCH($BY$4,Lab_Mat!$K$5:$N$5,0))*O23*HLOOKUP(CD$5,Escalators!$I$25:$U$30,6,FALSE)</f>
        <v>0</v>
      </c>
      <c r="CE23" s="539">
        <f>INDEX(Lab_Mat!$K$6:$N$9,MATCH($H23,Lab_Mat!$J$6:$J$9,0),MATCH($BY$4,Lab_Mat!$K$5:$N$5,0))*P23*HLOOKUP(CE$5,Escalators!$I$25:$U$30,6,FALSE)</f>
        <v>0</v>
      </c>
      <c r="CF23" s="539">
        <f>INDEX(Lab_Mat!$K$6:$N$9,MATCH($H23,Lab_Mat!$J$6:$J$9,0),MATCH($BY$4,Lab_Mat!$K$5:$N$5,0))*Q23*HLOOKUP(CF$5,Escalators!$I$25:$U$30,6,FALSE)</f>
        <v>0</v>
      </c>
      <c r="CG23" s="241"/>
      <c r="CH23" s="540">
        <f>INDEX(Lab_Mat!$K$6:$N$9,MATCH($H23,Lab_Mat!$J$6:$J$9,0),MATCH($CH$4,Lab_Mat!$K$5:$N$5,0))*J23</f>
        <v>0</v>
      </c>
      <c r="CI23" s="540">
        <f>INDEX(Lab_Mat!$K$6:$N$9,MATCH($H23,Lab_Mat!$J$6:$J$9,0),MATCH($CH$4,Lab_Mat!$K$5:$N$5,0))*K23</f>
        <v>0</v>
      </c>
      <c r="CJ23" s="540">
        <f>INDEX(Lab_Mat!$K$6:$N$9,MATCH($H23,Lab_Mat!$J$6:$J$9,0),MATCH($CH$4,Lab_Mat!$K$5:$N$5,0))*L23</f>
        <v>0</v>
      </c>
      <c r="CK23" s="540">
        <f>INDEX(Lab_Mat!$K$6:$N$9,MATCH($H23,Lab_Mat!$J$6:$J$9,0),MATCH($CH$4,Lab_Mat!$K$5:$N$5,0))*M23</f>
        <v>813.84472836904695</v>
      </c>
      <c r="CL23" s="540">
        <f>INDEX(Lab_Mat!$K$6:$N$9,MATCH($H23,Lab_Mat!$J$6:$J$9,0),MATCH($CH$4,Lab_Mat!$K$5:$N$5,0))*N23</f>
        <v>260.41847532621796</v>
      </c>
      <c r="CM23" s="540">
        <f>INDEX(Lab_Mat!$K$6:$N$9,MATCH($H23,Lab_Mat!$J$6:$J$9,0),MATCH($CH$4,Lab_Mat!$K$5:$N$5,0))*O23</f>
        <v>0</v>
      </c>
      <c r="CN23" s="540">
        <f>INDEX(Lab_Mat!$K$6:$N$9,MATCH($H23,Lab_Mat!$J$6:$J$9,0),MATCH($CH$4,Lab_Mat!$K$5:$N$5,0))*P23</f>
        <v>0</v>
      </c>
      <c r="CO23" s="540">
        <f>INDEX(Lab_Mat!$K$6:$N$9,MATCH($H23,Lab_Mat!$J$6:$J$9,0),MATCH($CH$4,Lab_Mat!$K$5:$N$5,0))*Q23</f>
        <v>0</v>
      </c>
      <c r="CP23" s="241"/>
      <c r="CQ23" s="539">
        <f t="shared" si="40"/>
        <v>0</v>
      </c>
      <c r="CR23" s="539">
        <f t="shared" si="41"/>
        <v>0</v>
      </c>
      <c r="CS23" s="539">
        <f t="shared" ref="CS23:CS29" si="55">U23+AS23+CA23+CJ23</f>
        <v>0</v>
      </c>
      <c r="CT23" s="539">
        <f t="shared" si="42"/>
        <v>10445.057281673106</v>
      </c>
      <c r="CU23" s="539">
        <f t="shared" si="43"/>
        <v>3340.7086063210245</v>
      </c>
      <c r="CV23" s="539">
        <f t="shared" si="44"/>
        <v>0</v>
      </c>
      <c r="CW23" s="539">
        <f t="shared" si="45"/>
        <v>0</v>
      </c>
      <c r="CX23" s="539">
        <f t="shared" si="46"/>
        <v>0</v>
      </c>
    </row>
    <row r="24" spans="2:109" hidden="1" x14ac:dyDescent="0.25">
      <c r="B24" s="7"/>
      <c r="C24" s="7" t="s">
        <v>413</v>
      </c>
      <c r="D24" s="7" t="s">
        <v>409</v>
      </c>
      <c r="E24" s="7" t="s">
        <v>45</v>
      </c>
      <c r="F24" s="7" t="s">
        <v>55</v>
      </c>
      <c r="G24" s="7" t="s">
        <v>10</v>
      </c>
      <c r="H24" s="7" t="s">
        <v>561</v>
      </c>
      <c r="I24" s="7" t="s">
        <v>186</v>
      </c>
      <c r="J24" s="45"/>
      <c r="K24" s="45"/>
      <c r="L24" s="45"/>
      <c r="M24" s="539">
        <v>3908.6402454716917</v>
      </c>
      <c r="N24" s="539">
        <v>1806.6576671057999</v>
      </c>
      <c r="O24" s="539">
        <v>0</v>
      </c>
      <c r="P24" s="539"/>
      <c r="Q24" s="539"/>
      <c r="R24" s="241"/>
      <c r="S24" s="539">
        <f>INDEX(Lab_Mat!$K$6:$N$9,MATCH($H24,Lab_Mat!$J$6:$J$9,0),MATCH($S$4,Lab_Mat!$K$5:$N$5,0))*J24*HLOOKUP(S$5,Escalators!$I$25:$U$30,3,FALSE)</f>
        <v>0</v>
      </c>
      <c r="T24" s="539">
        <f>INDEX(Lab_Mat!$K$6:$N$9,MATCH($H24,Lab_Mat!$J$6:$J$9,0),MATCH($S$4,Lab_Mat!$K$5:$N$5,0))*K24*HLOOKUP(T$5,Escalators!$I$25:$U$30,3,FALSE)</f>
        <v>0</v>
      </c>
      <c r="U24" s="539">
        <f>INDEX(Lab_Mat!$K$6:$N$9,MATCH($H24,Lab_Mat!$J$6:$J$9,0),MATCH($S$4,Lab_Mat!$K$5:$N$5,0))*L24*HLOOKUP(U$5,Escalators!$I$25:$U$30,3,FALSE)</f>
        <v>0</v>
      </c>
      <c r="V24" s="539">
        <f>INDEX(Lab_Mat!$K$6:$N$9,MATCH($H24,Lab_Mat!$J$6:$J$9,0),MATCH($S$4,Lab_Mat!$K$5:$N$5,0))*M24*HLOOKUP(V$5,Escalators!$I$25:$U$30,3,FALSE)</f>
        <v>635.33011438719336</v>
      </c>
      <c r="W24" s="539">
        <f>INDEX(Lab_Mat!$K$6:$N$9,MATCH($H24,Lab_Mat!$J$6:$J$9,0),MATCH($S$4,Lab_Mat!$K$5:$N$5,0))*N24*HLOOKUP(W$5,Escalators!$I$25:$U$30,3,FALSE)</f>
        <v>292.92976291474793</v>
      </c>
      <c r="X24" s="539">
        <f>INDEX(Lab_Mat!$K$6:$N$9,MATCH($H24,Lab_Mat!$J$6:$J$9,0),MATCH($S$4,Lab_Mat!$K$5:$N$5,0))*O24*HLOOKUP(X$5,Escalators!$I$25:$U$30,3,FALSE)</f>
        <v>0</v>
      </c>
      <c r="Y24" s="539">
        <f>INDEX(Lab_Mat!$K$6:$N$9,MATCH($H24,Lab_Mat!$J$6:$J$9,0),MATCH($S$4,Lab_Mat!$K$5:$N$5,0))*P24*HLOOKUP(Y$5,Escalators!$I$25:$U$30,3,FALSE)</f>
        <v>0</v>
      </c>
      <c r="Z24" s="539">
        <f>INDEX(Lab_Mat!$K$6:$N$9,MATCH($H24,Lab_Mat!$J$6:$J$9,0),MATCH($S$4,Lab_Mat!$K$5:$N$5,0))*Q24*HLOOKUP(Z$5,Escalators!$I$25:$U$30,3,FALSE)</f>
        <v>0</v>
      </c>
      <c r="AA24" s="241"/>
      <c r="AB24" s="539">
        <f>INDEX(Lab_Mat!$K$6:$N$9,MATCH($H24,Lab_Mat!$J$6:$J$9,0),MATCH($AG$4,Lab_Mat!$K$5:$N$5,0))*$J24*INDEX(Act_Type_Repex_Splits,MATCH($I24,Act_Type_Repex,0),MATCH(AB$4,Mat_Type,0))*INDEX(Escalators!$I$44:$Q$49,MATCH(AB$4,Escalators!$C$44:$C$49,0),MATCH(AB$5,Escalators!$I$43:$Q$43,0))</f>
        <v>0</v>
      </c>
      <c r="AC24" s="539">
        <f>INDEX(Lab_Mat!$K$6:$N$9,MATCH($H24,Lab_Mat!$J$6:$J$9,0),MATCH($AG$4,Lab_Mat!$K$5:$N$5,0))*$J24*INDEX(Act_Type_Repex_Splits,MATCH($I24,Act_Type_Repex,0),MATCH(AC$4,Mat_Type,0))*INDEX(Escalators!$I$44:$Q$49,MATCH(AC$4,Escalators!$C$44:$C$49,0),MATCH(AC$5,Escalators!$I$43:$Q$43,0))</f>
        <v>0</v>
      </c>
      <c r="AD24" s="539">
        <f>INDEX(Lab_Mat!$K$6:$N$9,MATCH($H24,Lab_Mat!$J$6:$J$9,0),MATCH($AG$4,Lab_Mat!$K$5:$N$5,0))*$J24*INDEX(Act_Type_Repex_Splits,MATCH($I24,Act_Type_Repex,0),MATCH(AD$4,Mat_Type,0))*INDEX(Escalators!$I$44:$Q$49,MATCH(AD$4,Escalators!$C$44:$C$49,0),MATCH(AD$5,Escalators!$I$43:$Q$43,0))</f>
        <v>0</v>
      </c>
      <c r="AE24" s="539">
        <f>INDEX(Lab_Mat!$K$6:$N$9,MATCH($H24,Lab_Mat!$J$6:$J$9,0),MATCH($AG$4,Lab_Mat!$K$5:$N$5,0))*$J24*INDEX(Act_Type_Repex_Splits,MATCH($I24,Act_Type_Repex,0),MATCH(AE$4,Mat_Type,0))*INDEX(Escalators!$I$44:$Q$49,MATCH(AE$4,Escalators!$C$44:$C$49,0),MATCH(AE$5,Escalators!$I$43:$Q$43,0))</f>
        <v>0</v>
      </c>
      <c r="AF24" s="539">
        <f>INDEX(Lab_Mat!$K$6:$N$9,MATCH($H24,Lab_Mat!$J$6:$J$9,0),MATCH($AG$4,Lab_Mat!$K$5:$N$5,0))*$J24*INDEX(Act_Type_Repex_Splits,MATCH($I24,Act_Type_Repex,0),MATCH(AF$4,Mat_Type,0))*INDEX(Escalators!$I$44:$Q$49,MATCH(AF$4,Escalators!$C$44:$C$49,0),MATCH(AF$5,Escalators!$I$43:$Q$43,0))</f>
        <v>0</v>
      </c>
      <c r="AG24" s="539">
        <f t="shared" ref="AG24:AG28" si="56">SUM(AB24:AF24)</f>
        <v>0</v>
      </c>
      <c r="AH24" s="539">
        <f>INDEX(Lab_Mat!$K$6:$N$9,MATCH($H24,Lab_Mat!$J$6:$J$9,0),MATCH($AY$4,Lab_Mat!$K$5:$N$5,0))*$K24*INDEX(Act_Type_Repex_Splits,MATCH($I24,Act_Type_Repex,0),MATCH(AH$4,Mat_Type,0))*INDEX(Escalators!$I$44:$U$49,MATCH(AH$4,Escalators!$C$44:$C$49,0),MATCH(AH$5,Escalators!$I$43:$U$43,0))</f>
        <v>0</v>
      </c>
      <c r="AI24" s="539">
        <f>INDEX(Lab_Mat!$K$6:$N$9,MATCH($H24,Lab_Mat!$J$6:$J$9,0),MATCH($AY$4,Lab_Mat!$K$5:$N$5,0))*$K24*INDEX(Act_Type_Repex_Splits,MATCH($I24,Act_Type_Repex,0),MATCH(AI$4,Mat_Type,0))*INDEX(Escalators!$I$44:$U$49,MATCH(AI$4,Escalators!$C$44:$C$49,0),MATCH(AI$5,Escalators!$I$43:$U$43,0))</f>
        <v>0</v>
      </c>
      <c r="AJ24" s="539">
        <f>INDEX(Lab_Mat!$K$6:$N$9,MATCH($H24,Lab_Mat!$J$6:$J$9,0),MATCH($AY$4,Lab_Mat!$K$5:$N$5,0))*$K24*INDEX(Act_Type_Repex_Splits,MATCH($I24,Act_Type_Repex,0),MATCH(AJ$4,Mat_Type,0))*INDEX(Escalators!$I$44:$U$49,MATCH(AJ$4,Escalators!$C$44:$C$49,0),MATCH(AJ$5,Escalators!$I$43:$U$43,0))</f>
        <v>0</v>
      </c>
      <c r="AK24" s="539">
        <f>INDEX(Lab_Mat!$K$6:$N$9,MATCH($H24,Lab_Mat!$J$6:$J$9,0),MATCH($AY$4,Lab_Mat!$K$5:$N$5,0))*$K24*INDEX(Act_Type_Repex_Splits,MATCH($I24,Act_Type_Repex,0),MATCH(AK$4,Mat_Type,0))*INDEX(Escalators!$I$44:$U$49,MATCH(AK$4,Escalators!$C$44:$C$49,0),MATCH(AK$5,Escalators!$I$43:$U$43,0))</f>
        <v>0</v>
      </c>
      <c r="AL24" s="539">
        <f>INDEX(Lab_Mat!$K$6:$N$9,MATCH($H24,Lab_Mat!$J$6:$J$9,0),MATCH($AY$4,Lab_Mat!$K$5:$N$5,0))*$K24*INDEX(Act_Type_Repex_Splits,MATCH($I24,Act_Type_Repex,0),MATCH(AL$4,Mat_Type,0))*INDEX(Escalators!$I$44:$U$49,MATCH(AL$4,Escalators!$C$44:$C$49,0),MATCH(AL$5,Escalators!$I$43:$U$43,0))</f>
        <v>0</v>
      </c>
      <c r="AM24" s="539">
        <f t="shared" ref="AM24:AM28" si="57">SUM(AH24:AL24)</f>
        <v>0</v>
      </c>
      <c r="AN24" s="539">
        <f>INDEX(Lab_Mat!$K$6:$N$9,MATCH($H24,Lab_Mat!$J$6:$J$9,0),MATCH($AY$4,Lab_Mat!$K$5:$N$5,0))*$L24*INDEX(Act_Type_Repex_Splits,MATCH($I24,Act_Type_Repex,0),MATCH(AN$4,Mat_Type,0))*INDEX(Escalators!$I$44:$U$49,MATCH(AN$4,Escalators!$C$44:$C$49,0),MATCH(AN$5,Escalators!$I$43:$U$43,0))</f>
        <v>0</v>
      </c>
      <c r="AO24" s="539">
        <f>INDEX(Lab_Mat!$K$6:$N$9,MATCH($H24,Lab_Mat!$J$6:$J$9,0),MATCH($AY$4,Lab_Mat!$K$5:$N$5,0))*$L24*INDEX(Act_Type_Repex_Splits,MATCH($I24,Act_Type_Repex,0),MATCH(AO$4,Mat_Type,0))*INDEX(Escalators!$I$44:$U$49,MATCH(AO$4,Escalators!$C$44:$C$49,0),MATCH(AO$5,Escalators!$I$43:$U$43,0))</f>
        <v>0</v>
      </c>
      <c r="AP24" s="539">
        <f>INDEX(Lab_Mat!$K$6:$N$9,MATCH($H24,Lab_Mat!$J$6:$J$9,0),MATCH($AY$4,Lab_Mat!$K$5:$N$5,0))*$L24*INDEX(Act_Type_Repex_Splits,MATCH($I24,Act_Type_Repex,0),MATCH(AP$4,Mat_Type,0))*INDEX(Escalators!$I$44:$U$49,MATCH(AP$4,Escalators!$C$44:$C$49,0),MATCH(AP$5,Escalators!$I$43:$U$43,0))</f>
        <v>0</v>
      </c>
      <c r="AQ24" s="539">
        <f>INDEX(Lab_Mat!$K$6:$N$9,MATCH($H24,Lab_Mat!$J$6:$J$9,0),MATCH($AY$4,Lab_Mat!$K$5:$N$5,0))*$L24*INDEX(Act_Type_Repex_Splits,MATCH($I24,Act_Type_Repex,0),MATCH(AQ$4,Mat_Type,0))*INDEX(Escalators!$I$44:$U$49,MATCH(AQ$4,Escalators!$C$44:$C$49,0),MATCH(AQ$5,Escalators!$I$43:$U$43,0))</f>
        <v>0</v>
      </c>
      <c r="AR24" s="539">
        <f>INDEX(Lab_Mat!$K$6:$N$9,MATCH($H24,Lab_Mat!$J$6:$J$9,0),MATCH($AY$4,Lab_Mat!$K$5:$N$5,0))*$L24*INDEX(Act_Type_Repex_Splits,MATCH($I24,Act_Type_Repex,0),MATCH(AR$4,Mat_Type,0))*INDEX(Escalators!$I$44:$U$49,MATCH(AR$4,Escalators!$C$44:$C$49,0),MATCH(AR$5,Escalators!$I$43:$U$43,0))</f>
        <v>0</v>
      </c>
      <c r="AS24" s="539">
        <f t="shared" ref="AS24:AS28" si="58">SUM(AN24:AR24)</f>
        <v>0</v>
      </c>
      <c r="AT24" s="539">
        <f>INDEX(Lab_Mat!$K$6:$N$9,MATCH($H24,Lab_Mat!$J$6:$J$9,0),MATCH($AY$4,Lab_Mat!$K$5:$N$5,0))*$M24*INDEX(Act_Type_Repex_Splits,MATCH($I24,Act_Type_Repex,0),MATCH(AT$4,Mat_Type,0))*INDEX(Escalators!$I$44:$U$49,MATCH(AT$4,Escalators!$C$44:$C$49,0),MATCH(AT$5,Escalators!$I$43:$U$43,0))</f>
        <v>0</v>
      </c>
      <c r="AU24" s="539">
        <f>INDEX(Lab_Mat!$K$6:$N$9,MATCH($H24,Lab_Mat!$J$6:$J$9,0),MATCH($AY$4,Lab_Mat!$K$5:$N$5,0))*$M24*INDEX(Act_Type_Repex_Splits,MATCH($I24,Act_Type_Repex,0),MATCH(AU$4,Mat_Type,0))*INDEX(Escalators!$I$44:$U$49,MATCH(AU$4,Escalators!$C$44:$C$49,0),MATCH(AU$5,Escalators!$I$43:$U$43,0))</f>
        <v>390.56884294833765</v>
      </c>
      <c r="AV24" s="539">
        <f>INDEX(Lab_Mat!$K$6:$N$9,MATCH($H24,Lab_Mat!$J$6:$J$9,0),MATCH($AY$4,Lab_Mat!$K$5:$N$5,0))*$M24*INDEX(Act_Type_Repex_Splits,MATCH($I24,Act_Type_Repex,0),MATCH(AV$4,Mat_Type,0))*INDEX(Escalators!$I$44:$U$49,MATCH(AV$4,Escalators!$C$44:$C$49,0),MATCH(AV$5,Escalators!$I$43:$U$43,0))</f>
        <v>781.13768589667529</v>
      </c>
      <c r="AW24" s="539">
        <f>INDEX(Lab_Mat!$K$6:$N$9,MATCH($H24,Lab_Mat!$J$6:$J$9,0),MATCH($AY$4,Lab_Mat!$K$5:$N$5,0))*$M24*INDEX(Act_Type_Repex_Splits,MATCH($I24,Act_Type_Repex,0),MATCH(AW$4,Mat_Type,0))*INDEX(Escalators!$I$44:$U$49,MATCH(AW$4,Escalators!$C$44:$C$49,0),MATCH(AW$5,Escalators!$I$43:$U$43,0))</f>
        <v>130.18961431611257</v>
      </c>
      <c r="AX24" s="539">
        <f>INDEX(Lab_Mat!$K$6:$N$9,MATCH($H24,Lab_Mat!$J$6:$J$9,0),MATCH($AY$4,Lab_Mat!$K$5:$N$5,0))*$M24*INDEX(Act_Type_Repex_Splits,MATCH($I24,Act_Type_Repex,0),MATCH(AX$4,Mat_Type,0))*INDEX(Escalators!$I$44:$U$49,MATCH(AX$4,Escalators!$C$44:$C$49,0),MATCH(AX$5,Escalators!$I$43:$U$43,0))</f>
        <v>0</v>
      </c>
      <c r="AY24" s="539">
        <f t="shared" ref="AY24:AY28" si="59">SUM(AT24:AX24)</f>
        <v>1301.8961431611256</v>
      </c>
      <c r="AZ24" s="539">
        <f>INDEX(Lab_Mat!$K$6:$N$9,MATCH($H24,Lab_Mat!$J$6:$J$9,0),MATCH($BE$4,Lab_Mat!$K$5:$N$5,0))*$N24*INDEX(Act_Type_Repex_Splits,MATCH($I24,Act_Type_Repex,0),MATCH(AZ$4,Mat_Type,0))*INDEX(Escalators!$I$44:$U$49,MATCH(AZ$4,Escalators!$C$44:$C$49,0),MATCH(AZ$5,Escalators!$I$43:$U$43,0))</f>
        <v>0</v>
      </c>
      <c r="BA24" s="539">
        <f>INDEX(Lab_Mat!$K$6:$N$9,MATCH($H24,Lab_Mat!$J$6:$J$9,0),MATCH($BE$4,Lab_Mat!$K$5:$N$5,0))*$N24*INDEX(Act_Type_Repex_Splits,MATCH($I24,Act_Type_Repex,0),MATCH(BA$4,Mat_Type,0))*INDEX(Escalators!$I$44:$U$49,MATCH(BA$4,Escalators!$C$44:$C$49,0),MATCH(BA$5,Escalators!$I$43:$U$43,0))</f>
        <v>180.52932742089726</v>
      </c>
      <c r="BB24" s="539">
        <f>INDEX(Lab_Mat!$K$6:$N$9,MATCH($H24,Lab_Mat!$J$6:$J$9,0),MATCH($BE$4,Lab_Mat!$K$5:$N$5,0))*$N24*INDEX(Act_Type_Repex_Splits,MATCH($I24,Act_Type_Repex,0),MATCH(BB$4,Mat_Type,0))*INDEX(Escalators!$I$44:$U$49,MATCH(BB$4,Escalators!$C$44:$C$49,0),MATCH(BB$5,Escalators!$I$43:$U$43,0))</f>
        <v>361.05865484179452</v>
      </c>
      <c r="BC24" s="539">
        <f>INDEX(Lab_Mat!$K$6:$N$9,MATCH($H24,Lab_Mat!$J$6:$J$9,0),MATCH($BE$4,Lab_Mat!$K$5:$N$5,0))*$N24*INDEX(Act_Type_Repex_Splits,MATCH($I24,Act_Type_Repex,0),MATCH(BC$4,Mat_Type,0))*INDEX(Escalators!$I$44:$U$49,MATCH(BC$4,Escalators!$C$44:$C$49,0),MATCH(BC$5,Escalators!$I$43:$U$43,0))</f>
        <v>60.176442473632427</v>
      </c>
      <c r="BD24" s="539">
        <f>INDEX(Lab_Mat!$K$6:$N$9,MATCH($H24,Lab_Mat!$J$6:$J$9,0),MATCH($BE$4,Lab_Mat!$K$5:$N$5,0))*$N24*INDEX(Act_Type_Repex_Splits,MATCH($I24,Act_Type_Repex,0),MATCH(BD$4,Mat_Type,0))*INDEX(Escalators!$I$44:$U$49,MATCH(BD$4,Escalators!$C$44:$C$49,0),MATCH(BD$5,Escalators!$I$43:$U$43,0))</f>
        <v>0</v>
      </c>
      <c r="BE24" s="539">
        <f t="shared" ref="BE24:BE28" si="60">SUM(AZ24:BD24)</f>
        <v>601.76442473632414</v>
      </c>
      <c r="BF24" s="539">
        <f>INDEX(Lab_Mat!$K$6:$N$9,MATCH($H24,Lab_Mat!$J$6:$J$9,0),MATCH($BK$4,Lab_Mat!$K$5:$N$5,0))*$O24*INDEX(Act_Type_Repex_Splits,MATCH($I24,Act_Type_Repex,0),MATCH(BF$4,Mat_Type,0))*INDEX(Escalators!$I$44:$U$49,MATCH(BF$4,Escalators!$C$44:$C$49,0),MATCH(BF$5,Escalators!$I$43:$U$43,0))</f>
        <v>0</v>
      </c>
      <c r="BG24" s="539">
        <f>INDEX(Lab_Mat!$K$6:$N$9,MATCH($H24,Lab_Mat!$J$6:$J$9,0),MATCH($BK$4,Lab_Mat!$K$5:$N$5,0))*$O24*INDEX(Act_Type_Repex_Splits,MATCH($I24,Act_Type_Repex,0),MATCH(BG$4,Mat_Type,0))*INDEX(Escalators!$I$44:$U$49,MATCH(BG$4,Escalators!$C$44:$C$49,0),MATCH(BG$5,Escalators!$I$43:$U$43,0))</f>
        <v>0</v>
      </c>
      <c r="BH24" s="539">
        <f>INDEX(Lab_Mat!$K$6:$N$9,MATCH($H24,Lab_Mat!$J$6:$J$9,0),MATCH($BK$4,Lab_Mat!$K$5:$N$5,0))*$O24*INDEX(Act_Type_Repex_Splits,MATCH($I24,Act_Type_Repex,0),MATCH(BH$4,Mat_Type,0))*INDEX(Escalators!$I$44:$U$49,MATCH(BH$4,Escalators!$C$44:$C$49,0),MATCH(BH$5,Escalators!$I$43:$U$43,0))</f>
        <v>0</v>
      </c>
      <c r="BI24" s="539">
        <f>INDEX(Lab_Mat!$K$6:$N$9,MATCH($H24,Lab_Mat!$J$6:$J$9,0),MATCH($BK$4,Lab_Mat!$K$5:$N$5,0))*$O24*INDEX(Act_Type_Repex_Splits,MATCH($I24,Act_Type_Repex,0),MATCH(BI$4,Mat_Type,0))*INDEX(Escalators!$I$44:$U$49,MATCH(BI$4,Escalators!$C$44:$C$49,0),MATCH(BI$5,Escalators!$I$43:$U$43,0))</f>
        <v>0</v>
      </c>
      <c r="BJ24" s="539">
        <f>INDEX(Lab_Mat!$K$6:$N$9,MATCH($H24,Lab_Mat!$J$6:$J$9,0),MATCH($BK$4,Lab_Mat!$K$5:$N$5,0))*$O24*INDEX(Act_Type_Repex_Splits,MATCH($I24,Act_Type_Repex,0),MATCH(BJ$4,Mat_Type,0))*INDEX(Escalators!$I$44:$U$49,MATCH(BJ$4,Escalators!$C$44:$C$49,0),MATCH(BJ$5,Escalators!$I$43:$U$43,0))</f>
        <v>0</v>
      </c>
      <c r="BK24" s="539">
        <f t="shared" ref="BK24:BK28" si="61">SUM(BF24:BJ24)</f>
        <v>0</v>
      </c>
      <c r="BL24" s="539">
        <f>INDEX(Lab_Mat!$K$6:$N$9,MATCH($H24,Lab_Mat!$J$6:$J$9,0),MATCH($BQ$4,Lab_Mat!$K$5:$N$5,0))*$P24*INDEX(Act_Type_Repex_Splits,MATCH($I24,Act_Type_Repex,0),MATCH(BL$4,Mat_Type,0))*INDEX(Escalators!$I$44:$U$49,MATCH(BL$4,Escalators!$C$44:$C$49,0),MATCH(BL$5,Escalators!$I$43:$U$43,0))</f>
        <v>0</v>
      </c>
      <c r="BM24" s="539">
        <f>INDEX(Lab_Mat!$K$6:$N$9,MATCH($H24,Lab_Mat!$J$6:$J$9,0),MATCH($BQ$4,Lab_Mat!$K$5:$N$5,0))*$P24*INDEX(Act_Type_Repex_Splits,MATCH($I24,Act_Type_Repex,0),MATCH(BM$4,Mat_Type,0))*INDEX(Escalators!$I$44:$U$49,MATCH(BM$4,Escalators!$C$44:$C$49,0),MATCH(BM$5,Escalators!$I$43:$U$43,0))</f>
        <v>0</v>
      </c>
      <c r="BN24" s="539">
        <f>INDEX(Lab_Mat!$K$6:$N$9,MATCH($H24,Lab_Mat!$J$6:$J$9,0),MATCH($BQ$4,Lab_Mat!$K$5:$N$5,0))*$P24*INDEX(Act_Type_Repex_Splits,MATCH($I24,Act_Type_Repex,0),MATCH(BN$4,Mat_Type,0))*INDEX(Escalators!$I$44:$U$49,MATCH(BN$4,Escalators!$C$44:$C$49,0),MATCH(BN$5,Escalators!$I$43:$U$43,0))</f>
        <v>0</v>
      </c>
      <c r="BO24" s="539">
        <f>INDEX(Lab_Mat!$K$6:$N$9,MATCH($H24,Lab_Mat!$J$6:$J$9,0),MATCH($BQ$4,Lab_Mat!$K$5:$N$5,0))*$P24*INDEX(Act_Type_Repex_Splits,MATCH($I24,Act_Type_Repex,0),MATCH(BO$4,Mat_Type,0))*INDEX(Escalators!$I$44:$U$49,MATCH(BO$4,Escalators!$C$44:$C$49,0),MATCH(BO$5,Escalators!$I$43:$U$43,0))</f>
        <v>0</v>
      </c>
      <c r="BP24" s="539">
        <f>INDEX(Lab_Mat!$K$6:$N$9,MATCH($H24,Lab_Mat!$J$6:$J$9,0),MATCH($BQ$4,Lab_Mat!$K$5:$N$5,0))*$P24*INDEX(Act_Type_Repex_Splits,MATCH($I24,Act_Type_Repex,0),MATCH(BP$4,Mat_Type,0))*INDEX(Escalators!$I$44:$U$49,MATCH(BP$4,Escalators!$C$44:$C$49,0),MATCH(BP$5,Escalators!$I$43:$U$43,0))</f>
        <v>0</v>
      </c>
      <c r="BQ24" s="539">
        <f t="shared" ref="BQ24:BQ28" si="62">SUM(BL24:BP24)</f>
        <v>0</v>
      </c>
      <c r="BR24" s="539">
        <f>INDEX(Lab_Mat!$K$6:$N$9,MATCH($H24,Lab_Mat!$J$6:$J$9,0),MATCH($BW$4,Lab_Mat!$K$5:$N$5,0))*$Q24*INDEX(Act_Type_Repex_Splits,MATCH($I24,Act_Type_Repex,0),MATCH(BR$4,Mat_Type,0))*INDEX(Escalators!$I$44:$U$49,MATCH(BR$4,Escalators!$C$44:$C$49,0),MATCH(BR$5,Escalators!$I$43:$U$43,0))</f>
        <v>0</v>
      </c>
      <c r="BS24" s="539">
        <f>INDEX(Lab_Mat!$K$6:$N$9,MATCH($H24,Lab_Mat!$J$6:$J$9,0),MATCH($BW$4,Lab_Mat!$K$5:$N$5,0))*$Q24*INDEX(Act_Type_Repex_Splits,MATCH($I24,Act_Type_Repex,0),MATCH(BS$4,Mat_Type,0))*INDEX(Escalators!$I$44:$U$49,MATCH(BS$4,Escalators!$C$44:$C$49,0),MATCH(BS$5,Escalators!$I$43:$U$43,0))</f>
        <v>0</v>
      </c>
      <c r="BT24" s="539">
        <f>INDEX(Lab_Mat!$K$6:$N$9,MATCH($H24,Lab_Mat!$J$6:$J$9,0),MATCH($BW$4,Lab_Mat!$K$5:$N$5,0))*$Q24*INDEX(Act_Type_Repex_Splits,MATCH($I24,Act_Type_Repex,0),MATCH(BT$4,Mat_Type,0))*INDEX(Escalators!$I$44:$U$49,MATCH(BT$4,Escalators!$C$44:$C$49,0),MATCH(BT$5,Escalators!$I$43:$U$43,0))</f>
        <v>0</v>
      </c>
      <c r="BU24" s="539">
        <f>INDEX(Lab_Mat!$K$6:$N$9,MATCH($H24,Lab_Mat!$J$6:$J$9,0),MATCH($BW$4,Lab_Mat!$K$5:$N$5,0))*$Q24*INDEX(Act_Type_Repex_Splits,MATCH($I24,Act_Type_Repex,0),MATCH(BU$4,Mat_Type,0))*INDEX(Escalators!$I$44:$U$49,MATCH(BU$4,Escalators!$C$44:$C$49,0),MATCH(BU$5,Escalators!$I$43:$U$43,0))</f>
        <v>0</v>
      </c>
      <c r="BV24" s="539">
        <f>INDEX(Lab_Mat!$K$6:$N$9,MATCH($H24,Lab_Mat!$J$6:$J$9,0),MATCH($BW$4,Lab_Mat!$K$5:$N$5,0))*$Q24*INDEX(Act_Type_Repex_Splits,MATCH($I24,Act_Type_Repex,0),MATCH(BV$4,Mat_Type,0))*INDEX(Escalators!$I$44:$U$49,MATCH(BV$4,Escalators!$C$44:$C$49,0),MATCH(BV$5,Escalators!$I$43:$U$43,0))</f>
        <v>0</v>
      </c>
      <c r="BW24" s="539">
        <f t="shared" ref="BW24:BW28" si="63">SUM(BR24:BV24)</f>
        <v>0</v>
      </c>
      <c r="BX24" s="241"/>
      <c r="BY24" s="539">
        <f>INDEX(Lab_Mat!$K$6:$N$9,MATCH($H24,Lab_Mat!$J$6:$J$9,0),MATCH($BY$4,Lab_Mat!$K$5:$N$5,0))*J24*HLOOKUP(BY$5,Escalators!$I$25:$U$30,6,FALSE)</f>
        <v>0</v>
      </c>
      <c r="BZ24" s="539">
        <f>INDEX(Lab_Mat!$K$6:$N$9,MATCH($H24,Lab_Mat!$J$6:$J$9,0),MATCH($BY$4,Lab_Mat!$K$5:$N$5,0))*K24*HLOOKUP(BZ$5,Escalators!$I$25:$U$30,6,FALSE)</f>
        <v>0</v>
      </c>
      <c r="CA24" s="539">
        <f>INDEX(Lab_Mat!$K$6:$N$9,MATCH($H24,Lab_Mat!$J$6:$J$9,0),MATCH($BY$4,Lab_Mat!$K$5:$N$5,0))*L24*HLOOKUP(CA$5,Escalators!$I$25:$U$30,6,FALSE)</f>
        <v>0</v>
      </c>
      <c r="CB24" s="539">
        <f>INDEX(Lab_Mat!$K$6:$N$9,MATCH($H24,Lab_Mat!$J$6:$J$9,0),MATCH($BY$4,Lab_Mat!$K$5:$N$5,0))*M24*HLOOKUP(CB$5,Escalators!$I$25:$U$30,6,FALSE)</f>
        <v>1475.7516886899784</v>
      </c>
      <c r="CC24" s="539">
        <f>INDEX(Lab_Mat!$K$6:$N$9,MATCH($H24,Lab_Mat!$J$6:$J$9,0),MATCH($BY$4,Lab_Mat!$K$5:$N$5,0))*N24*HLOOKUP(CC$5,Escalators!$I$25:$U$30,6,FALSE)</f>
        <v>682.12420066158552</v>
      </c>
      <c r="CD24" s="539">
        <f>INDEX(Lab_Mat!$K$6:$N$9,MATCH($H24,Lab_Mat!$J$6:$J$9,0),MATCH($BY$4,Lab_Mat!$K$5:$N$5,0))*O24*HLOOKUP(CD$5,Escalators!$I$25:$U$30,6,FALSE)</f>
        <v>0</v>
      </c>
      <c r="CE24" s="539">
        <f>INDEX(Lab_Mat!$K$6:$N$9,MATCH($H24,Lab_Mat!$J$6:$J$9,0),MATCH($BY$4,Lab_Mat!$K$5:$N$5,0))*P24*HLOOKUP(CE$5,Escalators!$I$25:$U$30,6,FALSE)</f>
        <v>0</v>
      </c>
      <c r="CF24" s="539">
        <f>INDEX(Lab_Mat!$K$6:$N$9,MATCH($H24,Lab_Mat!$J$6:$J$9,0),MATCH($BY$4,Lab_Mat!$K$5:$N$5,0))*Q24*HLOOKUP(CF$5,Escalators!$I$25:$U$30,6,FALSE)</f>
        <v>0</v>
      </c>
      <c r="CG24" s="241"/>
      <c r="CH24" s="540">
        <f>INDEX(Lab_Mat!$K$6:$N$9,MATCH($H24,Lab_Mat!$J$6:$J$9,0),MATCH($CH$4,Lab_Mat!$K$5:$N$5,0))*J24</f>
        <v>0</v>
      </c>
      <c r="CI24" s="540">
        <f>INDEX(Lab_Mat!$K$6:$N$9,MATCH($H24,Lab_Mat!$J$6:$J$9,0),MATCH($CH$4,Lab_Mat!$K$5:$N$5,0))*K24</f>
        <v>0</v>
      </c>
      <c r="CJ24" s="540">
        <f>INDEX(Lab_Mat!$K$6:$N$9,MATCH($H24,Lab_Mat!$J$6:$J$9,0),MATCH($CH$4,Lab_Mat!$K$5:$N$5,0))*L24</f>
        <v>0</v>
      </c>
      <c r="CK24" s="540">
        <f>INDEX(Lab_Mat!$K$6:$N$9,MATCH($H24,Lab_Mat!$J$6:$J$9,0),MATCH($CH$4,Lab_Mat!$K$5:$N$5,0))*M24</f>
        <v>506.93195363975371</v>
      </c>
      <c r="CL24" s="540">
        <f>INDEX(Lab_Mat!$K$6:$N$9,MATCH($H24,Lab_Mat!$J$6:$J$9,0),MATCH($CH$4,Lab_Mat!$K$5:$N$5,0))*N24</f>
        <v>234.31486226066286</v>
      </c>
      <c r="CM24" s="540">
        <f>INDEX(Lab_Mat!$K$6:$N$9,MATCH($H24,Lab_Mat!$J$6:$J$9,0),MATCH($CH$4,Lab_Mat!$K$5:$N$5,0))*O24</f>
        <v>0</v>
      </c>
      <c r="CN24" s="540">
        <f>INDEX(Lab_Mat!$K$6:$N$9,MATCH($H24,Lab_Mat!$J$6:$J$9,0),MATCH($CH$4,Lab_Mat!$K$5:$N$5,0))*P24</f>
        <v>0</v>
      </c>
      <c r="CO24" s="540">
        <f>INDEX(Lab_Mat!$K$6:$N$9,MATCH($H24,Lab_Mat!$J$6:$J$9,0),MATCH($CH$4,Lab_Mat!$K$5:$N$5,0))*Q24</f>
        <v>0</v>
      </c>
      <c r="CP24" s="241"/>
      <c r="CQ24" s="539">
        <f t="shared" si="40"/>
        <v>0</v>
      </c>
      <c r="CR24" s="539">
        <f t="shared" si="41"/>
        <v>0</v>
      </c>
      <c r="CS24" s="539">
        <f t="shared" si="55"/>
        <v>0</v>
      </c>
      <c r="CT24" s="539">
        <f t="shared" si="42"/>
        <v>3919.9098998780514</v>
      </c>
      <c r="CU24" s="539">
        <f t="shared" si="43"/>
        <v>1811.1332505733205</v>
      </c>
      <c r="CV24" s="539">
        <f t="shared" si="44"/>
        <v>0</v>
      </c>
      <c r="CW24" s="539">
        <f t="shared" si="45"/>
        <v>0</v>
      </c>
      <c r="CX24" s="539">
        <f t="shared" si="46"/>
        <v>0</v>
      </c>
    </row>
    <row r="25" spans="2:109" hidden="1" x14ac:dyDescent="0.25">
      <c r="B25" s="7"/>
      <c r="C25" s="7" t="s">
        <v>414</v>
      </c>
      <c r="D25" s="7" t="s">
        <v>409</v>
      </c>
      <c r="E25" s="7" t="s">
        <v>45</v>
      </c>
      <c r="F25" s="7" t="s">
        <v>55</v>
      </c>
      <c r="G25" s="7" t="s">
        <v>150</v>
      </c>
      <c r="H25" s="7" t="s">
        <v>562</v>
      </c>
      <c r="I25" s="7" t="s">
        <v>203</v>
      </c>
      <c r="J25" s="45"/>
      <c r="K25" s="45"/>
      <c r="L25" s="45"/>
      <c r="M25" s="539">
        <v>7810.4361585347224</v>
      </c>
      <c r="N25" s="539">
        <v>3542.5495203499013</v>
      </c>
      <c r="O25" s="539">
        <v>0</v>
      </c>
      <c r="P25" s="539"/>
      <c r="Q25" s="539"/>
      <c r="R25" s="241"/>
      <c r="S25" s="539">
        <f>INDEX(Lab_Mat!$K$6:$N$9,MATCH($H25,Lab_Mat!$J$6:$J$9,0),MATCH($S$4,Lab_Mat!$K$5:$N$5,0))*J25*HLOOKUP(S$5,Escalators!$I$25:$U$30,3,FALSE)</f>
        <v>0</v>
      </c>
      <c r="T25" s="539">
        <f>INDEX(Lab_Mat!$K$6:$N$9,MATCH($H25,Lab_Mat!$J$6:$J$9,0),MATCH($S$4,Lab_Mat!$K$5:$N$5,0))*K25*HLOOKUP(T$5,Escalators!$I$25:$U$30,3,FALSE)</f>
        <v>0</v>
      </c>
      <c r="U25" s="539">
        <f>INDEX(Lab_Mat!$K$6:$N$9,MATCH($H25,Lab_Mat!$J$6:$J$9,0),MATCH($S$4,Lab_Mat!$K$5:$N$5,0))*L25*HLOOKUP(U$5,Escalators!$I$25:$U$30,3,FALSE)</f>
        <v>0</v>
      </c>
      <c r="V25" s="539">
        <f>INDEX(Lab_Mat!$K$6:$N$9,MATCH($H25,Lab_Mat!$J$6:$J$9,0),MATCH($S$4,Lab_Mat!$K$5:$N$5,0))*M25*HLOOKUP(V$5,Escalators!$I$25:$U$30,3,FALSE)</f>
        <v>1389.2531180783915</v>
      </c>
      <c r="W25" s="539">
        <f>INDEX(Lab_Mat!$K$6:$N$9,MATCH($H25,Lab_Mat!$J$6:$J$9,0),MATCH($S$4,Lab_Mat!$K$5:$N$5,0))*N25*HLOOKUP(W$5,Escalators!$I$25:$U$30,3,FALSE)</f>
        <v>628.54433000723498</v>
      </c>
      <c r="X25" s="539">
        <f>INDEX(Lab_Mat!$K$6:$N$9,MATCH($H25,Lab_Mat!$J$6:$J$9,0),MATCH($S$4,Lab_Mat!$K$5:$N$5,0))*O25*HLOOKUP(X$5,Escalators!$I$25:$U$30,3,FALSE)</f>
        <v>0</v>
      </c>
      <c r="Y25" s="539">
        <f>INDEX(Lab_Mat!$K$6:$N$9,MATCH($H25,Lab_Mat!$J$6:$J$9,0),MATCH($S$4,Lab_Mat!$K$5:$N$5,0))*P25*HLOOKUP(Y$5,Escalators!$I$25:$U$30,3,FALSE)</f>
        <v>0</v>
      </c>
      <c r="Z25" s="539">
        <f>INDEX(Lab_Mat!$K$6:$N$9,MATCH($H25,Lab_Mat!$J$6:$J$9,0),MATCH($S$4,Lab_Mat!$K$5:$N$5,0))*Q25*HLOOKUP(Z$5,Escalators!$I$25:$U$30,3,FALSE)</f>
        <v>0</v>
      </c>
      <c r="AA25" s="241"/>
      <c r="AB25" s="539">
        <f>INDEX(Lab_Mat!$K$6:$N$9,MATCH($H25,Lab_Mat!$J$6:$J$9,0),MATCH($AG$4,Lab_Mat!$K$5:$N$5,0))*$J25*INDEX(Act_Type_Repex_Splits,MATCH($I25,Act_Type_Repex,0),MATCH(AB$4,Mat_Type,0))*INDEX(Escalators!$I$44:$Q$49,MATCH(AB$4,Escalators!$C$44:$C$49,0),MATCH(AB$5,Escalators!$I$43:$Q$43,0))</f>
        <v>0</v>
      </c>
      <c r="AC25" s="539">
        <f>INDEX(Lab_Mat!$K$6:$N$9,MATCH($H25,Lab_Mat!$J$6:$J$9,0),MATCH($AG$4,Lab_Mat!$K$5:$N$5,0))*$J25*INDEX(Act_Type_Repex_Splits,MATCH($I25,Act_Type_Repex,0),MATCH(AC$4,Mat_Type,0))*INDEX(Escalators!$I$44:$Q$49,MATCH(AC$4,Escalators!$C$44:$C$49,0),MATCH(AC$5,Escalators!$I$43:$Q$43,0))</f>
        <v>0</v>
      </c>
      <c r="AD25" s="539">
        <f>INDEX(Lab_Mat!$K$6:$N$9,MATCH($H25,Lab_Mat!$J$6:$J$9,0),MATCH($AG$4,Lab_Mat!$K$5:$N$5,0))*$J25*INDEX(Act_Type_Repex_Splits,MATCH($I25,Act_Type_Repex,0),MATCH(AD$4,Mat_Type,0))*INDEX(Escalators!$I$44:$Q$49,MATCH(AD$4,Escalators!$C$44:$C$49,0),MATCH(AD$5,Escalators!$I$43:$Q$43,0))</f>
        <v>0</v>
      </c>
      <c r="AE25" s="539">
        <f>INDEX(Lab_Mat!$K$6:$N$9,MATCH($H25,Lab_Mat!$J$6:$J$9,0),MATCH($AG$4,Lab_Mat!$K$5:$N$5,0))*$J25*INDEX(Act_Type_Repex_Splits,MATCH($I25,Act_Type_Repex,0),MATCH(AE$4,Mat_Type,0))*INDEX(Escalators!$I$44:$Q$49,MATCH(AE$4,Escalators!$C$44:$C$49,0),MATCH(AE$5,Escalators!$I$43:$Q$43,0))</f>
        <v>0</v>
      </c>
      <c r="AF25" s="539">
        <f>INDEX(Lab_Mat!$K$6:$N$9,MATCH($H25,Lab_Mat!$J$6:$J$9,0),MATCH($AG$4,Lab_Mat!$K$5:$N$5,0))*$J25*INDEX(Act_Type_Repex_Splits,MATCH($I25,Act_Type_Repex,0),MATCH(AF$4,Mat_Type,0))*INDEX(Escalators!$I$44:$Q$49,MATCH(AF$4,Escalators!$C$44:$C$49,0),MATCH(AF$5,Escalators!$I$43:$Q$43,0))</f>
        <v>0</v>
      </c>
      <c r="AG25" s="539">
        <f t="shared" si="56"/>
        <v>0</v>
      </c>
      <c r="AH25" s="539">
        <f>INDEX(Lab_Mat!$K$6:$N$9,MATCH($H25,Lab_Mat!$J$6:$J$9,0),MATCH($AY$4,Lab_Mat!$K$5:$N$5,0))*$K25*INDEX(Act_Type_Repex_Splits,MATCH($I25,Act_Type_Repex,0),MATCH(AH$4,Mat_Type,0))*INDEX(Escalators!$I$44:$U$49,MATCH(AH$4,Escalators!$C$44:$C$49,0),MATCH(AH$5,Escalators!$I$43:$U$43,0))</f>
        <v>0</v>
      </c>
      <c r="AI25" s="539">
        <f>INDEX(Lab_Mat!$K$6:$N$9,MATCH($H25,Lab_Mat!$J$6:$J$9,0),MATCH($AY$4,Lab_Mat!$K$5:$N$5,0))*$K25*INDEX(Act_Type_Repex_Splits,MATCH($I25,Act_Type_Repex,0),MATCH(AI$4,Mat_Type,0))*INDEX(Escalators!$I$44:$U$49,MATCH(AI$4,Escalators!$C$44:$C$49,0),MATCH(AI$5,Escalators!$I$43:$U$43,0))</f>
        <v>0</v>
      </c>
      <c r="AJ25" s="539">
        <f>INDEX(Lab_Mat!$K$6:$N$9,MATCH($H25,Lab_Mat!$J$6:$J$9,0),MATCH($AY$4,Lab_Mat!$K$5:$N$5,0))*$K25*INDEX(Act_Type_Repex_Splits,MATCH($I25,Act_Type_Repex,0),MATCH(AJ$4,Mat_Type,0))*INDEX(Escalators!$I$44:$U$49,MATCH(AJ$4,Escalators!$C$44:$C$49,0),MATCH(AJ$5,Escalators!$I$43:$U$43,0))</f>
        <v>0</v>
      </c>
      <c r="AK25" s="539">
        <f>INDEX(Lab_Mat!$K$6:$N$9,MATCH($H25,Lab_Mat!$J$6:$J$9,0),MATCH($AY$4,Lab_Mat!$K$5:$N$5,0))*$K25*INDEX(Act_Type_Repex_Splits,MATCH($I25,Act_Type_Repex,0),MATCH(AK$4,Mat_Type,0))*INDEX(Escalators!$I$44:$U$49,MATCH(AK$4,Escalators!$C$44:$C$49,0),MATCH(AK$5,Escalators!$I$43:$U$43,0))</f>
        <v>0</v>
      </c>
      <c r="AL25" s="539">
        <f>INDEX(Lab_Mat!$K$6:$N$9,MATCH($H25,Lab_Mat!$J$6:$J$9,0),MATCH($AY$4,Lab_Mat!$K$5:$N$5,0))*$K25*INDEX(Act_Type_Repex_Splits,MATCH($I25,Act_Type_Repex,0),MATCH(AL$4,Mat_Type,0))*INDEX(Escalators!$I$44:$U$49,MATCH(AL$4,Escalators!$C$44:$C$49,0),MATCH(AL$5,Escalators!$I$43:$U$43,0))</f>
        <v>0</v>
      </c>
      <c r="AM25" s="539">
        <f t="shared" si="57"/>
        <v>0</v>
      </c>
      <c r="AN25" s="539">
        <f>INDEX(Lab_Mat!$K$6:$N$9,MATCH($H25,Lab_Mat!$J$6:$J$9,0),MATCH($AY$4,Lab_Mat!$K$5:$N$5,0))*$L25*INDEX(Act_Type_Repex_Splits,MATCH($I25,Act_Type_Repex,0),MATCH(AN$4,Mat_Type,0))*INDEX(Escalators!$I$44:$U$49,MATCH(AN$4,Escalators!$C$44:$C$49,0),MATCH(AN$5,Escalators!$I$43:$U$43,0))</f>
        <v>0</v>
      </c>
      <c r="AO25" s="539">
        <f>INDEX(Lab_Mat!$K$6:$N$9,MATCH($H25,Lab_Mat!$J$6:$J$9,0),MATCH($AY$4,Lab_Mat!$K$5:$N$5,0))*$L25*INDEX(Act_Type_Repex_Splits,MATCH($I25,Act_Type_Repex,0),MATCH(AO$4,Mat_Type,0))*INDEX(Escalators!$I$44:$U$49,MATCH(AO$4,Escalators!$C$44:$C$49,0),MATCH(AO$5,Escalators!$I$43:$U$43,0))</f>
        <v>0</v>
      </c>
      <c r="AP25" s="539">
        <f>INDEX(Lab_Mat!$K$6:$N$9,MATCH($H25,Lab_Mat!$J$6:$J$9,0),MATCH($AY$4,Lab_Mat!$K$5:$N$5,0))*$L25*INDEX(Act_Type_Repex_Splits,MATCH($I25,Act_Type_Repex,0),MATCH(AP$4,Mat_Type,0))*INDEX(Escalators!$I$44:$U$49,MATCH(AP$4,Escalators!$C$44:$C$49,0),MATCH(AP$5,Escalators!$I$43:$U$43,0))</f>
        <v>0</v>
      </c>
      <c r="AQ25" s="539">
        <f>INDEX(Lab_Mat!$K$6:$N$9,MATCH($H25,Lab_Mat!$J$6:$J$9,0),MATCH($AY$4,Lab_Mat!$K$5:$N$5,0))*$L25*INDEX(Act_Type_Repex_Splits,MATCH($I25,Act_Type_Repex,0),MATCH(AQ$4,Mat_Type,0))*INDEX(Escalators!$I$44:$U$49,MATCH(AQ$4,Escalators!$C$44:$C$49,0),MATCH(AQ$5,Escalators!$I$43:$U$43,0))</f>
        <v>0</v>
      </c>
      <c r="AR25" s="539">
        <f>INDEX(Lab_Mat!$K$6:$N$9,MATCH($H25,Lab_Mat!$J$6:$J$9,0),MATCH($AY$4,Lab_Mat!$K$5:$N$5,0))*$L25*INDEX(Act_Type_Repex_Splits,MATCH($I25,Act_Type_Repex,0),MATCH(AR$4,Mat_Type,0))*INDEX(Escalators!$I$44:$U$49,MATCH(AR$4,Escalators!$C$44:$C$49,0),MATCH(AR$5,Escalators!$I$43:$U$43,0))</f>
        <v>0</v>
      </c>
      <c r="AS25" s="539">
        <f t="shared" si="58"/>
        <v>0</v>
      </c>
      <c r="AT25" s="539">
        <f>INDEX(Lab_Mat!$K$6:$N$9,MATCH($H25,Lab_Mat!$J$6:$J$9,0),MATCH($AY$4,Lab_Mat!$K$5:$N$5,0))*$M25*INDEX(Act_Type_Repex_Splits,MATCH($I25,Act_Type_Repex,0),MATCH(AT$4,Mat_Type,0))*INDEX(Escalators!$I$44:$U$49,MATCH(AT$4,Escalators!$C$44:$C$49,0),MATCH(AT$5,Escalators!$I$43:$U$43,0))</f>
        <v>0</v>
      </c>
      <c r="AU25" s="539">
        <f>INDEX(Lab_Mat!$K$6:$N$9,MATCH($H25,Lab_Mat!$J$6:$J$9,0),MATCH($AY$4,Lab_Mat!$K$5:$N$5,0))*$M25*INDEX(Act_Type_Repex_Splits,MATCH($I25,Act_Type_Repex,0),MATCH(AU$4,Mat_Type,0))*INDEX(Escalators!$I$44:$U$49,MATCH(AU$4,Escalators!$C$44:$C$49,0),MATCH(AU$5,Escalators!$I$43:$U$43,0))</f>
        <v>0</v>
      </c>
      <c r="AV25" s="539">
        <f>INDEX(Lab_Mat!$K$6:$N$9,MATCH($H25,Lab_Mat!$J$6:$J$9,0),MATCH($AY$4,Lab_Mat!$K$5:$N$5,0))*$M25*INDEX(Act_Type_Repex_Splits,MATCH($I25,Act_Type_Repex,0),MATCH(AV$4,Mat_Type,0))*INDEX(Escalators!$I$44:$U$49,MATCH(AV$4,Escalators!$C$44:$C$49,0),MATCH(AV$5,Escalators!$I$43:$U$43,0))</f>
        <v>509.28074440625443</v>
      </c>
      <c r="AW25" s="539">
        <f>INDEX(Lab_Mat!$K$6:$N$9,MATCH($H25,Lab_Mat!$J$6:$J$9,0),MATCH($AY$4,Lab_Mat!$K$5:$N$5,0))*$M25*INDEX(Act_Type_Repex_Splits,MATCH($I25,Act_Type_Repex,0),MATCH(AW$4,Mat_Type,0))*INDEX(Escalators!$I$44:$U$49,MATCH(AW$4,Escalators!$C$44:$C$49,0),MATCH(AW$5,Escalators!$I$43:$U$43,0))</f>
        <v>0</v>
      </c>
      <c r="AX25" s="539">
        <f>INDEX(Lab_Mat!$K$6:$N$9,MATCH($H25,Lab_Mat!$J$6:$J$9,0),MATCH($AY$4,Lab_Mat!$K$5:$N$5,0))*$M25*INDEX(Act_Type_Repex_Splits,MATCH($I25,Act_Type_Repex,0),MATCH(AX$4,Mat_Type,0))*INDEX(Escalators!$I$44:$U$49,MATCH(AX$4,Escalators!$C$44:$C$49,0),MATCH(AX$5,Escalators!$I$43:$U$43,0))</f>
        <v>509.28074440625443</v>
      </c>
      <c r="AY25" s="539">
        <f t="shared" si="59"/>
        <v>1018.5614888125089</v>
      </c>
      <c r="AZ25" s="539">
        <f>INDEX(Lab_Mat!$K$6:$N$9,MATCH($H25,Lab_Mat!$J$6:$J$9,0),MATCH($BE$4,Lab_Mat!$K$5:$N$5,0))*$N25*INDEX(Act_Type_Repex_Splits,MATCH($I25,Act_Type_Repex,0),MATCH(AZ$4,Mat_Type,0))*INDEX(Escalators!$I$44:$U$49,MATCH(AZ$4,Escalators!$C$44:$C$49,0),MATCH(AZ$5,Escalators!$I$43:$U$43,0))</f>
        <v>0</v>
      </c>
      <c r="BA25" s="539">
        <f>INDEX(Lab_Mat!$K$6:$N$9,MATCH($H25,Lab_Mat!$J$6:$J$9,0),MATCH($BE$4,Lab_Mat!$K$5:$N$5,0))*$N25*INDEX(Act_Type_Repex_Splits,MATCH($I25,Act_Type_Repex,0),MATCH(BA$4,Mat_Type,0))*INDEX(Escalators!$I$44:$U$49,MATCH(BA$4,Escalators!$C$44:$C$49,0),MATCH(BA$5,Escalators!$I$43:$U$43,0))</f>
        <v>0</v>
      </c>
      <c r="BB25" s="539">
        <f>INDEX(Lab_Mat!$K$6:$N$9,MATCH($H25,Lab_Mat!$J$6:$J$9,0),MATCH($BE$4,Lab_Mat!$K$5:$N$5,0))*$N25*INDEX(Act_Type_Repex_Splits,MATCH($I25,Act_Type_Repex,0),MATCH(BB$4,Mat_Type,0))*INDEX(Escalators!$I$44:$U$49,MATCH(BB$4,Escalators!$C$44:$C$49,0),MATCH(BB$5,Escalators!$I$43:$U$43,0))</f>
        <v>230.99251055888348</v>
      </c>
      <c r="BC25" s="539">
        <f>INDEX(Lab_Mat!$K$6:$N$9,MATCH($H25,Lab_Mat!$J$6:$J$9,0),MATCH($BE$4,Lab_Mat!$K$5:$N$5,0))*$N25*INDEX(Act_Type_Repex_Splits,MATCH($I25,Act_Type_Repex,0),MATCH(BC$4,Mat_Type,0))*INDEX(Escalators!$I$44:$U$49,MATCH(BC$4,Escalators!$C$44:$C$49,0),MATCH(BC$5,Escalators!$I$43:$U$43,0))</f>
        <v>0</v>
      </c>
      <c r="BD25" s="539">
        <f>INDEX(Lab_Mat!$K$6:$N$9,MATCH($H25,Lab_Mat!$J$6:$J$9,0),MATCH($BE$4,Lab_Mat!$K$5:$N$5,0))*$N25*INDEX(Act_Type_Repex_Splits,MATCH($I25,Act_Type_Repex,0),MATCH(BD$4,Mat_Type,0))*INDEX(Escalators!$I$44:$U$49,MATCH(BD$4,Escalators!$C$44:$C$49,0),MATCH(BD$5,Escalators!$I$43:$U$43,0))</f>
        <v>230.99251055888348</v>
      </c>
      <c r="BE25" s="539">
        <f t="shared" si="60"/>
        <v>461.98502111776696</v>
      </c>
      <c r="BF25" s="539">
        <f>INDEX(Lab_Mat!$K$6:$N$9,MATCH($H25,Lab_Mat!$J$6:$J$9,0),MATCH($BK$4,Lab_Mat!$K$5:$N$5,0))*$O25*INDEX(Act_Type_Repex_Splits,MATCH($I25,Act_Type_Repex,0),MATCH(BF$4,Mat_Type,0))*INDEX(Escalators!$I$44:$U$49,MATCH(BF$4,Escalators!$C$44:$C$49,0),MATCH(BF$5,Escalators!$I$43:$U$43,0))</f>
        <v>0</v>
      </c>
      <c r="BG25" s="539">
        <f>INDEX(Lab_Mat!$K$6:$N$9,MATCH($H25,Lab_Mat!$J$6:$J$9,0),MATCH($BK$4,Lab_Mat!$K$5:$N$5,0))*$O25*INDEX(Act_Type_Repex_Splits,MATCH($I25,Act_Type_Repex,0),MATCH(BG$4,Mat_Type,0))*INDEX(Escalators!$I$44:$U$49,MATCH(BG$4,Escalators!$C$44:$C$49,0),MATCH(BG$5,Escalators!$I$43:$U$43,0))</f>
        <v>0</v>
      </c>
      <c r="BH25" s="539">
        <f>INDEX(Lab_Mat!$K$6:$N$9,MATCH($H25,Lab_Mat!$J$6:$J$9,0),MATCH($BK$4,Lab_Mat!$K$5:$N$5,0))*$O25*INDEX(Act_Type_Repex_Splits,MATCH($I25,Act_Type_Repex,0),MATCH(BH$4,Mat_Type,0))*INDEX(Escalators!$I$44:$U$49,MATCH(BH$4,Escalators!$C$44:$C$49,0),MATCH(BH$5,Escalators!$I$43:$U$43,0))</f>
        <v>0</v>
      </c>
      <c r="BI25" s="539">
        <f>INDEX(Lab_Mat!$K$6:$N$9,MATCH($H25,Lab_Mat!$J$6:$J$9,0),MATCH($BK$4,Lab_Mat!$K$5:$N$5,0))*$O25*INDEX(Act_Type_Repex_Splits,MATCH($I25,Act_Type_Repex,0),MATCH(BI$4,Mat_Type,0))*INDEX(Escalators!$I$44:$U$49,MATCH(BI$4,Escalators!$C$44:$C$49,0),MATCH(BI$5,Escalators!$I$43:$U$43,0))</f>
        <v>0</v>
      </c>
      <c r="BJ25" s="539">
        <f>INDEX(Lab_Mat!$K$6:$N$9,MATCH($H25,Lab_Mat!$J$6:$J$9,0),MATCH($BK$4,Lab_Mat!$K$5:$N$5,0))*$O25*INDEX(Act_Type_Repex_Splits,MATCH($I25,Act_Type_Repex,0),MATCH(BJ$4,Mat_Type,0))*INDEX(Escalators!$I$44:$U$49,MATCH(BJ$4,Escalators!$C$44:$C$49,0),MATCH(BJ$5,Escalators!$I$43:$U$43,0))</f>
        <v>0</v>
      </c>
      <c r="BK25" s="539">
        <f t="shared" si="61"/>
        <v>0</v>
      </c>
      <c r="BL25" s="539">
        <f>INDEX(Lab_Mat!$K$6:$N$9,MATCH($H25,Lab_Mat!$J$6:$J$9,0),MATCH($BQ$4,Lab_Mat!$K$5:$N$5,0))*$P25*INDEX(Act_Type_Repex_Splits,MATCH($I25,Act_Type_Repex,0),MATCH(BL$4,Mat_Type,0))*INDEX(Escalators!$I$44:$U$49,MATCH(BL$4,Escalators!$C$44:$C$49,0),MATCH(BL$5,Escalators!$I$43:$U$43,0))</f>
        <v>0</v>
      </c>
      <c r="BM25" s="539">
        <f>INDEX(Lab_Mat!$K$6:$N$9,MATCH($H25,Lab_Mat!$J$6:$J$9,0),MATCH($BQ$4,Lab_Mat!$K$5:$N$5,0))*$P25*INDEX(Act_Type_Repex_Splits,MATCH($I25,Act_Type_Repex,0),MATCH(BM$4,Mat_Type,0))*INDEX(Escalators!$I$44:$U$49,MATCH(BM$4,Escalators!$C$44:$C$49,0),MATCH(BM$5,Escalators!$I$43:$U$43,0))</f>
        <v>0</v>
      </c>
      <c r="BN25" s="539">
        <f>INDEX(Lab_Mat!$K$6:$N$9,MATCH($H25,Lab_Mat!$J$6:$J$9,0),MATCH($BQ$4,Lab_Mat!$K$5:$N$5,0))*$P25*INDEX(Act_Type_Repex_Splits,MATCH($I25,Act_Type_Repex,0),MATCH(BN$4,Mat_Type,0))*INDEX(Escalators!$I$44:$U$49,MATCH(BN$4,Escalators!$C$44:$C$49,0),MATCH(BN$5,Escalators!$I$43:$U$43,0))</f>
        <v>0</v>
      </c>
      <c r="BO25" s="539">
        <f>INDEX(Lab_Mat!$K$6:$N$9,MATCH($H25,Lab_Mat!$J$6:$J$9,0),MATCH($BQ$4,Lab_Mat!$K$5:$N$5,0))*$P25*INDEX(Act_Type_Repex_Splits,MATCH($I25,Act_Type_Repex,0),MATCH(BO$4,Mat_Type,0))*INDEX(Escalators!$I$44:$U$49,MATCH(BO$4,Escalators!$C$44:$C$49,0),MATCH(BO$5,Escalators!$I$43:$U$43,0))</f>
        <v>0</v>
      </c>
      <c r="BP25" s="539">
        <f>INDEX(Lab_Mat!$K$6:$N$9,MATCH($H25,Lab_Mat!$J$6:$J$9,0),MATCH($BQ$4,Lab_Mat!$K$5:$N$5,0))*$P25*INDEX(Act_Type_Repex_Splits,MATCH($I25,Act_Type_Repex,0),MATCH(BP$4,Mat_Type,0))*INDEX(Escalators!$I$44:$U$49,MATCH(BP$4,Escalators!$C$44:$C$49,0),MATCH(BP$5,Escalators!$I$43:$U$43,0))</f>
        <v>0</v>
      </c>
      <c r="BQ25" s="539">
        <f t="shared" si="62"/>
        <v>0</v>
      </c>
      <c r="BR25" s="539">
        <f>INDEX(Lab_Mat!$K$6:$N$9,MATCH($H25,Lab_Mat!$J$6:$J$9,0),MATCH($BW$4,Lab_Mat!$K$5:$N$5,0))*$Q25*INDEX(Act_Type_Repex_Splits,MATCH($I25,Act_Type_Repex,0),MATCH(BR$4,Mat_Type,0))*INDEX(Escalators!$I$44:$U$49,MATCH(BR$4,Escalators!$C$44:$C$49,0),MATCH(BR$5,Escalators!$I$43:$U$43,0))</f>
        <v>0</v>
      </c>
      <c r="BS25" s="539">
        <f>INDEX(Lab_Mat!$K$6:$N$9,MATCH($H25,Lab_Mat!$J$6:$J$9,0),MATCH($BW$4,Lab_Mat!$K$5:$N$5,0))*$Q25*INDEX(Act_Type_Repex_Splits,MATCH($I25,Act_Type_Repex,0),MATCH(BS$4,Mat_Type,0))*INDEX(Escalators!$I$44:$U$49,MATCH(BS$4,Escalators!$C$44:$C$49,0),MATCH(BS$5,Escalators!$I$43:$U$43,0))</f>
        <v>0</v>
      </c>
      <c r="BT25" s="539">
        <f>INDEX(Lab_Mat!$K$6:$N$9,MATCH($H25,Lab_Mat!$J$6:$J$9,0),MATCH($BW$4,Lab_Mat!$K$5:$N$5,0))*$Q25*INDEX(Act_Type_Repex_Splits,MATCH($I25,Act_Type_Repex,0),MATCH(BT$4,Mat_Type,0))*INDEX(Escalators!$I$44:$U$49,MATCH(BT$4,Escalators!$C$44:$C$49,0),MATCH(BT$5,Escalators!$I$43:$U$43,0))</f>
        <v>0</v>
      </c>
      <c r="BU25" s="539">
        <f>INDEX(Lab_Mat!$K$6:$N$9,MATCH($H25,Lab_Mat!$J$6:$J$9,0),MATCH($BW$4,Lab_Mat!$K$5:$N$5,0))*$Q25*INDEX(Act_Type_Repex_Splits,MATCH($I25,Act_Type_Repex,0),MATCH(BU$4,Mat_Type,0))*INDEX(Escalators!$I$44:$U$49,MATCH(BU$4,Escalators!$C$44:$C$49,0),MATCH(BU$5,Escalators!$I$43:$U$43,0))</f>
        <v>0</v>
      </c>
      <c r="BV25" s="539">
        <f>INDEX(Lab_Mat!$K$6:$N$9,MATCH($H25,Lab_Mat!$J$6:$J$9,0),MATCH($BW$4,Lab_Mat!$K$5:$N$5,0))*$Q25*INDEX(Act_Type_Repex_Splits,MATCH($I25,Act_Type_Repex,0),MATCH(BV$4,Mat_Type,0))*INDEX(Escalators!$I$44:$U$49,MATCH(BV$4,Escalators!$C$44:$C$49,0),MATCH(BV$5,Escalators!$I$43:$U$43,0))</f>
        <v>0</v>
      </c>
      <c r="BW25" s="539">
        <f t="shared" si="63"/>
        <v>0</v>
      </c>
      <c r="BX25" s="241"/>
      <c r="BY25" s="539">
        <f>INDEX(Lab_Mat!$K$6:$N$9,MATCH($H25,Lab_Mat!$J$6:$J$9,0),MATCH($BY$4,Lab_Mat!$K$5:$N$5,0))*J25*HLOOKUP(BY$5,Escalators!$I$25:$U$30,6,FALSE)</f>
        <v>0</v>
      </c>
      <c r="BZ25" s="539">
        <f>INDEX(Lab_Mat!$K$6:$N$9,MATCH($H25,Lab_Mat!$J$6:$J$9,0),MATCH($BY$4,Lab_Mat!$K$5:$N$5,0))*K25*HLOOKUP(BZ$5,Escalators!$I$25:$U$30,6,FALSE)</f>
        <v>0</v>
      </c>
      <c r="CA25" s="539">
        <f>INDEX(Lab_Mat!$K$6:$N$9,MATCH($H25,Lab_Mat!$J$6:$J$9,0),MATCH($BY$4,Lab_Mat!$K$5:$N$5,0))*L25*HLOOKUP(CA$5,Escalators!$I$25:$U$30,6,FALSE)</f>
        <v>0</v>
      </c>
      <c r="CB25" s="539">
        <f>INDEX(Lab_Mat!$K$6:$N$9,MATCH($H25,Lab_Mat!$J$6:$J$9,0),MATCH($BY$4,Lab_Mat!$K$5:$N$5,0))*M25*HLOOKUP(CB$5,Escalators!$I$25:$U$30,6,FALSE)</f>
        <v>4059.3204600057138</v>
      </c>
      <c r="CC25" s="539">
        <f>INDEX(Lab_Mat!$K$6:$N$9,MATCH($H25,Lab_Mat!$J$6:$J$9,0),MATCH($BY$4,Lab_Mat!$K$5:$N$5,0))*N25*HLOOKUP(CC$5,Escalators!$I$25:$U$30,6,FALSE)</f>
        <v>1841.1703849375817</v>
      </c>
      <c r="CD25" s="539">
        <f>INDEX(Lab_Mat!$K$6:$N$9,MATCH($H25,Lab_Mat!$J$6:$J$9,0),MATCH($BY$4,Lab_Mat!$K$5:$N$5,0))*O25*HLOOKUP(CD$5,Escalators!$I$25:$U$30,6,FALSE)</f>
        <v>0</v>
      </c>
      <c r="CE25" s="539">
        <f>INDEX(Lab_Mat!$K$6:$N$9,MATCH($H25,Lab_Mat!$J$6:$J$9,0),MATCH($BY$4,Lab_Mat!$K$5:$N$5,0))*P25*HLOOKUP(CE$5,Escalators!$I$25:$U$30,6,FALSE)</f>
        <v>0</v>
      </c>
      <c r="CF25" s="539">
        <f>INDEX(Lab_Mat!$K$6:$N$9,MATCH($H25,Lab_Mat!$J$6:$J$9,0),MATCH($BY$4,Lab_Mat!$K$5:$N$5,0))*Q25*HLOOKUP(CF$5,Escalators!$I$25:$U$30,6,FALSE)</f>
        <v>0</v>
      </c>
      <c r="CG25" s="241"/>
      <c r="CH25" s="540">
        <f>INDEX(Lab_Mat!$K$6:$N$9,MATCH($H25,Lab_Mat!$J$6:$J$9,0),MATCH($CH$4,Lab_Mat!$K$5:$N$5,0))*J25</f>
        <v>0</v>
      </c>
      <c r="CI25" s="540">
        <f>INDEX(Lab_Mat!$K$6:$N$9,MATCH($H25,Lab_Mat!$J$6:$J$9,0),MATCH($CH$4,Lab_Mat!$K$5:$N$5,0))*K25</f>
        <v>0</v>
      </c>
      <c r="CJ25" s="540">
        <f>INDEX(Lab_Mat!$K$6:$N$9,MATCH($H25,Lab_Mat!$J$6:$J$9,0),MATCH($CH$4,Lab_Mat!$K$5:$N$5,0))*L25</f>
        <v>0</v>
      </c>
      <c r="CK25" s="540">
        <f>INDEX(Lab_Mat!$K$6:$N$9,MATCH($H25,Lab_Mat!$J$6:$J$9,0),MATCH($CH$4,Lab_Mat!$K$5:$N$5,0))*M25</f>
        <v>1367.9440326370589</v>
      </c>
      <c r="CL25" s="540">
        <f>INDEX(Lab_Mat!$K$6:$N$9,MATCH($H25,Lab_Mat!$J$6:$J$9,0),MATCH($CH$4,Lab_Mat!$K$5:$N$5,0))*N25</f>
        <v>620.45311917549282</v>
      </c>
      <c r="CM25" s="540">
        <f>INDEX(Lab_Mat!$K$6:$N$9,MATCH($H25,Lab_Mat!$J$6:$J$9,0),MATCH($CH$4,Lab_Mat!$K$5:$N$5,0))*O25</f>
        <v>0</v>
      </c>
      <c r="CN25" s="540">
        <f>INDEX(Lab_Mat!$K$6:$N$9,MATCH($H25,Lab_Mat!$J$6:$J$9,0),MATCH($CH$4,Lab_Mat!$K$5:$N$5,0))*P25</f>
        <v>0</v>
      </c>
      <c r="CO25" s="540">
        <f>INDEX(Lab_Mat!$K$6:$N$9,MATCH($H25,Lab_Mat!$J$6:$J$9,0),MATCH($CH$4,Lab_Mat!$K$5:$N$5,0))*Q25</f>
        <v>0</v>
      </c>
      <c r="CP25" s="241"/>
      <c r="CQ25" s="539">
        <f t="shared" si="40"/>
        <v>0</v>
      </c>
      <c r="CR25" s="539">
        <f t="shared" si="41"/>
        <v>0</v>
      </c>
      <c r="CS25" s="539">
        <f t="shared" si="55"/>
        <v>0</v>
      </c>
      <c r="CT25" s="539">
        <f t="shared" si="42"/>
        <v>7835.0790995336729</v>
      </c>
      <c r="CU25" s="539">
        <f t="shared" si="43"/>
        <v>3552.1528552380764</v>
      </c>
      <c r="CV25" s="539">
        <f t="shared" si="44"/>
        <v>0</v>
      </c>
      <c r="CW25" s="539">
        <f t="shared" si="45"/>
        <v>0</v>
      </c>
      <c r="CX25" s="539">
        <f t="shared" si="46"/>
        <v>0</v>
      </c>
    </row>
    <row r="26" spans="2:109" x14ac:dyDescent="0.25">
      <c r="B26" s="7"/>
      <c r="C26" s="7" t="s">
        <v>415</v>
      </c>
      <c r="D26" s="7" t="s">
        <v>409</v>
      </c>
      <c r="E26" s="7" t="s">
        <v>48</v>
      </c>
      <c r="F26" s="7" t="s">
        <v>55</v>
      </c>
      <c r="G26" s="7" t="s">
        <v>10</v>
      </c>
      <c r="H26" s="7" t="s">
        <v>753</v>
      </c>
      <c r="I26" s="7" t="s">
        <v>204</v>
      </c>
      <c r="J26" s="45"/>
      <c r="K26" s="45"/>
      <c r="L26" s="45"/>
      <c r="M26" s="128">
        <v>3258.9821817034426</v>
      </c>
      <c r="N26" s="128">
        <v>647.81893302055425</v>
      </c>
      <c r="O26" s="128">
        <v>0</v>
      </c>
      <c r="P26" s="128"/>
      <c r="Q26" s="128"/>
      <c r="R26" s="129"/>
      <c r="S26" s="128">
        <f>INDEX(Lab_Mat!$K$6:$N$9,MATCH($H26,Lab_Mat!$J$6:$J$9,0),MATCH($S$4,Lab_Mat!$K$5:$N$5,0))*J26*HLOOKUP(S$5,Escalators!$I$25:$U$30,3,FALSE)</f>
        <v>0</v>
      </c>
      <c r="T26" s="128">
        <f>INDEX(Lab_Mat!$K$6:$N$9,MATCH($H26,Lab_Mat!$J$6:$J$9,0),MATCH($S$4,Lab_Mat!$K$5:$N$5,0))*K26*HLOOKUP(T$5,Escalators!$I$25:$U$30,3,FALSE)</f>
        <v>0</v>
      </c>
      <c r="U26" s="128">
        <f>INDEX(Lab_Mat!$K$6:$N$9,MATCH($H26,Lab_Mat!$J$6:$J$9,0),MATCH($S$4,Lab_Mat!$K$5:$N$5,0))*L26*HLOOKUP(U$5,Escalators!$I$25:$U$30,3,FALSE)</f>
        <v>0</v>
      </c>
      <c r="V26" s="128">
        <f>INDEX(Lab_Mat!$K$6:$N$9,MATCH($H26,Lab_Mat!$J$6:$J$9,0),MATCH($S$4,Lab_Mat!$K$5:$N$5,0))*M26*HLOOKUP(V$5,Escalators!$I$25:$U$30,3,FALSE)</f>
        <v>610.16135723682169</v>
      </c>
      <c r="W26" s="128">
        <f>INDEX(Lab_Mat!$K$6:$N$9,MATCH($H26,Lab_Mat!$J$6:$J$9,0),MATCH($S$4,Lab_Mat!$K$5:$N$5,0))*N26*HLOOKUP(W$5,Escalators!$I$25:$U$30,3,FALSE)</f>
        <v>120.98464089835507</v>
      </c>
      <c r="X26" s="128">
        <f>INDEX(Lab_Mat!$K$6:$N$9,MATCH($H26,Lab_Mat!$J$6:$J$9,0),MATCH($S$4,Lab_Mat!$K$5:$N$5,0))*O26*HLOOKUP(X$5,Escalators!$I$25:$U$30,3,FALSE)</f>
        <v>0</v>
      </c>
      <c r="Y26" s="128">
        <f>INDEX(Lab_Mat!$K$6:$N$9,MATCH($H26,Lab_Mat!$J$6:$J$9,0),MATCH($S$4,Lab_Mat!$K$5:$N$5,0))*P26*HLOOKUP(Y$5,Escalators!$I$25:$U$30,3,FALSE)</f>
        <v>0</v>
      </c>
      <c r="Z26" s="128">
        <f>INDEX(Lab_Mat!$K$6:$N$9,MATCH($H26,Lab_Mat!$J$6:$J$9,0),MATCH($S$4,Lab_Mat!$K$5:$N$5,0))*Q26*HLOOKUP(Z$5,Escalators!$I$25:$U$30,3,FALSE)</f>
        <v>0</v>
      </c>
      <c r="AA26" s="129"/>
      <c r="AB26" s="539">
        <f>INDEX(Lab_Mat!$K$6:$N$9,MATCH($H26,Lab_Mat!$J$6:$J$9,0),MATCH($AG$4,Lab_Mat!$K$5:$N$5,0))*$J26*INDEX(Act_Type_Repex_Splits,MATCH($I26,Act_Type_Repex,0),MATCH(AB$4,Mat_Type,0))*INDEX(Escalators!$I$44:$Q$49,MATCH(AB$4,Escalators!$C$44:$C$49,0),MATCH(AB$5,Escalators!$I$43:$Q$43,0))</f>
        <v>0</v>
      </c>
      <c r="AC26" s="539">
        <f>INDEX(Lab_Mat!$K$6:$N$9,MATCH($H26,Lab_Mat!$J$6:$J$9,0),MATCH($AG$4,Lab_Mat!$K$5:$N$5,0))*$J26*INDEX(Act_Type_Repex_Splits,MATCH($I26,Act_Type_Repex,0),MATCH(AC$4,Mat_Type,0))*INDEX(Escalators!$I$44:$Q$49,MATCH(AC$4,Escalators!$C$44:$C$49,0),MATCH(AC$5,Escalators!$I$43:$Q$43,0))</f>
        <v>0</v>
      </c>
      <c r="AD26" s="539">
        <f>INDEX(Lab_Mat!$K$6:$N$9,MATCH($H26,Lab_Mat!$J$6:$J$9,0),MATCH($AG$4,Lab_Mat!$K$5:$N$5,0))*$J26*INDEX(Act_Type_Repex_Splits,MATCH($I26,Act_Type_Repex,0),MATCH(AD$4,Mat_Type,0))*INDEX(Escalators!$I$44:$Q$49,MATCH(AD$4,Escalators!$C$44:$C$49,0),MATCH(AD$5,Escalators!$I$43:$Q$43,0))</f>
        <v>0</v>
      </c>
      <c r="AE26" s="539">
        <f>INDEX(Lab_Mat!$K$6:$N$9,MATCH($H26,Lab_Mat!$J$6:$J$9,0),MATCH($AG$4,Lab_Mat!$K$5:$N$5,0))*$J26*INDEX(Act_Type_Repex_Splits,MATCH($I26,Act_Type_Repex,0),MATCH(AE$4,Mat_Type,0))*INDEX(Escalators!$I$44:$Q$49,MATCH(AE$4,Escalators!$C$44:$C$49,0),MATCH(AE$5,Escalators!$I$43:$Q$43,0))</f>
        <v>0</v>
      </c>
      <c r="AF26" s="539">
        <f>INDEX(Lab_Mat!$K$6:$N$9,MATCH($H26,Lab_Mat!$J$6:$J$9,0),MATCH($AG$4,Lab_Mat!$K$5:$N$5,0))*$J26*INDEX(Act_Type_Repex_Splits,MATCH($I26,Act_Type_Repex,0),MATCH(AF$4,Mat_Type,0))*INDEX(Escalators!$I$44:$Q$49,MATCH(AF$4,Escalators!$C$44:$C$49,0),MATCH(AF$5,Escalators!$I$43:$Q$43,0))</f>
        <v>0</v>
      </c>
      <c r="AG26" s="128">
        <f t="shared" si="56"/>
        <v>0</v>
      </c>
      <c r="AH26" s="539">
        <f>INDEX(Lab_Mat!$K$6:$N$9,MATCH($H26,Lab_Mat!$J$6:$J$9,0),MATCH($AY$4,Lab_Mat!$K$5:$N$5,0))*$K26*INDEX(Act_Type_Repex_Splits,MATCH($I26,Act_Type_Repex,0),MATCH(AH$4,Mat_Type,0))*INDEX(Escalators!$I$44:$U$49,MATCH(AH$4,Escalators!$C$44:$C$49,0),MATCH(AH$5,Escalators!$I$43:$U$43,0))</f>
        <v>0</v>
      </c>
      <c r="AI26" s="539">
        <f>INDEX(Lab_Mat!$K$6:$N$9,MATCH($H26,Lab_Mat!$J$6:$J$9,0),MATCH($AY$4,Lab_Mat!$K$5:$N$5,0))*$K26*INDEX(Act_Type_Repex_Splits,MATCH($I26,Act_Type_Repex,0),MATCH(AI$4,Mat_Type,0))*INDEX(Escalators!$I$44:$U$49,MATCH(AI$4,Escalators!$C$44:$C$49,0),MATCH(AI$5,Escalators!$I$43:$U$43,0))</f>
        <v>0</v>
      </c>
      <c r="AJ26" s="539">
        <f>INDEX(Lab_Mat!$K$6:$N$9,MATCH($H26,Lab_Mat!$J$6:$J$9,0),MATCH($AY$4,Lab_Mat!$K$5:$N$5,0))*$K26*INDEX(Act_Type_Repex_Splits,MATCH($I26,Act_Type_Repex,0),MATCH(AJ$4,Mat_Type,0))*INDEX(Escalators!$I$44:$U$49,MATCH(AJ$4,Escalators!$C$44:$C$49,0),MATCH(AJ$5,Escalators!$I$43:$U$43,0))</f>
        <v>0</v>
      </c>
      <c r="AK26" s="539">
        <f>INDEX(Lab_Mat!$K$6:$N$9,MATCH($H26,Lab_Mat!$J$6:$J$9,0),MATCH($AY$4,Lab_Mat!$K$5:$N$5,0))*$K26*INDEX(Act_Type_Repex_Splits,MATCH($I26,Act_Type_Repex,0),MATCH(AK$4,Mat_Type,0))*INDEX(Escalators!$I$44:$U$49,MATCH(AK$4,Escalators!$C$44:$C$49,0),MATCH(AK$5,Escalators!$I$43:$U$43,0))</f>
        <v>0</v>
      </c>
      <c r="AL26" s="539">
        <f>INDEX(Lab_Mat!$K$6:$N$9,MATCH($H26,Lab_Mat!$J$6:$J$9,0),MATCH($AY$4,Lab_Mat!$K$5:$N$5,0))*$K26*INDEX(Act_Type_Repex_Splits,MATCH($I26,Act_Type_Repex,0),MATCH(AL$4,Mat_Type,0))*INDEX(Escalators!$I$44:$U$49,MATCH(AL$4,Escalators!$C$44:$C$49,0),MATCH(AL$5,Escalators!$I$43:$U$43,0))</f>
        <v>0</v>
      </c>
      <c r="AM26" s="128">
        <f t="shared" si="57"/>
        <v>0</v>
      </c>
      <c r="AN26" s="539">
        <f>INDEX(Lab_Mat!$K$6:$N$9,MATCH($H26,Lab_Mat!$J$6:$J$9,0),MATCH($AY$4,Lab_Mat!$K$5:$N$5,0))*$L26*INDEX(Act_Type_Repex_Splits,MATCH($I26,Act_Type_Repex,0),MATCH(AN$4,Mat_Type,0))*INDEX(Escalators!$I$44:$U$49,MATCH(AN$4,Escalators!$C$44:$C$49,0),MATCH(AN$5,Escalators!$I$43:$U$43,0))</f>
        <v>0</v>
      </c>
      <c r="AO26" s="539">
        <f>INDEX(Lab_Mat!$K$6:$N$9,MATCH($H26,Lab_Mat!$J$6:$J$9,0),MATCH($AY$4,Lab_Mat!$K$5:$N$5,0))*$L26*INDEX(Act_Type_Repex_Splits,MATCH($I26,Act_Type_Repex,0),MATCH(AO$4,Mat_Type,0))*INDEX(Escalators!$I$44:$U$49,MATCH(AO$4,Escalators!$C$44:$C$49,0),MATCH(AO$5,Escalators!$I$43:$U$43,0))</f>
        <v>0</v>
      </c>
      <c r="AP26" s="539">
        <f>INDEX(Lab_Mat!$K$6:$N$9,MATCH($H26,Lab_Mat!$J$6:$J$9,0),MATCH($AY$4,Lab_Mat!$K$5:$N$5,0))*$L26*INDEX(Act_Type_Repex_Splits,MATCH($I26,Act_Type_Repex,0),MATCH(AP$4,Mat_Type,0))*INDEX(Escalators!$I$44:$U$49,MATCH(AP$4,Escalators!$C$44:$C$49,0),MATCH(AP$5,Escalators!$I$43:$U$43,0))</f>
        <v>0</v>
      </c>
      <c r="AQ26" s="539">
        <f>INDEX(Lab_Mat!$K$6:$N$9,MATCH($H26,Lab_Mat!$J$6:$J$9,0),MATCH($AY$4,Lab_Mat!$K$5:$N$5,0))*$L26*INDEX(Act_Type_Repex_Splits,MATCH($I26,Act_Type_Repex,0),MATCH(AQ$4,Mat_Type,0))*INDEX(Escalators!$I$44:$U$49,MATCH(AQ$4,Escalators!$C$44:$C$49,0),MATCH(AQ$5,Escalators!$I$43:$U$43,0))</f>
        <v>0</v>
      </c>
      <c r="AR26" s="539">
        <f>INDEX(Lab_Mat!$K$6:$N$9,MATCH($H26,Lab_Mat!$J$6:$J$9,0),MATCH($AY$4,Lab_Mat!$K$5:$N$5,0))*$L26*INDEX(Act_Type_Repex_Splits,MATCH($I26,Act_Type_Repex,0),MATCH(AR$4,Mat_Type,0))*INDEX(Escalators!$I$44:$U$49,MATCH(AR$4,Escalators!$C$44:$C$49,0),MATCH(AR$5,Escalators!$I$43:$U$43,0))</f>
        <v>0</v>
      </c>
      <c r="AS26" s="128">
        <f t="shared" si="58"/>
        <v>0</v>
      </c>
      <c r="AT26" s="539">
        <f>INDEX(Lab_Mat!$K$6:$N$9,MATCH($H26,Lab_Mat!$J$6:$J$9,0),MATCH($AY$4,Lab_Mat!$K$5:$N$5,0))*$M26*INDEX(Act_Type_Repex_Splits,MATCH($I26,Act_Type_Repex,0),MATCH(AT$4,Mat_Type,0))*INDEX(Escalators!$I$44:$U$49,MATCH(AT$4,Escalators!$C$44:$C$49,0),MATCH(AT$5,Escalators!$I$43:$U$43,0))</f>
        <v>0</v>
      </c>
      <c r="AU26" s="539">
        <f>INDEX(Lab_Mat!$K$6:$N$9,MATCH($H26,Lab_Mat!$J$6:$J$9,0),MATCH($AY$4,Lab_Mat!$K$5:$N$5,0))*$M26*INDEX(Act_Type_Repex_Splits,MATCH($I26,Act_Type_Repex,0),MATCH(AU$4,Mat_Type,0))*INDEX(Escalators!$I$44:$U$49,MATCH(AU$4,Escalators!$C$44:$C$49,0),MATCH(AU$5,Escalators!$I$43:$U$43,0))</f>
        <v>0</v>
      </c>
      <c r="AV26" s="539">
        <f>INDEX(Lab_Mat!$K$6:$N$9,MATCH($H26,Lab_Mat!$J$6:$J$9,0),MATCH($AY$4,Lab_Mat!$K$5:$N$5,0))*$M26*INDEX(Act_Type_Repex_Splits,MATCH($I26,Act_Type_Repex,0),MATCH(AV$4,Mat_Type,0))*INDEX(Escalators!$I$44:$U$49,MATCH(AV$4,Escalators!$C$44:$C$49,0),MATCH(AV$5,Escalators!$I$43:$U$43,0))</f>
        <v>352.86236126327776</v>
      </c>
      <c r="AW26" s="539">
        <f>INDEX(Lab_Mat!$K$6:$N$9,MATCH($H26,Lab_Mat!$J$6:$J$9,0),MATCH($AY$4,Lab_Mat!$K$5:$N$5,0))*$M26*INDEX(Act_Type_Repex_Splits,MATCH($I26,Act_Type_Repex,0),MATCH(AW$4,Mat_Type,0))*INDEX(Escalators!$I$44:$U$49,MATCH(AW$4,Escalators!$C$44:$C$49,0),MATCH(AW$5,Escalators!$I$43:$U$43,0))</f>
        <v>0</v>
      </c>
      <c r="AX26" s="539">
        <f>INDEX(Lab_Mat!$K$6:$N$9,MATCH($H26,Lab_Mat!$J$6:$J$9,0),MATCH($AY$4,Lab_Mat!$K$5:$N$5,0))*$M26*INDEX(Act_Type_Repex_Splits,MATCH($I26,Act_Type_Repex,0),MATCH(AX$4,Mat_Type,0))*INDEX(Escalators!$I$44:$U$49,MATCH(AX$4,Escalators!$C$44:$C$49,0),MATCH(AX$5,Escalators!$I$43:$U$43,0))</f>
        <v>1411.449445053111</v>
      </c>
      <c r="AY26" s="128">
        <f t="shared" si="59"/>
        <v>1764.3118063163888</v>
      </c>
      <c r="AZ26" s="539">
        <f>INDEX(Lab_Mat!$K$6:$N$9,MATCH($H26,Lab_Mat!$J$6:$J$9,0),MATCH($BE$4,Lab_Mat!$K$5:$N$5,0))*$N26*INDEX(Act_Type_Repex_Splits,MATCH($I26,Act_Type_Repex,0),MATCH(AZ$4,Mat_Type,0))*INDEX(Escalators!$I$44:$U$49,MATCH(AZ$4,Escalators!$C$44:$C$49,0),MATCH(AZ$5,Escalators!$I$43:$U$43,0))</f>
        <v>0</v>
      </c>
      <c r="BA26" s="539">
        <f>INDEX(Lab_Mat!$K$6:$N$9,MATCH($H26,Lab_Mat!$J$6:$J$9,0),MATCH($BE$4,Lab_Mat!$K$5:$N$5,0))*$N26*INDEX(Act_Type_Repex_Splits,MATCH($I26,Act_Type_Repex,0),MATCH(BA$4,Mat_Type,0))*INDEX(Escalators!$I$44:$U$49,MATCH(BA$4,Escalators!$C$44:$C$49,0),MATCH(BA$5,Escalators!$I$43:$U$43,0))</f>
        <v>0</v>
      </c>
      <c r="BB26" s="539">
        <f>INDEX(Lab_Mat!$K$6:$N$9,MATCH($H26,Lab_Mat!$J$6:$J$9,0),MATCH($BE$4,Lab_Mat!$K$5:$N$5,0))*$N26*INDEX(Act_Type_Repex_Splits,MATCH($I26,Act_Type_Repex,0),MATCH(BB$4,Mat_Type,0))*INDEX(Escalators!$I$44:$U$49,MATCH(BB$4,Escalators!$C$44:$C$49,0),MATCH(BB$5,Escalators!$I$43:$U$43,0))</f>
        <v>70.141812882575323</v>
      </c>
      <c r="BC26" s="539">
        <f>INDEX(Lab_Mat!$K$6:$N$9,MATCH($H26,Lab_Mat!$J$6:$J$9,0),MATCH($BE$4,Lab_Mat!$K$5:$N$5,0))*$N26*INDEX(Act_Type_Repex_Splits,MATCH($I26,Act_Type_Repex,0),MATCH(BC$4,Mat_Type,0))*INDEX(Escalators!$I$44:$U$49,MATCH(BC$4,Escalators!$C$44:$C$49,0),MATCH(BC$5,Escalators!$I$43:$U$43,0))</f>
        <v>0</v>
      </c>
      <c r="BD26" s="539">
        <f>INDEX(Lab_Mat!$K$6:$N$9,MATCH($H26,Lab_Mat!$J$6:$J$9,0),MATCH($BE$4,Lab_Mat!$K$5:$N$5,0))*$N26*INDEX(Act_Type_Repex_Splits,MATCH($I26,Act_Type_Repex,0),MATCH(BD$4,Mat_Type,0))*INDEX(Escalators!$I$44:$U$49,MATCH(BD$4,Escalators!$C$44:$C$49,0),MATCH(BD$5,Escalators!$I$43:$U$43,0))</f>
        <v>280.56725153030129</v>
      </c>
      <c r="BE26" s="128">
        <f t="shared" si="60"/>
        <v>350.70906441287661</v>
      </c>
      <c r="BF26" s="539">
        <f>INDEX(Lab_Mat!$K$6:$N$9,MATCH($H26,Lab_Mat!$J$6:$J$9,0),MATCH($BK$4,Lab_Mat!$K$5:$N$5,0))*$O26*INDEX(Act_Type_Repex_Splits,MATCH($I26,Act_Type_Repex,0),MATCH(BF$4,Mat_Type,0))*INDEX(Escalators!$I$44:$U$49,MATCH(BF$4,Escalators!$C$44:$C$49,0),MATCH(BF$5,Escalators!$I$43:$U$43,0))</f>
        <v>0</v>
      </c>
      <c r="BG26" s="539">
        <f>INDEX(Lab_Mat!$K$6:$N$9,MATCH($H26,Lab_Mat!$J$6:$J$9,0),MATCH($BK$4,Lab_Mat!$K$5:$N$5,0))*$O26*INDEX(Act_Type_Repex_Splits,MATCH($I26,Act_Type_Repex,0),MATCH(BG$4,Mat_Type,0))*INDEX(Escalators!$I$44:$U$49,MATCH(BG$4,Escalators!$C$44:$C$49,0),MATCH(BG$5,Escalators!$I$43:$U$43,0))</f>
        <v>0</v>
      </c>
      <c r="BH26" s="539">
        <f>INDEX(Lab_Mat!$K$6:$N$9,MATCH($H26,Lab_Mat!$J$6:$J$9,0),MATCH($BK$4,Lab_Mat!$K$5:$N$5,0))*$O26*INDEX(Act_Type_Repex_Splits,MATCH($I26,Act_Type_Repex,0),MATCH(BH$4,Mat_Type,0))*INDEX(Escalators!$I$44:$U$49,MATCH(BH$4,Escalators!$C$44:$C$49,0),MATCH(BH$5,Escalators!$I$43:$U$43,0))</f>
        <v>0</v>
      </c>
      <c r="BI26" s="539">
        <f>INDEX(Lab_Mat!$K$6:$N$9,MATCH($H26,Lab_Mat!$J$6:$J$9,0),MATCH($BK$4,Lab_Mat!$K$5:$N$5,0))*$O26*INDEX(Act_Type_Repex_Splits,MATCH($I26,Act_Type_Repex,0),MATCH(BI$4,Mat_Type,0))*INDEX(Escalators!$I$44:$U$49,MATCH(BI$4,Escalators!$C$44:$C$49,0),MATCH(BI$5,Escalators!$I$43:$U$43,0))</f>
        <v>0</v>
      </c>
      <c r="BJ26" s="539">
        <f>INDEX(Lab_Mat!$K$6:$N$9,MATCH($H26,Lab_Mat!$J$6:$J$9,0),MATCH($BK$4,Lab_Mat!$K$5:$N$5,0))*$O26*INDEX(Act_Type_Repex_Splits,MATCH($I26,Act_Type_Repex,0),MATCH(BJ$4,Mat_Type,0))*INDEX(Escalators!$I$44:$U$49,MATCH(BJ$4,Escalators!$C$44:$C$49,0),MATCH(BJ$5,Escalators!$I$43:$U$43,0))</f>
        <v>0</v>
      </c>
      <c r="BK26" s="128">
        <f t="shared" si="61"/>
        <v>0</v>
      </c>
      <c r="BL26" s="539">
        <f>INDEX(Lab_Mat!$K$6:$N$9,MATCH($H26,Lab_Mat!$J$6:$J$9,0),MATCH($BQ$4,Lab_Mat!$K$5:$N$5,0))*$P26*INDEX(Act_Type_Repex_Splits,MATCH($I26,Act_Type_Repex,0),MATCH(BL$4,Mat_Type,0))*INDEX(Escalators!$I$44:$U$49,MATCH(BL$4,Escalators!$C$44:$C$49,0),MATCH(BL$5,Escalators!$I$43:$U$43,0))</f>
        <v>0</v>
      </c>
      <c r="BM26" s="539">
        <f>INDEX(Lab_Mat!$K$6:$N$9,MATCH($H26,Lab_Mat!$J$6:$J$9,0),MATCH($BQ$4,Lab_Mat!$K$5:$N$5,0))*$P26*INDEX(Act_Type_Repex_Splits,MATCH($I26,Act_Type_Repex,0),MATCH(BM$4,Mat_Type,0))*INDEX(Escalators!$I$44:$U$49,MATCH(BM$4,Escalators!$C$44:$C$49,0),MATCH(BM$5,Escalators!$I$43:$U$43,0))</f>
        <v>0</v>
      </c>
      <c r="BN26" s="539">
        <f>INDEX(Lab_Mat!$K$6:$N$9,MATCH($H26,Lab_Mat!$J$6:$J$9,0),MATCH($BQ$4,Lab_Mat!$K$5:$N$5,0))*$P26*INDEX(Act_Type_Repex_Splits,MATCH($I26,Act_Type_Repex,0),MATCH(BN$4,Mat_Type,0))*INDEX(Escalators!$I$44:$U$49,MATCH(BN$4,Escalators!$C$44:$C$49,0),MATCH(BN$5,Escalators!$I$43:$U$43,0))</f>
        <v>0</v>
      </c>
      <c r="BO26" s="539">
        <f>INDEX(Lab_Mat!$K$6:$N$9,MATCH($H26,Lab_Mat!$J$6:$J$9,0),MATCH($BQ$4,Lab_Mat!$K$5:$N$5,0))*$P26*INDEX(Act_Type_Repex_Splits,MATCH($I26,Act_Type_Repex,0),MATCH(BO$4,Mat_Type,0))*INDEX(Escalators!$I$44:$U$49,MATCH(BO$4,Escalators!$C$44:$C$49,0),MATCH(BO$5,Escalators!$I$43:$U$43,0))</f>
        <v>0</v>
      </c>
      <c r="BP26" s="539">
        <f>INDEX(Lab_Mat!$K$6:$N$9,MATCH($H26,Lab_Mat!$J$6:$J$9,0),MATCH($BQ$4,Lab_Mat!$K$5:$N$5,0))*$P26*INDEX(Act_Type_Repex_Splits,MATCH($I26,Act_Type_Repex,0),MATCH(BP$4,Mat_Type,0))*INDEX(Escalators!$I$44:$U$49,MATCH(BP$4,Escalators!$C$44:$C$49,0),MATCH(BP$5,Escalators!$I$43:$U$43,0))</f>
        <v>0</v>
      </c>
      <c r="BQ26" s="128">
        <f t="shared" si="62"/>
        <v>0</v>
      </c>
      <c r="BR26" s="539">
        <f>INDEX(Lab_Mat!$K$6:$N$9,MATCH($H26,Lab_Mat!$J$6:$J$9,0),MATCH($BW$4,Lab_Mat!$K$5:$N$5,0))*$Q26*INDEX(Act_Type_Repex_Splits,MATCH($I26,Act_Type_Repex,0),MATCH(BR$4,Mat_Type,0))*INDEX(Escalators!$I$44:$U$49,MATCH(BR$4,Escalators!$C$44:$C$49,0),MATCH(BR$5,Escalators!$I$43:$U$43,0))</f>
        <v>0</v>
      </c>
      <c r="BS26" s="539">
        <f>INDEX(Lab_Mat!$K$6:$N$9,MATCH($H26,Lab_Mat!$J$6:$J$9,0),MATCH($BW$4,Lab_Mat!$K$5:$N$5,0))*$Q26*INDEX(Act_Type_Repex_Splits,MATCH($I26,Act_Type_Repex,0),MATCH(BS$4,Mat_Type,0))*INDEX(Escalators!$I$44:$U$49,MATCH(BS$4,Escalators!$C$44:$C$49,0),MATCH(BS$5,Escalators!$I$43:$U$43,0))</f>
        <v>0</v>
      </c>
      <c r="BT26" s="539">
        <f>INDEX(Lab_Mat!$K$6:$N$9,MATCH($H26,Lab_Mat!$J$6:$J$9,0),MATCH($BW$4,Lab_Mat!$K$5:$N$5,0))*$Q26*INDEX(Act_Type_Repex_Splits,MATCH($I26,Act_Type_Repex,0),MATCH(BT$4,Mat_Type,0))*INDEX(Escalators!$I$44:$U$49,MATCH(BT$4,Escalators!$C$44:$C$49,0),MATCH(BT$5,Escalators!$I$43:$U$43,0))</f>
        <v>0</v>
      </c>
      <c r="BU26" s="539">
        <f>INDEX(Lab_Mat!$K$6:$N$9,MATCH($H26,Lab_Mat!$J$6:$J$9,0),MATCH($BW$4,Lab_Mat!$K$5:$N$5,0))*$Q26*INDEX(Act_Type_Repex_Splits,MATCH($I26,Act_Type_Repex,0),MATCH(BU$4,Mat_Type,0))*INDEX(Escalators!$I$44:$U$49,MATCH(BU$4,Escalators!$C$44:$C$49,0),MATCH(BU$5,Escalators!$I$43:$U$43,0))</f>
        <v>0</v>
      </c>
      <c r="BV26" s="539">
        <f>INDEX(Lab_Mat!$K$6:$N$9,MATCH($H26,Lab_Mat!$J$6:$J$9,0),MATCH($BW$4,Lab_Mat!$K$5:$N$5,0))*$Q26*INDEX(Act_Type_Repex_Splits,MATCH($I26,Act_Type_Repex,0),MATCH(BV$4,Mat_Type,0))*INDEX(Escalators!$I$44:$U$49,MATCH(BV$4,Escalators!$C$44:$C$49,0),MATCH(BV$5,Escalators!$I$43:$U$43,0))</f>
        <v>0</v>
      </c>
      <c r="BW26" s="128">
        <f t="shared" si="63"/>
        <v>0</v>
      </c>
      <c r="BX26" s="129"/>
      <c r="BY26" s="128">
        <f>INDEX(Lab_Mat!$K$6:$N$9,MATCH($H26,Lab_Mat!$J$6:$J$9,0),MATCH($BY$4,Lab_Mat!$K$5:$N$5,0))*J26*HLOOKUP(BY$5,Escalators!$I$25:$U$30,6,FALSE)</f>
        <v>0</v>
      </c>
      <c r="BZ26" s="128">
        <f>INDEX(Lab_Mat!$K$6:$N$9,MATCH($H26,Lab_Mat!$J$6:$J$9,0),MATCH($BY$4,Lab_Mat!$K$5:$N$5,0))*K26*HLOOKUP(BZ$5,Escalators!$I$25:$U$30,6,FALSE)</f>
        <v>0</v>
      </c>
      <c r="CA26" s="128">
        <f>INDEX(Lab_Mat!$K$6:$N$9,MATCH($H26,Lab_Mat!$J$6:$J$9,0),MATCH($BY$4,Lab_Mat!$K$5:$N$5,0))*L26*HLOOKUP(CA$5,Escalators!$I$25:$U$30,6,FALSE)</f>
        <v>0</v>
      </c>
      <c r="CB26" s="128">
        <f>INDEX(Lab_Mat!$K$6:$N$9,MATCH($H26,Lab_Mat!$J$6:$J$9,0),MATCH($BY$4,Lab_Mat!$K$5:$N$5,0))*M26*HLOOKUP(CB$5,Escalators!$I$25:$U$30,6,FALSE)</f>
        <v>640.5596726790435</v>
      </c>
      <c r="CC26" s="128">
        <f>INDEX(Lab_Mat!$K$6:$N$9,MATCH($H26,Lab_Mat!$J$6:$J$9,0),MATCH($BY$4,Lab_Mat!$K$5:$N$5,0))*N26*HLOOKUP(CC$5,Escalators!$I$25:$U$30,6,FALSE)</f>
        <v>127.33014805071252</v>
      </c>
      <c r="CD26" s="128">
        <f>INDEX(Lab_Mat!$K$6:$N$9,MATCH($H26,Lab_Mat!$J$6:$J$9,0),MATCH($BY$4,Lab_Mat!$K$5:$N$5,0))*O26*HLOOKUP(CD$5,Escalators!$I$25:$U$30,6,FALSE)</f>
        <v>0</v>
      </c>
      <c r="CE26" s="128">
        <f>INDEX(Lab_Mat!$K$6:$N$9,MATCH($H26,Lab_Mat!$J$6:$J$9,0),MATCH($BY$4,Lab_Mat!$K$5:$N$5,0))*P26*HLOOKUP(CE$5,Escalators!$I$25:$U$30,6,FALSE)</f>
        <v>0</v>
      </c>
      <c r="CF26" s="128">
        <f>INDEX(Lab_Mat!$K$6:$N$9,MATCH($H26,Lab_Mat!$J$6:$J$9,0),MATCH($BY$4,Lab_Mat!$K$5:$N$5,0))*Q26*HLOOKUP(CF$5,Escalators!$I$25:$U$30,6,FALSE)</f>
        <v>0</v>
      </c>
      <c r="CG26" s="129"/>
      <c r="CH26" s="763">
        <f>INDEX(Lab_Mat!$K$6:$N$9,MATCH($H26,Lab_Mat!$J$6:$J$9,0),MATCH($CH$4,Lab_Mat!$K$5:$N$5,0))*J26</f>
        <v>0</v>
      </c>
      <c r="CI26" s="763">
        <f>INDEX(Lab_Mat!$K$6:$N$9,MATCH($H26,Lab_Mat!$J$6:$J$9,0),MATCH($CH$4,Lab_Mat!$K$5:$N$5,0))*K26</f>
        <v>0</v>
      </c>
      <c r="CJ26" s="763">
        <f>INDEX(Lab_Mat!$K$6:$N$9,MATCH($H26,Lab_Mat!$J$6:$J$9,0),MATCH($CH$4,Lab_Mat!$K$5:$N$5,0))*L26</f>
        <v>0</v>
      </c>
      <c r="CK26" s="763">
        <f>INDEX(Lab_Mat!$K$6:$N$9,MATCH($H26,Lab_Mat!$J$6:$J$9,0),MATCH($CH$4,Lab_Mat!$K$5:$N$5,0))*M26</f>
        <v>254.77254977468155</v>
      </c>
      <c r="CL26" s="763">
        <f>INDEX(Lab_Mat!$K$6:$N$9,MATCH($H26,Lab_Mat!$J$6:$J$9,0),MATCH($CH$4,Lab_Mat!$K$5:$N$5,0))*N26</f>
        <v>50.643566658499445</v>
      </c>
      <c r="CM26" s="763">
        <f>INDEX(Lab_Mat!$K$6:$N$9,MATCH($H26,Lab_Mat!$J$6:$J$9,0),MATCH($CH$4,Lab_Mat!$K$5:$N$5,0))*O26</f>
        <v>0</v>
      </c>
      <c r="CN26" s="763">
        <f>INDEX(Lab_Mat!$K$6:$N$9,MATCH($H26,Lab_Mat!$J$6:$J$9,0),MATCH($CH$4,Lab_Mat!$K$5:$N$5,0))*P26</f>
        <v>0</v>
      </c>
      <c r="CO26" s="763">
        <f>INDEX(Lab_Mat!$K$6:$N$9,MATCH($H26,Lab_Mat!$J$6:$J$9,0),MATCH($CH$4,Lab_Mat!$K$5:$N$5,0))*Q26</f>
        <v>0</v>
      </c>
      <c r="CP26" s="129"/>
      <c r="CQ26" s="128">
        <f t="shared" si="40"/>
        <v>0</v>
      </c>
      <c r="CR26" s="128">
        <f t="shared" si="41"/>
        <v>0</v>
      </c>
      <c r="CS26" s="128">
        <f t="shared" si="55"/>
        <v>0</v>
      </c>
      <c r="CT26" s="128">
        <f t="shared" si="42"/>
        <v>3269.8053860069358</v>
      </c>
      <c r="CU26" s="128">
        <f t="shared" si="43"/>
        <v>649.66742002044373</v>
      </c>
      <c r="CV26" s="128">
        <f t="shared" si="44"/>
        <v>0</v>
      </c>
      <c r="CW26" s="128">
        <f t="shared" si="45"/>
        <v>0</v>
      </c>
      <c r="CX26" s="128">
        <f t="shared" si="46"/>
        <v>0</v>
      </c>
    </row>
    <row r="27" spans="2:109" x14ac:dyDescent="0.25">
      <c r="B27" s="7"/>
      <c r="C27" s="7" t="s">
        <v>416</v>
      </c>
      <c r="D27" s="7" t="s">
        <v>409</v>
      </c>
      <c r="E27" s="7" t="s">
        <v>48</v>
      </c>
      <c r="F27" s="7" t="s">
        <v>55</v>
      </c>
      <c r="G27" s="7" t="s">
        <v>150</v>
      </c>
      <c r="H27" s="7" t="s">
        <v>753</v>
      </c>
      <c r="I27" s="7" t="s">
        <v>204</v>
      </c>
      <c r="J27" s="45"/>
      <c r="K27" s="45"/>
      <c r="L27" s="45"/>
      <c r="M27" s="128">
        <v>60.819014331099325</v>
      </c>
      <c r="N27" s="128">
        <v>23.984963398180017</v>
      </c>
      <c r="O27" s="128">
        <v>0</v>
      </c>
      <c r="P27" s="128"/>
      <c r="Q27" s="128"/>
      <c r="R27" s="129"/>
      <c r="S27" s="128">
        <f>INDEX(Lab_Mat!$K$6:$N$9,MATCH($H27,Lab_Mat!$J$6:$J$9,0),MATCH($S$4,Lab_Mat!$K$5:$N$5,0))*J27*HLOOKUP(S$5,Escalators!$I$25:$U$30,3,FALSE)</f>
        <v>0</v>
      </c>
      <c r="T27" s="128">
        <f>INDEX(Lab_Mat!$K$6:$N$9,MATCH($H27,Lab_Mat!$J$6:$J$9,0),MATCH($S$4,Lab_Mat!$K$5:$N$5,0))*K27*HLOOKUP(T$5,Escalators!$I$25:$U$30,3,FALSE)</f>
        <v>0</v>
      </c>
      <c r="U27" s="128">
        <f>INDEX(Lab_Mat!$K$6:$N$9,MATCH($H27,Lab_Mat!$J$6:$J$9,0),MATCH($S$4,Lab_Mat!$K$5:$N$5,0))*L27*HLOOKUP(U$5,Escalators!$I$25:$U$30,3,FALSE)</f>
        <v>0</v>
      </c>
      <c r="V27" s="128">
        <f>INDEX(Lab_Mat!$K$6:$N$9,MATCH($H27,Lab_Mat!$J$6:$J$9,0),MATCH($S$4,Lab_Mat!$K$5:$N$5,0))*M27*HLOOKUP(V$5,Escalators!$I$25:$U$30,3,FALSE)</f>
        <v>11.386810439900131</v>
      </c>
      <c r="W27" s="128">
        <f>INDEX(Lab_Mat!$K$6:$N$9,MATCH($H27,Lab_Mat!$J$6:$J$9,0),MATCH($S$4,Lab_Mat!$K$5:$N$5,0))*N27*HLOOKUP(W$5,Escalators!$I$25:$U$30,3,FALSE)</f>
        <v>4.4793568631266441</v>
      </c>
      <c r="X27" s="128">
        <f>INDEX(Lab_Mat!$K$6:$N$9,MATCH($H27,Lab_Mat!$J$6:$J$9,0),MATCH($S$4,Lab_Mat!$K$5:$N$5,0))*O27*HLOOKUP(X$5,Escalators!$I$25:$U$30,3,FALSE)</f>
        <v>0</v>
      </c>
      <c r="Y27" s="128">
        <f>INDEX(Lab_Mat!$K$6:$N$9,MATCH($H27,Lab_Mat!$J$6:$J$9,0),MATCH($S$4,Lab_Mat!$K$5:$N$5,0))*P27*HLOOKUP(Y$5,Escalators!$I$25:$U$30,3,FALSE)</f>
        <v>0</v>
      </c>
      <c r="Z27" s="128">
        <f>INDEX(Lab_Mat!$K$6:$N$9,MATCH($H27,Lab_Mat!$J$6:$J$9,0),MATCH($S$4,Lab_Mat!$K$5:$N$5,0))*Q27*HLOOKUP(Z$5,Escalators!$I$25:$U$30,3,FALSE)</f>
        <v>0</v>
      </c>
      <c r="AA27" s="129"/>
      <c r="AB27" s="539">
        <f>INDEX(Lab_Mat!$K$6:$N$9,MATCH($H27,Lab_Mat!$J$6:$J$9,0),MATCH($AG$4,Lab_Mat!$K$5:$N$5,0))*$J27*INDEX(Act_Type_Repex_Splits,MATCH($I27,Act_Type_Repex,0),MATCH(AB$4,Mat_Type,0))*INDEX(Escalators!$I$44:$Q$49,MATCH(AB$4,Escalators!$C$44:$C$49,0),MATCH(AB$5,Escalators!$I$43:$Q$43,0))</f>
        <v>0</v>
      </c>
      <c r="AC27" s="539">
        <f>INDEX(Lab_Mat!$K$6:$N$9,MATCH($H27,Lab_Mat!$J$6:$J$9,0),MATCH($AG$4,Lab_Mat!$K$5:$N$5,0))*$J27*INDEX(Act_Type_Repex_Splits,MATCH($I27,Act_Type_Repex,0),MATCH(AC$4,Mat_Type,0))*INDEX(Escalators!$I$44:$Q$49,MATCH(AC$4,Escalators!$C$44:$C$49,0),MATCH(AC$5,Escalators!$I$43:$Q$43,0))</f>
        <v>0</v>
      </c>
      <c r="AD27" s="539">
        <f>INDEX(Lab_Mat!$K$6:$N$9,MATCH($H27,Lab_Mat!$J$6:$J$9,0),MATCH($AG$4,Lab_Mat!$K$5:$N$5,0))*$J27*INDEX(Act_Type_Repex_Splits,MATCH($I27,Act_Type_Repex,0),MATCH(AD$4,Mat_Type,0))*INDEX(Escalators!$I$44:$Q$49,MATCH(AD$4,Escalators!$C$44:$C$49,0),MATCH(AD$5,Escalators!$I$43:$Q$43,0))</f>
        <v>0</v>
      </c>
      <c r="AE27" s="539">
        <f>INDEX(Lab_Mat!$K$6:$N$9,MATCH($H27,Lab_Mat!$J$6:$J$9,0),MATCH($AG$4,Lab_Mat!$K$5:$N$5,0))*$J27*INDEX(Act_Type_Repex_Splits,MATCH($I27,Act_Type_Repex,0),MATCH(AE$4,Mat_Type,0))*INDEX(Escalators!$I$44:$Q$49,MATCH(AE$4,Escalators!$C$44:$C$49,0),MATCH(AE$5,Escalators!$I$43:$Q$43,0))</f>
        <v>0</v>
      </c>
      <c r="AF27" s="539">
        <f>INDEX(Lab_Mat!$K$6:$N$9,MATCH($H27,Lab_Mat!$J$6:$J$9,0),MATCH($AG$4,Lab_Mat!$K$5:$N$5,0))*$J27*INDEX(Act_Type_Repex_Splits,MATCH($I27,Act_Type_Repex,0),MATCH(AF$4,Mat_Type,0))*INDEX(Escalators!$I$44:$Q$49,MATCH(AF$4,Escalators!$C$44:$C$49,0),MATCH(AF$5,Escalators!$I$43:$Q$43,0))</f>
        <v>0</v>
      </c>
      <c r="AG27" s="128">
        <f t="shared" si="56"/>
        <v>0</v>
      </c>
      <c r="AH27" s="539">
        <f>INDEX(Lab_Mat!$K$6:$N$9,MATCH($H27,Lab_Mat!$J$6:$J$9,0),MATCH($AY$4,Lab_Mat!$K$5:$N$5,0))*$K27*INDEX(Act_Type_Repex_Splits,MATCH($I27,Act_Type_Repex,0),MATCH(AH$4,Mat_Type,0))*INDEX(Escalators!$I$44:$U$49,MATCH(AH$4,Escalators!$C$44:$C$49,0),MATCH(AH$5,Escalators!$I$43:$U$43,0))</f>
        <v>0</v>
      </c>
      <c r="AI27" s="539">
        <f>INDEX(Lab_Mat!$K$6:$N$9,MATCH($H27,Lab_Mat!$J$6:$J$9,0),MATCH($AY$4,Lab_Mat!$K$5:$N$5,0))*$K27*INDEX(Act_Type_Repex_Splits,MATCH($I27,Act_Type_Repex,0),MATCH(AI$4,Mat_Type,0))*INDEX(Escalators!$I$44:$U$49,MATCH(AI$4,Escalators!$C$44:$C$49,0),MATCH(AI$5,Escalators!$I$43:$U$43,0))</f>
        <v>0</v>
      </c>
      <c r="AJ27" s="539">
        <f>INDEX(Lab_Mat!$K$6:$N$9,MATCH($H27,Lab_Mat!$J$6:$J$9,0),MATCH($AY$4,Lab_Mat!$K$5:$N$5,0))*$K27*INDEX(Act_Type_Repex_Splits,MATCH($I27,Act_Type_Repex,0),MATCH(AJ$4,Mat_Type,0))*INDEX(Escalators!$I$44:$U$49,MATCH(AJ$4,Escalators!$C$44:$C$49,0),MATCH(AJ$5,Escalators!$I$43:$U$43,0))</f>
        <v>0</v>
      </c>
      <c r="AK27" s="539">
        <f>INDEX(Lab_Mat!$K$6:$N$9,MATCH($H27,Lab_Mat!$J$6:$J$9,0),MATCH($AY$4,Lab_Mat!$K$5:$N$5,0))*$K27*INDEX(Act_Type_Repex_Splits,MATCH($I27,Act_Type_Repex,0),MATCH(AK$4,Mat_Type,0))*INDEX(Escalators!$I$44:$U$49,MATCH(AK$4,Escalators!$C$44:$C$49,0),MATCH(AK$5,Escalators!$I$43:$U$43,0))</f>
        <v>0</v>
      </c>
      <c r="AL27" s="539">
        <f>INDEX(Lab_Mat!$K$6:$N$9,MATCH($H27,Lab_Mat!$J$6:$J$9,0),MATCH($AY$4,Lab_Mat!$K$5:$N$5,0))*$K27*INDEX(Act_Type_Repex_Splits,MATCH($I27,Act_Type_Repex,0),MATCH(AL$4,Mat_Type,0))*INDEX(Escalators!$I$44:$U$49,MATCH(AL$4,Escalators!$C$44:$C$49,0),MATCH(AL$5,Escalators!$I$43:$U$43,0))</f>
        <v>0</v>
      </c>
      <c r="AM27" s="128">
        <f t="shared" si="57"/>
        <v>0</v>
      </c>
      <c r="AN27" s="539">
        <f>INDEX(Lab_Mat!$K$6:$N$9,MATCH($H27,Lab_Mat!$J$6:$J$9,0),MATCH($AY$4,Lab_Mat!$K$5:$N$5,0))*$L27*INDEX(Act_Type_Repex_Splits,MATCH($I27,Act_Type_Repex,0),MATCH(AN$4,Mat_Type,0))*INDEX(Escalators!$I$44:$U$49,MATCH(AN$4,Escalators!$C$44:$C$49,0),MATCH(AN$5,Escalators!$I$43:$U$43,0))</f>
        <v>0</v>
      </c>
      <c r="AO27" s="539">
        <f>INDEX(Lab_Mat!$K$6:$N$9,MATCH($H27,Lab_Mat!$J$6:$J$9,0),MATCH($AY$4,Lab_Mat!$K$5:$N$5,0))*$L27*INDEX(Act_Type_Repex_Splits,MATCH($I27,Act_Type_Repex,0),MATCH(AO$4,Mat_Type,0))*INDEX(Escalators!$I$44:$U$49,MATCH(AO$4,Escalators!$C$44:$C$49,0),MATCH(AO$5,Escalators!$I$43:$U$43,0))</f>
        <v>0</v>
      </c>
      <c r="AP27" s="539">
        <f>INDEX(Lab_Mat!$K$6:$N$9,MATCH($H27,Lab_Mat!$J$6:$J$9,0),MATCH($AY$4,Lab_Mat!$K$5:$N$5,0))*$L27*INDEX(Act_Type_Repex_Splits,MATCH($I27,Act_Type_Repex,0),MATCH(AP$4,Mat_Type,0))*INDEX(Escalators!$I$44:$U$49,MATCH(AP$4,Escalators!$C$44:$C$49,0),MATCH(AP$5,Escalators!$I$43:$U$43,0))</f>
        <v>0</v>
      </c>
      <c r="AQ27" s="539">
        <f>INDEX(Lab_Mat!$K$6:$N$9,MATCH($H27,Lab_Mat!$J$6:$J$9,0),MATCH($AY$4,Lab_Mat!$K$5:$N$5,0))*$L27*INDEX(Act_Type_Repex_Splits,MATCH($I27,Act_Type_Repex,0),MATCH(AQ$4,Mat_Type,0))*INDEX(Escalators!$I$44:$U$49,MATCH(AQ$4,Escalators!$C$44:$C$49,0),MATCH(AQ$5,Escalators!$I$43:$U$43,0))</f>
        <v>0</v>
      </c>
      <c r="AR27" s="539">
        <f>INDEX(Lab_Mat!$K$6:$N$9,MATCH($H27,Lab_Mat!$J$6:$J$9,0),MATCH($AY$4,Lab_Mat!$K$5:$N$5,0))*$L27*INDEX(Act_Type_Repex_Splits,MATCH($I27,Act_Type_Repex,0),MATCH(AR$4,Mat_Type,0))*INDEX(Escalators!$I$44:$U$49,MATCH(AR$4,Escalators!$C$44:$C$49,0),MATCH(AR$5,Escalators!$I$43:$U$43,0))</f>
        <v>0</v>
      </c>
      <c r="AS27" s="128">
        <f t="shared" si="58"/>
        <v>0</v>
      </c>
      <c r="AT27" s="539">
        <f>INDEX(Lab_Mat!$K$6:$N$9,MATCH($H27,Lab_Mat!$J$6:$J$9,0),MATCH($AY$4,Lab_Mat!$K$5:$N$5,0))*$M27*INDEX(Act_Type_Repex_Splits,MATCH($I27,Act_Type_Repex,0),MATCH(AT$4,Mat_Type,0))*INDEX(Escalators!$I$44:$U$49,MATCH(AT$4,Escalators!$C$44:$C$49,0),MATCH(AT$5,Escalators!$I$43:$U$43,0))</f>
        <v>0</v>
      </c>
      <c r="AU27" s="539">
        <f>INDEX(Lab_Mat!$K$6:$N$9,MATCH($H27,Lab_Mat!$J$6:$J$9,0),MATCH($AY$4,Lab_Mat!$K$5:$N$5,0))*$M27*INDEX(Act_Type_Repex_Splits,MATCH($I27,Act_Type_Repex,0),MATCH(AU$4,Mat_Type,0))*INDEX(Escalators!$I$44:$U$49,MATCH(AU$4,Escalators!$C$44:$C$49,0),MATCH(AU$5,Escalators!$I$43:$U$43,0))</f>
        <v>0</v>
      </c>
      <c r="AV27" s="539">
        <f>INDEX(Lab_Mat!$K$6:$N$9,MATCH($H27,Lab_Mat!$J$6:$J$9,0),MATCH($AY$4,Lab_Mat!$K$5:$N$5,0))*$M27*INDEX(Act_Type_Repex_Splits,MATCH($I27,Act_Type_Repex,0),MATCH(AV$4,Mat_Type,0))*INDEX(Escalators!$I$44:$U$49,MATCH(AV$4,Escalators!$C$44:$C$49,0),MATCH(AV$5,Escalators!$I$43:$U$43,0))</f>
        <v>6.5851053519290765</v>
      </c>
      <c r="AW27" s="539">
        <f>INDEX(Lab_Mat!$K$6:$N$9,MATCH($H27,Lab_Mat!$J$6:$J$9,0),MATCH($AY$4,Lab_Mat!$K$5:$N$5,0))*$M27*INDEX(Act_Type_Repex_Splits,MATCH($I27,Act_Type_Repex,0),MATCH(AW$4,Mat_Type,0))*INDEX(Escalators!$I$44:$U$49,MATCH(AW$4,Escalators!$C$44:$C$49,0),MATCH(AW$5,Escalators!$I$43:$U$43,0))</f>
        <v>0</v>
      </c>
      <c r="AX27" s="539">
        <f>INDEX(Lab_Mat!$K$6:$N$9,MATCH($H27,Lab_Mat!$J$6:$J$9,0),MATCH($AY$4,Lab_Mat!$K$5:$N$5,0))*$M27*INDEX(Act_Type_Repex_Splits,MATCH($I27,Act_Type_Repex,0),MATCH(AX$4,Mat_Type,0))*INDEX(Escalators!$I$44:$U$49,MATCH(AX$4,Escalators!$C$44:$C$49,0),MATCH(AX$5,Escalators!$I$43:$U$43,0))</f>
        <v>26.340421407716306</v>
      </c>
      <c r="AY27" s="128">
        <f t="shared" si="59"/>
        <v>32.925526759645379</v>
      </c>
      <c r="AZ27" s="539">
        <f>INDEX(Lab_Mat!$K$6:$N$9,MATCH($H27,Lab_Mat!$J$6:$J$9,0),MATCH($BE$4,Lab_Mat!$K$5:$N$5,0))*$N27*INDEX(Act_Type_Repex_Splits,MATCH($I27,Act_Type_Repex,0),MATCH(AZ$4,Mat_Type,0))*INDEX(Escalators!$I$44:$U$49,MATCH(AZ$4,Escalators!$C$44:$C$49,0),MATCH(AZ$5,Escalators!$I$43:$U$43,0))</f>
        <v>0</v>
      </c>
      <c r="BA27" s="539">
        <f>INDEX(Lab_Mat!$K$6:$N$9,MATCH($H27,Lab_Mat!$J$6:$J$9,0),MATCH($BE$4,Lab_Mat!$K$5:$N$5,0))*$N27*INDEX(Act_Type_Repex_Splits,MATCH($I27,Act_Type_Repex,0),MATCH(BA$4,Mat_Type,0))*INDEX(Escalators!$I$44:$U$49,MATCH(BA$4,Escalators!$C$44:$C$49,0),MATCH(BA$5,Escalators!$I$43:$U$43,0))</f>
        <v>0</v>
      </c>
      <c r="BB27" s="539">
        <f>INDEX(Lab_Mat!$K$6:$N$9,MATCH($H27,Lab_Mat!$J$6:$J$9,0),MATCH($BE$4,Lab_Mat!$K$5:$N$5,0))*$N27*INDEX(Act_Type_Repex_Splits,MATCH($I27,Act_Type_Repex,0),MATCH(BB$4,Mat_Type,0))*INDEX(Escalators!$I$44:$U$49,MATCH(BB$4,Escalators!$C$44:$C$49,0),MATCH(BB$5,Escalators!$I$43:$U$43,0))</f>
        <v>2.5969429556903405</v>
      </c>
      <c r="BC27" s="539">
        <f>INDEX(Lab_Mat!$K$6:$N$9,MATCH($H27,Lab_Mat!$J$6:$J$9,0),MATCH($BE$4,Lab_Mat!$K$5:$N$5,0))*$N27*INDEX(Act_Type_Repex_Splits,MATCH($I27,Act_Type_Repex,0),MATCH(BC$4,Mat_Type,0))*INDEX(Escalators!$I$44:$U$49,MATCH(BC$4,Escalators!$C$44:$C$49,0),MATCH(BC$5,Escalators!$I$43:$U$43,0))</f>
        <v>0</v>
      </c>
      <c r="BD27" s="539">
        <f>INDEX(Lab_Mat!$K$6:$N$9,MATCH($H27,Lab_Mat!$J$6:$J$9,0),MATCH($BE$4,Lab_Mat!$K$5:$N$5,0))*$N27*INDEX(Act_Type_Repex_Splits,MATCH($I27,Act_Type_Repex,0),MATCH(BD$4,Mat_Type,0))*INDEX(Escalators!$I$44:$U$49,MATCH(BD$4,Escalators!$C$44:$C$49,0),MATCH(BD$5,Escalators!$I$43:$U$43,0))</f>
        <v>10.387771822761362</v>
      </c>
      <c r="BE27" s="128">
        <f t="shared" si="60"/>
        <v>12.984714778451703</v>
      </c>
      <c r="BF27" s="539">
        <f>INDEX(Lab_Mat!$K$6:$N$9,MATCH($H27,Lab_Mat!$J$6:$J$9,0),MATCH($BK$4,Lab_Mat!$K$5:$N$5,0))*$O27*INDEX(Act_Type_Repex_Splits,MATCH($I27,Act_Type_Repex,0),MATCH(BF$4,Mat_Type,0))*INDEX(Escalators!$I$44:$U$49,MATCH(BF$4,Escalators!$C$44:$C$49,0),MATCH(BF$5,Escalators!$I$43:$U$43,0))</f>
        <v>0</v>
      </c>
      <c r="BG27" s="539">
        <f>INDEX(Lab_Mat!$K$6:$N$9,MATCH($H27,Lab_Mat!$J$6:$J$9,0),MATCH($BK$4,Lab_Mat!$K$5:$N$5,0))*$O27*INDEX(Act_Type_Repex_Splits,MATCH($I27,Act_Type_Repex,0),MATCH(BG$4,Mat_Type,0))*INDEX(Escalators!$I$44:$U$49,MATCH(BG$4,Escalators!$C$44:$C$49,0),MATCH(BG$5,Escalators!$I$43:$U$43,0))</f>
        <v>0</v>
      </c>
      <c r="BH27" s="539">
        <f>INDEX(Lab_Mat!$K$6:$N$9,MATCH($H27,Lab_Mat!$J$6:$J$9,0),MATCH($BK$4,Lab_Mat!$K$5:$N$5,0))*$O27*INDEX(Act_Type_Repex_Splits,MATCH($I27,Act_Type_Repex,0),MATCH(BH$4,Mat_Type,0))*INDEX(Escalators!$I$44:$U$49,MATCH(BH$4,Escalators!$C$44:$C$49,0),MATCH(BH$5,Escalators!$I$43:$U$43,0))</f>
        <v>0</v>
      </c>
      <c r="BI27" s="539">
        <f>INDEX(Lab_Mat!$K$6:$N$9,MATCH($H27,Lab_Mat!$J$6:$J$9,0),MATCH($BK$4,Lab_Mat!$K$5:$N$5,0))*$O27*INDEX(Act_Type_Repex_Splits,MATCH($I27,Act_Type_Repex,0),MATCH(BI$4,Mat_Type,0))*INDEX(Escalators!$I$44:$U$49,MATCH(BI$4,Escalators!$C$44:$C$49,0),MATCH(BI$5,Escalators!$I$43:$U$43,0))</f>
        <v>0</v>
      </c>
      <c r="BJ27" s="539">
        <f>INDEX(Lab_Mat!$K$6:$N$9,MATCH($H27,Lab_Mat!$J$6:$J$9,0),MATCH($BK$4,Lab_Mat!$K$5:$N$5,0))*$O27*INDEX(Act_Type_Repex_Splits,MATCH($I27,Act_Type_Repex,0),MATCH(BJ$4,Mat_Type,0))*INDEX(Escalators!$I$44:$U$49,MATCH(BJ$4,Escalators!$C$44:$C$49,0),MATCH(BJ$5,Escalators!$I$43:$U$43,0))</f>
        <v>0</v>
      </c>
      <c r="BK27" s="128">
        <f t="shared" si="61"/>
        <v>0</v>
      </c>
      <c r="BL27" s="539">
        <f>INDEX(Lab_Mat!$K$6:$N$9,MATCH($H27,Lab_Mat!$J$6:$J$9,0),MATCH($BQ$4,Lab_Mat!$K$5:$N$5,0))*$P27*INDEX(Act_Type_Repex_Splits,MATCH($I27,Act_Type_Repex,0),MATCH(BL$4,Mat_Type,0))*INDEX(Escalators!$I$44:$U$49,MATCH(BL$4,Escalators!$C$44:$C$49,0),MATCH(BL$5,Escalators!$I$43:$U$43,0))</f>
        <v>0</v>
      </c>
      <c r="BM27" s="539">
        <f>INDEX(Lab_Mat!$K$6:$N$9,MATCH($H27,Lab_Mat!$J$6:$J$9,0),MATCH($BQ$4,Lab_Mat!$K$5:$N$5,0))*$P27*INDEX(Act_Type_Repex_Splits,MATCH($I27,Act_Type_Repex,0),MATCH(BM$4,Mat_Type,0))*INDEX(Escalators!$I$44:$U$49,MATCH(BM$4,Escalators!$C$44:$C$49,0),MATCH(BM$5,Escalators!$I$43:$U$43,0))</f>
        <v>0</v>
      </c>
      <c r="BN27" s="539">
        <f>INDEX(Lab_Mat!$K$6:$N$9,MATCH($H27,Lab_Mat!$J$6:$J$9,0),MATCH($BQ$4,Lab_Mat!$K$5:$N$5,0))*$P27*INDEX(Act_Type_Repex_Splits,MATCH($I27,Act_Type_Repex,0),MATCH(BN$4,Mat_Type,0))*INDEX(Escalators!$I$44:$U$49,MATCH(BN$4,Escalators!$C$44:$C$49,0),MATCH(BN$5,Escalators!$I$43:$U$43,0))</f>
        <v>0</v>
      </c>
      <c r="BO27" s="539">
        <f>INDEX(Lab_Mat!$K$6:$N$9,MATCH($H27,Lab_Mat!$J$6:$J$9,0),MATCH($BQ$4,Lab_Mat!$K$5:$N$5,0))*$P27*INDEX(Act_Type_Repex_Splits,MATCH($I27,Act_Type_Repex,0),MATCH(BO$4,Mat_Type,0))*INDEX(Escalators!$I$44:$U$49,MATCH(BO$4,Escalators!$C$44:$C$49,0),MATCH(BO$5,Escalators!$I$43:$U$43,0))</f>
        <v>0</v>
      </c>
      <c r="BP27" s="539">
        <f>INDEX(Lab_Mat!$K$6:$N$9,MATCH($H27,Lab_Mat!$J$6:$J$9,0),MATCH($BQ$4,Lab_Mat!$K$5:$N$5,0))*$P27*INDEX(Act_Type_Repex_Splits,MATCH($I27,Act_Type_Repex,0),MATCH(BP$4,Mat_Type,0))*INDEX(Escalators!$I$44:$U$49,MATCH(BP$4,Escalators!$C$44:$C$49,0),MATCH(BP$5,Escalators!$I$43:$U$43,0))</f>
        <v>0</v>
      </c>
      <c r="BQ27" s="128">
        <f t="shared" si="62"/>
        <v>0</v>
      </c>
      <c r="BR27" s="539">
        <f>INDEX(Lab_Mat!$K$6:$N$9,MATCH($H27,Lab_Mat!$J$6:$J$9,0),MATCH($BW$4,Lab_Mat!$K$5:$N$5,0))*$Q27*INDEX(Act_Type_Repex_Splits,MATCH($I27,Act_Type_Repex,0),MATCH(BR$4,Mat_Type,0))*INDEX(Escalators!$I$44:$U$49,MATCH(BR$4,Escalators!$C$44:$C$49,0),MATCH(BR$5,Escalators!$I$43:$U$43,0))</f>
        <v>0</v>
      </c>
      <c r="BS27" s="539">
        <f>INDEX(Lab_Mat!$K$6:$N$9,MATCH($H27,Lab_Mat!$J$6:$J$9,0),MATCH($BW$4,Lab_Mat!$K$5:$N$5,0))*$Q27*INDEX(Act_Type_Repex_Splits,MATCH($I27,Act_Type_Repex,0),MATCH(BS$4,Mat_Type,0))*INDEX(Escalators!$I$44:$U$49,MATCH(BS$4,Escalators!$C$44:$C$49,0),MATCH(BS$5,Escalators!$I$43:$U$43,0))</f>
        <v>0</v>
      </c>
      <c r="BT27" s="539">
        <f>INDEX(Lab_Mat!$K$6:$N$9,MATCH($H27,Lab_Mat!$J$6:$J$9,0),MATCH($BW$4,Lab_Mat!$K$5:$N$5,0))*$Q27*INDEX(Act_Type_Repex_Splits,MATCH($I27,Act_Type_Repex,0),MATCH(BT$4,Mat_Type,0))*INDEX(Escalators!$I$44:$U$49,MATCH(BT$4,Escalators!$C$44:$C$49,0),MATCH(BT$5,Escalators!$I$43:$U$43,0))</f>
        <v>0</v>
      </c>
      <c r="BU27" s="539">
        <f>INDEX(Lab_Mat!$K$6:$N$9,MATCH($H27,Lab_Mat!$J$6:$J$9,0),MATCH($BW$4,Lab_Mat!$K$5:$N$5,0))*$Q27*INDEX(Act_Type_Repex_Splits,MATCH($I27,Act_Type_Repex,0),MATCH(BU$4,Mat_Type,0))*INDEX(Escalators!$I$44:$U$49,MATCH(BU$4,Escalators!$C$44:$C$49,0),MATCH(BU$5,Escalators!$I$43:$U$43,0))</f>
        <v>0</v>
      </c>
      <c r="BV27" s="539">
        <f>INDEX(Lab_Mat!$K$6:$N$9,MATCH($H27,Lab_Mat!$J$6:$J$9,0),MATCH($BW$4,Lab_Mat!$K$5:$N$5,0))*$Q27*INDEX(Act_Type_Repex_Splits,MATCH($I27,Act_Type_Repex,0),MATCH(BV$4,Mat_Type,0))*INDEX(Escalators!$I$44:$U$49,MATCH(BV$4,Escalators!$C$44:$C$49,0),MATCH(BV$5,Escalators!$I$43:$U$43,0))</f>
        <v>0</v>
      </c>
      <c r="BW27" s="128">
        <f t="shared" si="63"/>
        <v>0</v>
      </c>
      <c r="BX27" s="129"/>
      <c r="BY27" s="128">
        <f>INDEX(Lab_Mat!$K$6:$N$9,MATCH($H27,Lab_Mat!$J$6:$J$9,0),MATCH($BY$4,Lab_Mat!$K$5:$N$5,0))*J27*HLOOKUP(BY$5,Escalators!$I$25:$U$30,6,FALSE)</f>
        <v>0</v>
      </c>
      <c r="BZ27" s="128">
        <f>INDEX(Lab_Mat!$K$6:$N$9,MATCH($H27,Lab_Mat!$J$6:$J$9,0),MATCH($BY$4,Lab_Mat!$K$5:$N$5,0))*K27*HLOOKUP(BZ$5,Escalators!$I$25:$U$30,6,FALSE)</f>
        <v>0</v>
      </c>
      <c r="CA27" s="128">
        <f>INDEX(Lab_Mat!$K$6:$N$9,MATCH($H27,Lab_Mat!$J$6:$J$9,0),MATCH($BY$4,Lab_Mat!$K$5:$N$5,0))*L27*HLOOKUP(CA$5,Escalators!$I$25:$U$30,6,FALSE)</f>
        <v>0</v>
      </c>
      <c r="CB27" s="128">
        <f>INDEX(Lab_Mat!$K$6:$N$9,MATCH($H27,Lab_Mat!$J$6:$J$9,0),MATCH($BY$4,Lab_Mat!$K$5:$N$5,0))*M27*HLOOKUP(CB$5,Escalators!$I$25:$U$30,6,FALSE)</f>
        <v>11.954102765983185</v>
      </c>
      <c r="CC27" s="128">
        <f>INDEX(Lab_Mat!$K$6:$N$9,MATCH($H27,Lab_Mat!$J$6:$J$9,0),MATCH($BY$4,Lab_Mat!$K$5:$N$5,0))*N27*HLOOKUP(CC$5,Escalators!$I$25:$U$30,6,FALSE)</f>
        <v>4.7142940485567495</v>
      </c>
      <c r="CD27" s="128">
        <f>INDEX(Lab_Mat!$K$6:$N$9,MATCH($H27,Lab_Mat!$J$6:$J$9,0),MATCH($BY$4,Lab_Mat!$K$5:$N$5,0))*O27*HLOOKUP(CD$5,Escalators!$I$25:$U$30,6,FALSE)</f>
        <v>0</v>
      </c>
      <c r="CE27" s="128">
        <f>INDEX(Lab_Mat!$K$6:$N$9,MATCH($H27,Lab_Mat!$J$6:$J$9,0),MATCH($BY$4,Lab_Mat!$K$5:$N$5,0))*P27*HLOOKUP(CE$5,Escalators!$I$25:$U$30,6,FALSE)</f>
        <v>0</v>
      </c>
      <c r="CF27" s="128">
        <f>INDEX(Lab_Mat!$K$6:$N$9,MATCH($H27,Lab_Mat!$J$6:$J$9,0),MATCH($BY$4,Lab_Mat!$K$5:$N$5,0))*Q27*HLOOKUP(CF$5,Escalators!$I$25:$U$30,6,FALSE)</f>
        <v>0</v>
      </c>
      <c r="CG27" s="129"/>
      <c r="CH27" s="763">
        <f>INDEX(Lab_Mat!$K$6:$N$9,MATCH($H27,Lab_Mat!$J$6:$J$9,0),MATCH($CH$4,Lab_Mat!$K$5:$N$5,0))*J27</f>
        <v>0</v>
      </c>
      <c r="CI27" s="763">
        <f>INDEX(Lab_Mat!$K$6:$N$9,MATCH($H27,Lab_Mat!$J$6:$J$9,0),MATCH($CH$4,Lab_Mat!$K$5:$N$5,0))*K27</f>
        <v>0</v>
      </c>
      <c r="CJ27" s="763">
        <f>INDEX(Lab_Mat!$K$6:$N$9,MATCH($H27,Lab_Mat!$J$6:$J$9,0),MATCH($CH$4,Lab_Mat!$K$5:$N$5,0))*L27</f>
        <v>0</v>
      </c>
      <c r="CK27" s="763">
        <f>INDEX(Lab_Mat!$K$6:$N$9,MATCH($H27,Lab_Mat!$J$6:$J$9,0),MATCH($CH$4,Lab_Mat!$K$5:$N$5,0))*M27</f>
        <v>4.7545566351694379</v>
      </c>
      <c r="CL27" s="763">
        <f>INDEX(Lab_Mat!$K$6:$N$9,MATCH($H27,Lab_Mat!$J$6:$J$9,0),MATCH($CH$4,Lab_Mat!$K$5:$N$5,0))*N27</f>
        <v>1.8750364195034404</v>
      </c>
      <c r="CM27" s="763">
        <f>INDEX(Lab_Mat!$K$6:$N$9,MATCH($H27,Lab_Mat!$J$6:$J$9,0),MATCH($CH$4,Lab_Mat!$K$5:$N$5,0))*O27</f>
        <v>0</v>
      </c>
      <c r="CN27" s="763">
        <f>INDEX(Lab_Mat!$K$6:$N$9,MATCH($H27,Lab_Mat!$J$6:$J$9,0),MATCH($CH$4,Lab_Mat!$K$5:$N$5,0))*P27</f>
        <v>0</v>
      </c>
      <c r="CO27" s="763">
        <f>INDEX(Lab_Mat!$K$6:$N$9,MATCH($H27,Lab_Mat!$J$6:$J$9,0),MATCH($CH$4,Lab_Mat!$K$5:$N$5,0))*Q27</f>
        <v>0</v>
      </c>
      <c r="CP27" s="129"/>
      <c r="CQ27" s="128">
        <f t="shared" ref="CQ27:CQ29" si="64">S27+AG27+BY27+CH27</f>
        <v>0</v>
      </c>
      <c r="CR27" s="128">
        <f t="shared" ref="CR27:CR29" si="65">T27+AM27+BZ27+CI27</f>
        <v>0</v>
      </c>
      <c r="CS27" s="128">
        <f t="shared" si="55"/>
        <v>0</v>
      </c>
      <c r="CT27" s="128">
        <f t="shared" ref="CT27:CT29" si="66">V27+AY27+CB27+CK27</f>
        <v>61.020996600698133</v>
      </c>
      <c r="CU27" s="128">
        <f t="shared" ref="CU27:CU29" si="67">W27+BE27+CC27+CL27</f>
        <v>24.053402109638537</v>
      </c>
      <c r="CV27" s="128">
        <f t="shared" ref="CV27:CV29" si="68">X27+BK27+CD27+CM27</f>
        <v>0</v>
      </c>
      <c r="CW27" s="128">
        <f t="shared" ref="CW27:CW29" si="69">Y27+BQ27+CE27+CN27</f>
        <v>0</v>
      </c>
      <c r="CX27" s="128">
        <f t="shared" ref="CX27:CX29" si="70">Z27+BW27+CF27+CO27</f>
        <v>0</v>
      </c>
    </row>
    <row r="28" spans="2:109" hidden="1" x14ac:dyDescent="0.25">
      <c r="B28" s="7"/>
      <c r="C28" s="7" t="s">
        <v>417</v>
      </c>
      <c r="D28" s="7" t="s">
        <v>409</v>
      </c>
      <c r="E28" s="7" t="s">
        <v>50</v>
      </c>
      <c r="F28" s="7" t="s">
        <v>55</v>
      </c>
      <c r="G28" s="7" t="s">
        <v>34</v>
      </c>
      <c r="H28" s="7" t="s">
        <v>563</v>
      </c>
      <c r="I28" s="7" t="s">
        <v>5</v>
      </c>
      <c r="J28" s="45"/>
      <c r="K28" s="45"/>
      <c r="L28" s="45"/>
      <c r="M28" s="539">
        <v>0</v>
      </c>
      <c r="N28" s="539">
        <v>0</v>
      </c>
      <c r="O28" s="539">
        <v>0</v>
      </c>
      <c r="P28" s="539"/>
      <c r="Q28" s="539"/>
      <c r="R28" s="241"/>
      <c r="S28" s="539">
        <f>INDEX(Lab_Mat!$K$6:$N$9,MATCH($H28,Lab_Mat!$J$6:$J$9,0),MATCH($S$4,Lab_Mat!$K$5:$N$5,0))*J28*HLOOKUP(S$5,Escalators!$I$25:$U$30,3,FALSE)</f>
        <v>0</v>
      </c>
      <c r="T28" s="539">
        <f>INDEX(Lab_Mat!$K$6:$N$9,MATCH($H28,Lab_Mat!$J$6:$J$9,0),MATCH($S$4,Lab_Mat!$K$5:$N$5,0))*K28*HLOOKUP(T$5,Escalators!$I$25:$U$30,3,FALSE)</f>
        <v>0</v>
      </c>
      <c r="U28" s="539">
        <f>INDEX(Lab_Mat!$K$6:$N$9,MATCH($H28,Lab_Mat!$J$6:$J$9,0),MATCH($S$4,Lab_Mat!$K$5:$N$5,0))*L28*HLOOKUP(U$5,Escalators!$I$25:$U$30,3,FALSE)</f>
        <v>0</v>
      </c>
      <c r="V28" s="539">
        <f>INDEX(Lab_Mat!$K$6:$N$9,MATCH($H28,Lab_Mat!$J$6:$J$9,0),MATCH($S$4,Lab_Mat!$K$5:$N$5,0))*M28*HLOOKUP(V$5,Escalators!$I$25:$U$30,3,FALSE)</f>
        <v>0</v>
      </c>
      <c r="W28" s="539">
        <f>INDEX(Lab_Mat!$K$6:$N$9,MATCH($H28,Lab_Mat!$J$6:$J$9,0),MATCH($S$4,Lab_Mat!$K$5:$N$5,0))*N28*HLOOKUP(W$5,Escalators!$I$25:$U$30,3,FALSE)</f>
        <v>0</v>
      </c>
      <c r="X28" s="539">
        <f>INDEX(Lab_Mat!$K$6:$N$9,MATCH($H28,Lab_Mat!$J$6:$J$9,0),MATCH($S$4,Lab_Mat!$K$5:$N$5,0))*O28*HLOOKUP(X$5,Escalators!$I$25:$U$30,3,FALSE)</f>
        <v>0</v>
      </c>
      <c r="Y28" s="539">
        <f>INDEX(Lab_Mat!$K$6:$N$9,MATCH($H28,Lab_Mat!$J$6:$J$9,0),MATCH($S$4,Lab_Mat!$K$5:$N$5,0))*P28*HLOOKUP(Y$5,Escalators!$I$25:$U$30,3,FALSE)</f>
        <v>0</v>
      </c>
      <c r="Z28" s="539">
        <f>INDEX(Lab_Mat!$K$6:$N$9,MATCH($H28,Lab_Mat!$J$6:$J$9,0),MATCH($S$4,Lab_Mat!$K$5:$N$5,0))*Q28*HLOOKUP(Z$5,Escalators!$I$25:$U$30,3,FALSE)</f>
        <v>0</v>
      </c>
      <c r="AA28" s="241"/>
      <c r="AB28" s="539">
        <f>INDEX(Lab_Mat!$K$6:$N$9,MATCH($H28,Lab_Mat!$J$6:$J$9,0),MATCH($AG$4,Lab_Mat!$K$5:$N$5,0))*$J28*INDEX(Act_Type_Repex_Splits,MATCH($I28,Act_Type_Repex,0),MATCH(AB$4,Mat_Type,0))*INDEX(Escalators!$I$44:$Q$49,MATCH(AB$4,Escalators!$C$44:$C$49,0),MATCH(AB$5,Escalators!$I$43:$Q$43,0))</f>
        <v>0</v>
      </c>
      <c r="AC28" s="539">
        <f>INDEX(Lab_Mat!$K$6:$N$9,MATCH($H28,Lab_Mat!$J$6:$J$9,0),MATCH($AG$4,Lab_Mat!$K$5:$N$5,0))*$J28*INDEX(Act_Type_Repex_Splits,MATCH($I28,Act_Type_Repex,0),MATCH(AC$4,Mat_Type,0))*INDEX(Escalators!$I$44:$Q$49,MATCH(AC$4,Escalators!$C$44:$C$49,0),MATCH(AC$5,Escalators!$I$43:$Q$43,0))</f>
        <v>0</v>
      </c>
      <c r="AD28" s="539">
        <f>INDEX(Lab_Mat!$K$6:$N$9,MATCH($H28,Lab_Mat!$J$6:$J$9,0),MATCH($AG$4,Lab_Mat!$K$5:$N$5,0))*$J28*INDEX(Act_Type_Repex_Splits,MATCH($I28,Act_Type_Repex,0),MATCH(AD$4,Mat_Type,0))*INDEX(Escalators!$I$44:$Q$49,MATCH(AD$4,Escalators!$C$44:$C$49,0),MATCH(AD$5,Escalators!$I$43:$Q$43,0))</f>
        <v>0</v>
      </c>
      <c r="AE28" s="539">
        <f>INDEX(Lab_Mat!$K$6:$N$9,MATCH($H28,Lab_Mat!$J$6:$J$9,0),MATCH($AG$4,Lab_Mat!$K$5:$N$5,0))*$J28*INDEX(Act_Type_Repex_Splits,MATCH($I28,Act_Type_Repex,0),MATCH(AE$4,Mat_Type,0))*INDEX(Escalators!$I$44:$Q$49,MATCH(AE$4,Escalators!$C$44:$C$49,0),MATCH(AE$5,Escalators!$I$43:$Q$43,0))</f>
        <v>0</v>
      </c>
      <c r="AF28" s="539">
        <f>INDEX(Lab_Mat!$K$6:$N$9,MATCH($H28,Lab_Mat!$J$6:$J$9,0),MATCH($AG$4,Lab_Mat!$K$5:$N$5,0))*$J28*INDEX(Act_Type_Repex_Splits,MATCH($I28,Act_Type_Repex,0),MATCH(AF$4,Mat_Type,0))*INDEX(Escalators!$I$44:$Q$49,MATCH(AF$4,Escalators!$C$44:$C$49,0),MATCH(AF$5,Escalators!$I$43:$Q$43,0))</f>
        <v>0</v>
      </c>
      <c r="AG28" s="539">
        <f t="shared" si="56"/>
        <v>0</v>
      </c>
      <c r="AH28" s="539">
        <f>INDEX(Lab_Mat!$K$6:$N$9,MATCH($H28,Lab_Mat!$J$6:$J$9,0),MATCH($AY$4,Lab_Mat!$K$5:$N$5,0))*$K28*INDEX(Act_Type_Repex_Splits,MATCH($I28,Act_Type_Repex,0),MATCH(AH$4,Mat_Type,0))*INDEX(Escalators!$I$44:$U$49,MATCH(AH$4,Escalators!$C$44:$C$49,0),MATCH(AH$5,Escalators!$I$43:$U$43,0))</f>
        <v>0</v>
      </c>
      <c r="AI28" s="539">
        <f>INDEX(Lab_Mat!$K$6:$N$9,MATCH($H28,Lab_Mat!$J$6:$J$9,0),MATCH($AY$4,Lab_Mat!$K$5:$N$5,0))*$K28*INDEX(Act_Type_Repex_Splits,MATCH($I28,Act_Type_Repex,0),MATCH(AI$4,Mat_Type,0))*INDEX(Escalators!$I$44:$U$49,MATCH(AI$4,Escalators!$C$44:$C$49,0),MATCH(AI$5,Escalators!$I$43:$U$43,0))</f>
        <v>0</v>
      </c>
      <c r="AJ28" s="539">
        <f>INDEX(Lab_Mat!$K$6:$N$9,MATCH($H28,Lab_Mat!$J$6:$J$9,0),MATCH($AY$4,Lab_Mat!$K$5:$N$5,0))*$K28*INDEX(Act_Type_Repex_Splits,MATCH($I28,Act_Type_Repex,0),MATCH(AJ$4,Mat_Type,0))*INDEX(Escalators!$I$44:$U$49,MATCH(AJ$4,Escalators!$C$44:$C$49,0),MATCH(AJ$5,Escalators!$I$43:$U$43,0))</f>
        <v>0</v>
      </c>
      <c r="AK28" s="539">
        <f>INDEX(Lab_Mat!$K$6:$N$9,MATCH($H28,Lab_Mat!$J$6:$J$9,0),MATCH($AY$4,Lab_Mat!$K$5:$N$5,0))*$K28*INDEX(Act_Type_Repex_Splits,MATCH($I28,Act_Type_Repex,0),MATCH(AK$4,Mat_Type,0))*INDEX(Escalators!$I$44:$U$49,MATCH(AK$4,Escalators!$C$44:$C$49,0),MATCH(AK$5,Escalators!$I$43:$U$43,0))</f>
        <v>0</v>
      </c>
      <c r="AL28" s="539">
        <f>INDEX(Lab_Mat!$K$6:$N$9,MATCH($H28,Lab_Mat!$J$6:$J$9,0),MATCH($AY$4,Lab_Mat!$K$5:$N$5,0))*$K28*INDEX(Act_Type_Repex_Splits,MATCH($I28,Act_Type_Repex,0),MATCH(AL$4,Mat_Type,0))*INDEX(Escalators!$I$44:$U$49,MATCH(AL$4,Escalators!$C$44:$C$49,0),MATCH(AL$5,Escalators!$I$43:$U$43,0))</f>
        <v>0</v>
      </c>
      <c r="AM28" s="539">
        <f t="shared" si="57"/>
        <v>0</v>
      </c>
      <c r="AN28" s="539">
        <f>INDEX(Lab_Mat!$K$6:$N$9,MATCH($H28,Lab_Mat!$J$6:$J$9,0),MATCH($AY$4,Lab_Mat!$K$5:$N$5,0))*$L28*INDEX(Act_Type_Repex_Splits,MATCH($I28,Act_Type_Repex,0),MATCH(AN$4,Mat_Type,0))*INDEX(Escalators!$I$44:$U$49,MATCH(AN$4,Escalators!$C$44:$C$49,0),MATCH(AN$5,Escalators!$I$43:$U$43,0))</f>
        <v>0</v>
      </c>
      <c r="AO28" s="539">
        <f>INDEX(Lab_Mat!$K$6:$N$9,MATCH($H28,Lab_Mat!$J$6:$J$9,0),MATCH($AY$4,Lab_Mat!$K$5:$N$5,0))*$L28*INDEX(Act_Type_Repex_Splits,MATCH($I28,Act_Type_Repex,0),MATCH(AO$4,Mat_Type,0))*INDEX(Escalators!$I$44:$U$49,MATCH(AO$4,Escalators!$C$44:$C$49,0),MATCH(AO$5,Escalators!$I$43:$U$43,0))</f>
        <v>0</v>
      </c>
      <c r="AP28" s="539">
        <f>INDEX(Lab_Mat!$K$6:$N$9,MATCH($H28,Lab_Mat!$J$6:$J$9,0),MATCH($AY$4,Lab_Mat!$K$5:$N$5,0))*$L28*INDEX(Act_Type_Repex_Splits,MATCH($I28,Act_Type_Repex,0),MATCH(AP$4,Mat_Type,0))*INDEX(Escalators!$I$44:$U$49,MATCH(AP$4,Escalators!$C$44:$C$49,0),MATCH(AP$5,Escalators!$I$43:$U$43,0))</f>
        <v>0</v>
      </c>
      <c r="AQ28" s="539">
        <f>INDEX(Lab_Mat!$K$6:$N$9,MATCH($H28,Lab_Mat!$J$6:$J$9,0),MATCH($AY$4,Lab_Mat!$K$5:$N$5,0))*$L28*INDEX(Act_Type_Repex_Splits,MATCH($I28,Act_Type_Repex,0),MATCH(AQ$4,Mat_Type,0))*INDEX(Escalators!$I$44:$U$49,MATCH(AQ$4,Escalators!$C$44:$C$49,0),MATCH(AQ$5,Escalators!$I$43:$U$43,0))</f>
        <v>0</v>
      </c>
      <c r="AR28" s="539">
        <f>INDEX(Lab_Mat!$K$6:$N$9,MATCH($H28,Lab_Mat!$J$6:$J$9,0),MATCH($AY$4,Lab_Mat!$K$5:$N$5,0))*$L28*INDEX(Act_Type_Repex_Splits,MATCH($I28,Act_Type_Repex,0),MATCH(AR$4,Mat_Type,0))*INDEX(Escalators!$I$44:$U$49,MATCH(AR$4,Escalators!$C$44:$C$49,0),MATCH(AR$5,Escalators!$I$43:$U$43,0))</f>
        <v>0</v>
      </c>
      <c r="AS28" s="539">
        <f t="shared" si="58"/>
        <v>0</v>
      </c>
      <c r="AT28" s="539">
        <f>INDEX(Lab_Mat!$K$6:$N$9,MATCH($H28,Lab_Mat!$J$6:$J$9,0),MATCH($AY$4,Lab_Mat!$K$5:$N$5,0))*$M28*INDEX(Act_Type_Repex_Splits,MATCH($I28,Act_Type_Repex,0),MATCH(AT$4,Mat_Type,0))*INDEX(Escalators!$I$44:$U$49,MATCH(AT$4,Escalators!$C$44:$C$49,0),MATCH(AT$5,Escalators!$I$43:$U$43,0))</f>
        <v>0</v>
      </c>
      <c r="AU28" s="539">
        <f>INDEX(Lab_Mat!$K$6:$N$9,MATCH($H28,Lab_Mat!$J$6:$J$9,0),MATCH($AY$4,Lab_Mat!$K$5:$N$5,0))*$M28*INDEX(Act_Type_Repex_Splits,MATCH($I28,Act_Type_Repex,0),MATCH(AU$4,Mat_Type,0))*INDEX(Escalators!$I$44:$U$49,MATCH(AU$4,Escalators!$C$44:$C$49,0),MATCH(AU$5,Escalators!$I$43:$U$43,0))</f>
        <v>0</v>
      </c>
      <c r="AV28" s="539">
        <f>INDEX(Lab_Mat!$K$6:$N$9,MATCH($H28,Lab_Mat!$J$6:$J$9,0),MATCH($AY$4,Lab_Mat!$K$5:$N$5,0))*$M28*INDEX(Act_Type_Repex_Splits,MATCH($I28,Act_Type_Repex,0),MATCH(AV$4,Mat_Type,0))*INDEX(Escalators!$I$44:$U$49,MATCH(AV$4,Escalators!$C$44:$C$49,0),MATCH(AV$5,Escalators!$I$43:$U$43,0))</f>
        <v>0</v>
      </c>
      <c r="AW28" s="539">
        <f>INDEX(Lab_Mat!$K$6:$N$9,MATCH($H28,Lab_Mat!$J$6:$J$9,0),MATCH($AY$4,Lab_Mat!$K$5:$N$5,0))*$M28*INDEX(Act_Type_Repex_Splits,MATCH($I28,Act_Type_Repex,0),MATCH(AW$4,Mat_Type,0))*INDEX(Escalators!$I$44:$U$49,MATCH(AW$4,Escalators!$C$44:$C$49,0),MATCH(AW$5,Escalators!$I$43:$U$43,0))</f>
        <v>0</v>
      </c>
      <c r="AX28" s="539">
        <f>INDEX(Lab_Mat!$K$6:$N$9,MATCH($H28,Lab_Mat!$J$6:$J$9,0),MATCH($AY$4,Lab_Mat!$K$5:$N$5,0))*$M28*INDEX(Act_Type_Repex_Splits,MATCH($I28,Act_Type_Repex,0),MATCH(AX$4,Mat_Type,0))*INDEX(Escalators!$I$44:$U$49,MATCH(AX$4,Escalators!$C$44:$C$49,0),MATCH(AX$5,Escalators!$I$43:$U$43,0))</f>
        <v>0</v>
      </c>
      <c r="AY28" s="539">
        <f t="shared" si="59"/>
        <v>0</v>
      </c>
      <c r="AZ28" s="539">
        <f>INDEX(Lab_Mat!$K$6:$N$9,MATCH($H28,Lab_Mat!$J$6:$J$9,0),MATCH($BE$4,Lab_Mat!$K$5:$N$5,0))*$N28*INDEX(Act_Type_Repex_Splits,MATCH($I28,Act_Type_Repex,0),MATCH(AZ$4,Mat_Type,0))*INDEX(Escalators!$I$44:$U$49,MATCH(AZ$4,Escalators!$C$44:$C$49,0),MATCH(AZ$5,Escalators!$I$43:$U$43,0))</f>
        <v>0</v>
      </c>
      <c r="BA28" s="539">
        <f>INDEX(Lab_Mat!$K$6:$N$9,MATCH($H28,Lab_Mat!$J$6:$J$9,0),MATCH($BE$4,Lab_Mat!$K$5:$N$5,0))*$N28*INDEX(Act_Type_Repex_Splits,MATCH($I28,Act_Type_Repex,0),MATCH(BA$4,Mat_Type,0))*INDEX(Escalators!$I$44:$U$49,MATCH(BA$4,Escalators!$C$44:$C$49,0),MATCH(BA$5,Escalators!$I$43:$U$43,0))</f>
        <v>0</v>
      </c>
      <c r="BB28" s="539">
        <f>INDEX(Lab_Mat!$K$6:$N$9,MATCH($H28,Lab_Mat!$J$6:$J$9,0),MATCH($BE$4,Lab_Mat!$K$5:$N$5,0))*$N28*INDEX(Act_Type_Repex_Splits,MATCH($I28,Act_Type_Repex,0),MATCH(BB$4,Mat_Type,0))*INDEX(Escalators!$I$44:$U$49,MATCH(BB$4,Escalators!$C$44:$C$49,0),MATCH(BB$5,Escalators!$I$43:$U$43,0))</f>
        <v>0</v>
      </c>
      <c r="BC28" s="539">
        <f>INDEX(Lab_Mat!$K$6:$N$9,MATCH($H28,Lab_Mat!$J$6:$J$9,0),MATCH($BE$4,Lab_Mat!$K$5:$N$5,0))*$N28*INDEX(Act_Type_Repex_Splits,MATCH($I28,Act_Type_Repex,0),MATCH(BC$4,Mat_Type,0))*INDEX(Escalators!$I$44:$U$49,MATCH(BC$4,Escalators!$C$44:$C$49,0),MATCH(BC$5,Escalators!$I$43:$U$43,0))</f>
        <v>0</v>
      </c>
      <c r="BD28" s="539">
        <f>INDEX(Lab_Mat!$K$6:$N$9,MATCH($H28,Lab_Mat!$J$6:$J$9,0),MATCH($BE$4,Lab_Mat!$K$5:$N$5,0))*$N28*INDEX(Act_Type_Repex_Splits,MATCH($I28,Act_Type_Repex,0),MATCH(BD$4,Mat_Type,0))*INDEX(Escalators!$I$44:$U$49,MATCH(BD$4,Escalators!$C$44:$C$49,0),MATCH(BD$5,Escalators!$I$43:$U$43,0))</f>
        <v>0</v>
      </c>
      <c r="BE28" s="539">
        <f t="shared" si="60"/>
        <v>0</v>
      </c>
      <c r="BF28" s="539">
        <f>INDEX(Lab_Mat!$K$6:$N$9,MATCH($H28,Lab_Mat!$J$6:$J$9,0),MATCH($BK$4,Lab_Mat!$K$5:$N$5,0))*$O28*INDEX(Act_Type_Repex_Splits,MATCH($I28,Act_Type_Repex,0),MATCH(BF$4,Mat_Type,0))*INDEX(Escalators!$I$44:$U$49,MATCH(BF$4,Escalators!$C$44:$C$49,0),MATCH(BF$5,Escalators!$I$43:$U$43,0))</f>
        <v>0</v>
      </c>
      <c r="BG28" s="539">
        <f>INDEX(Lab_Mat!$K$6:$N$9,MATCH($H28,Lab_Mat!$J$6:$J$9,0),MATCH($BK$4,Lab_Mat!$K$5:$N$5,0))*$O28*INDEX(Act_Type_Repex_Splits,MATCH($I28,Act_Type_Repex,0),MATCH(BG$4,Mat_Type,0))*INDEX(Escalators!$I$44:$U$49,MATCH(BG$4,Escalators!$C$44:$C$49,0),MATCH(BG$5,Escalators!$I$43:$U$43,0))</f>
        <v>0</v>
      </c>
      <c r="BH28" s="539">
        <f>INDEX(Lab_Mat!$K$6:$N$9,MATCH($H28,Lab_Mat!$J$6:$J$9,0),MATCH($BK$4,Lab_Mat!$K$5:$N$5,0))*$O28*INDEX(Act_Type_Repex_Splits,MATCH($I28,Act_Type_Repex,0),MATCH(BH$4,Mat_Type,0))*INDEX(Escalators!$I$44:$U$49,MATCH(BH$4,Escalators!$C$44:$C$49,0),MATCH(BH$5,Escalators!$I$43:$U$43,0))</f>
        <v>0</v>
      </c>
      <c r="BI28" s="539">
        <f>INDEX(Lab_Mat!$K$6:$N$9,MATCH($H28,Lab_Mat!$J$6:$J$9,0),MATCH($BK$4,Lab_Mat!$K$5:$N$5,0))*$O28*INDEX(Act_Type_Repex_Splits,MATCH($I28,Act_Type_Repex,0),MATCH(BI$4,Mat_Type,0))*INDEX(Escalators!$I$44:$U$49,MATCH(BI$4,Escalators!$C$44:$C$49,0),MATCH(BI$5,Escalators!$I$43:$U$43,0))</f>
        <v>0</v>
      </c>
      <c r="BJ28" s="539">
        <f>INDEX(Lab_Mat!$K$6:$N$9,MATCH($H28,Lab_Mat!$J$6:$J$9,0),MATCH($BK$4,Lab_Mat!$K$5:$N$5,0))*$O28*INDEX(Act_Type_Repex_Splits,MATCH($I28,Act_Type_Repex,0),MATCH(BJ$4,Mat_Type,0))*INDEX(Escalators!$I$44:$U$49,MATCH(BJ$4,Escalators!$C$44:$C$49,0),MATCH(BJ$5,Escalators!$I$43:$U$43,0))</f>
        <v>0</v>
      </c>
      <c r="BK28" s="539">
        <f t="shared" si="61"/>
        <v>0</v>
      </c>
      <c r="BL28" s="539">
        <f>INDEX(Lab_Mat!$K$6:$N$9,MATCH($H28,Lab_Mat!$J$6:$J$9,0),MATCH($BQ$4,Lab_Mat!$K$5:$N$5,0))*$P28*INDEX(Act_Type_Repex_Splits,MATCH($I28,Act_Type_Repex,0),MATCH(BL$4,Mat_Type,0))*INDEX(Escalators!$I$44:$U$49,MATCH(BL$4,Escalators!$C$44:$C$49,0),MATCH(BL$5,Escalators!$I$43:$U$43,0))</f>
        <v>0</v>
      </c>
      <c r="BM28" s="539">
        <f>INDEX(Lab_Mat!$K$6:$N$9,MATCH($H28,Lab_Mat!$J$6:$J$9,0),MATCH($BQ$4,Lab_Mat!$K$5:$N$5,0))*$P28*INDEX(Act_Type_Repex_Splits,MATCH($I28,Act_Type_Repex,0),MATCH(BM$4,Mat_Type,0))*INDEX(Escalators!$I$44:$U$49,MATCH(BM$4,Escalators!$C$44:$C$49,0),MATCH(BM$5,Escalators!$I$43:$U$43,0))</f>
        <v>0</v>
      </c>
      <c r="BN28" s="539">
        <f>INDEX(Lab_Mat!$K$6:$N$9,MATCH($H28,Lab_Mat!$J$6:$J$9,0),MATCH($BQ$4,Lab_Mat!$K$5:$N$5,0))*$P28*INDEX(Act_Type_Repex_Splits,MATCH($I28,Act_Type_Repex,0),MATCH(BN$4,Mat_Type,0))*INDEX(Escalators!$I$44:$U$49,MATCH(BN$4,Escalators!$C$44:$C$49,0),MATCH(BN$5,Escalators!$I$43:$U$43,0))</f>
        <v>0</v>
      </c>
      <c r="BO28" s="539">
        <f>INDEX(Lab_Mat!$K$6:$N$9,MATCH($H28,Lab_Mat!$J$6:$J$9,0),MATCH($BQ$4,Lab_Mat!$K$5:$N$5,0))*$P28*INDEX(Act_Type_Repex_Splits,MATCH($I28,Act_Type_Repex,0),MATCH(BO$4,Mat_Type,0))*INDEX(Escalators!$I$44:$U$49,MATCH(BO$4,Escalators!$C$44:$C$49,0),MATCH(BO$5,Escalators!$I$43:$U$43,0))</f>
        <v>0</v>
      </c>
      <c r="BP28" s="539">
        <f>INDEX(Lab_Mat!$K$6:$N$9,MATCH($H28,Lab_Mat!$J$6:$J$9,0),MATCH($BQ$4,Lab_Mat!$K$5:$N$5,0))*$P28*INDEX(Act_Type_Repex_Splits,MATCH($I28,Act_Type_Repex,0),MATCH(BP$4,Mat_Type,0))*INDEX(Escalators!$I$44:$U$49,MATCH(BP$4,Escalators!$C$44:$C$49,0),MATCH(BP$5,Escalators!$I$43:$U$43,0))</f>
        <v>0</v>
      </c>
      <c r="BQ28" s="539">
        <f t="shared" si="62"/>
        <v>0</v>
      </c>
      <c r="BR28" s="539">
        <f>INDEX(Lab_Mat!$K$6:$N$9,MATCH($H28,Lab_Mat!$J$6:$J$9,0),MATCH($BW$4,Lab_Mat!$K$5:$N$5,0))*$Q28*INDEX(Act_Type_Repex_Splits,MATCH($I28,Act_Type_Repex,0),MATCH(BR$4,Mat_Type,0))*INDEX(Escalators!$I$44:$U$49,MATCH(BR$4,Escalators!$C$44:$C$49,0),MATCH(BR$5,Escalators!$I$43:$U$43,0))</f>
        <v>0</v>
      </c>
      <c r="BS28" s="539">
        <f>INDEX(Lab_Mat!$K$6:$N$9,MATCH($H28,Lab_Mat!$J$6:$J$9,0),MATCH($BW$4,Lab_Mat!$K$5:$N$5,0))*$Q28*INDEX(Act_Type_Repex_Splits,MATCH($I28,Act_Type_Repex,0),MATCH(BS$4,Mat_Type,0))*INDEX(Escalators!$I$44:$U$49,MATCH(BS$4,Escalators!$C$44:$C$49,0),MATCH(BS$5,Escalators!$I$43:$U$43,0))</f>
        <v>0</v>
      </c>
      <c r="BT28" s="539">
        <f>INDEX(Lab_Mat!$K$6:$N$9,MATCH($H28,Lab_Mat!$J$6:$J$9,0),MATCH($BW$4,Lab_Mat!$K$5:$N$5,0))*$Q28*INDEX(Act_Type_Repex_Splits,MATCH($I28,Act_Type_Repex,0),MATCH(BT$4,Mat_Type,0))*INDEX(Escalators!$I$44:$U$49,MATCH(BT$4,Escalators!$C$44:$C$49,0),MATCH(BT$5,Escalators!$I$43:$U$43,0))</f>
        <v>0</v>
      </c>
      <c r="BU28" s="539">
        <f>INDEX(Lab_Mat!$K$6:$N$9,MATCH($H28,Lab_Mat!$J$6:$J$9,0),MATCH($BW$4,Lab_Mat!$K$5:$N$5,0))*$Q28*INDEX(Act_Type_Repex_Splits,MATCH($I28,Act_Type_Repex,0),MATCH(BU$4,Mat_Type,0))*INDEX(Escalators!$I$44:$U$49,MATCH(BU$4,Escalators!$C$44:$C$49,0),MATCH(BU$5,Escalators!$I$43:$U$43,0))</f>
        <v>0</v>
      </c>
      <c r="BV28" s="539">
        <f>INDEX(Lab_Mat!$K$6:$N$9,MATCH($H28,Lab_Mat!$J$6:$J$9,0),MATCH($BW$4,Lab_Mat!$K$5:$N$5,0))*$Q28*INDEX(Act_Type_Repex_Splits,MATCH($I28,Act_Type_Repex,0),MATCH(BV$4,Mat_Type,0))*INDEX(Escalators!$I$44:$U$49,MATCH(BV$4,Escalators!$C$44:$C$49,0),MATCH(BV$5,Escalators!$I$43:$U$43,0))</f>
        <v>0</v>
      </c>
      <c r="BW28" s="539">
        <f t="shared" si="63"/>
        <v>0</v>
      </c>
      <c r="BX28" s="241"/>
      <c r="BY28" s="539">
        <f>INDEX(Lab_Mat!$K$6:$N$9,MATCH($H28,Lab_Mat!$J$6:$J$9,0),MATCH($BY$4,Lab_Mat!$K$5:$N$5,0))*J28*HLOOKUP(BY$5,Escalators!$I$25:$U$30,6,FALSE)</f>
        <v>0</v>
      </c>
      <c r="BZ28" s="539">
        <f>INDEX(Lab_Mat!$K$6:$N$9,MATCH($H28,Lab_Mat!$J$6:$J$9,0),MATCH($BY$4,Lab_Mat!$K$5:$N$5,0))*K28*HLOOKUP(BZ$5,Escalators!$I$25:$U$30,6,FALSE)</f>
        <v>0</v>
      </c>
      <c r="CA28" s="539">
        <f>INDEX(Lab_Mat!$K$6:$N$9,MATCH($H28,Lab_Mat!$J$6:$J$9,0),MATCH($BY$4,Lab_Mat!$K$5:$N$5,0))*L28*HLOOKUP(CA$5,Escalators!$I$25:$U$30,6,FALSE)</f>
        <v>0</v>
      </c>
      <c r="CB28" s="539">
        <f>INDEX(Lab_Mat!$K$6:$N$9,MATCH($H28,Lab_Mat!$J$6:$J$9,0),MATCH($BY$4,Lab_Mat!$K$5:$N$5,0))*M28*HLOOKUP(CB$5,Escalators!$I$25:$U$30,6,FALSE)</f>
        <v>0</v>
      </c>
      <c r="CC28" s="539">
        <f>INDEX(Lab_Mat!$K$6:$N$9,MATCH($H28,Lab_Mat!$J$6:$J$9,0),MATCH($BY$4,Lab_Mat!$K$5:$N$5,0))*N28*HLOOKUP(CC$5,Escalators!$I$25:$U$30,6,FALSE)</f>
        <v>0</v>
      </c>
      <c r="CD28" s="539">
        <f>INDEX(Lab_Mat!$K$6:$N$9,MATCH($H28,Lab_Mat!$J$6:$J$9,0),MATCH($BY$4,Lab_Mat!$K$5:$N$5,0))*O28*HLOOKUP(CD$5,Escalators!$I$25:$U$30,6,FALSE)</f>
        <v>0</v>
      </c>
      <c r="CE28" s="539">
        <f>INDEX(Lab_Mat!$K$6:$N$9,MATCH($H28,Lab_Mat!$J$6:$J$9,0),MATCH($BY$4,Lab_Mat!$K$5:$N$5,0))*P28*HLOOKUP(CE$5,Escalators!$I$25:$U$30,6,FALSE)</f>
        <v>0</v>
      </c>
      <c r="CF28" s="539">
        <f>INDEX(Lab_Mat!$K$6:$N$9,MATCH($H28,Lab_Mat!$J$6:$J$9,0),MATCH($BY$4,Lab_Mat!$K$5:$N$5,0))*Q28*HLOOKUP(CF$5,Escalators!$I$25:$U$30,6,FALSE)</f>
        <v>0</v>
      </c>
      <c r="CG28" s="241"/>
      <c r="CH28" s="540">
        <f>INDEX(Lab_Mat!$K$6:$N$9,MATCH($H28,Lab_Mat!$J$6:$J$9,0),MATCH($CH$4,Lab_Mat!$K$5:$N$5,0))*J28</f>
        <v>0</v>
      </c>
      <c r="CI28" s="540">
        <f>INDEX(Lab_Mat!$K$6:$N$9,MATCH($H28,Lab_Mat!$J$6:$J$9,0),MATCH($CH$4,Lab_Mat!$K$5:$N$5,0))*K28</f>
        <v>0</v>
      </c>
      <c r="CJ28" s="540">
        <f>INDEX(Lab_Mat!$K$6:$N$9,MATCH($H28,Lab_Mat!$J$6:$J$9,0),MATCH($CH$4,Lab_Mat!$K$5:$N$5,0))*L28</f>
        <v>0</v>
      </c>
      <c r="CK28" s="540">
        <f>INDEX(Lab_Mat!$K$6:$N$9,MATCH($H28,Lab_Mat!$J$6:$J$9,0),MATCH($CH$4,Lab_Mat!$K$5:$N$5,0))*M28</f>
        <v>0</v>
      </c>
      <c r="CL28" s="540">
        <f>INDEX(Lab_Mat!$K$6:$N$9,MATCH($H28,Lab_Mat!$J$6:$J$9,0),MATCH($CH$4,Lab_Mat!$K$5:$N$5,0))*N28</f>
        <v>0</v>
      </c>
      <c r="CM28" s="540">
        <f>INDEX(Lab_Mat!$K$6:$N$9,MATCH($H28,Lab_Mat!$J$6:$J$9,0),MATCH($CH$4,Lab_Mat!$K$5:$N$5,0))*O28</f>
        <v>0</v>
      </c>
      <c r="CN28" s="540">
        <f>INDEX(Lab_Mat!$K$6:$N$9,MATCH($H28,Lab_Mat!$J$6:$J$9,0),MATCH($CH$4,Lab_Mat!$K$5:$N$5,0))*P28</f>
        <v>0</v>
      </c>
      <c r="CO28" s="540">
        <f>INDEX(Lab_Mat!$K$6:$N$9,MATCH($H28,Lab_Mat!$J$6:$J$9,0),MATCH($CH$4,Lab_Mat!$K$5:$N$5,0))*Q28</f>
        <v>0</v>
      </c>
      <c r="CP28" s="241"/>
      <c r="CQ28" s="539">
        <f t="shared" si="64"/>
        <v>0</v>
      </c>
      <c r="CR28" s="539">
        <f t="shared" si="65"/>
        <v>0</v>
      </c>
      <c r="CS28" s="539">
        <f t="shared" si="55"/>
        <v>0</v>
      </c>
      <c r="CT28" s="539">
        <f t="shared" si="66"/>
        <v>0</v>
      </c>
      <c r="CU28" s="539">
        <f t="shared" si="67"/>
        <v>0</v>
      </c>
      <c r="CV28" s="539">
        <f t="shared" si="68"/>
        <v>0</v>
      </c>
      <c r="CW28" s="539">
        <f t="shared" si="69"/>
        <v>0</v>
      </c>
      <c r="CX28" s="539">
        <f t="shared" si="70"/>
        <v>0</v>
      </c>
    </row>
    <row r="29" spans="2:109" hidden="1" x14ac:dyDescent="0.25">
      <c r="B29" s="7"/>
      <c r="C29" s="7" t="s">
        <v>579</v>
      </c>
      <c r="D29" s="7" t="s">
        <v>409</v>
      </c>
      <c r="E29" s="7" t="s">
        <v>399</v>
      </c>
      <c r="F29" s="7" t="s">
        <v>55</v>
      </c>
      <c r="G29" s="7" t="s">
        <v>34</v>
      </c>
      <c r="H29" s="7" t="s">
        <v>753</v>
      </c>
      <c r="I29" s="7" t="s">
        <v>5</v>
      </c>
      <c r="J29" s="45"/>
      <c r="K29" s="45"/>
      <c r="L29" s="45"/>
      <c r="M29" s="539">
        <v>32.342179828628524</v>
      </c>
      <c r="N29" s="539">
        <v>13.124362829008676</v>
      </c>
      <c r="O29" s="539">
        <v>0</v>
      </c>
      <c r="P29" s="539"/>
      <c r="Q29" s="539"/>
      <c r="R29" s="241"/>
      <c r="S29" s="539">
        <f>INDEX(Lab_Mat!$K$6:$N$9,MATCH($H29,Lab_Mat!$J$6:$J$9,0),MATCH($S$4,Lab_Mat!$K$5:$N$5,0))*J29*HLOOKUP(S$5,Escalators!$I$25:$U$30,3,FALSE)</f>
        <v>0</v>
      </c>
      <c r="T29" s="539">
        <f>INDEX(Lab_Mat!$K$6:$N$9,MATCH($H29,Lab_Mat!$J$6:$J$9,0),MATCH($S$4,Lab_Mat!$K$5:$N$5,0))*K29*HLOOKUP(T$5,Escalators!$I$25:$U$30,3,FALSE)</f>
        <v>0</v>
      </c>
      <c r="U29" s="539">
        <f>INDEX(Lab_Mat!$K$6:$N$9,MATCH($H29,Lab_Mat!$J$6:$J$9,0),MATCH($S$4,Lab_Mat!$K$5:$N$5,0))*L29*HLOOKUP(U$5,Escalators!$I$25:$U$30,3,FALSE)</f>
        <v>0</v>
      </c>
      <c r="V29" s="539">
        <f>INDEX(Lab_Mat!$K$6:$N$9,MATCH($H29,Lab_Mat!$J$6:$J$9,0),MATCH($S$4,Lab_Mat!$K$5:$N$5,0))*M29*HLOOKUP(V$5,Escalators!$I$25:$U$30,3,FALSE)</f>
        <v>6.0552489212808656</v>
      </c>
      <c r="W29" s="539">
        <f>INDEX(Lab_Mat!$K$6:$N$9,MATCH($H29,Lab_Mat!$J$6:$J$9,0),MATCH($S$4,Lab_Mat!$K$5:$N$5,0))*N29*HLOOKUP(W$5,Escalators!$I$25:$U$30,3,FALSE)</f>
        <v>2.4510650167073065</v>
      </c>
      <c r="X29" s="539">
        <f>INDEX(Lab_Mat!$K$6:$N$9,MATCH($H29,Lab_Mat!$J$6:$J$9,0),MATCH($S$4,Lab_Mat!$K$5:$N$5,0))*O29*HLOOKUP(X$5,Escalators!$I$25:$U$30,3,FALSE)</f>
        <v>0</v>
      </c>
      <c r="Y29" s="539">
        <f>INDEX(Lab_Mat!$K$6:$N$9,MATCH($H29,Lab_Mat!$J$6:$J$9,0),MATCH($S$4,Lab_Mat!$K$5:$N$5,0))*P29*HLOOKUP(Y$5,Escalators!$I$25:$U$30,3,FALSE)</f>
        <v>0</v>
      </c>
      <c r="Z29" s="539">
        <f>INDEX(Lab_Mat!$K$6:$N$9,MATCH($H29,Lab_Mat!$J$6:$J$9,0),MATCH($S$4,Lab_Mat!$K$5:$N$5,0))*Q29*HLOOKUP(Z$5,Escalators!$I$25:$U$30,3,FALSE)</f>
        <v>0</v>
      </c>
      <c r="AA29" s="241"/>
      <c r="AB29" s="539">
        <f>INDEX(Lab_Mat!$K$6:$N$9,MATCH($H29,Lab_Mat!$J$6:$J$9,0),MATCH($AG$4,Lab_Mat!$K$5:$N$5,0))*$J29*INDEX(Act_Type_Repex_Splits,MATCH($I29,Act_Type_Repex,0),MATCH(AB$4,Mat_Type,0))*INDEX(Escalators!$I$44:$Q$49,MATCH(AB$4,Escalators!$C$44:$C$49,0),MATCH(AB$5,Escalators!$I$43:$Q$43,0))</f>
        <v>0</v>
      </c>
      <c r="AC29" s="539">
        <f>INDEX(Lab_Mat!$K$6:$N$9,MATCH($H29,Lab_Mat!$J$6:$J$9,0),MATCH($AG$4,Lab_Mat!$K$5:$N$5,0))*$J29*INDEX(Act_Type_Repex_Splits,MATCH($I29,Act_Type_Repex,0),MATCH(AC$4,Mat_Type,0))*INDEX(Escalators!$I$44:$Q$49,MATCH(AC$4,Escalators!$C$44:$C$49,0),MATCH(AC$5,Escalators!$I$43:$Q$43,0))</f>
        <v>0</v>
      </c>
      <c r="AD29" s="539">
        <f>INDEX(Lab_Mat!$K$6:$N$9,MATCH($H29,Lab_Mat!$J$6:$J$9,0),MATCH($AG$4,Lab_Mat!$K$5:$N$5,0))*$J29*INDEX(Act_Type_Repex_Splits,MATCH($I29,Act_Type_Repex,0),MATCH(AD$4,Mat_Type,0))*INDEX(Escalators!$I$44:$Q$49,MATCH(AD$4,Escalators!$C$44:$C$49,0),MATCH(AD$5,Escalators!$I$43:$Q$43,0))</f>
        <v>0</v>
      </c>
      <c r="AE29" s="539">
        <f>INDEX(Lab_Mat!$K$6:$N$9,MATCH($H29,Lab_Mat!$J$6:$J$9,0),MATCH($AG$4,Lab_Mat!$K$5:$N$5,0))*$J29*INDEX(Act_Type_Repex_Splits,MATCH($I29,Act_Type_Repex,0),MATCH(AE$4,Mat_Type,0))*INDEX(Escalators!$I$44:$Q$49,MATCH(AE$4,Escalators!$C$44:$C$49,0),MATCH(AE$5,Escalators!$I$43:$Q$43,0))</f>
        <v>0</v>
      </c>
      <c r="AF29" s="539">
        <f>INDEX(Lab_Mat!$K$6:$N$9,MATCH($H29,Lab_Mat!$J$6:$J$9,0),MATCH($AG$4,Lab_Mat!$K$5:$N$5,0))*$J29*INDEX(Act_Type_Repex_Splits,MATCH($I29,Act_Type_Repex,0),MATCH(AF$4,Mat_Type,0))*INDEX(Escalators!$I$44:$Q$49,MATCH(AF$4,Escalators!$C$44:$C$49,0),MATCH(AF$5,Escalators!$I$43:$Q$43,0))</f>
        <v>0</v>
      </c>
      <c r="AG29" s="539">
        <f t="shared" ref="AG29" si="71">SUM(AB29:AF29)</f>
        <v>0</v>
      </c>
      <c r="AH29" s="539">
        <f>INDEX(Lab_Mat!$K$6:$N$9,MATCH($H29,Lab_Mat!$J$6:$J$9,0),MATCH($AY$4,Lab_Mat!$K$5:$N$5,0))*$K29*INDEX(Act_Type_Repex_Splits,MATCH($I29,Act_Type_Repex,0),MATCH(AH$4,Mat_Type,0))*INDEX(Escalators!$I$44:$U$49,MATCH(AH$4,Escalators!$C$44:$C$49,0),MATCH(AH$5,Escalators!$I$43:$U$43,0))</f>
        <v>0</v>
      </c>
      <c r="AI29" s="539">
        <f>INDEX(Lab_Mat!$K$6:$N$9,MATCH($H29,Lab_Mat!$J$6:$J$9,0),MATCH($AY$4,Lab_Mat!$K$5:$N$5,0))*$K29*INDEX(Act_Type_Repex_Splits,MATCH($I29,Act_Type_Repex,0),MATCH(AI$4,Mat_Type,0))*INDEX(Escalators!$I$44:$U$49,MATCH(AI$4,Escalators!$C$44:$C$49,0),MATCH(AI$5,Escalators!$I$43:$U$43,0))</f>
        <v>0</v>
      </c>
      <c r="AJ29" s="539">
        <f>INDEX(Lab_Mat!$K$6:$N$9,MATCH($H29,Lab_Mat!$J$6:$J$9,0),MATCH($AY$4,Lab_Mat!$K$5:$N$5,0))*$K29*INDEX(Act_Type_Repex_Splits,MATCH($I29,Act_Type_Repex,0),MATCH(AJ$4,Mat_Type,0))*INDEX(Escalators!$I$44:$U$49,MATCH(AJ$4,Escalators!$C$44:$C$49,0),MATCH(AJ$5,Escalators!$I$43:$U$43,0))</f>
        <v>0</v>
      </c>
      <c r="AK29" s="539">
        <f>INDEX(Lab_Mat!$K$6:$N$9,MATCH($H29,Lab_Mat!$J$6:$J$9,0),MATCH($AY$4,Lab_Mat!$K$5:$N$5,0))*$K29*INDEX(Act_Type_Repex_Splits,MATCH($I29,Act_Type_Repex,0),MATCH(AK$4,Mat_Type,0))*INDEX(Escalators!$I$44:$U$49,MATCH(AK$4,Escalators!$C$44:$C$49,0),MATCH(AK$5,Escalators!$I$43:$U$43,0))</f>
        <v>0</v>
      </c>
      <c r="AL29" s="539">
        <f>INDEX(Lab_Mat!$K$6:$N$9,MATCH($H29,Lab_Mat!$J$6:$J$9,0),MATCH($AY$4,Lab_Mat!$K$5:$N$5,0))*$K29*INDEX(Act_Type_Repex_Splits,MATCH($I29,Act_Type_Repex,0),MATCH(AL$4,Mat_Type,0))*INDEX(Escalators!$I$44:$U$49,MATCH(AL$4,Escalators!$C$44:$C$49,0),MATCH(AL$5,Escalators!$I$43:$U$43,0))</f>
        <v>0</v>
      </c>
      <c r="AM29" s="539">
        <f t="shared" ref="AM29" si="72">SUM(AH29:AL29)</f>
        <v>0</v>
      </c>
      <c r="AN29" s="539">
        <f>INDEX(Lab_Mat!$K$6:$N$9,MATCH($H29,Lab_Mat!$J$6:$J$9,0),MATCH($AY$4,Lab_Mat!$K$5:$N$5,0))*$L29*INDEX(Act_Type_Repex_Splits,MATCH($I29,Act_Type_Repex,0),MATCH(AN$4,Mat_Type,0))*INDEX(Escalators!$I$44:$U$49,MATCH(AN$4,Escalators!$C$44:$C$49,0),MATCH(AN$5,Escalators!$I$43:$U$43,0))</f>
        <v>0</v>
      </c>
      <c r="AO29" s="539">
        <f>INDEX(Lab_Mat!$K$6:$N$9,MATCH($H29,Lab_Mat!$J$6:$J$9,0),MATCH($AY$4,Lab_Mat!$K$5:$N$5,0))*$L29*INDEX(Act_Type_Repex_Splits,MATCH($I29,Act_Type_Repex,0),MATCH(AO$4,Mat_Type,0))*INDEX(Escalators!$I$44:$U$49,MATCH(AO$4,Escalators!$C$44:$C$49,0),MATCH(AO$5,Escalators!$I$43:$U$43,0))</f>
        <v>0</v>
      </c>
      <c r="AP29" s="539">
        <f>INDEX(Lab_Mat!$K$6:$N$9,MATCH($H29,Lab_Mat!$J$6:$J$9,0),MATCH($AY$4,Lab_Mat!$K$5:$N$5,0))*$L29*INDEX(Act_Type_Repex_Splits,MATCH($I29,Act_Type_Repex,0),MATCH(AP$4,Mat_Type,0))*INDEX(Escalators!$I$44:$U$49,MATCH(AP$4,Escalators!$C$44:$C$49,0),MATCH(AP$5,Escalators!$I$43:$U$43,0))</f>
        <v>0</v>
      </c>
      <c r="AQ29" s="539">
        <f>INDEX(Lab_Mat!$K$6:$N$9,MATCH($H29,Lab_Mat!$J$6:$J$9,0),MATCH($AY$4,Lab_Mat!$K$5:$N$5,0))*$L29*INDEX(Act_Type_Repex_Splits,MATCH($I29,Act_Type_Repex,0),MATCH(AQ$4,Mat_Type,0))*INDEX(Escalators!$I$44:$U$49,MATCH(AQ$4,Escalators!$C$44:$C$49,0),MATCH(AQ$5,Escalators!$I$43:$U$43,0))</f>
        <v>0</v>
      </c>
      <c r="AR29" s="539">
        <f>INDEX(Lab_Mat!$K$6:$N$9,MATCH($H29,Lab_Mat!$J$6:$J$9,0),MATCH($AY$4,Lab_Mat!$K$5:$N$5,0))*$L29*INDEX(Act_Type_Repex_Splits,MATCH($I29,Act_Type_Repex,0),MATCH(AR$4,Mat_Type,0))*INDEX(Escalators!$I$44:$U$49,MATCH(AR$4,Escalators!$C$44:$C$49,0),MATCH(AR$5,Escalators!$I$43:$U$43,0))</f>
        <v>0</v>
      </c>
      <c r="AS29" s="539">
        <f t="shared" ref="AS29" si="73">SUM(AN29:AR29)</f>
        <v>0</v>
      </c>
      <c r="AT29" s="539">
        <f>INDEX(Lab_Mat!$K$6:$N$9,MATCH($H29,Lab_Mat!$J$6:$J$9,0),MATCH($AY$4,Lab_Mat!$K$5:$N$5,0))*$M29*INDEX(Act_Type_Repex_Splits,MATCH($I29,Act_Type_Repex,0),MATCH(AT$4,Mat_Type,0))*INDEX(Escalators!$I$44:$U$49,MATCH(AT$4,Escalators!$C$44:$C$49,0),MATCH(AT$5,Escalators!$I$43:$U$43,0))</f>
        <v>1.7509052376540273</v>
      </c>
      <c r="AU29" s="539">
        <f>INDEX(Lab_Mat!$K$6:$N$9,MATCH($H29,Lab_Mat!$J$6:$J$9,0),MATCH($AY$4,Lab_Mat!$K$5:$N$5,0))*$M29*INDEX(Act_Type_Repex_Splits,MATCH($I29,Act_Type_Repex,0),MATCH(AU$4,Mat_Type,0))*INDEX(Escalators!$I$44:$U$49,MATCH(AU$4,Escalators!$C$44:$C$49,0),MATCH(AU$5,Escalators!$I$43:$U$43,0))</f>
        <v>1.7509052376540273</v>
      </c>
      <c r="AV29" s="539">
        <f>INDEX(Lab_Mat!$K$6:$N$9,MATCH($H29,Lab_Mat!$J$6:$J$9,0),MATCH($AY$4,Lab_Mat!$K$5:$N$5,0))*$M29*INDEX(Act_Type_Repex_Splits,MATCH($I29,Act_Type_Repex,0),MATCH(AV$4,Mat_Type,0))*INDEX(Escalators!$I$44:$U$49,MATCH(AV$4,Escalators!$C$44:$C$49,0),MATCH(AV$5,Escalators!$I$43:$U$43,0))</f>
        <v>1.7509052376540273</v>
      </c>
      <c r="AW29" s="539">
        <f>INDEX(Lab_Mat!$K$6:$N$9,MATCH($H29,Lab_Mat!$J$6:$J$9,0),MATCH($AY$4,Lab_Mat!$K$5:$N$5,0))*$M29*INDEX(Act_Type_Repex_Splits,MATCH($I29,Act_Type_Repex,0),MATCH(AW$4,Mat_Type,0))*INDEX(Escalators!$I$44:$U$49,MATCH(AW$4,Escalators!$C$44:$C$49,0),MATCH(AW$5,Escalators!$I$43:$U$43,0))</f>
        <v>0</v>
      </c>
      <c r="AX29" s="539">
        <f>INDEX(Lab_Mat!$K$6:$N$9,MATCH($H29,Lab_Mat!$J$6:$J$9,0),MATCH($AY$4,Lab_Mat!$K$5:$N$5,0))*$M29*INDEX(Act_Type_Repex_Splits,MATCH($I29,Act_Type_Repex,0),MATCH(AX$4,Mat_Type,0))*INDEX(Escalators!$I$44:$U$49,MATCH(AX$4,Escalators!$C$44:$C$49,0),MATCH(AX$5,Escalators!$I$43:$U$43,0))</f>
        <v>12.256336663578189</v>
      </c>
      <c r="AY29" s="539">
        <f t="shared" ref="AY29" si="74">SUM(AT29:AX29)</f>
        <v>17.509052376540271</v>
      </c>
      <c r="AZ29" s="539">
        <f>INDEX(Lab_Mat!$K$6:$N$9,MATCH($H29,Lab_Mat!$J$6:$J$9,0),MATCH($BE$4,Lab_Mat!$K$5:$N$5,0))*$N29*INDEX(Act_Type_Repex_Splits,MATCH($I29,Act_Type_Repex,0),MATCH(AZ$4,Mat_Type,0))*INDEX(Escalators!$I$44:$U$49,MATCH(AZ$4,Escalators!$C$44:$C$49,0),MATCH(AZ$5,Escalators!$I$43:$U$43,0))</f>
        <v>0.71051227035235898</v>
      </c>
      <c r="BA29" s="539">
        <f>INDEX(Lab_Mat!$K$6:$N$9,MATCH($H29,Lab_Mat!$J$6:$J$9,0),MATCH($BE$4,Lab_Mat!$K$5:$N$5,0))*$N29*INDEX(Act_Type_Repex_Splits,MATCH($I29,Act_Type_Repex,0),MATCH(BA$4,Mat_Type,0))*INDEX(Escalators!$I$44:$U$49,MATCH(BA$4,Escalators!$C$44:$C$49,0),MATCH(BA$5,Escalators!$I$43:$U$43,0))</f>
        <v>0.71051227035235898</v>
      </c>
      <c r="BB29" s="539">
        <f>INDEX(Lab_Mat!$K$6:$N$9,MATCH($H29,Lab_Mat!$J$6:$J$9,0),MATCH($BE$4,Lab_Mat!$K$5:$N$5,0))*$N29*INDEX(Act_Type_Repex_Splits,MATCH($I29,Act_Type_Repex,0),MATCH(BB$4,Mat_Type,0))*INDEX(Escalators!$I$44:$U$49,MATCH(BB$4,Escalators!$C$44:$C$49,0),MATCH(BB$5,Escalators!$I$43:$U$43,0))</f>
        <v>0.71051227035235898</v>
      </c>
      <c r="BC29" s="539">
        <f>INDEX(Lab_Mat!$K$6:$N$9,MATCH($H29,Lab_Mat!$J$6:$J$9,0),MATCH($BE$4,Lab_Mat!$K$5:$N$5,0))*$N29*INDEX(Act_Type_Repex_Splits,MATCH($I29,Act_Type_Repex,0),MATCH(BC$4,Mat_Type,0))*INDEX(Escalators!$I$44:$U$49,MATCH(BC$4,Escalators!$C$44:$C$49,0),MATCH(BC$5,Escalators!$I$43:$U$43,0))</f>
        <v>0</v>
      </c>
      <c r="BD29" s="539">
        <f>INDEX(Lab_Mat!$K$6:$N$9,MATCH($H29,Lab_Mat!$J$6:$J$9,0),MATCH($BE$4,Lab_Mat!$K$5:$N$5,0))*$N29*INDEX(Act_Type_Repex_Splits,MATCH($I29,Act_Type_Repex,0),MATCH(BD$4,Mat_Type,0))*INDEX(Escalators!$I$44:$U$49,MATCH(BD$4,Escalators!$C$44:$C$49,0),MATCH(BD$5,Escalators!$I$43:$U$43,0))</f>
        <v>4.9735858924665122</v>
      </c>
      <c r="BE29" s="539">
        <f t="shared" ref="BE29" si="75">SUM(AZ29:BD29)</f>
        <v>7.1051227035235893</v>
      </c>
      <c r="BF29" s="539">
        <f>INDEX(Lab_Mat!$K$6:$N$9,MATCH($H29,Lab_Mat!$J$6:$J$9,0),MATCH($BK$4,Lab_Mat!$K$5:$N$5,0))*$O29*INDEX(Act_Type_Repex_Splits,MATCH($I29,Act_Type_Repex,0),MATCH(BF$4,Mat_Type,0))*INDEX(Escalators!$I$44:$U$49,MATCH(BF$4,Escalators!$C$44:$C$49,0),MATCH(BF$5,Escalators!$I$43:$U$43,0))</f>
        <v>0</v>
      </c>
      <c r="BG29" s="539">
        <f>INDEX(Lab_Mat!$K$6:$N$9,MATCH($H29,Lab_Mat!$J$6:$J$9,0),MATCH($BK$4,Lab_Mat!$K$5:$N$5,0))*$O29*INDEX(Act_Type_Repex_Splits,MATCH($I29,Act_Type_Repex,0),MATCH(BG$4,Mat_Type,0))*INDEX(Escalators!$I$44:$U$49,MATCH(BG$4,Escalators!$C$44:$C$49,0),MATCH(BG$5,Escalators!$I$43:$U$43,0))</f>
        <v>0</v>
      </c>
      <c r="BH29" s="539">
        <f>INDEX(Lab_Mat!$K$6:$N$9,MATCH($H29,Lab_Mat!$J$6:$J$9,0),MATCH($BK$4,Lab_Mat!$K$5:$N$5,0))*$O29*INDEX(Act_Type_Repex_Splits,MATCH($I29,Act_Type_Repex,0),MATCH(BH$4,Mat_Type,0))*INDEX(Escalators!$I$44:$U$49,MATCH(BH$4,Escalators!$C$44:$C$49,0),MATCH(BH$5,Escalators!$I$43:$U$43,0))</f>
        <v>0</v>
      </c>
      <c r="BI29" s="539">
        <f>INDEX(Lab_Mat!$K$6:$N$9,MATCH($H29,Lab_Mat!$J$6:$J$9,0),MATCH($BK$4,Lab_Mat!$K$5:$N$5,0))*$O29*INDEX(Act_Type_Repex_Splits,MATCH($I29,Act_Type_Repex,0),MATCH(BI$4,Mat_Type,0))*INDEX(Escalators!$I$44:$U$49,MATCH(BI$4,Escalators!$C$44:$C$49,0),MATCH(BI$5,Escalators!$I$43:$U$43,0))</f>
        <v>0</v>
      </c>
      <c r="BJ29" s="539">
        <f>INDEX(Lab_Mat!$K$6:$N$9,MATCH($H29,Lab_Mat!$J$6:$J$9,0),MATCH($BK$4,Lab_Mat!$K$5:$N$5,0))*$O29*INDEX(Act_Type_Repex_Splits,MATCH($I29,Act_Type_Repex,0),MATCH(BJ$4,Mat_Type,0))*INDEX(Escalators!$I$44:$U$49,MATCH(BJ$4,Escalators!$C$44:$C$49,0),MATCH(BJ$5,Escalators!$I$43:$U$43,0))</f>
        <v>0</v>
      </c>
      <c r="BK29" s="539">
        <f t="shared" ref="BK29" si="76">SUM(BF29:BJ29)</f>
        <v>0</v>
      </c>
      <c r="BL29" s="539">
        <f>INDEX(Lab_Mat!$K$6:$N$9,MATCH($H29,Lab_Mat!$J$6:$J$9,0),MATCH($BQ$4,Lab_Mat!$K$5:$N$5,0))*$P29*INDEX(Act_Type_Repex_Splits,MATCH($I29,Act_Type_Repex,0),MATCH(BL$4,Mat_Type,0))*INDEX(Escalators!$I$44:$U$49,MATCH(BL$4,Escalators!$C$44:$C$49,0),MATCH(BL$5,Escalators!$I$43:$U$43,0))</f>
        <v>0</v>
      </c>
      <c r="BM29" s="539">
        <f>INDEX(Lab_Mat!$K$6:$N$9,MATCH($H29,Lab_Mat!$J$6:$J$9,0),MATCH($BQ$4,Lab_Mat!$K$5:$N$5,0))*$P29*INDEX(Act_Type_Repex_Splits,MATCH($I29,Act_Type_Repex,0),MATCH(BM$4,Mat_Type,0))*INDEX(Escalators!$I$44:$U$49,MATCH(BM$4,Escalators!$C$44:$C$49,0),MATCH(BM$5,Escalators!$I$43:$U$43,0))</f>
        <v>0</v>
      </c>
      <c r="BN29" s="539">
        <f>INDEX(Lab_Mat!$K$6:$N$9,MATCH($H29,Lab_Mat!$J$6:$J$9,0),MATCH($BQ$4,Lab_Mat!$K$5:$N$5,0))*$P29*INDEX(Act_Type_Repex_Splits,MATCH($I29,Act_Type_Repex,0),MATCH(BN$4,Mat_Type,0))*INDEX(Escalators!$I$44:$U$49,MATCH(BN$4,Escalators!$C$44:$C$49,0),MATCH(BN$5,Escalators!$I$43:$U$43,0))</f>
        <v>0</v>
      </c>
      <c r="BO29" s="539">
        <f>INDEX(Lab_Mat!$K$6:$N$9,MATCH($H29,Lab_Mat!$J$6:$J$9,0),MATCH($BQ$4,Lab_Mat!$K$5:$N$5,0))*$P29*INDEX(Act_Type_Repex_Splits,MATCH($I29,Act_Type_Repex,0),MATCH(BO$4,Mat_Type,0))*INDEX(Escalators!$I$44:$U$49,MATCH(BO$4,Escalators!$C$44:$C$49,0),MATCH(BO$5,Escalators!$I$43:$U$43,0))</f>
        <v>0</v>
      </c>
      <c r="BP29" s="539">
        <f>INDEX(Lab_Mat!$K$6:$N$9,MATCH($H29,Lab_Mat!$J$6:$J$9,0),MATCH($BQ$4,Lab_Mat!$K$5:$N$5,0))*$P29*INDEX(Act_Type_Repex_Splits,MATCH($I29,Act_Type_Repex,0),MATCH(BP$4,Mat_Type,0))*INDEX(Escalators!$I$44:$U$49,MATCH(BP$4,Escalators!$C$44:$C$49,0),MATCH(BP$5,Escalators!$I$43:$U$43,0))</f>
        <v>0</v>
      </c>
      <c r="BQ29" s="539">
        <f t="shared" ref="BQ29" si="77">SUM(BL29:BP29)</f>
        <v>0</v>
      </c>
      <c r="BR29" s="539">
        <f>INDEX(Lab_Mat!$K$6:$N$9,MATCH($H29,Lab_Mat!$J$6:$J$9,0),MATCH($BW$4,Lab_Mat!$K$5:$N$5,0))*$Q29*INDEX(Act_Type_Repex_Splits,MATCH($I29,Act_Type_Repex,0),MATCH(BR$4,Mat_Type,0))*INDEX(Escalators!$I$44:$U$49,MATCH(BR$4,Escalators!$C$44:$C$49,0),MATCH(BR$5,Escalators!$I$43:$U$43,0))</f>
        <v>0</v>
      </c>
      <c r="BS29" s="539">
        <f>INDEX(Lab_Mat!$K$6:$N$9,MATCH($H29,Lab_Mat!$J$6:$J$9,0),MATCH($BW$4,Lab_Mat!$K$5:$N$5,0))*$Q29*INDEX(Act_Type_Repex_Splits,MATCH($I29,Act_Type_Repex,0),MATCH(BS$4,Mat_Type,0))*INDEX(Escalators!$I$44:$U$49,MATCH(BS$4,Escalators!$C$44:$C$49,0),MATCH(BS$5,Escalators!$I$43:$U$43,0))</f>
        <v>0</v>
      </c>
      <c r="BT29" s="539">
        <f>INDEX(Lab_Mat!$K$6:$N$9,MATCH($H29,Lab_Mat!$J$6:$J$9,0),MATCH($BW$4,Lab_Mat!$K$5:$N$5,0))*$Q29*INDEX(Act_Type_Repex_Splits,MATCH($I29,Act_Type_Repex,0),MATCH(BT$4,Mat_Type,0))*INDEX(Escalators!$I$44:$U$49,MATCH(BT$4,Escalators!$C$44:$C$49,0),MATCH(BT$5,Escalators!$I$43:$U$43,0))</f>
        <v>0</v>
      </c>
      <c r="BU29" s="539">
        <f>INDEX(Lab_Mat!$K$6:$N$9,MATCH($H29,Lab_Mat!$J$6:$J$9,0),MATCH($BW$4,Lab_Mat!$K$5:$N$5,0))*$Q29*INDEX(Act_Type_Repex_Splits,MATCH($I29,Act_Type_Repex,0),MATCH(BU$4,Mat_Type,0))*INDEX(Escalators!$I$44:$U$49,MATCH(BU$4,Escalators!$C$44:$C$49,0),MATCH(BU$5,Escalators!$I$43:$U$43,0))</f>
        <v>0</v>
      </c>
      <c r="BV29" s="539">
        <f>INDEX(Lab_Mat!$K$6:$N$9,MATCH($H29,Lab_Mat!$J$6:$J$9,0),MATCH($BW$4,Lab_Mat!$K$5:$N$5,0))*$Q29*INDEX(Act_Type_Repex_Splits,MATCH($I29,Act_Type_Repex,0),MATCH(BV$4,Mat_Type,0))*INDEX(Escalators!$I$44:$U$49,MATCH(BV$4,Escalators!$C$44:$C$49,0),MATCH(BV$5,Escalators!$I$43:$U$43,0))</f>
        <v>0</v>
      </c>
      <c r="BW29" s="539">
        <f t="shared" ref="BW29" si="78">SUM(BR29:BV29)</f>
        <v>0</v>
      </c>
      <c r="BX29" s="241"/>
      <c r="BY29" s="539">
        <f>INDEX(Lab_Mat!$K$6:$N$9,MATCH($H29,Lab_Mat!$J$6:$J$9,0),MATCH($BY$4,Lab_Mat!$K$5:$N$5,0))*J29*HLOOKUP(BY$5,Escalators!$I$25:$U$30,6,FALSE)</f>
        <v>0</v>
      </c>
      <c r="BZ29" s="539">
        <f>INDEX(Lab_Mat!$K$6:$N$9,MATCH($H29,Lab_Mat!$J$6:$J$9,0),MATCH($BY$4,Lab_Mat!$K$5:$N$5,0))*K29*HLOOKUP(BZ$5,Escalators!$I$25:$U$30,6,FALSE)</f>
        <v>0</v>
      </c>
      <c r="CA29" s="539">
        <f>INDEX(Lab_Mat!$K$6:$N$9,MATCH($H29,Lab_Mat!$J$6:$J$9,0),MATCH($BY$4,Lab_Mat!$K$5:$N$5,0))*L29*HLOOKUP(CA$5,Escalators!$I$25:$U$30,6,FALSE)</f>
        <v>0</v>
      </c>
      <c r="CB29" s="539">
        <f>INDEX(Lab_Mat!$K$6:$N$9,MATCH($H29,Lab_Mat!$J$6:$J$9,0),MATCH($BY$4,Lab_Mat!$K$5:$N$5,0))*M29*HLOOKUP(CB$5,Escalators!$I$25:$U$30,6,FALSE)</f>
        <v>6.3569221829633937</v>
      </c>
      <c r="CC29" s="539">
        <f>INDEX(Lab_Mat!$K$6:$N$9,MATCH($H29,Lab_Mat!$J$6:$J$9,0),MATCH($BY$4,Lab_Mat!$K$5:$N$5,0))*N29*HLOOKUP(CC$5,Escalators!$I$25:$U$30,6,FALSE)</f>
        <v>2.579620595985145</v>
      </c>
      <c r="CD29" s="539">
        <f>INDEX(Lab_Mat!$K$6:$N$9,MATCH($H29,Lab_Mat!$J$6:$J$9,0),MATCH($BY$4,Lab_Mat!$K$5:$N$5,0))*O29*HLOOKUP(CD$5,Escalators!$I$25:$U$30,6,FALSE)</f>
        <v>0</v>
      </c>
      <c r="CE29" s="539">
        <f>INDEX(Lab_Mat!$K$6:$N$9,MATCH($H29,Lab_Mat!$J$6:$J$9,0),MATCH($BY$4,Lab_Mat!$K$5:$N$5,0))*P29*HLOOKUP(CE$5,Escalators!$I$25:$U$30,6,FALSE)</f>
        <v>0</v>
      </c>
      <c r="CF29" s="539">
        <f>INDEX(Lab_Mat!$K$6:$N$9,MATCH($H29,Lab_Mat!$J$6:$J$9,0),MATCH($BY$4,Lab_Mat!$K$5:$N$5,0))*Q29*HLOOKUP(CF$5,Escalators!$I$25:$U$30,6,FALSE)</f>
        <v>0</v>
      </c>
      <c r="CG29" s="241"/>
      <c r="CH29" s="540">
        <f>INDEX(Lab_Mat!$K$6:$N$9,MATCH($H29,Lab_Mat!$J$6:$J$9,0),MATCH($CH$4,Lab_Mat!$K$5:$N$5,0))*J29</f>
        <v>0</v>
      </c>
      <c r="CI29" s="540">
        <f>INDEX(Lab_Mat!$K$6:$N$9,MATCH($H29,Lab_Mat!$J$6:$J$9,0),MATCH($CH$4,Lab_Mat!$K$5:$N$5,0))*K29</f>
        <v>0</v>
      </c>
      <c r="CJ29" s="540">
        <f>INDEX(Lab_Mat!$K$6:$N$9,MATCH($H29,Lab_Mat!$J$6:$J$9,0),MATCH($CH$4,Lab_Mat!$K$5:$N$5,0))*L29</f>
        <v>0</v>
      </c>
      <c r="CK29" s="540">
        <f>INDEX(Lab_Mat!$K$6:$N$9,MATCH($H29,Lab_Mat!$J$6:$J$9,0),MATCH($CH$4,Lab_Mat!$K$5:$N$5,0))*M29</f>
        <v>2.528365962376645</v>
      </c>
      <c r="CL29" s="540">
        <f>INDEX(Lab_Mat!$K$6:$N$9,MATCH($H29,Lab_Mat!$J$6:$J$9,0),MATCH($CH$4,Lab_Mat!$K$5:$N$5,0))*N29</f>
        <v>1.02600357893545</v>
      </c>
      <c r="CM29" s="540">
        <f>INDEX(Lab_Mat!$K$6:$N$9,MATCH($H29,Lab_Mat!$J$6:$J$9,0),MATCH($CH$4,Lab_Mat!$K$5:$N$5,0))*O29</f>
        <v>0</v>
      </c>
      <c r="CN29" s="540">
        <f>INDEX(Lab_Mat!$K$6:$N$9,MATCH($H29,Lab_Mat!$J$6:$J$9,0),MATCH($CH$4,Lab_Mat!$K$5:$N$5,0))*P29</f>
        <v>0</v>
      </c>
      <c r="CO29" s="540">
        <f>INDEX(Lab_Mat!$K$6:$N$9,MATCH($H29,Lab_Mat!$J$6:$J$9,0),MATCH($CH$4,Lab_Mat!$K$5:$N$5,0))*Q29</f>
        <v>0</v>
      </c>
      <c r="CP29" s="241"/>
      <c r="CQ29" s="539">
        <f t="shared" si="64"/>
        <v>0</v>
      </c>
      <c r="CR29" s="539">
        <f t="shared" si="65"/>
        <v>0</v>
      </c>
      <c r="CS29" s="539">
        <f t="shared" si="55"/>
        <v>0</v>
      </c>
      <c r="CT29" s="539">
        <f t="shared" si="66"/>
        <v>32.44958944316118</v>
      </c>
      <c r="CU29" s="539">
        <f t="shared" si="67"/>
        <v>13.161811895151489</v>
      </c>
      <c r="CV29" s="539">
        <f t="shared" si="68"/>
        <v>0</v>
      </c>
      <c r="CW29" s="539">
        <f t="shared" si="69"/>
        <v>0</v>
      </c>
      <c r="CX29" s="539">
        <f t="shared" si="70"/>
        <v>0</v>
      </c>
    </row>
    <row r="30" spans="2:109" hidden="1" x14ac:dyDescent="0.25">
      <c r="B30" s="7"/>
      <c r="C30" s="256"/>
      <c r="D30" s="256"/>
      <c r="E30" s="7"/>
      <c r="F30" s="7"/>
      <c r="G30" s="7"/>
      <c r="H30" s="7"/>
      <c r="I30" s="7"/>
      <c r="J30" s="45"/>
      <c r="K30" s="45"/>
      <c r="L30" s="45"/>
      <c r="M30" s="45"/>
      <c r="N30" s="45"/>
      <c r="O30" s="45"/>
      <c r="P30" s="45"/>
      <c r="Q30" s="45"/>
      <c r="S30" s="47"/>
      <c r="T30" s="47"/>
      <c r="U30" s="47"/>
      <c r="V30" s="128"/>
      <c r="W30" s="128"/>
      <c r="X30" s="128"/>
      <c r="Y30" s="47"/>
      <c r="Z30" s="47"/>
      <c r="AB30" s="6"/>
      <c r="AC30" s="6"/>
      <c r="AD30" s="6"/>
      <c r="AE30" s="6"/>
      <c r="AF30" s="6"/>
      <c r="AG30" s="47"/>
      <c r="AH30" s="47"/>
      <c r="AI30" s="47"/>
      <c r="AJ30" s="47"/>
      <c r="AK30" s="47"/>
      <c r="AL30" s="47"/>
      <c r="AM30" s="47"/>
      <c r="AN30" s="47"/>
      <c r="AO30" s="47"/>
      <c r="AP30" s="47"/>
      <c r="AQ30" s="47"/>
      <c r="AR30" s="47"/>
      <c r="AS30" s="47"/>
      <c r="AT30" s="47"/>
      <c r="AU30" s="47"/>
      <c r="AV30" s="47"/>
      <c r="AW30" s="47"/>
      <c r="AX30" s="47"/>
      <c r="AY30" s="47"/>
      <c r="AZ30" s="47"/>
      <c r="BA30" s="47"/>
      <c r="BB30" s="374"/>
      <c r="BC30" s="47"/>
      <c r="BD30" s="47"/>
      <c r="BE30" s="47"/>
      <c r="BF30" s="47"/>
      <c r="BG30" s="47"/>
      <c r="BH30" s="47"/>
      <c r="BI30" s="47"/>
      <c r="BJ30" s="47"/>
      <c r="BK30" s="47"/>
      <c r="BL30" s="47"/>
      <c r="BM30" s="47"/>
      <c r="BN30" s="47"/>
      <c r="BO30" s="47"/>
      <c r="BP30" s="47"/>
      <c r="BQ30" s="47"/>
      <c r="BR30" s="47"/>
      <c r="BS30" s="47"/>
      <c r="BT30" s="47"/>
      <c r="BU30" s="47"/>
      <c r="BV30" s="47"/>
      <c r="BW30" s="47"/>
      <c r="BY30" s="47"/>
      <c r="BZ30" s="47"/>
      <c r="CA30" s="47"/>
      <c r="CB30" s="128"/>
      <c r="CC30" s="128"/>
      <c r="CD30" s="128"/>
      <c r="CE30" s="47"/>
      <c r="CF30" s="47"/>
      <c r="CH30" s="47"/>
      <c r="CI30" s="47"/>
      <c r="CJ30" s="47"/>
      <c r="CK30" s="47"/>
      <c r="CL30" s="47"/>
      <c r="CM30" s="47"/>
      <c r="CN30" s="47"/>
      <c r="CO30" s="47"/>
      <c r="CQ30" s="374">
        <f t="shared" ref="CQ30:CQ33" si="79">S30+AG30+BY30+CH30</f>
        <v>0</v>
      </c>
      <c r="CR30" s="374">
        <f t="shared" ref="CR30:CR33" si="80">T30+AM30+BZ30+CI30</f>
        <v>0</v>
      </c>
      <c r="CS30" s="47">
        <f t="shared" si="24"/>
        <v>0</v>
      </c>
      <c r="CT30" s="374">
        <f t="shared" ref="CT30:CT33" si="81">V30+AY30+CB30+CK30</f>
        <v>0</v>
      </c>
      <c r="CU30" s="47">
        <f t="shared" ref="CU30:CU33" si="82">W30+BE30+CC30+CL30</f>
        <v>0</v>
      </c>
      <c r="CV30" s="47">
        <f t="shared" ref="CV30:CV33" si="83">X30+BK30+CD30+CM30</f>
        <v>0</v>
      </c>
      <c r="CW30" s="47">
        <f t="shared" ref="CW30:CW33" si="84">Y30+BQ30+CE30+CN30</f>
        <v>0</v>
      </c>
      <c r="CX30" s="47">
        <f t="shared" ref="CX30:CX33" si="85">Z30+BW30+CF30+CO30</f>
        <v>0</v>
      </c>
      <c r="DE30" s="1" t="str">
        <f t="shared" si="8"/>
        <v/>
      </c>
    </row>
    <row r="31" spans="2:109" hidden="1" x14ac:dyDescent="0.25">
      <c r="B31" s="7"/>
      <c r="C31" s="256"/>
      <c r="D31" s="256"/>
      <c r="E31" s="7"/>
      <c r="F31" s="7"/>
      <c r="G31" s="7"/>
      <c r="H31" s="7"/>
      <c r="I31" s="7"/>
      <c r="J31" s="45"/>
      <c r="K31" s="45"/>
      <c r="L31" s="45"/>
      <c r="M31" s="45"/>
      <c r="N31" s="45"/>
      <c r="O31" s="45"/>
      <c r="P31" s="45"/>
      <c r="Q31" s="45"/>
      <c r="S31" s="47"/>
      <c r="T31" s="47"/>
      <c r="U31" s="47"/>
      <c r="V31" s="128"/>
      <c r="W31" s="128"/>
      <c r="X31" s="128"/>
      <c r="Y31" s="47"/>
      <c r="Z31" s="47"/>
      <c r="AB31" s="6"/>
      <c r="AC31" s="6"/>
      <c r="AD31" s="6"/>
      <c r="AE31" s="6"/>
      <c r="AF31" s="6"/>
      <c r="AG31" s="47"/>
      <c r="AH31" s="47"/>
      <c r="AI31" s="47"/>
      <c r="AJ31" s="47"/>
      <c r="AK31" s="47"/>
      <c r="AL31" s="47"/>
      <c r="AM31" s="47"/>
      <c r="AN31" s="47"/>
      <c r="AO31" s="47"/>
      <c r="AP31" s="47"/>
      <c r="AQ31" s="47"/>
      <c r="AR31" s="47"/>
      <c r="AS31" s="47"/>
      <c r="AT31" s="47"/>
      <c r="AU31" s="47"/>
      <c r="AV31" s="47"/>
      <c r="AW31" s="47"/>
      <c r="AX31" s="47"/>
      <c r="AY31" s="47"/>
      <c r="AZ31" s="47"/>
      <c r="BA31" s="47"/>
      <c r="BB31" s="374"/>
      <c r="BC31" s="47"/>
      <c r="BD31" s="47"/>
      <c r="BE31" s="47"/>
      <c r="BF31" s="47"/>
      <c r="BG31" s="47"/>
      <c r="BH31" s="47"/>
      <c r="BI31" s="47"/>
      <c r="BJ31" s="47"/>
      <c r="BK31" s="47"/>
      <c r="BL31" s="47"/>
      <c r="BM31" s="47"/>
      <c r="BN31" s="47"/>
      <c r="BO31" s="47"/>
      <c r="BP31" s="47"/>
      <c r="BQ31" s="47"/>
      <c r="BR31" s="47"/>
      <c r="BS31" s="47"/>
      <c r="BT31" s="47"/>
      <c r="BU31" s="47"/>
      <c r="BV31" s="47"/>
      <c r="BW31" s="47"/>
      <c r="BY31" s="47"/>
      <c r="BZ31" s="47"/>
      <c r="CA31" s="47"/>
      <c r="CB31" s="128"/>
      <c r="CC31" s="128"/>
      <c r="CD31" s="128"/>
      <c r="CE31" s="47"/>
      <c r="CF31" s="47"/>
      <c r="CH31" s="47"/>
      <c r="CI31" s="47"/>
      <c r="CJ31" s="47"/>
      <c r="CK31" s="47"/>
      <c r="CL31" s="47"/>
      <c r="CM31" s="47"/>
      <c r="CN31" s="47"/>
      <c r="CO31" s="47"/>
      <c r="CQ31" s="374">
        <f t="shared" si="79"/>
        <v>0</v>
      </c>
      <c r="CR31" s="374">
        <f t="shared" si="80"/>
        <v>0</v>
      </c>
      <c r="CS31" s="47">
        <f t="shared" si="24"/>
        <v>0</v>
      </c>
      <c r="CT31" s="374">
        <f t="shared" si="81"/>
        <v>0</v>
      </c>
      <c r="CU31" s="47">
        <f t="shared" si="82"/>
        <v>0</v>
      </c>
      <c r="CV31" s="47">
        <f t="shared" si="83"/>
        <v>0</v>
      </c>
      <c r="CW31" s="47">
        <f t="shared" si="84"/>
        <v>0</v>
      </c>
      <c r="CX31" s="47">
        <f t="shared" si="85"/>
        <v>0</v>
      </c>
      <c r="DE31" s="1" t="str">
        <f t="shared" si="8"/>
        <v/>
      </c>
    </row>
    <row r="32" spans="2:109" hidden="1" x14ac:dyDescent="0.25">
      <c r="B32" s="7"/>
      <c r="C32" s="256"/>
      <c r="D32" s="256"/>
      <c r="E32" s="7"/>
      <c r="F32" s="7"/>
      <c r="G32" s="7"/>
      <c r="H32" s="7"/>
      <c r="I32" s="7"/>
      <c r="J32" s="45"/>
      <c r="K32" s="45"/>
      <c r="L32" s="45"/>
      <c r="M32" s="45"/>
      <c r="N32" s="45"/>
      <c r="O32" s="45"/>
      <c r="P32" s="45"/>
      <c r="Q32" s="45"/>
      <c r="S32" s="47"/>
      <c r="T32" s="47"/>
      <c r="U32" s="47"/>
      <c r="V32" s="128"/>
      <c r="W32" s="128"/>
      <c r="X32" s="128"/>
      <c r="Y32" s="47"/>
      <c r="Z32" s="47"/>
      <c r="AB32" s="6"/>
      <c r="AC32" s="6"/>
      <c r="AD32" s="6"/>
      <c r="AE32" s="6"/>
      <c r="AF32" s="6"/>
      <c r="AG32" s="47"/>
      <c r="AH32" s="47"/>
      <c r="AI32" s="47"/>
      <c r="AJ32" s="47"/>
      <c r="AK32" s="47"/>
      <c r="AL32" s="47"/>
      <c r="AM32" s="47"/>
      <c r="AN32" s="47"/>
      <c r="AO32" s="47"/>
      <c r="AP32" s="47"/>
      <c r="AQ32" s="47"/>
      <c r="AR32" s="47"/>
      <c r="AS32" s="47"/>
      <c r="AT32" s="47"/>
      <c r="AU32" s="47"/>
      <c r="AV32" s="47"/>
      <c r="AW32" s="47"/>
      <c r="AX32" s="47"/>
      <c r="AY32" s="47"/>
      <c r="AZ32" s="47"/>
      <c r="BA32" s="47"/>
      <c r="BB32" s="374"/>
      <c r="BC32" s="47"/>
      <c r="BD32" s="47"/>
      <c r="BE32" s="47"/>
      <c r="BF32" s="47"/>
      <c r="BG32" s="47"/>
      <c r="BH32" s="47"/>
      <c r="BI32" s="47"/>
      <c r="BJ32" s="47"/>
      <c r="BK32" s="47"/>
      <c r="BL32" s="47"/>
      <c r="BM32" s="47"/>
      <c r="BN32" s="47"/>
      <c r="BO32" s="47"/>
      <c r="BP32" s="47"/>
      <c r="BQ32" s="47"/>
      <c r="BR32" s="47"/>
      <c r="BS32" s="47"/>
      <c r="BT32" s="47"/>
      <c r="BU32" s="47"/>
      <c r="BV32" s="47"/>
      <c r="BW32" s="47"/>
      <c r="BY32" s="47"/>
      <c r="BZ32" s="47"/>
      <c r="CA32" s="47"/>
      <c r="CB32" s="128"/>
      <c r="CC32" s="128"/>
      <c r="CD32" s="128"/>
      <c r="CE32" s="47"/>
      <c r="CF32" s="47"/>
      <c r="CH32" s="47"/>
      <c r="CI32" s="47"/>
      <c r="CJ32" s="47"/>
      <c r="CK32" s="47"/>
      <c r="CL32" s="47"/>
      <c r="CM32" s="47"/>
      <c r="CN32" s="47"/>
      <c r="CO32" s="47"/>
      <c r="CQ32" s="374">
        <f t="shared" si="79"/>
        <v>0</v>
      </c>
      <c r="CR32" s="374">
        <f t="shared" si="80"/>
        <v>0</v>
      </c>
      <c r="CS32" s="47">
        <f t="shared" si="24"/>
        <v>0</v>
      </c>
      <c r="CT32" s="374">
        <f t="shared" si="81"/>
        <v>0</v>
      </c>
      <c r="CU32" s="47">
        <f t="shared" si="82"/>
        <v>0</v>
      </c>
      <c r="CV32" s="47">
        <f t="shared" si="83"/>
        <v>0</v>
      </c>
      <c r="CW32" s="47">
        <f t="shared" si="84"/>
        <v>0</v>
      </c>
      <c r="CX32" s="47">
        <f t="shared" si="85"/>
        <v>0</v>
      </c>
      <c r="DE32" s="1" t="str">
        <f t="shared" si="8"/>
        <v/>
      </c>
    </row>
    <row r="33" spans="2:109" hidden="1" x14ac:dyDescent="0.25">
      <c r="B33" s="7"/>
      <c r="C33" s="256"/>
      <c r="D33" s="256"/>
      <c r="E33" s="7"/>
      <c r="F33" s="7"/>
      <c r="G33" s="7"/>
      <c r="H33" s="7"/>
      <c r="I33" s="7"/>
      <c r="J33" s="45"/>
      <c r="K33" s="45"/>
      <c r="L33" s="45"/>
      <c r="M33" s="45"/>
      <c r="N33" s="45"/>
      <c r="O33" s="45"/>
      <c r="P33" s="45"/>
      <c r="Q33" s="45"/>
      <c r="S33" s="47"/>
      <c r="T33" s="47"/>
      <c r="U33" s="47"/>
      <c r="V33" s="128"/>
      <c r="W33" s="128"/>
      <c r="X33" s="128"/>
      <c r="Y33" s="47"/>
      <c r="Z33" s="47"/>
      <c r="AB33" s="6"/>
      <c r="AC33" s="6"/>
      <c r="AD33" s="6"/>
      <c r="AE33" s="6"/>
      <c r="AF33" s="6"/>
      <c r="AG33" s="47"/>
      <c r="AH33" s="47"/>
      <c r="AI33" s="47"/>
      <c r="AJ33" s="47"/>
      <c r="AK33" s="47"/>
      <c r="AL33" s="47"/>
      <c r="AM33" s="47"/>
      <c r="AN33" s="47"/>
      <c r="AO33" s="47"/>
      <c r="AP33" s="47"/>
      <c r="AQ33" s="47"/>
      <c r="AR33" s="47"/>
      <c r="AS33" s="47"/>
      <c r="AT33" s="47"/>
      <c r="AU33" s="47"/>
      <c r="AV33" s="47"/>
      <c r="AW33" s="47"/>
      <c r="AX33" s="47"/>
      <c r="AY33" s="47"/>
      <c r="AZ33" s="47"/>
      <c r="BA33" s="47"/>
      <c r="BB33" s="374"/>
      <c r="BC33" s="47"/>
      <c r="BD33" s="47"/>
      <c r="BE33" s="47"/>
      <c r="BF33" s="47"/>
      <c r="BG33" s="47"/>
      <c r="BH33" s="47"/>
      <c r="BI33" s="47"/>
      <c r="BJ33" s="47"/>
      <c r="BK33" s="47"/>
      <c r="BL33" s="47"/>
      <c r="BM33" s="47"/>
      <c r="BN33" s="47"/>
      <c r="BO33" s="47"/>
      <c r="BP33" s="47"/>
      <c r="BQ33" s="47"/>
      <c r="BR33" s="47"/>
      <c r="BS33" s="47"/>
      <c r="BT33" s="47"/>
      <c r="BU33" s="47"/>
      <c r="BV33" s="47"/>
      <c r="BW33" s="47"/>
      <c r="BY33" s="47"/>
      <c r="BZ33" s="47"/>
      <c r="CA33" s="47"/>
      <c r="CB33" s="128"/>
      <c r="CC33" s="128"/>
      <c r="CD33" s="128"/>
      <c r="CE33" s="47"/>
      <c r="CF33" s="47"/>
      <c r="CH33" s="47"/>
      <c r="CI33" s="47"/>
      <c r="CJ33" s="47"/>
      <c r="CK33" s="47"/>
      <c r="CL33" s="47"/>
      <c r="CM33" s="47"/>
      <c r="CN33" s="47"/>
      <c r="CO33" s="47"/>
      <c r="CQ33" s="374">
        <f t="shared" si="79"/>
        <v>0</v>
      </c>
      <c r="CR33" s="374">
        <f t="shared" si="80"/>
        <v>0</v>
      </c>
      <c r="CS33" s="47">
        <f t="shared" si="24"/>
        <v>0</v>
      </c>
      <c r="CT33" s="374">
        <f t="shared" si="81"/>
        <v>0</v>
      </c>
      <c r="CU33" s="47">
        <f t="shared" si="82"/>
        <v>0</v>
      </c>
      <c r="CV33" s="47">
        <f t="shared" si="83"/>
        <v>0</v>
      </c>
      <c r="CW33" s="47">
        <f t="shared" si="84"/>
        <v>0</v>
      </c>
      <c r="CX33" s="47">
        <f t="shared" si="85"/>
        <v>0</v>
      </c>
      <c r="DE33" s="1" t="str">
        <f t="shared" si="8"/>
        <v/>
      </c>
    </row>
    <row r="34" spans="2:109" hidden="1" x14ac:dyDescent="0.25">
      <c r="B34" s="7"/>
      <c r="C34" s="7"/>
      <c r="D34" s="7"/>
      <c r="E34" s="7"/>
      <c r="F34" s="7"/>
      <c r="G34" s="7"/>
      <c r="H34" s="7"/>
      <c r="I34" s="7"/>
      <c r="J34" s="45"/>
      <c r="K34" s="45"/>
      <c r="L34" s="45"/>
      <c r="M34" s="45"/>
      <c r="N34" s="45"/>
      <c r="O34" s="45"/>
      <c r="P34" s="45"/>
      <c r="Q34" s="45"/>
      <c r="S34" s="47"/>
      <c r="T34" s="47"/>
      <c r="U34" s="47"/>
      <c r="V34" s="128"/>
      <c r="W34" s="128"/>
      <c r="X34" s="128"/>
      <c r="Y34" s="47"/>
      <c r="Z34" s="47"/>
      <c r="AB34" s="6"/>
      <c r="AC34" s="6"/>
      <c r="AD34" s="6"/>
      <c r="AE34" s="6"/>
      <c r="AF34" s="6"/>
      <c r="AG34" s="47"/>
      <c r="AH34" s="47"/>
      <c r="AI34" s="47"/>
      <c r="AJ34" s="47"/>
      <c r="AK34" s="47"/>
      <c r="AL34" s="47"/>
      <c r="AM34" s="47"/>
      <c r="AN34" s="47"/>
      <c r="AO34" s="47"/>
      <c r="AP34" s="47"/>
      <c r="AQ34" s="47"/>
      <c r="AR34" s="47"/>
      <c r="AS34" s="47"/>
      <c r="AT34" s="47"/>
      <c r="AU34" s="47"/>
      <c r="AV34" s="47"/>
      <c r="AW34" s="47"/>
      <c r="AX34" s="47"/>
      <c r="AY34" s="47"/>
      <c r="AZ34" s="47"/>
      <c r="BA34" s="47"/>
      <c r="BB34" s="374"/>
      <c r="BC34" s="47"/>
      <c r="BD34" s="47"/>
      <c r="BE34" s="47"/>
      <c r="BF34" s="47"/>
      <c r="BG34" s="47"/>
      <c r="BH34" s="47"/>
      <c r="BI34" s="47"/>
      <c r="BJ34" s="47"/>
      <c r="BK34" s="47"/>
      <c r="BL34" s="47"/>
      <c r="BM34" s="47"/>
      <c r="BN34" s="47"/>
      <c r="BO34" s="47"/>
      <c r="BP34" s="47"/>
      <c r="BQ34" s="47"/>
      <c r="BR34" s="47"/>
      <c r="BS34" s="47"/>
      <c r="BT34" s="47"/>
      <c r="BU34" s="47"/>
      <c r="BV34" s="47"/>
      <c r="BW34" s="47"/>
      <c r="BY34" s="47"/>
      <c r="BZ34" s="47"/>
      <c r="CA34" s="47"/>
      <c r="CB34" s="47"/>
      <c r="CC34" s="47"/>
      <c r="CD34" s="47"/>
      <c r="CE34" s="47"/>
      <c r="CF34" s="47"/>
      <c r="CH34" s="47"/>
      <c r="CI34" s="47"/>
      <c r="CJ34" s="47"/>
      <c r="CK34" s="47"/>
      <c r="CL34" s="47"/>
      <c r="CM34" s="47"/>
      <c r="CN34" s="47"/>
      <c r="CO34" s="47"/>
      <c r="CQ34" s="374"/>
      <c r="CR34" s="374"/>
      <c r="CS34" s="47"/>
      <c r="CT34" s="374"/>
      <c r="CU34" s="47"/>
      <c r="CV34" s="47"/>
      <c r="CW34" s="47"/>
      <c r="CX34" s="47"/>
      <c r="DE34" s="1" t="str">
        <f t="shared" si="8"/>
        <v/>
      </c>
    </row>
    <row r="35" spans="2:109" hidden="1" x14ac:dyDescent="0.25">
      <c r="B35" s="7"/>
      <c r="C35" s="7"/>
      <c r="D35" s="7"/>
      <c r="E35" s="7"/>
      <c r="F35" s="7"/>
      <c r="G35" s="7"/>
      <c r="H35" s="7"/>
      <c r="I35" s="7"/>
      <c r="J35" s="45"/>
      <c r="K35" s="45"/>
      <c r="L35" s="45"/>
      <c r="M35" s="45"/>
      <c r="N35" s="45"/>
      <c r="O35" s="45"/>
      <c r="P35" s="45"/>
      <c r="Q35" s="45"/>
      <c r="S35" s="47"/>
      <c r="T35" s="47"/>
      <c r="U35" s="47"/>
      <c r="V35" s="128"/>
      <c r="W35" s="128"/>
      <c r="X35" s="128"/>
      <c r="Y35" s="47"/>
      <c r="Z35" s="47"/>
      <c r="AB35" s="6"/>
      <c r="AC35" s="6"/>
      <c r="AD35" s="6"/>
      <c r="AE35" s="6"/>
      <c r="AF35" s="6"/>
      <c r="AG35" s="47"/>
      <c r="AH35" s="47"/>
      <c r="AI35" s="47"/>
      <c r="AJ35" s="47"/>
      <c r="AK35" s="47"/>
      <c r="AL35" s="47"/>
      <c r="AM35" s="47"/>
      <c r="AN35" s="47"/>
      <c r="AO35" s="47"/>
      <c r="AP35" s="47"/>
      <c r="AQ35" s="47"/>
      <c r="AR35" s="47"/>
      <c r="AS35" s="47"/>
      <c r="AT35" s="47"/>
      <c r="AU35" s="47"/>
      <c r="AV35" s="47"/>
      <c r="AW35" s="47"/>
      <c r="AX35" s="47"/>
      <c r="AY35" s="47"/>
      <c r="AZ35" s="47"/>
      <c r="BA35" s="47"/>
      <c r="BB35" s="374"/>
      <c r="BC35" s="47"/>
      <c r="BD35" s="47"/>
      <c r="BE35" s="47"/>
      <c r="BF35" s="47"/>
      <c r="BG35" s="47"/>
      <c r="BH35" s="47"/>
      <c r="BI35" s="47"/>
      <c r="BJ35" s="47"/>
      <c r="BK35" s="47"/>
      <c r="BL35" s="47"/>
      <c r="BM35" s="47"/>
      <c r="BN35" s="47"/>
      <c r="BO35" s="47"/>
      <c r="BP35" s="47"/>
      <c r="BQ35" s="47"/>
      <c r="BR35" s="47"/>
      <c r="BS35" s="47"/>
      <c r="BT35" s="47"/>
      <c r="BU35" s="47"/>
      <c r="BV35" s="47"/>
      <c r="BW35" s="47"/>
      <c r="BY35" s="47"/>
      <c r="BZ35" s="47"/>
      <c r="CA35" s="47"/>
      <c r="CB35" s="47"/>
      <c r="CC35" s="47"/>
      <c r="CD35" s="47"/>
      <c r="CE35" s="47"/>
      <c r="CF35" s="47"/>
      <c r="CH35" s="47"/>
      <c r="CI35" s="47"/>
      <c r="CJ35" s="47"/>
      <c r="CK35" s="47"/>
      <c r="CL35" s="47"/>
      <c r="CM35" s="47"/>
      <c r="CN35" s="47"/>
      <c r="CO35" s="47"/>
      <c r="CQ35" s="374"/>
      <c r="CR35" s="374"/>
      <c r="CS35" s="47"/>
      <c r="CT35" s="374"/>
      <c r="CU35" s="47"/>
      <c r="CV35" s="47"/>
      <c r="CW35" s="47"/>
      <c r="CX35" s="47"/>
      <c r="DE35" s="1" t="str">
        <f t="shared" si="8"/>
        <v/>
      </c>
    </row>
    <row r="36" spans="2:109" hidden="1" x14ac:dyDescent="0.25">
      <c r="B36" s="7"/>
      <c r="C36" s="7"/>
      <c r="D36" s="7"/>
      <c r="E36" s="7"/>
      <c r="F36" s="7"/>
      <c r="G36" s="7"/>
      <c r="H36" s="7"/>
      <c r="I36" s="7"/>
      <c r="J36" s="45"/>
      <c r="K36" s="45"/>
      <c r="L36" s="45"/>
      <c r="M36" s="45"/>
      <c r="N36" s="45"/>
      <c r="O36" s="45"/>
      <c r="P36" s="45"/>
      <c r="Q36" s="45"/>
      <c r="S36" s="47"/>
      <c r="T36" s="47"/>
      <c r="U36" s="47"/>
      <c r="V36" s="47"/>
      <c r="W36" s="47"/>
      <c r="X36" s="47"/>
      <c r="Y36" s="47"/>
      <c r="Z36" s="47"/>
      <c r="AB36" s="6"/>
      <c r="AC36" s="6"/>
      <c r="AD36" s="6"/>
      <c r="AE36" s="6"/>
      <c r="AF36" s="6"/>
      <c r="AG36" s="47"/>
      <c r="AH36" s="47"/>
      <c r="AI36" s="47"/>
      <c r="AJ36" s="47"/>
      <c r="AK36" s="47"/>
      <c r="AL36" s="47"/>
      <c r="AM36" s="47"/>
      <c r="AN36" s="47"/>
      <c r="AO36" s="47"/>
      <c r="AP36" s="47"/>
      <c r="AQ36" s="47"/>
      <c r="AR36" s="47"/>
      <c r="AS36" s="47"/>
      <c r="AT36" s="47"/>
      <c r="AU36" s="47"/>
      <c r="AV36" s="47"/>
      <c r="AW36" s="47"/>
      <c r="AX36" s="47"/>
      <c r="AY36" s="47"/>
      <c r="AZ36" s="47"/>
      <c r="BA36" s="47"/>
      <c r="BB36" s="374"/>
      <c r="BC36" s="47"/>
      <c r="BD36" s="47"/>
      <c r="BE36" s="47"/>
      <c r="BF36" s="47"/>
      <c r="BG36" s="47"/>
      <c r="BH36" s="47"/>
      <c r="BI36" s="47"/>
      <c r="BJ36" s="47"/>
      <c r="BK36" s="47"/>
      <c r="BL36" s="47"/>
      <c r="BM36" s="47"/>
      <c r="BN36" s="47"/>
      <c r="BO36" s="47"/>
      <c r="BP36" s="47"/>
      <c r="BQ36" s="47"/>
      <c r="BR36" s="47"/>
      <c r="BS36" s="47"/>
      <c r="BT36" s="47"/>
      <c r="BU36" s="47"/>
      <c r="BV36" s="47"/>
      <c r="BW36" s="47"/>
      <c r="BY36" s="47"/>
      <c r="BZ36" s="47"/>
      <c r="CA36" s="47"/>
      <c r="CB36" s="47"/>
      <c r="CC36" s="47"/>
      <c r="CD36" s="47"/>
      <c r="CE36" s="47"/>
      <c r="CF36" s="47"/>
      <c r="CH36" s="47"/>
      <c r="CI36" s="47"/>
      <c r="CJ36" s="47"/>
      <c r="CK36" s="47"/>
      <c r="CL36" s="47"/>
      <c r="CM36" s="47"/>
      <c r="CN36" s="47"/>
      <c r="CO36" s="47"/>
      <c r="CQ36" s="374"/>
      <c r="CR36" s="374"/>
      <c r="CS36" s="47"/>
      <c r="CT36" s="374"/>
      <c r="CU36" s="47"/>
      <c r="CV36" s="47"/>
      <c r="CW36" s="47"/>
      <c r="CX36" s="47"/>
      <c r="DE36" s="1" t="str">
        <f t="shared" si="8"/>
        <v/>
      </c>
    </row>
    <row r="37" spans="2:109" x14ac:dyDescent="0.25">
      <c r="J37" s="48">
        <f t="shared" ref="J37:Q37" si="86">SUM(J6:J36)</f>
        <v>0</v>
      </c>
      <c r="K37" s="48">
        <f t="shared" si="86"/>
        <v>0</v>
      </c>
      <c r="L37" s="48">
        <f t="shared" si="86"/>
        <v>0</v>
      </c>
      <c r="M37" s="764">
        <f t="shared" si="86"/>
        <v>33291.285949037003</v>
      </c>
      <c r="N37" s="764">
        <f t="shared" si="86"/>
        <v>12704.753243026245</v>
      </c>
      <c r="O37" s="764">
        <f t="shared" si="86"/>
        <v>0</v>
      </c>
      <c r="P37" s="764">
        <f t="shared" si="86"/>
        <v>0</v>
      </c>
      <c r="Q37" s="764">
        <f t="shared" si="86"/>
        <v>0</v>
      </c>
      <c r="R37" s="129"/>
      <c r="S37" s="764">
        <f t="shared" ref="S37:Z37" si="87">SUM(S6:S36)</f>
        <v>0</v>
      </c>
      <c r="T37" s="764">
        <f t="shared" si="87"/>
        <v>0</v>
      </c>
      <c r="U37" s="764">
        <f t="shared" si="87"/>
        <v>0</v>
      </c>
      <c r="V37" s="764">
        <f t="shared" si="87"/>
        <v>6005.832992440759</v>
      </c>
      <c r="W37" s="764">
        <f t="shared" si="87"/>
        <v>2270.6057974142141</v>
      </c>
      <c r="X37" s="764">
        <f t="shared" si="87"/>
        <v>0</v>
      </c>
      <c r="Y37" s="764">
        <f t="shared" si="87"/>
        <v>0</v>
      </c>
      <c r="Z37" s="764">
        <f t="shared" si="87"/>
        <v>0</v>
      </c>
      <c r="AA37" s="129"/>
      <c r="AB37" s="573">
        <f t="shared" ref="AB37:BW37" si="88">SUM(AB6:AB36)</f>
        <v>0</v>
      </c>
      <c r="AC37" s="573">
        <f t="shared" si="88"/>
        <v>0</v>
      </c>
      <c r="AD37" s="573">
        <f t="shared" si="88"/>
        <v>0</v>
      </c>
      <c r="AE37" s="573">
        <f t="shared" si="88"/>
        <v>0</v>
      </c>
      <c r="AF37" s="573">
        <f t="shared" si="88"/>
        <v>0</v>
      </c>
      <c r="AG37" s="764">
        <f t="shared" si="88"/>
        <v>0</v>
      </c>
      <c r="AH37" s="573">
        <f t="shared" ref="AH37:AS37" si="89">SUM(AH6:AH36)</f>
        <v>0</v>
      </c>
      <c r="AI37" s="573">
        <f t="shared" si="89"/>
        <v>0</v>
      </c>
      <c r="AJ37" s="573">
        <f t="shared" si="89"/>
        <v>0</v>
      </c>
      <c r="AK37" s="573">
        <f t="shared" si="89"/>
        <v>0</v>
      </c>
      <c r="AL37" s="573">
        <f t="shared" si="89"/>
        <v>0</v>
      </c>
      <c r="AM37" s="764">
        <f t="shared" si="89"/>
        <v>0</v>
      </c>
      <c r="AN37" s="573">
        <f t="shared" si="89"/>
        <v>0</v>
      </c>
      <c r="AO37" s="573">
        <f t="shared" si="89"/>
        <v>0</v>
      </c>
      <c r="AP37" s="573">
        <f t="shared" si="89"/>
        <v>0</v>
      </c>
      <c r="AQ37" s="573">
        <f t="shared" si="89"/>
        <v>0</v>
      </c>
      <c r="AR37" s="573">
        <f t="shared" si="89"/>
        <v>0</v>
      </c>
      <c r="AS37" s="764">
        <f t="shared" si="89"/>
        <v>0</v>
      </c>
      <c r="AT37" s="573">
        <f t="shared" si="88"/>
        <v>1.7509052376540273</v>
      </c>
      <c r="AU37" s="573">
        <f t="shared" si="88"/>
        <v>2614.9776015801299</v>
      </c>
      <c r="AV37" s="573">
        <f t="shared" si="88"/>
        <v>6429.8076977440751</v>
      </c>
      <c r="AW37" s="573">
        <f t="shared" si="88"/>
        <v>871.07556544749218</v>
      </c>
      <c r="AX37" s="573">
        <f t="shared" si="88"/>
        <v>2854.2330821978017</v>
      </c>
      <c r="AY37" s="764">
        <f t="shared" si="88"/>
        <v>12771.844852207154</v>
      </c>
      <c r="AZ37" s="573">
        <f t="shared" si="88"/>
        <v>0.71051227035235898</v>
      </c>
      <c r="BA37" s="573">
        <f t="shared" si="88"/>
        <v>949.69899891929424</v>
      </c>
      <c r="BB37" s="573">
        <f t="shared" si="88"/>
        <v>2344.7577585199983</v>
      </c>
      <c r="BC37" s="573">
        <f t="shared" si="88"/>
        <v>316.32949554964728</v>
      </c>
      <c r="BD37" s="573">
        <f t="shared" si="88"/>
        <v>909.58721945379284</v>
      </c>
      <c r="BE37" s="764">
        <f t="shared" si="88"/>
        <v>4521.0839847130846</v>
      </c>
      <c r="BF37" s="573">
        <f t="shared" si="88"/>
        <v>0</v>
      </c>
      <c r="BG37" s="573">
        <f t="shared" si="88"/>
        <v>0</v>
      </c>
      <c r="BH37" s="573">
        <f t="shared" si="88"/>
        <v>0</v>
      </c>
      <c r="BI37" s="573">
        <f t="shared" si="88"/>
        <v>0</v>
      </c>
      <c r="BJ37" s="573">
        <f t="shared" si="88"/>
        <v>0</v>
      </c>
      <c r="BK37" s="764">
        <f t="shared" si="88"/>
        <v>0</v>
      </c>
      <c r="BL37" s="573">
        <f t="shared" si="88"/>
        <v>0</v>
      </c>
      <c r="BM37" s="573">
        <f t="shared" si="88"/>
        <v>0</v>
      </c>
      <c r="BN37" s="573">
        <f t="shared" si="88"/>
        <v>0</v>
      </c>
      <c r="BO37" s="573">
        <f t="shared" si="88"/>
        <v>0</v>
      </c>
      <c r="BP37" s="573">
        <f t="shared" si="88"/>
        <v>0</v>
      </c>
      <c r="BQ37" s="764">
        <f t="shared" si="88"/>
        <v>0</v>
      </c>
      <c r="BR37" s="573">
        <f t="shared" si="88"/>
        <v>0</v>
      </c>
      <c r="BS37" s="573">
        <f t="shared" si="88"/>
        <v>0</v>
      </c>
      <c r="BT37" s="573">
        <f t="shared" si="88"/>
        <v>0</v>
      </c>
      <c r="BU37" s="573">
        <f t="shared" si="88"/>
        <v>0</v>
      </c>
      <c r="BV37" s="573">
        <f t="shared" si="88"/>
        <v>0</v>
      </c>
      <c r="BW37" s="764">
        <f t="shared" si="88"/>
        <v>0</v>
      </c>
      <c r="BX37" s="129"/>
      <c r="BY37" s="764">
        <f t="shared" ref="BY37:CF37" si="90">SUM(BY6:BY36)</f>
        <v>0</v>
      </c>
      <c r="BZ37" s="764">
        <f t="shared" si="90"/>
        <v>0</v>
      </c>
      <c r="CA37" s="764">
        <f t="shared" si="90"/>
        <v>0</v>
      </c>
      <c r="CB37" s="764">
        <f t="shared" si="90"/>
        <v>10765.76678766702</v>
      </c>
      <c r="CC37" s="764">
        <f t="shared" si="90"/>
        <v>4392.6414186507527</v>
      </c>
      <c r="CD37" s="764">
        <f t="shared" si="90"/>
        <v>0</v>
      </c>
      <c r="CE37" s="764">
        <f t="shared" si="90"/>
        <v>0</v>
      </c>
      <c r="CF37" s="764">
        <f t="shared" si="90"/>
        <v>0</v>
      </c>
      <c r="CG37" s="129"/>
      <c r="CH37" s="764">
        <f t="shared" ref="CH37:CO37" si="91">SUM(CH6:CH36)</f>
        <v>0</v>
      </c>
      <c r="CI37" s="764">
        <f t="shared" si="91"/>
        <v>0</v>
      </c>
      <c r="CJ37" s="764">
        <f t="shared" si="91"/>
        <v>0</v>
      </c>
      <c r="CK37" s="764">
        <f t="shared" si="91"/>
        <v>3854.3743783767991</v>
      </c>
      <c r="CL37" s="764">
        <f t="shared" si="91"/>
        <v>1555.11392765801</v>
      </c>
      <c r="CM37" s="764">
        <f t="shared" si="91"/>
        <v>0</v>
      </c>
      <c r="CN37" s="764">
        <f t="shared" si="91"/>
        <v>0</v>
      </c>
      <c r="CO37" s="764">
        <f t="shared" si="91"/>
        <v>0</v>
      </c>
      <c r="CP37" s="129"/>
      <c r="CQ37" s="764">
        <f t="shared" ref="CQ37:CX37" si="92">SUM(CQ6:CQ36)</f>
        <v>0</v>
      </c>
      <c r="CR37" s="764">
        <f t="shared" si="92"/>
        <v>0</v>
      </c>
      <c r="CS37" s="764">
        <f t="shared" si="92"/>
        <v>0</v>
      </c>
      <c r="CT37" s="764">
        <f t="shared" si="92"/>
        <v>33397.819010691725</v>
      </c>
      <c r="CU37" s="764">
        <f t="shared" si="92"/>
        <v>12739.445128436064</v>
      </c>
      <c r="CV37" s="764">
        <f t="shared" si="92"/>
        <v>0</v>
      </c>
      <c r="CW37" s="764">
        <f t="shared" si="92"/>
        <v>0</v>
      </c>
      <c r="CX37" s="764">
        <f t="shared" si="92"/>
        <v>0</v>
      </c>
    </row>
    <row r="38" spans="2:109" x14ac:dyDescent="0.25">
      <c r="CQ38" s="84">
        <f t="shared" ref="CQ38:CX38" si="93">IF(ISERROR((CQ37-J37)/J37),0,(CQ37-J37)/J37)</f>
        <v>0</v>
      </c>
      <c r="CR38" s="84">
        <f t="shared" si="93"/>
        <v>0</v>
      </c>
      <c r="CS38" s="84">
        <f t="shared" si="93"/>
        <v>0</v>
      </c>
      <c r="CT38" s="84">
        <f t="shared" si="93"/>
        <v>3.2000284344018649E-3</v>
      </c>
      <c r="CU38" s="84">
        <f t="shared" si="93"/>
        <v>2.7306225273490605E-3</v>
      </c>
      <c r="CV38" s="84">
        <f t="shared" si="93"/>
        <v>0</v>
      </c>
      <c r="CW38" s="84">
        <f t="shared" si="93"/>
        <v>0</v>
      </c>
      <c r="CX38" s="84">
        <f t="shared" si="93"/>
        <v>0</v>
      </c>
    </row>
    <row r="39" spans="2:109" x14ac:dyDescent="0.25">
      <c r="J39" s="501"/>
      <c r="K39" s="501"/>
      <c r="L39" s="501"/>
      <c r="M39" s="501"/>
      <c r="N39" s="501"/>
      <c r="O39" s="501"/>
      <c r="P39" s="501"/>
      <c r="Q39" s="501"/>
    </row>
    <row r="40" spans="2:109" x14ac:dyDescent="0.25">
      <c r="H40" s="6" t="s">
        <v>618</v>
      </c>
      <c r="I40" s="305"/>
      <c r="J40" s="273"/>
      <c r="K40" s="273"/>
      <c r="L40" s="273"/>
      <c r="M40" s="273"/>
      <c r="N40" s="273"/>
      <c r="O40" s="273"/>
      <c r="P40" s="273"/>
      <c r="Q40" s="273"/>
      <c r="CQ40" s="39"/>
      <c r="CR40" s="39"/>
      <c r="CS40" s="39"/>
      <c r="CT40" s="39"/>
      <c r="CU40" s="39"/>
      <c r="CV40" s="39"/>
      <c r="CW40" s="39"/>
      <c r="CX40" s="39"/>
    </row>
    <row r="41" spans="2:109" x14ac:dyDescent="0.25">
      <c r="E41" s="1" t="str">
        <f t="shared" ref="E41:E45" si="94">E17&amp;"/"&amp;G17</f>
        <v>Distribution system assets/Replacement</v>
      </c>
      <c r="H41" s="6" t="s">
        <v>619</v>
      </c>
      <c r="I41" s="305"/>
      <c r="J41" s="273"/>
      <c r="K41" s="273"/>
      <c r="L41" s="273"/>
      <c r="M41" s="273"/>
      <c r="N41" s="273"/>
      <c r="O41" s="273"/>
      <c r="P41" s="273"/>
      <c r="Q41" s="273"/>
      <c r="CQ41" s="39"/>
      <c r="CR41" s="39"/>
      <c r="CS41" s="39"/>
      <c r="CT41" s="39"/>
      <c r="CU41" s="39"/>
      <c r="CV41" s="39"/>
      <c r="CW41" s="39"/>
      <c r="CX41" s="39"/>
    </row>
    <row r="42" spans="2:109" x14ac:dyDescent="0.25">
      <c r="E42" s="1" t="str">
        <f t="shared" si="94"/>
        <v>SCADA/Network control/Augmentation</v>
      </c>
      <c r="H42" s="6" t="s">
        <v>10</v>
      </c>
      <c r="I42" s="305"/>
      <c r="J42" s="273"/>
      <c r="K42" s="273"/>
      <c r="L42" s="273"/>
      <c r="M42" s="273"/>
      <c r="N42" s="273"/>
      <c r="O42" s="273"/>
      <c r="P42" s="273"/>
      <c r="Q42" s="273"/>
    </row>
    <row r="43" spans="2:109" x14ac:dyDescent="0.25">
      <c r="E43" s="1" t="str">
        <f t="shared" si="94"/>
        <v>SCADA/Network control/Replacement</v>
      </c>
      <c r="H43" s="8" t="s">
        <v>146</v>
      </c>
      <c r="I43" s="305"/>
      <c r="J43" s="502"/>
      <c r="K43" s="502"/>
      <c r="L43" s="502"/>
      <c r="M43" s="502"/>
      <c r="N43" s="502"/>
      <c r="O43" s="502"/>
      <c r="P43" s="502"/>
      <c r="Q43" s="502"/>
      <c r="CO43" s="78"/>
      <c r="CQ43" s="157"/>
      <c r="CR43" s="157"/>
      <c r="CS43" s="157"/>
      <c r="CT43" s="157"/>
      <c r="CU43" s="157"/>
      <c r="CV43" s="157"/>
      <c r="CW43" s="157"/>
      <c r="CX43" s="157"/>
    </row>
    <row r="44" spans="2:109" x14ac:dyDescent="0.25">
      <c r="E44" s="1" t="str">
        <f t="shared" si="94"/>
        <v>Non-network general assets - Other/Non-network</v>
      </c>
      <c r="CO44" s="78"/>
      <c r="CQ44" s="157"/>
      <c r="CR44" s="157"/>
      <c r="CS44" s="157"/>
      <c r="CT44" s="157"/>
      <c r="CU44" s="157"/>
      <c r="CV44" s="157"/>
      <c r="CW44" s="157"/>
      <c r="CX44" s="157"/>
    </row>
    <row r="45" spans="2:109" x14ac:dyDescent="0.25">
      <c r="E45" s="1" t="str">
        <f t="shared" si="94"/>
        <v>Land/Non-network</v>
      </c>
      <c r="CO45" s="78"/>
      <c r="CQ45" s="157"/>
      <c r="CR45" s="157"/>
      <c r="CS45" s="157"/>
      <c r="CT45" s="157"/>
      <c r="CU45" s="157"/>
      <c r="CV45" s="157"/>
      <c r="CW45" s="157"/>
      <c r="CX45" s="157"/>
    </row>
    <row r="46" spans="2:109" x14ac:dyDescent="0.25">
      <c r="J46" s="39"/>
      <c r="K46" s="39"/>
      <c r="L46" s="39"/>
      <c r="CO46" s="78"/>
      <c r="CQ46" s="157"/>
      <c r="CR46" s="157"/>
      <c r="CS46" s="157"/>
      <c r="CT46" s="157"/>
      <c r="CU46" s="157"/>
      <c r="CV46" s="157"/>
      <c r="CW46" s="157"/>
      <c r="CX46" s="157"/>
    </row>
    <row r="47" spans="2:109" x14ac:dyDescent="0.25">
      <c r="J47" s="39"/>
      <c r="K47" s="39"/>
      <c r="L47" s="39"/>
      <c r="CO47" s="78"/>
      <c r="CQ47" s="157"/>
      <c r="CR47" s="157"/>
      <c r="CS47" s="157"/>
      <c r="CT47" s="157"/>
      <c r="CU47" s="157"/>
      <c r="CV47" s="157"/>
      <c r="CW47" s="157"/>
      <c r="CX47" s="157"/>
    </row>
    <row r="48" spans="2:109" x14ac:dyDescent="0.25">
      <c r="J48" s="39"/>
      <c r="K48" s="39"/>
      <c r="L48" s="39"/>
    </row>
    <row r="49" spans="10:12" x14ac:dyDescent="0.25">
      <c r="J49" s="39"/>
      <c r="K49" s="39"/>
      <c r="L49" s="39"/>
    </row>
    <row r="50" spans="10:12" x14ac:dyDescent="0.25">
      <c r="J50" s="39"/>
      <c r="K50" s="39"/>
      <c r="L50" s="39"/>
    </row>
    <row r="54" spans="10:12" x14ac:dyDescent="0.25">
      <c r="J54" s="160"/>
      <c r="K54" s="160"/>
      <c r="L54" s="160"/>
    </row>
    <row r="55" spans="10:12" x14ac:dyDescent="0.25">
      <c r="J55" s="160"/>
      <c r="K55" s="160"/>
      <c r="L55" s="160"/>
    </row>
    <row r="56" spans="10:12" x14ac:dyDescent="0.25">
      <c r="J56" s="160"/>
      <c r="K56" s="160"/>
      <c r="L56" s="160"/>
    </row>
    <row r="57" spans="10:12" x14ac:dyDescent="0.25">
      <c r="J57" s="160"/>
      <c r="K57" s="160"/>
      <c r="L57" s="160"/>
    </row>
  </sheetData>
  <autoFilter ref="B5:I36">
    <filterColumn colId="3">
      <filters>
        <filter val="SCADA/Network control"/>
      </filters>
    </filterColumn>
  </autoFilter>
  <mergeCells count="11">
    <mergeCell ref="CQ3:CX3"/>
    <mergeCell ref="J4:Q4"/>
    <mergeCell ref="S4:Z4"/>
    <mergeCell ref="BY4:CF4"/>
    <mergeCell ref="CH4:CO4"/>
    <mergeCell ref="CQ4:CX4"/>
    <mergeCell ref="M1:N1"/>
    <mergeCell ref="J3:Q3"/>
    <mergeCell ref="S3:Z3"/>
    <mergeCell ref="BY3:CF3"/>
    <mergeCell ref="CH3:CO3"/>
  </mergeCells>
  <hyperlinks>
    <hyperlink ref="B2" location="Contents!A1" display="Table of Contents"/>
  </hyperlink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5">
        <x14:dataValidation type="list" errorStyle="warning" showInputMessage="1" showErrorMessage="1" error="Invalid data entered" prompt="Select from drop down list">
          <x14:formula1>
            <xm:f>Lookups!$I$5:$I$10</xm:f>
          </x14:formula1>
          <xm:sqref>G6:G36</xm:sqref>
        </x14:dataValidation>
        <x14:dataValidation type="list" errorStyle="warning" allowBlank="1" showInputMessage="1" showErrorMessage="1" prompt="Select from drop down list">
          <x14:formula1>
            <xm:f>Lab_Mat!$C$33:$C$98</xm:f>
          </x14:formula1>
          <xm:sqref>I6:I36</xm:sqref>
        </x14:dataValidation>
        <x14:dataValidation type="list" errorStyle="warning" showInputMessage="1" showErrorMessage="1" error="Invalid data entered" prompt="Select from drop down list">
          <x14:formula1>
            <xm:f>Lookups!$C$5:$C$13</xm:f>
          </x14:formula1>
          <xm:sqref>E6:E21 E23:E36</xm:sqref>
        </x14:dataValidation>
        <x14:dataValidation type="list" errorStyle="warning" showInputMessage="1" showErrorMessage="1" error="Invalid data entered" prompt="Select from drop down list">
          <x14:formula1>
            <xm:f>Lookups!$C$16:$C$27</xm:f>
          </x14:formula1>
          <xm:sqref>F6:F36</xm:sqref>
        </x14:dataValidation>
        <x14:dataValidation type="list" errorStyle="warning" allowBlank="1" showInputMessage="1" showErrorMessage="1" prompt="Select from drop down list">
          <x14:formula1>
            <xm:f>Lab_Mat!$J$6:$J$9</xm:f>
          </x14:formula1>
          <xm:sqref>H6:H36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BJ55"/>
  <sheetViews>
    <sheetView zoomScale="85" zoomScaleNormal="85" zoomScalePageLayoutView="125" workbookViewId="0">
      <pane xSplit="8" topLeftCell="BJ1" activePane="topRight" state="frozen"/>
      <selection activeCell="V33" sqref="V33"/>
      <selection pane="topRight" activeCell="BJ34" sqref="BJ34"/>
    </sheetView>
  </sheetViews>
  <sheetFormatPr defaultColWidth="8.85546875" defaultRowHeight="15" outlineLevelCol="1" x14ac:dyDescent="0.25"/>
  <cols>
    <col min="1" max="1" width="4" style="1" customWidth="1"/>
    <col min="2" max="2" width="21.42578125" style="1" bestFit="1" customWidth="1"/>
    <col min="3" max="3" width="12.5703125" style="1" customWidth="1"/>
    <col min="4" max="4" width="37.28515625" style="1" customWidth="1"/>
    <col min="5" max="5" width="43.140625" style="1" customWidth="1" outlineLevel="1"/>
    <col min="6" max="6" width="33.42578125" style="1" customWidth="1" outlineLevel="1"/>
    <col min="7" max="7" width="27.7109375" style="1" customWidth="1" outlineLevel="1"/>
    <col min="8" max="8" width="24.42578125" style="1" customWidth="1" outlineLevel="1"/>
    <col min="9" max="9" width="29.7109375" style="1" customWidth="1" outlineLevel="1"/>
    <col min="10" max="17" width="9" style="1" customWidth="1"/>
    <col min="18" max="18" width="3.140625" style="1" customWidth="1"/>
    <col min="19" max="26" width="8.85546875" style="1"/>
    <col min="27" max="27" width="2.85546875" style="1" customWidth="1"/>
    <col min="28" max="35" width="8.85546875" style="1"/>
    <col min="36" max="36" width="2.42578125" style="1" customWidth="1"/>
    <col min="37" max="44" width="8.85546875" style="1"/>
    <col min="45" max="45" width="2.85546875" style="1" customWidth="1"/>
    <col min="46" max="53" width="8.85546875" style="1"/>
    <col min="54" max="54" width="2.85546875" style="1" customWidth="1"/>
    <col min="55" max="16384" width="8.85546875" style="1"/>
  </cols>
  <sheetData>
    <row r="1" spans="2:62" ht="18.75" x14ac:dyDescent="0.3">
      <c r="B1" s="10" t="s">
        <v>27</v>
      </c>
      <c r="M1" s="825" t="s">
        <v>749</v>
      </c>
      <c r="N1" s="825"/>
    </row>
    <row r="2" spans="2:62" x14ac:dyDescent="0.25">
      <c r="B2" s="25" t="s">
        <v>6</v>
      </c>
      <c r="AB2" s="88"/>
      <c r="AC2" s="88"/>
      <c r="AD2" s="88"/>
    </row>
    <row r="3" spans="2:62" x14ac:dyDescent="0.25">
      <c r="J3" s="829"/>
      <c r="K3" s="829"/>
      <c r="L3" s="829"/>
      <c r="M3" s="829"/>
      <c r="N3" s="829"/>
      <c r="O3" s="829"/>
      <c r="P3" s="829"/>
      <c r="Q3" s="829"/>
      <c r="S3" s="829"/>
      <c r="T3" s="829"/>
      <c r="U3" s="829"/>
      <c r="V3" s="829"/>
      <c r="W3" s="829"/>
      <c r="X3" s="829"/>
      <c r="Y3" s="829"/>
      <c r="Z3" s="829"/>
      <c r="AB3" s="829"/>
      <c r="AC3" s="829"/>
      <c r="AD3" s="829"/>
      <c r="AE3" s="829"/>
      <c r="AF3" s="829"/>
      <c r="AG3" s="829"/>
      <c r="AH3" s="829"/>
      <c r="AI3" s="829"/>
      <c r="AK3" s="829"/>
      <c r="AL3" s="829"/>
      <c r="AM3" s="829"/>
      <c r="AN3" s="829"/>
      <c r="AO3" s="829"/>
      <c r="AP3" s="829"/>
      <c r="AQ3" s="829"/>
      <c r="AR3" s="829"/>
      <c r="AT3" s="829"/>
      <c r="AU3" s="829"/>
      <c r="AV3" s="829"/>
      <c r="AW3" s="829"/>
      <c r="AX3" s="829"/>
      <c r="AY3" s="829"/>
      <c r="AZ3" s="829"/>
      <c r="BA3" s="829"/>
      <c r="BC3" s="829"/>
      <c r="BD3" s="829"/>
      <c r="BE3" s="829"/>
      <c r="BF3" s="829"/>
      <c r="BG3" s="829"/>
      <c r="BH3" s="829"/>
      <c r="BI3" s="829"/>
      <c r="BJ3" s="829"/>
    </row>
    <row r="4" spans="2:62" ht="35.450000000000003" customHeight="1" x14ac:dyDescent="0.25">
      <c r="J4" s="826" t="s">
        <v>380</v>
      </c>
      <c r="K4" s="827"/>
      <c r="L4" s="827"/>
      <c r="M4" s="827"/>
      <c r="N4" s="827"/>
      <c r="O4" s="827"/>
      <c r="P4" s="827"/>
      <c r="Q4" s="828"/>
      <c r="S4" s="826" t="s">
        <v>174</v>
      </c>
      <c r="T4" s="827"/>
      <c r="U4" s="827"/>
      <c r="V4" s="827"/>
      <c r="W4" s="827"/>
      <c r="X4" s="827"/>
      <c r="Y4" s="827"/>
      <c r="Z4" s="828"/>
      <c r="AB4" s="826" t="s">
        <v>173</v>
      </c>
      <c r="AC4" s="827"/>
      <c r="AD4" s="827"/>
      <c r="AE4" s="827"/>
      <c r="AF4" s="827"/>
      <c r="AG4" s="827"/>
      <c r="AH4" s="827"/>
      <c r="AI4" s="828"/>
      <c r="AK4" s="826" t="s">
        <v>299</v>
      </c>
      <c r="AL4" s="827"/>
      <c r="AM4" s="827"/>
      <c r="AN4" s="827"/>
      <c r="AO4" s="827"/>
      <c r="AP4" s="827"/>
      <c r="AQ4" s="827"/>
      <c r="AR4" s="828"/>
      <c r="AT4" s="826" t="s">
        <v>175</v>
      </c>
      <c r="AU4" s="827"/>
      <c r="AV4" s="827"/>
      <c r="AW4" s="827"/>
      <c r="AX4" s="827"/>
      <c r="AY4" s="827"/>
      <c r="AZ4" s="827"/>
      <c r="BA4" s="828"/>
      <c r="BC4" s="826" t="s">
        <v>381</v>
      </c>
      <c r="BD4" s="827"/>
      <c r="BE4" s="827"/>
      <c r="BF4" s="827"/>
      <c r="BG4" s="827"/>
      <c r="BH4" s="827"/>
      <c r="BI4" s="827"/>
      <c r="BJ4" s="828"/>
    </row>
    <row r="5" spans="2:62" x14ac:dyDescent="0.25">
      <c r="B5" s="8" t="s">
        <v>23</v>
      </c>
      <c r="C5" s="8" t="s">
        <v>24</v>
      </c>
      <c r="D5" s="17" t="s">
        <v>98</v>
      </c>
      <c r="E5" s="17" t="s">
        <v>76</v>
      </c>
      <c r="F5" s="17" t="s">
        <v>77</v>
      </c>
      <c r="G5" s="17" t="s">
        <v>324</v>
      </c>
      <c r="H5" s="17" t="s">
        <v>212</v>
      </c>
      <c r="I5" s="17" t="s">
        <v>361</v>
      </c>
      <c r="J5" s="335">
        <f>CP_Yr_4</f>
        <v>43800</v>
      </c>
      <c r="K5" s="335">
        <f>CP_Yr_5</f>
        <v>44166</v>
      </c>
      <c r="L5" s="335">
        <f>Stub</f>
        <v>44377</v>
      </c>
      <c r="M5" s="335">
        <f>Yr_1</f>
        <v>44742</v>
      </c>
      <c r="N5" s="335">
        <f>Yr_2</f>
        <v>45107</v>
      </c>
      <c r="O5" s="335">
        <f>Yr_3</f>
        <v>45473</v>
      </c>
      <c r="P5" s="335">
        <f>Yr_4</f>
        <v>45838</v>
      </c>
      <c r="Q5" s="335">
        <f>Yr_5</f>
        <v>46203</v>
      </c>
      <c r="R5" s="336"/>
      <c r="S5" s="335">
        <f>CP_Yr_4</f>
        <v>43800</v>
      </c>
      <c r="T5" s="335">
        <f>CP_Yr_5</f>
        <v>44166</v>
      </c>
      <c r="U5" s="335">
        <f>Stub</f>
        <v>44377</v>
      </c>
      <c r="V5" s="335">
        <f>Yr_1</f>
        <v>44742</v>
      </c>
      <c r="W5" s="335">
        <f>Yr_2</f>
        <v>45107</v>
      </c>
      <c r="X5" s="335">
        <f>Yr_3</f>
        <v>45473</v>
      </c>
      <c r="Y5" s="335">
        <f>Yr_4</f>
        <v>45838</v>
      </c>
      <c r="Z5" s="335">
        <f>Yr_5</f>
        <v>46203</v>
      </c>
      <c r="AA5" s="336"/>
      <c r="AB5" s="335">
        <f>CP_Yr_4</f>
        <v>43800</v>
      </c>
      <c r="AC5" s="335">
        <f>CP_Yr_5</f>
        <v>44166</v>
      </c>
      <c r="AD5" s="335">
        <f>Stub</f>
        <v>44377</v>
      </c>
      <c r="AE5" s="335">
        <f>Yr_1</f>
        <v>44742</v>
      </c>
      <c r="AF5" s="335">
        <f>Yr_2</f>
        <v>45107</v>
      </c>
      <c r="AG5" s="335">
        <f>Yr_3</f>
        <v>45473</v>
      </c>
      <c r="AH5" s="335">
        <f>Yr_4</f>
        <v>45838</v>
      </c>
      <c r="AI5" s="335">
        <f>Yr_5</f>
        <v>46203</v>
      </c>
      <c r="AJ5" s="336"/>
      <c r="AK5" s="335">
        <f>CP_Yr_4</f>
        <v>43800</v>
      </c>
      <c r="AL5" s="335">
        <f>CP_Yr_5</f>
        <v>44166</v>
      </c>
      <c r="AM5" s="335">
        <f>Stub</f>
        <v>44377</v>
      </c>
      <c r="AN5" s="335">
        <f>Yr_1</f>
        <v>44742</v>
      </c>
      <c r="AO5" s="335">
        <f>Yr_2</f>
        <v>45107</v>
      </c>
      <c r="AP5" s="335">
        <f>Yr_3</f>
        <v>45473</v>
      </c>
      <c r="AQ5" s="335">
        <f>Yr_4</f>
        <v>45838</v>
      </c>
      <c r="AR5" s="335">
        <f>Yr_5</f>
        <v>46203</v>
      </c>
      <c r="AS5" s="336"/>
      <c r="AT5" s="335">
        <f>CP_Yr_4</f>
        <v>43800</v>
      </c>
      <c r="AU5" s="335">
        <f>CP_Yr_5</f>
        <v>44166</v>
      </c>
      <c r="AV5" s="335">
        <f>Stub</f>
        <v>44377</v>
      </c>
      <c r="AW5" s="335">
        <f>Yr_1</f>
        <v>44742</v>
      </c>
      <c r="AX5" s="335">
        <f>Yr_2</f>
        <v>45107</v>
      </c>
      <c r="AY5" s="335">
        <f>Yr_3</f>
        <v>45473</v>
      </c>
      <c r="AZ5" s="335">
        <f>Yr_4</f>
        <v>45838</v>
      </c>
      <c r="BA5" s="335">
        <f>Yr_5</f>
        <v>46203</v>
      </c>
      <c r="BB5" s="336"/>
      <c r="BC5" s="335">
        <f>CP_Yr_4</f>
        <v>43800</v>
      </c>
      <c r="BD5" s="335">
        <f>CP_Yr_5</f>
        <v>44166</v>
      </c>
      <c r="BE5" s="335">
        <f>Stub</f>
        <v>44377</v>
      </c>
      <c r="BF5" s="335">
        <f>Yr_1</f>
        <v>44742</v>
      </c>
      <c r="BG5" s="335">
        <f>Yr_2</f>
        <v>45107</v>
      </c>
      <c r="BH5" s="335">
        <f>Yr_3</f>
        <v>45473</v>
      </c>
      <c r="BI5" s="335">
        <f>Yr_4</f>
        <v>45838</v>
      </c>
      <c r="BJ5" s="335">
        <f>Yr_5</f>
        <v>46203</v>
      </c>
    </row>
    <row r="6" spans="2:62" x14ac:dyDescent="0.25">
      <c r="B6" s="7"/>
      <c r="C6" s="7"/>
      <c r="D6" s="7" t="s">
        <v>604</v>
      </c>
      <c r="E6" s="7" t="s">
        <v>49</v>
      </c>
      <c r="F6" s="7" t="s">
        <v>49</v>
      </c>
      <c r="G6" s="7" t="s">
        <v>34</v>
      </c>
      <c r="H6" s="7" t="s">
        <v>166</v>
      </c>
      <c r="I6" s="7" t="s">
        <v>334</v>
      </c>
      <c r="J6" s="45"/>
      <c r="K6" s="45"/>
      <c r="L6" s="45"/>
      <c r="M6" s="128">
        <v>12909.356716666665</v>
      </c>
      <c r="N6" s="128">
        <v>5978.810183333334</v>
      </c>
      <c r="O6" s="128">
        <v>13310.785883333334</v>
      </c>
      <c r="P6" s="128">
        <v>7027.8743333333341</v>
      </c>
      <c r="Q6" s="128">
        <v>6329.1528833333341</v>
      </c>
      <c r="R6" s="129"/>
      <c r="S6" s="128">
        <f>INDEX(Direct_Cost_Splits_Non_Ntwk,MATCH($H6,RIN_Asset_Cat_Non_Ntwk,0),MATCH($S$4,Direct_Cost_Type,0))*J6*HLOOKUP(S$5,Escalators!$I$25:$U$30,3,FALSE)</f>
        <v>0</v>
      </c>
      <c r="T6" s="128">
        <f>INDEX(Direct_Cost_Splits_Non_Ntwk,MATCH($H6,RIN_Asset_Cat_Non_Ntwk,0),MATCH($S$4,Direct_Cost_Type,0))*K6*HLOOKUP(T$5,Escalators!$I$25:$U$30,3,FALSE)</f>
        <v>0</v>
      </c>
      <c r="U6" s="128">
        <f>INDEX(Direct_Cost_Splits_Non_Ntwk,MATCH($H6,RIN_Asset_Cat_Non_Ntwk,0),MATCH($S$4,Direct_Cost_Type,0))*L6*HLOOKUP(U$5,Escalators!$I$25:$U$30,3,FALSE)</f>
        <v>0</v>
      </c>
      <c r="V6" s="128">
        <f>INDEX(Direct_Cost_Splits_Non_Ntwk,MATCH($H6,RIN_Asset_Cat_Non_Ntwk,0),MATCH($S$4,Direct_Cost_Type,0))*M6*HLOOKUP(V$5,Escalators!$I$25:$U$30,3,FALSE)</f>
        <v>2373.4789575619034</v>
      </c>
      <c r="W6" s="128">
        <f>INDEX(Direct_Cost_Splits_Non_Ntwk,MATCH($H6,RIN_Asset_Cat_Non_Ntwk,0),MATCH($S$4,Direct_Cost_Type,0))*N6*HLOOKUP(W$5,Escalators!$I$25:$U$30,3,FALSE)</f>
        <v>1096.502028957887</v>
      </c>
      <c r="X6" s="128">
        <f>INDEX(Direct_Cost_Splits_Non_Ntwk,MATCH($H6,RIN_Asset_Cat_Non_Ntwk,0),MATCH($S$4,Direct_Cost_Type,0))*O6*HLOOKUP(X$5,Escalators!$I$25:$U$30,3,FALSE)</f>
        <v>2439.3989131596609</v>
      </c>
      <c r="Y6" s="128">
        <f>INDEX(Direct_Cost_Splits_Non_Ntwk,MATCH($H6,RIN_Asset_Cat_Non_Ntwk,0),MATCH($S$4,Direct_Cost_Type,0))*P6*HLOOKUP(Y$5,Escalators!$I$25:$U$30,3,FALSE)</f>
        <v>1292.6925564310279</v>
      </c>
      <c r="Z6" s="128">
        <f>INDEX(Direct_Cost_Splits_Non_Ntwk,MATCH($H6,RIN_Asset_Cat_Non_Ntwk,0),MATCH($S$4,Direct_Cost_Type,0))*Q6*HLOOKUP(Z$5,Escalators!$I$25:$U$30,3,FALSE)</f>
        <v>1175.7732420697876</v>
      </c>
      <c r="AA6" s="129"/>
      <c r="AB6" s="128">
        <f t="shared" ref="AB6:AI8" si="0">INDEX(Direct_Cost_Splits_Non_Ntwk,MATCH($H6,RIN_Asset_Cat_Non_Ntwk,0),MATCH($AB$4,Direct_Cost_Type,0))*J6</f>
        <v>0</v>
      </c>
      <c r="AC6" s="128">
        <f t="shared" si="0"/>
        <v>0</v>
      </c>
      <c r="AD6" s="128">
        <f t="shared" si="0"/>
        <v>0</v>
      </c>
      <c r="AE6" s="128">
        <f t="shared" si="0"/>
        <v>4446.4334276920226</v>
      </c>
      <c r="AF6" s="128">
        <f t="shared" si="0"/>
        <v>2059.3110904338832</v>
      </c>
      <c r="AG6" s="128">
        <f t="shared" si="0"/>
        <v>4584.6996561875758</v>
      </c>
      <c r="AH6" s="128">
        <f t="shared" si="0"/>
        <v>2420.6454316200002</v>
      </c>
      <c r="AI6" s="128">
        <f t="shared" si="0"/>
        <v>2179.9813551587481</v>
      </c>
      <c r="AJ6" s="129"/>
      <c r="AK6" s="128">
        <f>INDEX(Direct_Cost_Splits_Non_Ntwk,MATCH($H6,RIN_Asset_Cat_Non_Ntwk,0),MATCH($AK$4,Direct_Cost_Type,0))*J6*HLOOKUP(AK$5,Escalators!$I$25:$U$30,6,FALSE)</f>
        <v>0</v>
      </c>
      <c r="AL6" s="128">
        <f>INDEX(Direct_Cost_Splits_Non_Ntwk,MATCH($H6,RIN_Asset_Cat_Non_Ntwk,0),MATCH($AK$4,Direct_Cost_Type,0))*K6*HLOOKUP(AL$5,Escalators!$I$25:$U$30,6,FALSE)</f>
        <v>0</v>
      </c>
      <c r="AM6" s="128">
        <f>INDEX(Direct_Cost_Splits_Non_Ntwk,MATCH($H6,RIN_Asset_Cat_Non_Ntwk,0),MATCH($AK$4,Direct_Cost_Type,0))*L6*HLOOKUP(AM$5,Escalators!$I$25:$U$30,6,FALSE)</f>
        <v>0</v>
      </c>
      <c r="AN6" s="128">
        <f>INDEX(Direct_Cost_Splits_Non_Ntwk,MATCH($H6,RIN_Asset_Cat_Non_Ntwk,0),MATCH($AK$4,Direct_Cost_Type,0))*M6*HLOOKUP(AN$5,Escalators!$I$25:$U$30,6,FALSE)</f>
        <v>6131.5457319079569</v>
      </c>
      <c r="AO6" s="128">
        <f>INDEX(Direct_Cost_Splits_Non_Ntwk,MATCH($H6,RIN_Asset_Cat_Non_Ntwk,0),MATCH($AK$4,Direct_Cost_Type,0))*N6*HLOOKUP(AO$5,Escalators!$I$25:$U$30,6,FALSE)</f>
        <v>2839.7501801291282</v>
      </c>
      <c r="AP6" s="128">
        <f>INDEX(Direct_Cost_Splits_Non_Ntwk,MATCH($H6,RIN_Asset_Cat_Non_Ntwk,0),MATCH($AK$4,Direct_Cost_Type,0))*O6*HLOOKUP(AP$5,Escalators!$I$25:$U$30,6,FALSE)</f>
        <v>6322.2121878406997</v>
      </c>
      <c r="AQ6" s="128">
        <f>INDEX(Direct_Cost_Splits_Non_Ntwk,MATCH($H6,RIN_Asset_Cat_Non_Ntwk,0),MATCH($AK$4,Direct_Cost_Type,0))*P6*HLOOKUP(AQ$5,Escalators!$I$25:$U$30,6,FALSE)</f>
        <v>3338.0232507869091</v>
      </c>
      <c r="AR6" s="128">
        <f>INDEX(Direct_Cost_Splits_Non_Ntwk,MATCH($H6,RIN_Asset_Cat_Non_Ntwk,0),MATCH($AK$4,Direct_Cost_Type,0))*Q6*HLOOKUP(AR$5,Escalators!$I$25:$U$30,6,FALSE)</f>
        <v>3006.152142212703</v>
      </c>
      <c r="AS6" s="129"/>
      <c r="AT6" s="763">
        <f t="shared" ref="AT6:BA8" si="1">INDEX(Direct_Cost_Splits_Non_Ntwk,MATCH($H6,RIN_Asset_Cat_Non_Ntwk,0),MATCH($AT$4,Direct_Cost_Type,0))*J6</f>
        <v>0</v>
      </c>
      <c r="AU6" s="763">
        <f t="shared" si="1"/>
        <v>0</v>
      </c>
      <c r="AV6" s="763">
        <f t="shared" si="1"/>
        <v>0</v>
      </c>
      <c r="AW6" s="763">
        <f t="shared" si="1"/>
        <v>0</v>
      </c>
      <c r="AX6" s="763">
        <f t="shared" si="1"/>
        <v>0</v>
      </c>
      <c r="AY6" s="763">
        <f t="shared" si="1"/>
        <v>0</v>
      </c>
      <c r="AZ6" s="763">
        <f t="shared" si="1"/>
        <v>0</v>
      </c>
      <c r="BA6" s="763">
        <f t="shared" si="1"/>
        <v>0</v>
      </c>
      <c r="BB6" s="129"/>
      <c r="BC6" s="128">
        <f>S6+AB6+AK6+AT6</f>
        <v>0</v>
      </c>
      <c r="BD6" s="128">
        <f t="shared" ref="BD6:BE23" si="2">T6+AC6+AL6+AU6</f>
        <v>0</v>
      </c>
      <c r="BE6" s="128">
        <f t="shared" si="2"/>
        <v>0</v>
      </c>
      <c r="BF6" s="128">
        <f t="shared" ref="BF6:BF23" si="3">V6+AE6+AN6+AW6</f>
        <v>12951.458117161883</v>
      </c>
      <c r="BG6" s="128">
        <f t="shared" ref="BG6:BG23" si="4">W6+AF6+AO6+AX6</f>
        <v>5995.563299520898</v>
      </c>
      <c r="BH6" s="128">
        <f t="shared" ref="BH6:BH23" si="5">X6+AG6+AP6+AY6</f>
        <v>13346.310757187937</v>
      </c>
      <c r="BI6" s="128">
        <f t="shared" ref="BI6:BI23" si="6">Y6+AH6+AQ6+AZ6</f>
        <v>7051.361238837937</v>
      </c>
      <c r="BJ6" s="128">
        <f t="shared" ref="BJ6:BJ23" si="7">Z6+AI6+AR6+BA6</f>
        <v>6361.9067394412386</v>
      </c>
    </row>
    <row r="7" spans="2:62" x14ac:dyDescent="0.25">
      <c r="B7" s="7"/>
      <c r="C7" s="7"/>
      <c r="D7" s="7" t="s">
        <v>605</v>
      </c>
      <c r="E7" s="7" t="s">
        <v>49</v>
      </c>
      <c r="F7" s="7" t="s">
        <v>49</v>
      </c>
      <c r="G7" s="7" t="s">
        <v>34</v>
      </c>
      <c r="H7" s="7" t="s">
        <v>166</v>
      </c>
      <c r="I7" s="7" t="s">
        <v>335</v>
      </c>
      <c r="J7" s="45"/>
      <c r="K7" s="45"/>
      <c r="L7" s="45"/>
      <c r="M7" s="128">
        <v>18685.56385016895</v>
      </c>
      <c r="N7" s="128">
        <v>17689.928473572309</v>
      </c>
      <c r="O7" s="128">
        <v>16440.741563470612</v>
      </c>
      <c r="P7" s="128">
        <v>15485.536297578037</v>
      </c>
      <c r="Q7" s="128">
        <v>14518.978634931582</v>
      </c>
      <c r="R7" s="129"/>
      <c r="S7" s="128">
        <f>INDEX(Direct_Cost_Splits_Non_Ntwk,MATCH($H7,RIN_Asset_Cat_Non_Ntwk,0),MATCH($S$4,Direct_Cost_Type,0))*J7*HLOOKUP(S$5,Escalators!$I$25:$U$30,3,FALSE)</f>
        <v>0</v>
      </c>
      <c r="T7" s="128">
        <f>INDEX(Direct_Cost_Splits_Non_Ntwk,MATCH($H7,RIN_Asset_Cat_Non_Ntwk,0),MATCH($S$4,Direct_Cost_Type,0))*K7*HLOOKUP(T$5,Escalators!$I$25:$U$30,3,FALSE)</f>
        <v>0</v>
      </c>
      <c r="U7" s="128">
        <f>INDEX(Direct_Cost_Splits_Non_Ntwk,MATCH($H7,RIN_Asset_Cat_Non_Ntwk,0),MATCH($S$4,Direct_Cost_Type,0))*L7*HLOOKUP(U$5,Escalators!$I$25:$U$30,3,FALSE)</f>
        <v>0</v>
      </c>
      <c r="V7" s="128">
        <f>INDEX(Direct_Cost_Splits_Non_Ntwk,MATCH($H7,RIN_Asset_Cat_Non_Ntwk,0),MATCH($S$4,Direct_Cost_Type,0))*M7*HLOOKUP(V$5,Escalators!$I$25:$U$30,3,FALSE)</f>
        <v>3435.4765757845585</v>
      </c>
      <c r="W7" s="128">
        <f>INDEX(Direct_Cost_Splits_Non_Ntwk,MATCH($H7,RIN_Asset_Cat_Non_Ntwk,0),MATCH($S$4,Direct_Cost_Type,0))*N7*HLOOKUP(W$5,Escalators!$I$25:$U$30,3,FALSE)</f>
        <v>3244.2980908582063</v>
      </c>
      <c r="X7" s="128">
        <f>INDEX(Direct_Cost_Splits_Non_Ntwk,MATCH($H7,RIN_Asset_Cat_Non_Ntwk,0),MATCH($S$4,Direct_Cost_Type,0))*O7*HLOOKUP(X$5,Escalators!$I$25:$U$30,3,FALSE)</f>
        <v>3013.009709042492</v>
      </c>
      <c r="Y7" s="128">
        <f>INDEX(Direct_Cost_Splits_Non_Ntwk,MATCH($H7,RIN_Asset_Cat_Non_Ntwk,0),MATCH($S$4,Direct_Cost_Type,0))*P7*HLOOKUP(Y$5,Escalators!$I$25:$U$30,3,FALSE)</f>
        <v>2848.3772695359276</v>
      </c>
      <c r="Z7" s="128">
        <f>INDEX(Direct_Cost_Splits_Non_Ntwk,MATCH($H7,RIN_Asset_Cat_Non_Ntwk,0),MATCH($S$4,Direct_Cost_Type,0))*Q7*HLOOKUP(Z$5,Escalators!$I$25:$U$30,3,FALSE)</f>
        <v>2697.20559699054</v>
      </c>
      <c r="AA7" s="129"/>
      <c r="AB7" s="128">
        <f t="shared" si="0"/>
        <v>0</v>
      </c>
      <c r="AC7" s="128">
        <f t="shared" si="0"/>
        <v>0</v>
      </c>
      <c r="AD7" s="128">
        <f t="shared" si="0"/>
        <v>0</v>
      </c>
      <c r="AE7" s="128">
        <f t="shared" si="0"/>
        <v>6435.9609500447741</v>
      </c>
      <c r="AF7" s="128">
        <f t="shared" si="0"/>
        <v>6093.0293448954244</v>
      </c>
      <c r="AG7" s="128">
        <f t="shared" si="0"/>
        <v>5662.7657340572141</v>
      </c>
      <c r="AH7" s="128">
        <f t="shared" si="0"/>
        <v>5333.7596714167148</v>
      </c>
      <c r="AI7" s="128">
        <f t="shared" si="0"/>
        <v>5000.8434467504258</v>
      </c>
      <c r="AJ7" s="129"/>
      <c r="AK7" s="128">
        <f>INDEX(Direct_Cost_Splits_Non_Ntwk,MATCH($H7,RIN_Asset_Cat_Non_Ntwk,0),MATCH($AK$4,Direct_Cost_Type,0))*J7*HLOOKUP(AK$5,Escalators!$I$25:$U$30,6,FALSE)</f>
        <v>0</v>
      </c>
      <c r="AL7" s="128">
        <f>INDEX(Direct_Cost_Splits_Non_Ntwk,MATCH($H7,RIN_Asset_Cat_Non_Ntwk,0),MATCH($AK$4,Direct_Cost_Type,0))*K7*HLOOKUP(AL$5,Escalators!$I$25:$U$30,6,FALSE)</f>
        <v>0</v>
      </c>
      <c r="AM7" s="128">
        <f>INDEX(Direct_Cost_Splits_Non_Ntwk,MATCH($H7,RIN_Asset_Cat_Non_Ntwk,0),MATCH($AK$4,Direct_Cost_Type,0))*L7*HLOOKUP(AM$5,Escalators!$I$25:$U$30,6,FALSE)</f>
        <v>0</v>
      </c>
      <c r="AN7" s="128">
        <f>INDEX(Direct_Cost_Splits_Non_Ntwk,MATCH($H7,RIN_Asset_Cat_Non_Ntwk,0),MATCH($AK$4,Direct_Cost_Type,0))*M7*HLOOKUP(AN$5,Escalators!$I$25:$U$30,6,FALSE)</f>
        <v>8875.0657208100292</v>
      </c>
      <c r="AO7" s="128">
        <f>INDEX(Direct_Cost_Splits_Non_Ntwk,MATCH($H7,RIN_Asset_Cat_Non_Ntwk,0),MATCH($AK$4,Direct_Cost_Type,0))*N7*HLOOKUP(AO$5,Escalators!$I$25:$U$30,6,FALSE)</f>
        <v>8402.1696673586503</v>
      </c>
      <c r="AP7" s="128">
        <f>INDEX(Direct_Cost_Splits_Non_Ntwk,MATCH($H7,RIN_Asset_Cat_Non_Ntwk,0),MATCH($AK$4,Direct_Cost_Type,0))*O7*HLOOKUP(AP$5,Escalators!$I$25:$U$30,6,FALSE)</f>
        <v>7808.8444664909275</v>
      </c>
      <c r="AQ7" s="128">
        <f>INDEX(Direct_Cost_Splits_Non_Ntwk,MATCH($H7,RIN_Asset_Cat_Non_Ntwk,0),MATCH($AK$4,Direct_Cost_Type,0))*P7*HLOOKUP(AQ$5,Escalators!$I$25:$U$30,6,FALSE)</f>
        <v>7355.1514669305334</v>
      </c>
      <c r="AR7" s="128">
        <f>INDEX(Direct_Cost_Splits_Non_Ntwk,MATCH($H7,RIN_Asset_Cat_Non_Ntwk,0),MATCH($AK$4,Direct_Cost_Type,0))*Q7*HLOOKUP(AR$5,Escalators!$I$25:$U$30,6,FALSE)</f>
        <v>6896.0664295334809</v>
      </c>
      <c r="AS7" s="129"/>
      <c r="AT7" s="763">
        <f t="shared" si="1"/>
        <v>0</v>
      </c>
      <c r="AU7" s="763">
        <f t="shared" si="1"/>
        <v>0</v>
      </c>
      <c r="AV7" s="763">
        <f t="shared" si="1"/>
        <v>0</v>
      </c>
      <c r="AW7" s="763">
        <f t="shared" si="1"/>
        <v>0</v>
      </c>
      <c r="AX7" s="763">
        <f t="shared" si="1"/>
        <v>0</v>
      </c>
      <c r="AY7" s="763">
        <f t="shared" si="1"/>
        <v>0</v>
      </c>
      <c r="AZ7" s="763">
        <f t="shared" si="1"/>
        <v>0</v>
      </c>
      <c r="BA7" s="763">
        <f t="shared" si="1"/>
        <v>0</v>
      </c>
      <c r="BB7" s="129"/>
      <c r="BC7" s="128">
        <f t="shared" ref="BC7:BC23" si="8">S7+AB7+AK7+AT7</f>
        <v>0</v>
      </c>
      <c r="BD7" s="128">
        <f t="shared" si="2"/>
        <v>0</v>
      </c>
      <c r="BE7" s="128">
        <f t="shared" si="2"/>
        <v>0</v>
      </c>
      <c r="BF7" s="128">
        <f t="shared" si="3"/>
        <v>18746.50324663936</v>
      </c>
      <c r="BG7" s="128">
        <f t="shared" si="4"/>
        <v>17739.49710311228</v>
      </c>
      <c r="BH7" s="128">
        <f t="shared" si="5"/>
        <v>16484.619909590634</v>
      </c>
      <c r="BI7" s="128">
        <f t="shared" si="6"/>
        <v>15537.288407883176</v>
      </c>
      <c r="BJ7" s="128">
        <f t="shared" si="7"/>
        <v>14594.115473274447</v>
      </c>
    </row>
    <row r="8" spans="2:62" x14ac:dyDescent="0.25">
      <c r="B8" s="7"/>
      <c r="C8" s="7"/>
      <c r="D8" s="7" t="s">
        <v>606</v>
      </c>
      <c r="E8" s="7" t="s">
        <v>49</v>
      </c>
      <c r="F8" s="7" t="s">
        <v>49</v>
      </c>
      <c r="G8" s="7" t="s">
        <v>34</v>
      </c>
      <c r="H8" s="7" t="s">
        <v>166</v>
      </c>
      <c r="I8" s="7" t="s">
        <v>331</v>
      </c>
      <c r="J8" s="45"/>
      <c r="K8" s="45"/>
      <c r="L8" s="45"/>
      <c r="M8" s="128">
        <v>619.99999999999989</v>
      </c>
      <c r="N8" s="128">
        <v>139.99999999999997</v>
      </c>
      <c r="O8" s="128">
        <v>819.99999999999989</v>
      </c>
      <c r="P8" s="128">
        <v>199.99999999999997</v>
      </c>
      <c r="Q8" s="128">
        <v>219.99999999999994</v>
      </c>
      <c r="R8" s="129"/>
      <c r="S8" s="128">
        <f>INDEX(Direct_Cost_Splits_Non_Ntwk,MATCH($H8,RIN_Asset_Cat_Non_Ntwk,0),MATCH($S$4,Direct_Cost_Type,0))*J8*HLOOKUP(S$5,Escalators!$I$25:$U$30,3,FALSE)</f>
        <v>0</v>
      </c>
      <c r="T8" s="128">
        <f>INDEX(Direct_Cost_Splits_Non_Ntwk,MATCH($H8,RIN_Asset_Cat_Non_Ntwk,0),MATCH($S$4,Direct_Cost_Type,0))*K8*HLOOKUP(T$5,Escalators!$I$25:$U$30,3,FALSE)</f>
        <v>0</v>
      </c>
      <c r="U8" s="128">
        <f>INDEX(Direct_Cost_Splits_Non_Ntwk,MATCH($H8,RIN_Asset_Cat_Non_Ntwk,0),MATCH($S$4,Direct_Cost_Type,0))*L8*HLOOKUP(U$5,Escalators!$I$25:$U$30,3,FALSE)</f>
        <v>0</v>
      </c>
      <c r="V8" s="128">
        <f>INDEX(Direct_Cost_Splits_Non_Ntwk,MATCH($H8,RIN_Asset_Cat_Non_Ntwk,0),MATCH($S$4,Direct_Cost_Type,0))*M8*HLOOKUP(V$5,Escalators!$I$25:$U$30,3,FALSE)</f>
        <v>113.99150135719169</v>
      </c>
      <c r="W8" s="128">
        <f>INDEX(Direct_Cost_Splits_Non_Ntwk,MATCH($H8,RIN_Asset_Cat_Non_Ntwk,0),MATCH($S$4,Direct_Cost_Type,0))*N8*HLOOKUP(W$5,Escalators!$I$25:$U$30,3,FALSE)</f>
        <v>25.675724658734424</v>
      </c>
      <c r="X8" s="128">
        <f>INDEX(Direct_Cost_Splits_Non_Ntwk,MATCH($H8,RIN_Asset_Cat_Non_Ntwk,0),MATCH($S$4,Direct_Cost_Type,0))*O8*HLOOKUP(X$5,Escalators!$I$25:$U$30,3,FALSE)</f>
        <v>150.27716066678985</v>
      </c>
      <c r="Y8" s="128">
        <f>INDEX(Direct_Cost_Splits_Non_Ntwk,MATCH($H8,RIN_Asset_Cat_Non_Ntwk,0),MATCH($S$4,Direct_Cost_Type,0))*P8*HLOOKUP(Y$5,Escalators!$I$25:$U$30,3,FALSE)</f>
        <v>36.787583133060984</v>
      </c>
      <c r="Z8" s="128">
        <f>INDEX(Direct_Cost_Splits_Non_Ntwk,MATCH($H8,RIN_Asset_Cat_Non_Ntwk,0),MATCH($S$4,Direct_Cost_Type,0))*Q8*HLOOKUP(Z$5,Escalators!$I$25:$U$30,3,FALSE)</f>
        <v>40.869626318636357</v>
      </c>
      <c r="AA8" s="129"/>
      <c r="AB8" s="128">
        <f t="shared" si="0"/>
        <v>0</v>
      </c>
      <c r="AC8" s="128">
        <f t="shared" si="0"/>
        <v>0</v>
      </c>
      <c r="AD8" s="128">
        <f t="shared" si="0"/>
        <v>0</v>
      </c>
      <c r="AE8" s="128">
        <f t="shared" si="0"/>
        <v>213.54965903218812</v>
      </c>
      <c r="AF8" s="128">
        <f t="shared" si="0"/>
        <v>48.220890749203761</v>
      </c>
      <c r="AG8" s="128">
        <f t="shared" si="0"/>
        <v>282.43664581676495</v>
      </c>
      <c r="AH8" s="128">
        <f t="shared" si="0"/>
        <v>68.886986784576806</v>
      </c>
      <c r="AI8" s="128">
        <f t="shared" si="0"/>
        <v>75.775685463034478</v>
      </c>
      <c r="AJ8" s="129"/>
      <c r="AK8" s="128">
        <f>INDEX(Direct_Cost_Splits_Non_Ntwk,MATCH($H8,RIN_Asset_Cat_Non_Ntwk,0),MATCH($AK$4,Direct_Cost_Type,0))*J8*HLOOKUP(AK$5,Escalators!$I$25:$U$30,6,FALSE)</f>
        <v>0</v>
      </c>
      <c r="AL8" s="128">
        <f>INDEX(Direct_Cost_Splits_Non_Ntwk,MATCH($H8,RIN_Asset_Cat_Non_Ntwk,0),MATCH($AK$4,Direct_Cost_Type,0))*K8*HLOOKUP(AL$5,Escalators!$I$25:$U$30,6,FALSE)</f>
        <v>0</v>
      </c>
      <c r="AM8" s="128">
        <f>INDEX(Direct_Cost_Splits_Non_Ntwk,MATCH($H8,RIN_Asset_Cat_Non_Ntwk,0),MATCH($AK$4,Direct_Cost_Type,0))*L8*HLOOKUP(AM$5,Escalators!$I$25:$U$30,6,FALSE)</f>
        <v>0</v>
      </c>
      <c r="AN8" s="128">
        <f>INDEX(Direct_Cost_Splits_Non_Ntwk,MATCH($H8,RIN_Asset_Cat_Non_Ntwk,0),MATCH($AK$4,Direct_Cost_Type,0))*M8*HLOOKUP(AN$5,Escalators!$I$25:$U$30,6,FALSE)</f>
        <v>294.48085115464494</v>
      </c>
      <c r="AO8" s="128">
        <f>INDEX(Direct_Cost_Splits_Non_Ntwk,MATCH($H8,RIN_Asset_Cat_Non_Ntwk,0),MATCH($AK$4,Direct_Cost_Type,0))*N8*HLOOKUP(AO$5,Escalators!$I$25:$U$30,6,FALSE)</f>
        <v>66.495676067177897</v>
      </c>
      <c r="AP8" s="128">
        <f>INDEX(Direct_Cost_Splits_Non_Ntwk,MATCH($H8,RIN_Asset_Cat_Non_Ntwk,0),MATCH($AK$4,Direct_Cost_Type,0))*O8*HLOOKUP(AP$5,Escalators!$I$25:$U$30,6,FALSE)</f>
        <v>389.47467410775624</v>
      </c>
      <c r="AQ8" s="128">
        <f>INDEX(Direct_Cost_Splits_Non_Ntwk,MATCH($H8,RIN_Asset_Cat_Non_Ntwk,0),MATCH($AK$4,Direct_Cost_Type,0))*P8*HLOOKUP(AQ$5,Escalators!$I$25:$U$30,6,FALSE)</f>
        <v>94.993822953111277</v>
      </c>
      <c r="AR8" s="128">
        <f>INDEX(Direct_Cost_Splits_Non_Ntwk,MATCH($H8,RIN_Asset_Cat_Non_Ntwk,0),MATCH($AK$4,Direct_Cost_Type,0))*Q8*HLOOKUP(AR$5,Escalators!$I$25:$U$30,6,FALSE)</f>
        <v>104.4932052484224</v>
      </c>
      <c r="AS8" s="129"/>
      <c r="AT8" s="763">
        <f t="shared" si="1"/>
        <v>0</v>
      </c>
      <c r="AU8" s="763">
        <f t="shared" si="1"/>
        <v>0</v>
      </c>
      <c r="AV8" s="763">
        <f t="shared" si="1"/>
        <v>0</v>
      </c>
      <c r="AW8" s="763">
        <f t="shared" si="1"/>
        <v>0</v>
      </c>
      <c r="AX8" s="763">
        <f t="shared" si="1"/>
        <v>0</v>
      </c>
      <c r="AY8" s="763">
        <f t="shared" si="1"/>
        <v>0</v>
      </c>
      <c r="AZ8" s="763">
        <f t="shared" si="1"/>
        <v>0</v>
      </c>
      <c r="BA8" s="763">
        <f t="shared" si="1"/>
        <v>0</v>
      </c>
      <c r="BB8" s="129"/>
      <c r="BC8" s="128">
        <f t="shared" si="8"/>
        <v>0</v>
      </c>
      <c r="BD8" s="128">
        <f t="shared" si="2"/>
        <v>0</v>
      </c>
      <c r="BE8" s="128">
        <f t="shared" si="2"/>
        <v>0</v>
      </c>
      <c r="BF8" s="128">
        <f t="shared" si="3"/>
        <v>622.02201154402474</v>
      </c>
      <c r="BG8" s="128">
        <f t="shared" si="4"/>
        <v>140.39229147511608</v>
      </c>
      <c r="BH8" s="128">
        <f t="shared" si="5"/>
        <v>822.18848059131096</v>
      </c>
      <c r="BI8" s="128">
        <f t="shared" si="6"/>
        <v>200.66839287074907</v>
      </c>
      <c r="BJ8" s="128">
        <f t="shared" si="7"/>
        <v>221.13851703009323</v>
      </c>
    </row>
    <row r="9" spans="2:62" x14ac:dyDescent="0.25">
      <c r="B9" s="7"/>
      <c r="C9" s="7"/>
      <c r="D9" s="7" t="s">
        <v>607</v>
      </c>
      <c r="E9" s="7" t="s">
        <v>49</v>
      </c>
      <c r="F9" s="7" t="s">
        <v>49</v>
      </c>
      <c r="G9" s="7" t="s">
        <v>34</v>
      </c>
      <c r="H9" s="7" t="s">
        <v>166</v>
      </c>
      <c r="I9" s="7" t="s">
        <v>335</v>
      </c>
      <c r="J9" s="45"/>
      <c r="K9" s="45"/>
      <c r="L9" s="45"/>
      <c r="M9" s="128">
        <v>1249.0452880242547</v>
      </c>
      <c r="N9" s="128">
        <v>1604.7860346134412</v>
      </c>
      <c r="O9" s="128">
        <v>1894.8515664477009</v>
      </c>
      <c r="P9" s="128">
        <v>2257.8895591207684</v>
      </c>
      <c r="Q9" s="128">
        <v>2620.9275517938349</v>
      </c>
      <c r="R9" s="129"/>
      <c r="S9" s="128">
        <f>INDEX(Direct_Cost_Splits_Non_Ntwk,MATCH($H9,RIN_Asset_Cat_Non_Ntwk,0),MATCH($S$4,Direct_Cost_Type,0))*J9*HLOOKUP(S$5,Escalators!$I$25:$U$30,3,FALSE)</f>
        <v>0</v>
      </c>
      <c r="T9" s="128">
        <f>INDEX(Direct_Cost_Splits_Non_Ntwk,MATCH($H9,RIN_Asset_Cat_Non_Ntwk,0),MATCH($S$4,Direct_Cost_Type,0))*K9*HLOOKUP(T$5,Escalators!$I$25:$U$30,3,FALSE)</f>
        <v>0</v>
      </c>
      <c r="U9" s="128">
        <f>INDEX(Direct_Cost_Splits_Non_Ntwk,MATCH($H9,RIN_Asset_Cat_Non_Ntwk,0),MATCH($S$4,Direct_Cost_Type,0))*L9*HLOOKUP(U$5,Escalators!$I$25:$U$30,3,FALSE)</f>
        <v>0</v>
      </c>
      <c r="V9" s="128">
        <f>INDEX(Direct_Cost_Splits_Non_Ntwk,MATCH($H9,RIN_Asset_Cat_Non_Ntwk,0),MATCH($S$4,Direct_Cost_Type,0))*M9*HLOOKUP(V$5,Escalators!$I$25:$U$30,3,FALSE)</f>
        <v>229.64604458872699</v>
      </c>
      <c r="W9" s="128">
        <f>INDEX(Direct_Cost_Splits_Non_Ntwk,MATCH($H9,RIN_Asset_Cat_Non_Ntwk,0),MATCH($S$4,Direct_Cost_Type,0))*N9*HLOOKUP(W$5,Escalators!$I$25:$U$30,3,FALSE)</f>
        <v>294.31460257797841</v>
      </c>
      <c r="X9" s="128">
        <f>INDEX(Direct_Cost_Splits_Non_Ntwk,MATCH($H9,RIN_Asset_Cat_Non_Ntwk,0),MATCH($S$4,Direct_Cost_Type,0))*O9*HLOOKUP(X$5,Escalators!$I$25:$U$30,3,FALSE)</f>
        <v>347.25965035460928</v>
      </c>
      <c r="Y9" s="128">
        <f>INDEX(Direct_Cost_Splits_Non_Ntwk,MATCH($H9,RIN_Asset_Cat_Non_Ntwk,0),MATCH($S$4,Direct_Cost_Type,0))*P9*HLOOKUP(Y$5,Escalators!$I$25:$U$30,3,FALSE)</f>
        <v>415.31149930712837</v>
      </c>
      <c r="Z9" s="128">
        <f>INDEX(Direct_Cost_Splits_Non_Ntwk,MATCH($H9,RIN_Asset_Cat_Non_Ntwk,0),MATCH($S$4,Direct_Cost_Type,0))*Q9*HLOOKUP(Z$5,Escalators!$I$25:$U$30,3,FALSE)</f>
        <v>486.89240750014767</v>
      </c>
      <c r="AA9" s="129"/>
      <c r="AB9" s="128">
        <f t="shared" ref="AB9" si="9">INDEX(Direct_Cost_Splits_Non_Ntwk,MATCH($H9,RIN_Asset_Cat_Non_Ntwk,0),MATCH($AB$4,Direct_Cost_Type,0))*J9</f>
        <v>0</v>
      </c>
      <c r="AC9" s="128">
        <f t="shared" ref="AC9" si="10">INDEX(Direct_Cost_Splits_Non_Ntwk,MATCH($H9,RIN_Asset_Cat_Non_Ntwk,0),MATCH($AB$4,Direct_Cost_Type,0))*K9</f>
        <v>0</v>
      </c>
      <c r="AD9" s="128">
        <f t="shared" ref="AD9" si="11">INDEX(Direct_Cost_Splits_Non_Ntwk,MATCH($H9,RIN_Asset_Cat_Non_Ntwk,0),MATCH($AB$4,Direct_Cost_Type,0))*L9</f>
        <v>0</v>
      </c>
      <c r="AE9" s="128">
        <f t="shared" ref="AE9" si="12">INDEX(Direct_Cost_Splits_Non_Ntwk,MATCH($H9,RIN_Asset_Cat_Non_Ntwk,0),MATCH($AB$4,Direct_Cost_Type,0))*M9</f>
        <v>430.2148312473239</v>
      </c>
      <c r="AF9" s="128">
        <f t="shared" ref="AF9" si="13">INDEX(Direct_Cost_Splits_Non_Ntwk,MATCH($H9,RIN_Asset_Cat_Non_Ntwk,0),MATCH($AB$4,Direct_Cost_Type,0))*N9</f>
        <v>552.74437179244785</v>
      </c>
      <c r="AG9" s="128">
        <f t="shared" ref="AG9" si="14">INDEX(Direct_Cost_Splits_Non_Ntwk,MATCH($H9,RIN_Asset_Cat_Non_Ntwk,0),MATCH($AB$4,Direct_Cost_Type,0))*O9</f>
        <v>652.65307408308729</v>
      </c>
      <c r="AH9" s="128">
        <f t="shared" ref="AH9" si="15">INDEX(Direct_Cost_Splits_Non_Ntwk,MATCH($H9,RIN_Asset_Cat_Non_Ntwk,0),MATCH($AB$4,Direct_Cost_Type,0))*P9</f>
        <v>777.69604110093178</v>
      </c>
      <c r="AI9" s="128">
        <f t="shared" ref="AI9" si="16">INDEX(Direct_Cost_Splits_Non_Ntwk,MATCH($H9,RIN_Asset_Cat_Non_Ntwk,0),MATCH($AB$4,Direct_Cost_Type,0))*Q9</f>
        <v>902.73900811877593</v>
      </c>
      <c r="AJ9" s="129"/>
      <c r="AK9" s="128">
        <f>INDEX(Direct_Cost_Splits_Non_Ntwk,MATCH($H9,RIN_Asset_Cat_Non_Ntwk,0),MATCH($AK$4,Direct_Cost_Type,0))*J9*HLOOKUP(AK$5,Escalators!$I$25:$U$30,6,FALSE)</f>
        <v>0</v>
      </c>
      <c r="AL9" s="128">
        <f>INDEX(Direct_Cost_Splits_Non_Ntwk,MATCH($H9,RIN_Asset_Cat_Non_Ntwk,0),MATCH($AK$4,Direct_Cost_Type,0))*K9*HLOOKUP(AL$5,Escalators!$I$25:$U$30,6,FALSE)</f>
        <v>0</v>
      </c>
      <c r="AM9" s="128">
        <f>INDEX(Direct_Cost_Splits_Non_Ntwk,MATCH($H9,RIN_Asset_Cat_Non_Ntwk,0),MATCH($AK$4,Direct_Cost_Type,0))*L9*HLOOKUP(AM$5,Escalators!$I$25:$U$30,6,FALSE)</f>
        <v>0</v>
      </c>
      <c r="AN9" s="128">
        <f>INDEX(Direct_Cost_Splits_Non_Ntwk,MATCH($H9,RIN_Asset_Cat_Non_Ntwk,0),MATCH($AK$4,Direct_Cost_Type,0))*M9*HLOOKUP(AN$5,Escalators!$I$25:$U$30,6,FALSE)</f>
        <v>593.25793475496971</v>
      </c>
      <c r="AO9" s="128">
        <f>INDEX(Direct_Cost_Splits_Non_Ntwk,MATCH($H9,RIN_Asset_Cat_Non_Ntwk,0),MATCH($AK$4,Direct_Cost_Type,0))*N9*HLOOKUP(AO$5,Escalators!$I$25:$U$30,6,FALSE)</f>
        <v>762.22380224847382</v>
      </c>
      <c r="AP9" s="128">
        <f>INDEX(Direct_Cost_Splits_Non_Ntwk,MATCH($H9,RIN_Asset_Cat_Non_Ntwk,0),MATCH($AK$4,Direct_Cost_Type,0))*O9*HLOOKUP(AP$5,Escalators!$I$25:$U$30,6,FALSE)</f>
        <v>899.99597112779247</v>
      </c>
      <c r="AQ9" s="128">
        <f>INDEX(Direct_Cost_Splits_Non_Ntwk,MATCH($H9,RIN_Asset_Cat_Non_Ntwk,0),MATCH($AK$4,Direct_Cost_Type,0))*P9*HLOOKUP(AQ$5,Escalators!$I$25:$U$30,6,FALSE)</f>
        <v>1072.4278051339838</v>
      </c>
      <c r="AR9" s="128">
        <f>INDEX(Direct_Cost_Splits_Non_Ntwk,MATCH($H9,RIN_Asset_Cat_Non_Ntwk,0),MATCH($AK$4,Direct_Cost_Type,0))*Q9*HLOOKUP(AR$5,Escalators!$I$25:$U$30,6,FALSE)</f>
        <v>1244.859639140175</v>
      </c>
      <c r="AS9" s="129"/>
      <c r="AT9" s="763">
        <f t="shared" ref="AT9" si="17">INDEX(Direct_Cost_Splits_Non_Ntwk,MATCH($H9,RIN_Asset_Cat_Non_Ntwk,0),MATCH($AT$4,Direct_Cost_Type,0))*J9</f>
        <v>0</v>
      </c>
      <c r="AU9" s="763">
        <f t="shared" ref="AU9" si="18">INDEX(Direct_Cost_Splits_Non_Ntwk,MATCH($H9,RIN_Asset_Cat_Non_Ntwk,0),MATCH($AT$4,Direct_Cost_Type,0))*K9</f>
        <v>0</v>
      </c>
      <c r="AV9" s="763">
        <f t="shared" ref="AV9" si="19">INDEX(Direct_Cost_Splits_Non_Ntwk,MATCH($H9,RIN_Asset_Cat_Non_Ntwk,0),MATCH($AT$4,Direct_Cost_Type,0))*L9</f>
        <v>0</v>
      </c>
      <c r="AW9" s="763">
        <f t="shared" ref="AW9" si="20">INDEX(Direct_Cost_Splits_Non_Ntwk,MATCH($H9,RIN_Asset_Cat_Non_Ntwk,0),MATCH($AT$4,Direct_Cost_Type,0))*M9</f>
        <v>0</v>
      </c>
      <c r="AX9" s="763">
        <f t="shared" ref="AX9" si="21">INDEX(Direct_Cost_Splits_Non_Ntwk,MATCH($H9,RIN_Asset_Cat_Non_Ntwk,0),MATCH($AT$4,Direct_Cost_Type,0))*N9</f>
        <v>0</v>
      </c>
      <c r="AY9" s="763">
        <f t="shared" ref="AY9" si="22">INDEX(Direct_Cost_Splits_Non_Ntwk,MATCH($H9,RIN_Asset_Cat_Non_Ntwk,0),MATCH($AT$4,Direct_Cost_Type,0))*O9</f>
        <v>0</v>
      </c>
      <c r="AZ9" s="763">
        <f t="shared" ref="AZ9" si="23">INDEX(Direct_Cost_Splits_Non_Ntwk,MATCH($H9,RIN_Asset_Cat_Non_Ntwk,0),MATCH($AT$4,Direct_Cost_Type,0))*P9</f>
        <v>0</v>
      </c>
      <c r="BA9" s="763">
        <f t="shared" ref="BA9" si="24">INDEX(Direct_Cost_Splits_Non_Ntwk,MATCH($H9,RIN_Asset_Cat_Non_Ntwk,0),MATCH($AT$4,Direct_Cost_Type,0))*Q9</f>
        <v>0</v>
      </c>
      <c r="BB9" s="129"/>
      <c r="BC9" s="128">
        <f t="shared" si="8"/>
        <v>0</v>
      </c>
      <c r="BD9" s="128">
        <f t="shared" si="2"/>
        <v>0</v>
      </c>
      <c r="BE9" s="128">
        <f t="shared" si="2"/>
        <v>0</v>
      </c>
      <c r="BF9" s="128">
        <f t="shared" si="3"/>
        <v>1253.1188105910205</v>
      </c>
      <c r="BG9" s="128">
        <f t="shared" si="4"/>
        <v>1609.2827766189002</v>
      </c>
      <c r="BH9" s="128">
        <f t="shared" si="5"/>
        <v>1899.9086955654891</v>
      </c>
      <c r="BI9" s="128">
        <f t="shared" si="6"/>
        <v>2265.4353455420442</v>
      </c>
      <c r="BJ9" s="128">
        <f t="shared" si="7"/>
        <v>2634.4910547590989</v>
      </c>
    </row>
    <row r="10" spans="2:62" x14ac:dyDescent="0.25">
      <c r="B10" s="7"/>
      <c r="C10" s="7"/>
      <c r="D10" s="7"/>
      <c r="E10" s="7" t="s">
        <v>49</v>
      </c>
      <c r="F10" s="7" t="s">
        <v>49</v>
      </c>
      <c r="G10" s="7" t="s">
        <v>34</v>
      </c>
      <c r="H10" s="7" t="s">
        <v>166</v>
      </c>
      <c r="I10" s="7" t="s">
        <v>335</v>
      </c>
      <c r="J10" s="45"/>
      <c r="K10" s="45"/>
      <c r="L10" s="45"/>
      <c r="M10" s="45"/>
      <c r="N10" s="45"/>
      <c r="O10" s="45"/>
      <c r="P10" s="45"/>
      <c r="Q10" s="45"/>
      <c r="S10" s="47">
        <f>INDEX(Direct_Cost_Splits_Non_Ntwk,MATCH($H10,RIN_Asset_Cat_Non_Ntwk,0),MATCH($S$4,Direct_Cost_Type,0))*J10*HLOOKUP(S$5,Escalators!$I$25:$U$30,3,FALSE)</f>
        <v>0</v>
      </c>
      <c r="T10" s="47">
        <f>INDEX(Direct_Cost_Splits_Non_Ntwk,MATCH($H10,RIN_Asset_Cat_Non_Ntwk,0),MATCH($S$4,Direct_Cost_Type,0))*K10*HLOOKUP(T$5,Escalators!$I$25:$U$30,3,FALSE)</f>
        <v>0</v>
      </c>
      <c r="U10" s="47">
        <f>INDEX(Direct_Cost_Splits_Non_Ntwk,MATCH($H10,RIN_Asset_Cat_Non_Ntwk,0),MATCH($S$4,Direct_Cost_Type,0))*L10*HLOOKUP(U$5,Escalators!$I$25:$U$30,3,FALSE)</f>
        <v>0</v>
      </c>
      <c r="V10" s="47">
        <f>INDEX(Direct_Cost_Splits_Non_Ntwk,MATCH($H10,RIN_Asset_Cat_Non_Ntwk,0),MATCH($S$4,Direct_Cost_Type,0))*M10*HLOOKUP(V$5,Escalators!$I$25:$U$30,3,FALSE)</f>
        <v>0</v>
      </c>
      <c r="W10" s="47">
        <f>INDEX(Direct_Cost_Splits_Non_Ntwk,MATCH($H10,RIN_Asset_Cat_Non_Ntwk,0),MATCH($S$4,Direct_Cost_Type,0))*N10*HLOOKUP(W$5,Escalators!$I$25:$U$30,3,FALSE)</f>
        <v>0</v>
      </c>
      <c r="X10" s="47">
        <f>INDEX(Direct_Cost_Splits_Non_Ntwk,MATCH($H10,RIN_Asset_Cat_Non_Ntwk,0),MATCH($S$4,Direct_Cost_Type,0))*O10*HLOOKUP(X$5,Escalators!$I$25:$U$30,3,FALSE)</f>
        <v>0</v>
      </c>
      <c r="Y10" s="47">
        <f>INDEX(Direct_Cost_Splits_Non_Ntwk,MATCH($H10,RIN_Asset_Cat_Non_Ntwk,0),MATCH($S$4,Direct_Cost_Type,0))*P10*HLOOKUP(Y$5,Escalators!$I$25:$U$30,3,FALSE)</f>
        <v>0</v>
      </c>
      <c r="Z10" s="47">
        <f>INDEX(Direct_Cost_Splits_Non_Ntwk,MATCH($H10,RIN_Asset_Cat_Non_Ntwk,0),MATCH($S$4,Direct_Cost_Type,0))*Q10*HLOOKUP(Z$5,Escalators!$I$25:$U$30,3,FALSE)</f>
        <v>0</v>
      </c>
      <c r="AB10" s="47">
        <f t="shared" ref="AB10" si="25">INDEX(Direct_Cost_Splits_Non_Ntwk,MATCH($H10,RIN_Asset_Cat_Non_Ntwk,0),MATCH($AB$4,Direct_Cost_Type,0))*J10</f>
        <v>0</v>
      </c>
      <c r="AC10" s="47">
        <f t="shared" ref="AC10:AD10" si="26">INDEX(Direct_Cost_Splits_Non_Ntwk,MATCH($H10,RIN_Asset_Cat_Non_Ntwk,0),MATCH($AB$4,Direct_Cost_Type,0))*K10</f>
        <v>0</v>
      </c>
      <c r="AD10" s="47">
        <f t="shared" si="26"/>
        <v>0</v>
      </c>
      <c r="AE10" s="47">
        <f t="shared" ref="AE10" si="27">INDEX(Direct_Cost_Splits_Non_Ntwk,MATCH($H10,RIN_Asset_Cat_Non_Ntwk,0),MATCH($AB$4,Direct_Cost_Type,0))*M10</f>
        <v>0</v>
      </c>
      <c r="AF10" s="47">
        <f t="shared" ref="AF10" si="28">INDEX(Direct_Cost_Splits_Non_Ntwk,MATCH($H10,RIN_Asset_Cat_Non_Ntwk,0),MATCH($AB$4,Direct_Cost_Type,0))*N10</f>
        <v>0</v>
      </c>
      <c r="AG10" s="47">
        <f t="shared" ref="AG10" si="29">INDEX(Direct_Cost_Splits_Non_Ntwk,MATCH($H10,RIN_Asset_Cat_Non_Ntwk,0),MATCH($AB$4,Direct_Cost_Type,0))*O10</f>
        <v>0</v>
      </c>
      <c r="AH10" s="47">
        <f t="shared" ref="AH10" si="30">INDEX(Direct_Cost_Splits_Non_Ntwk,MATCH($H10,RIN_Asset_Cat_Non_Ntwk,0),MATCH($AB$4,Direct_Cost_Type,0))*P10</f>
        <v>0</v>
      </c>
      <c r="AI10" s="47">
        <f t="shared" ref="AI10" si="31">INDEX(Direct_Cost_Splits_Non_Ntwk,MATCH($H10,RIN_Asset_Cat_Non_Ntwk,0),MATCH($AB$4,Direct_Cost_Type,0))*Q10</f>
        <v>0</v>
      </c>
      <c r="AK10" s="47">
        <f>INDEX(Direct_Cost_Splits_Non_Ntwk,MATCH($H10,RIN_Asset_Cat_Non_Ntwk,0),MATCH($AK$4,Direct_Cost_Type,0))*J10*HLOOKUP(AK$5,Escalators!$I$25:$U$30,6,FALSE)</f>
        <v>0</v>
      </c>
      <c r="AL10" s="47">
        <f>INDEX(Direct_Cost_Splits_Non_Ntwk,MATCH($H10,RIN_Asset_Cat_Non_Ntwk,0),MATCH($AK$4,Direct_Cost_Type,0))*K10*HLOOKUP(AL$5,Escalators!$I$25:$U$30,6,FALSE)</f>
        <v>0</v>
      </c>
      <c r="AM10" s="47">
        <f>INDEX(Direct_Cost_Splits_Non_Ntwk,MATCH($H10,RIN_Asset_Cat_Non_Ntwk,0),MATCH($AK$4,Direct_Cost_Type,0))*L10*HLOOKUP(AM$5,Escalators!$I$25:$U$30,6,FALSE)</f>
        <v>0</v>
      </c>
      <c r="AN10" s="47">
        <f>INDEX(Direct_Cost_Splits_Non_Ntwk,MATCH($H10,RIN_Asset_Cat_Non_Ntwk,0),MATCH($AK$4,Direct_Cost_Type,0))*M10*HLOOKUP(AN$5,Escalators!$I$25:$U$30,6,FALSE)</f>
        <v>0</v>
      </c>
      <c r="AO10" s="47">
        <f>INDEX(Direct_Cost_Splits_Non_Ntwk,MATCH($H10,RIN_Asset_Cat_Non_Ntwk,0),MATCH($AK$4,Direct_Cost_Type,0))*N10*HLOOKUP(AO$5,Escalators!$I$25:$U$30,6,FALSE)</f>
        <v>0</v>
      </c>
      <c r="AP10" s="47">
        <f>INDEX(Direct_Cost_Splits_Non_Ntwk,MATCH($H10,RIN_Asset_Cat_Non_Ntwk,0),MATCH($AK$4,Direct_Cost_Type,0))*O10*HLOOKUP(AP$5,Escalators!$I$25:$U$30,6,FALSE)</f>
        <v>0</v>
      </c>
      <c r="AQ10" s="47">
        <f>INDEX(Direct_Cost_Splits_Non_Ntwk,MATCH($H10,RIN_Asset_Cat_Non_Ntwk,0),MATCH($AK$4,Direct_Cost_Type,0))*P10*HLOOKUP(AQ$5,Escalators!$I$25:$U$30,6,FALSE)</f>
        <v>0</v>
      </c>
      <c r="AR10" s="47">
        <f>INDEX(Direct_Cost_Splits_Non_Ntwk,MATCH($H10,RIN_Asset_Cat_Non_Ntwk,0),MATCH($AK$4,Direct_Cost_Type,0))*Q10*HLOOKUP(AR$5,Escalators!$I$25:$U$30,6,FALSE)</f>
        <v>0</v>
      </c>
      <c r="AT10" s="82">
        <f t="shared" ref="AT10" si="32">INDEX(Direct_Cost_Splits_Non_Ntwk,MATCH($H10,RIN_Asset_Cat_Non_Ntwk,0),MATCH($AT$4,Direct_Cost_Type,0))*J10</f>
        <v>0</v>
      </c>
      <c r="AU10" s="82">
        <f t="shared" ref="AU10:AV10" si="33">INDEX(Direct_Cost_Splits_Non_Ntwk,MATCH($H10,RIN_Asset_Cat_Non_Ntwk,0),MATCH($AT$4,Direct_Cost_Type,0))*K10</f>
        <v>0</v>
      </c>
      <c r="AV10" s="82">
        <f t="shared" si="33"/>
        <v>0</v>
      </c>
      <c r="AW10" s="82">
        <f t="shared" ref="AW10" si="34">INDEX(Direct_Cost_Splits_Non_Ntwk,MATCH($H10,RIN_Asset_Cat_Non_Ntwk,0),MATCH($AT$4,Direct_Cost_Type,0))*M10</f>
        <v>0</v>
      </c>
      <c r="AX10" s="82">
        <f t="shared" ref="AX10" si="35">INDEX(Direct_Cost_Splits_Non_Ntwk,MATCH($H10,RIN_Asset_Cat_Non_Ntwk,0),MATCH($AT$4,Direct_Cost_Type,0))*N10</f>
        <v>0</v>
      </c>
      <c r="AY10" s="82">
        <f t="shared" ref="AY10" si="36">INDEX(Direct_Cost_Splits_Non_Ntwk,MATCH($H10,RIN_Asset_Cat_Non_Ntwk,0),MATCH($AT$4,Direct_Cost_Type,0))*O10</f>
        <v>0</v>
      </c>
      <c r="AZ10" s="82">
        <f t="shared" ref="AZ10" si="37">INDEX(Direct_Cost_Splits_Non_Ntwk,MATCH($H10,RIN_Asset_Cat_Non_Ntwk,0),MATCH($AT$4,Direct_Cost_Type,0))*P10</f>
        <v>0</v>
      </c>
      <c r="BA10" s="82">
        <f t="shared" ref="BA10" si="38">INDEX(Direct_Cost_Splits_Non_Ntwk,MATCH($H10,RIN_Asset_Cat_Non_Ntwk,0),MATCH($AT$4,Direct_Cost_Type,0))*Q10</f>
        <v>0</v>
      </c>
      <c r="BC10" s="374">
        <f t="shared" si="8"/>
        <v>0</v>
      </c>
      <c r="BD10" s="374">
        <f t="shared" si="2"/>
        <v>0</v>
      </c>
      <c r="BE10" s="47">
        <f t="shared" si="2"/>
        <v>0</v>
      </c>
      <c r="BF10" s="47">
        <f t="shared" si="3"/>
        <v>0</v>
      </c>
      <c r="BG10" s="47">
        <f t="shared" si="4"/>
        <v>0</v>
      </c>
      <c r="BH10" s="47">
        <f t="shared" si="5"/>
        <v>0</v>
      </c>
      <c r="BI10" s="47">
        <f t="shared" si="6"/>
        <v>0</v>
      </c>
      <c r="BJ10" s="47">
        <f t="shared" si="7"/>
        <v>0</v>
      </c>
    </row>
    <row r="11" spans="2:62" x14ac:dyDescent="0.25">
      <c r="B11" s="7"/>
      <c r="C11" s="7"/>
      <c r="D11" s="7"/>
      <c r="E11" s="7" t="s">
        <v>49</v>
      </c>
      <c r="F11" s="7" t="s">
        <v>49</v>
      </c>
      <c r="G11" s="7" t="s">
        <v>34</v>
      </c>
      <c r="H11" s="7" t="s">
        <v>166</v>
      </c>
      <c r="I11" s="7" t="s">
        <v>334</v>
      </c>
      <c r="J11" s="45"/>
      <c r="K11" s="45"/>
      <c r="L11" s="45"/>
      <c r="M11" s="45"/>
      <c r="N11" s="45"/>
      <c r="O11" s="45"/>
      <c r="P11" s="45"/>
      <c r="Q11" s="45"/>
      <c r="S11" s="47">
        <f>INDEX(Direct_Cost_Splits_Non_Ntwk,MATCH($H11,RIN_Asset_Cat_Non_Ntwk,0),MATCH($S$4,Direct_Cost_Type,0))*J11*HLOOKUP(S$5,Escalators!$I$25:$U$30,3,FALSE)</f>
        <v>0</v>
      </c>
      <c r="T11" s="47">
        <f>INDEX(Direct_Cost_Splits_Non_Ntwk,MATCH($H11,RIN_Asset_Cat_Non_Ntwk,0),MATCH($S$4,Direct_Cost_Type,0))*K11*HLOOKUP(T$5,Escalators!$I$25:$U$30,3,FALSE)</f>
        <v>0</v>
      </c>
      <c r="U11" s="47">
        <f>INDEX(Direct_Cost_Splits_Non_Ntwk,MATCH($H11,RIN_Asset_Cat_Non_Ntwk,0),MATCH($S$4,Direct_Cost_Type,0))*L11*HLOOKUP(U$5,Escalators!$I$25:$U$30,3,FALSE)</f>
        <v>0</v>
      </c>
      <c r="V11" s="47">
        <f>INDEX(Direct_Cost_Splits_Non_Ntwk,MATCH($H11,RIN_Asset_Cat_Non_Ntwk,0),MATCH($S$4,Direct_Cost_Type,0))*M11*HLOOKUP(V$5,Escalators!$I$25:$U$30,3,FALSE)</f>
        <v>0</v>
      </c>
      <c r="W11" s="47">
        <f>INDEX(Direct_Cost_Splits_Non_Ntwk,MATCH($H11,RIN_Asset_Cat_Non_Ntwk,0),MATCH($S$4,Direct_Cost_Type,0))*N11*HLOOKUP(W$5,Escalators!$I$25:$U$30,3,FALSE)</f>
        <v>0</v>
      </c>
      <c r="X11" s="47">
        <f>INDEX(Direct_Cost_Splits_Non_Ntwk,MATCH($H11,RIN_Asset_Cat_Non_Ntwk,0),MATCH($S$4,Direct_Cost_Type,0))*O11*HLOOKUP(X$5,Escalators!$I$25:$U$30,3,FALSE)</f>
        <v>0</v>
      </c>
      <c r="Y11" s="47">
        <f>INDEX(Direct_Cost_Splits_Non_Ntwk,MATCH($H11,RIN_Asset_Cat_Non_Ntwk,0),MATCH($S$4,Direct_Cost_Type,0))*P11*HLOOKUP(Y$5,Escalators!$I$25:$U$30,3,FALSE)</f>
        <v>0</v>
      </c>
      <c r="Z11" s="47">
        <f>INDEX(Direct_Cost_Splits_Non_Ntwk,MATCH($H11,RIN_Asset_Cat_Non_Ntwk,0),MATCH($S$4,Direct_Cost_Type,0))*Q11*HLOOKUP(Z$5,Escalators!$I$25:$U$30,3,FALSE)</f>
        <v>0</v>
      </c>
      <c r="AB11" s="47">
        <f t="shared" ref="AB11" si="39">INDEX(Direct_Cost_Splits_Non_Ntwk,MATCH($H11,RIN_Asset_Cat_Non_Ntwk,0),MATCH($AB$4,Direct_Cost_Type,0))*J11</f>
        <v>0</v>
      </c>
      <c r="AC11" s="47">
        <f t="shared" ref="AC11:AD11" si="40">INDEX(Direct_Cost_Splits_Non_Ntwk,MATCH($H11,RIN_Asset_Cat_Non_Ntwk,0),MATCH($AB$4,Direct_Cost_Type,0))*K11</f>
        <v>0</v>
      </c>
      <c r="AD11" s="47">
        <f t="shared" si="40"/>
        <v>0</v>
      </c>
      <c r="AE11" s="47">
        <f t="shared" ref="AE11" si="41">INDEX(Direct_Cost_Splits_Non_Ntwk,MATCH($H11,RIN_Asset_Cat_Non_Ntwk,0),MATCH($AB$4,Direct_Cost_Type,0))*M11</f>
        <v>0</v>
      </c>
      <c r="AF11" s="47">
        <f t="shared" ref="AF11" si="42">INDEX(Direct_Cost_Splits_Non_Ntwk,MATCH($H11,RIN_Asset_Cat_Non_Ntwk,0),MATCH($AB$4,Direct_Cost_Type,0))*N11</f>
        <v>0</v>
      </c>
      <c r="AG11" s="47">
        <f t="shared" ref="AG11" si="43">INDEX(Direct_Cost_Splits_Non_Ntwk,MATCH($H11,RIN_Asset_Cat_Non_Ntwk,0),MATCH($AB$4,Direct_Cost_Type,0))*O11</f>
        <v>0</v>
      </c>
      <c r="AH11" s="47">
        <f t="shared" ref="AH11" si="44">INDEX(Direct_Cost_Splits_Non_Ntwk,MATCH($H11,RIN_Asset_Cat_Non_Ntwk,0),MATCH($AB$4,Direct_Cost_Type,0))*P11</f>
        <v>0</v>
      </c>
      <c r="AI11" s="47">
        <f t="shared" ref="AI11" si="45">INDEX(Direct_Cost_Splits_Non_Ntwk,MATCH($H11,RIN_Asset_Cat_Non_Ntwk,0),MATCH($AB$4,Direct_Cost_Type,0))*Q11</f>
        <v>0</v>
      </c>
      <c r="AK11" s="47">
        <f>INDEX(Direct_Cost_Splits_Non_Ntwk,MATCH($H11,RIN_Asset_Cat_Non_Ntwk,0),MATCH($AK$4,Direct_Cost_Type,0))*J11*HLOOKUP(AK$5,Escalators!$I$25:$U$30,6,FALSE)</f>
        <v>0</v>
      </c>
      <c r="AL11" s="47">
        <f>INDEX(Direct_Cost_Splits_Non_Ntwk,MATCH($H11,RIN_Asset_Cat_Non_Ntwk,0),MATCH($AK$4,Direct_Cost_Type,0))*K11*HLOOKUP(AL$5,Escalators!$I$25:$U$30,6,FALSE)</f>
        <v>0</v>
      </c>
      <c r="AM11" s="47">
        <f>INDEX(Direct_Cost_Splits_Non_Ntwk,MATCH($H11,RIN_Asset_Cat_Non_Ntwk,0),MATCH($AK$4,Direct_Cost_Type,0))*L11*HLOOKUP(AM$5,Escalators!$I$25:$U$30,6,FALSE)</f>
        <v>0</v>
      </c>
      <c r="AN11" s="47">
        <f>INDEX(Direct_Cost_Splits_Non_Ntwk,MATCH($H11,RIN_Asset_Cat_Non_Ntwk,0),MATCH($AK$4,Direct_Cost_Type,0))*M11*HLOOKUP(AN$5,Escalators!$I$25:$U$30,6,FALSE)</f>
        <v>0</v>
      </c>
      <c r="AO11" s="47">
        <f>INDEX(Direct_Cost_Splits_Non_Ntwk,MATCH($H11,RIN_Asset_Cat_Non_Ntwk,0),MATCH($AK$4,Direct_Cost_Type,0))*N11*HLOOKUP(AO$5,Escalators!$I$25:$U$30,6,FALSE)</f>
        <v>0</v>
      </c>
      <c r="AP11" s="47">
        <f>INDEX(Direct_Cost_Splits_Non_Ntwk,MATCH($H11,RIN_Asset_Cat_Non_Ntwk,0),MATCH($AK$4,Direct_Cost_Type,0))*O11*HLOOKUP(AP$5,Escalators!$I$25:$U$30,6,FALSE)</f>
        <v>0</v>
      </c>
      <c r="AQ11" s="47">
        <f>INDEX(Direct_Cost_Splits_Non_Ntwk,MATCH($H11,RIN_Asset_Cat_Non_Ntwk,0),MATCH($AK$4,Direct_Cost_Type,0))*P11*HLOOKUP(AQ$5,Escalators!$I$25:$U$30,6,FALSE)</f>
        <v>0</v>
      </c>
      <c r="AR11" s="47">
        <f>INDEX(Direct_Cost_Splits_Non_Ntwk,MATCH($H11,RIN_Asset_Cat_Non_Ntwk,0),MATCH($AK$4,Direct_Cost_Type,0))*Q11*HLOOKUP(AR$5,Escalators!$I$25:$U$30,6,FALSE)</f>
        <v>0</v>
      </c>
      <c r="AT11" s="82">
        <f t="shared" ref="AT11" si="46">INDEX(Direct_Cost_Splits_Non_Ntwk,MATCH($H11,RIN_Asset_Cat_Non_Ntwk,0),MATCH($AT$4,Direct_Cost_Type,0))*J11</f>
        <v>0</v>
      </c>
      <c r="AU11" s="82">
        <f t="shared" ref="AU11:AV11" si="47">INDEX(Direct_Cost_Splits_Non_Ntwk,MATCH($H11,RIN_Asset_Cat_Non_Ntwk,0),MATCH($AT$4,Direct_Cost_Type,0))*K11</f>
        <v>0</v>
      </c>
      <c r="AV11" s="82">
        <f t="shared" si="47"/>
        <v>0</v>
      </c>
      <c r="AW11" s="82">
        <f t="shared" ref="AW11" si="48">INDEX(Direct_Cost_Splits_Non_Ntwk,MATCH($H11,RIN_Asset_Cat_Non_Ntwk,0),MATCH($AT$4,Direct_Cost_Type,0))*M11</f>
        <v>0</v>
      </c>
      <c r="AX11" s="82">
        <f t="shared" ref="AX11" si="49">INDEX(Direct_Cost_Splits_Non_Ntwk,MATCH($H11,RIN_Asset_Cat_Non_Ntwk,0),MATCH($AT$4,Direct_Cost_Type,0))*N11</f>
        <v>0</v>
      </c>
      <c r="AY11" s="82">
        <f t="shared" ref="AY11" si="50">INDEX(Direct_Cost_Splits_Non_Ntwk,MATCH($H11,RIN_Asset_Cat_Non_Ntwk,0),MATCH($AT$4,Direct_Cost_Type,0))*O11</f>
        <v>0</v>
      </c>
      <c r="AZ11" s="82">
        <f t="shared" ref="AZ11" si="51">INDEX(Direct_Cost_Splits_Non_Ntwk,MATCH($H11,RIN_Asset_Cat_Non_Ntwk,0),MATCH($AT$4,Direct_Cost_Type,0))*P11</f>
        <v>0</v>
      </c>
      <c r="BA11" s="82">
        <f t="shared" ref="BA11" si="52">INDEX(Direct_Cost_Splits_Non_Ntwk,MATCH($H11,RIN_Asset_Cat_Non_Ntwk,0),MATCH($AT$4,Direct_Cost_Type,0))*Q11</f>
        <v>0</v>
      </c>
      <c r="BC11" s="374">
        <f t="shared" si="8"/>
        <v>0</v>
      </c>
      <c r="BD11" s="374">
        <f t="shared" si="2"/>
        <v>0</v>
      </c>
      <c r="BE11" s="47">
        <f t="shared" si="2"/>
        <v>0</v>
      </c>
      <c r="BF11" s="47">
        <f t="shared" si="3"/>
        <v>0</v>
      </c>
      <c r="BG11" s="47">
        <f t="shared" si="4"/>
        <v>0</v>
      </c>
      <c r="BH11" s="47">
        <f t="shared" si="5"/>
        <v>0</v>
      </c>
      <c r="BI11" s="47">
        <f t="shared" si="6"/>
        <v>0</v>
      </c>
      <c r="BJ11" s="47">
        <f t="shared" si="7"/>
        <v>0</v>
      </c>
    </row>
    <row r="12" spans="2:62" x14ac:dyDescent="0.25">
      <c r="B12" s="7"/>
      <c r="C12" s="7"/>
      <c r="D12" s="7"/>
      <c r="E12" s="7"/>
      <c r="F12" s="7"/>
      <c r="G12" s="7"/>
      <c r="H12" s="7"/>
      <c r="I12" s="7"/>
      <c r="J12" s="45"/>
      <c r="K12" s="45"/>
      <c r="L12" s="45"/>
      <c r="M12" s="45"/>
      <c r="N12" s="45"/>
      <c r="O12" s="45"/>
      <c r="P12" s="45"/>
      <c r="Q12" s="45"/>
      <c r="S12" s="47"/>
      <c r="T12" s="47"/>
      <c r="U12" s="47"/>
      <c r="V12" s="47"/>
      <c r="W12" s="47"/>
      <c r="X12" s="47"/>
      <c r="Y12" s="47"/>
      <c r="Z12" s="47"/>
      <c r="AB12" s="47"/>
      <c r="AC12" s="47"/>
      <c r="AD12" s="47"/>
      <c r="AE12" s="47"/>
      <c r="AF12" s="47"/>
      <c r="AG12" s="47"/>
      <c r="AH12" s="47"/>
      <c r="AI12" s="47"/>
      <c r="AK12" s="47"/>
      <c r="AL12" s="47"/>
      <c r="AM12" s="47"/>
      <c r="AN12" s="47"/>
      <c r="AO12" s="47"/>
      <c r="AP12" s="47"/>
      <c r="AQ12" s="47"/>
      <c r="AR12" s="47"/>
      <c r="AT12" s="82"/>
      <c r="AU12" s="82"/>
      <c r="AV12" s="82"/>
      <c r="AW12" s="82"/>
      <c r="AX12" s="82"/>
      <c r="AY12" s="82"/>
      <c r="AZ12" s="82"/>
      <c r="BA12" s="82"/>
      <c r="BC12" s="374">
        <f t="shared" si="8"/>
        <v>0</v>
      </c>
      <c r="BD12" s="374">
        <f t="shared" si="2"/>
        <v>0</v>
      </c>
      <c r="BE12" s="47">
        <f t="shared" si="2"/>
        <v>0</v>
      </c>
      <c r="BF12" s="47">
        <f t="shared" si="3"/>
        <v>0</v>
      </c>
      <c r="BG12" s="47">
        <f t="shared" si="4"/>
        <v>0</v>
      </c>
      <c r="BH12" s="47">
        <f t="shared" si="5"/>
        <v>0</v>
      </c>
      <c r="BI12" s="47">
        <f t="shared" si="6"/>
        <v>0</v>
      </c>
      <c r="BJ12" s="47">
        <f t="shared" si="7"/>
        <v>0</v>
      </c>
    </row>
    <row r="13" spans="2:62" x14ac:dyDescent="0.25">
      <c r="B13" s="7"/>
      <c r="C13" s="7"/>
      <c r="D13" s="7"/>
      <c r="E13" s="7"/>
      <c r="F13" s="7"/>
      <c r="G13" s="7"/>
      <c r="H13" s="7"/>
      <c r="I13" s="7"/>
      <c r="J13" s="45"/>
      <c r="K13" s="45"/>
      <c r="L13" s="45"/>
      <c r="M13" s="45"/>
      <c r="N13" s="45"/>
      <c r="O13" s="45"/>
      <c r="P13" s="45"/>
      <c r="Q13" s="45"/>
      <c r="S13" s="47"/>
      <c r="T13" s="47"/>
      <c r="U13" s="47"/>
      <c r="V13" s="47"/>
      <c r="W13" s="47"/>
      <c r="X13" s="47"/>
      <c r="Y13" s="47"/>
      <c r="Z13" s="47"/>
      <c r="AB13" s="47"/>
      <c r="AC13" s="47"/>
      <c r="AD13" s="47"/>
      <c r="AE13" s="47"/>
      <c r="AF13" s="47"/>
      <c r="AG13" s="47"/>
      <c r="AH13" s="47"/>
      <c r="AI13" s="47"/>
      <c r="AK13" s="47"/>
      <c r="AL13" s="47"/>
      <c r="AM13" s="47"/>
      <c r="AN13" s="47"/>
      <c r="AO13" s="47"/>
      <c r="AP13" s="47"/>
      <c r="AQ13" s="47"/>
      <c r="AR13" s="47"/>
      <c r="AT13" s="82"/>
      <c r="AU13" s="82"/>
      <c r="AV13" s="82"/>
      <c r="AW13" s="82"/>
      <c r="AX13" s="82"/>
      <c r="AY13" s="82"/>
      <c r="AZ13" s="82"/>
      <c r="BA13" s="82"/>
      <c r="BC13" s="374">
        <f t="shared" ref="BC13:BC19" si="53">S13+AB13+AK13+AT13</f>
        <v>0</v>
      </c>
      <c r="BD13" s="374">
        <f t="shared" ref="BD13:BE19" si="54">T13+AC13+AL13+AU13</f>
        <v>0</v>
      </c>
      <c r="BE13" s="47">
        <f t="shared" si="54"/>
        <v>0</v>
      </c>
      <c r="BF13" s="47">
        <f t="shared" ref="BF13:BF19" si="55">V13+AE13+AN13+AW13</f>
        <v>0</v>
      </c>
      <c r="BG13" s="47">
        <f t="shared" ref="BG13:BG19" si="56">W13+AF13+AO13+AX13</f>
        <v>0</v>
      </c>
      <c r="BH13" s="47">
        <f t="shared" ref="BH13:BH19" si="57">X13+AG13+AP13+AY13</f>
        <v>0</v>
      </c>
      <c r="BI13" s="47">
        <f t="shared" ref="BI13:BI19" si="58">Y13+AH13+AQ13+AZ13</f>
        <v>0</v>
      </c>
      <c r="BJ13" s="47">
        <f t="shared" ref="BJ13:BJ19" si="59">Z13+AI13+AR13+BA13</f>
        <v>0</v>
      </c>
    </row>
    <row r="14" spans="2:62" x14ac:dyDescent="0.25">
      <c r="B14" s="7"/>
      <c r="C14" s="7"/>
      <c r="D14" s="7"/>
      <c r="E14" s="7"/>
      <c r="F14" s="7"/>
      <c r="G14" s="7"/>
      <c r="H14" s="7"/>
      <c r="I14" s="7"/>
      <c r="J14" s="45"/>
      <c r="K14" s="45"/>
      <c r="L14" s="45"/>
      <c r="M14" s="45"/>
      <c r="N14" s="45"/>
      <c r="O14" s="45"/>
      <c r="P14" s="45"/>
      <c r="Q14" s="45"/>
      <c r="S14" s="47"/>
      <c r="T14" s="47"/>
      <c r="U14" s="47"/>
      <c r="V14" s="47"/>
      <c r="W14" s="47"/>
      <c r="X14" s="47"/>
      <c r="Y14" s="47"/>
      <c r="Z14" s="47"/>
      <c r="AB14" s="47"/>
      <c r="AC14" s="47"/>
      <c r="AD14" s="47"/>
      <c r="AE14" s="47"/>
      <c r="AF14" s="47"/>
      <c r="AG14" s="47"/>
      <c r="AH14" s="47"/>
      <c r="AI14" s="47"/>
      <c r="AK14" s="47"/>
      <c r="AL14" s="47"/>
      <c r="AM14" s="47"/>
      <c r="AN14" s="47"/>
      <c r="AO14" s="47"/>
      <c r="AP14" s="47"/>
      <c r="AQ14" s="47"/>
      <c r="AR14" s="47"/>
      <c r="AT14" s="82"/>
      <c r="AU14" s="82"/>
      <c r="AV14" s="82"/>
      <c r="AW14" s="82"/>
      <c r="AX14" s="82"/>
      <c r="AY14" s="82"/>
      <c r="AZ14" s="82"/>
      <c r="BA14" s="82"/>
      <c r="BC14" s="374">
        <f t="shared" si="53"/>
        <v>0</v>
      </c>
      <c r="BD14" s="374">
        <f t="shared" si="54"/>
        <v>0</v>
      </c>
      <c r="BE14" s="47">
        <f t="shared" si="54"/>
        <v>0</v>
      </c>
      <c r="BF14" s="47">
        <f t="shared" si="55"/>
        <v>0</v>
      </c>
      <c r="BG14" s="47">
        <f t="shared" si="56"/>
        <v>0</v>
      </c>
      <c r="BH14" s="47">
        <f t="shared" si="57"/>
        <v>0</v>
      </c>
      <c r="BI14" s="47">
        <f t="shared" si="58"/>
        <v>0</v>
      </c>
      <c r="BJ14" s="47">
        <f t="shared" si="59"/>
        <v>0</v>
      </c>
    </row>
    <row r="15" spans="2:62" x14ac:dyDescent="0.25">
      <c r="B15" s="7"/>
      <c r="C15" s="7"/>
      <c r="D15" s="7"/>
      <c r="E15" s="7"/>
      <c r="F15" s="7"/>
      <c r="G15" s="7"/>
      <c r="H15" s="7"/>
      <c r="I15" s="7"/>
      <c r="J15" s="45"/>
      <c r="K15" s="45"/>
      <c r="L15" s="45"/>
      <c r="M15" s="45"/>
      <c r="N15" s="45"/>
      <c r="O15" s="45"/>
      <c r="P15" s="45"/>
      <c r="Q15" s="45"/>
      <c r="S15" s="47"/>
      <c r="T15" s="47"/>
      <c r="U15" s="47"/>
      <c r="V15" s="47"/>
      <c r="W15" s="47"/>
      <c r="X15" s="47"/>
      <c r="Y15" s="47"/>
      <c r="Z15" s="47"/>
      <c r="AB15" s="47"/>
      <c r="AC15" s="47"/>
      <c r="AD15" s="47"/>
      <c r="AE15" s="47"/>
      <c r="AF15" s="47"/>
      <c r="AG15" s="47"/>
      <c r="AH15" s="47"/>
      <c r="AI15" s="47"/>
      <c r="AK15" s="47"/>
      <c r="AL15" s="47"/>
      <c r="AM15" s="47"/>
      <c r="AN15" s="47"/>
      <c r="AO15" s="47"/>
      <c r="AP15" s="47"/>
      <c r="AQ15" s="47"/>
      <c r="AR15" s="47"/>
      <c r="AT15" s="82"/>
      <c r="AU15" s="82"/>
      <c r="AV15" s="82"/>
      <c r="AW15" s="82"/>
      <c r="AX15" s="82"/>
      <c r="AY15" s="82"/>
      <c r="AZ15" s="82"/>
      <c r="BA15" s="82"/>
      <c r="BC15" s="374">
        <f t="shared" si="53"/>
        <v>0</v>
      </c>
      <c r="BD15" s="374">
        <f t="shared" si="54"/>
        <v>0</v>
      </c>
      <c r="BE15" s="47">
        <f t="shared" si="54"/>
        <v>0</v>
      </c>
      <c r="BF15" s="47">
        <f t="shared" si="55"/>
        <v>0</v>
      </c>
      <c r="BG15" s="47">
        <f t="shared" si="56"/>
        <v>0</v>
      </c>
      <c r="BH15" s="47">
        <f t="shared" si="57"/>
        <v>0</v>
      </c>
      <c r="BI15" s="47">
        <f t="shared" si="58"/>
        <v>0</v>
      </c>
      <c r="BJ15" s="47">
        <f t="shared" si="59"/>
        <v>0</v>
      </c>
    </row>
    <row r="16" spans="2:62" x14ac:dyDescent="0.25">
      <c r="B16" s="7"/>
      <c r="C16" s="7"/>
      <c r="D16" s="7"/>
      <c r="E16" s="7"/>
      <c r="F16" s="7"/>
      <c r="G16" s="7"/>
      <c r="H16" s="7"/>
      <c r="I16" s="7"/>
      <c r="J16" s="45"/>
      <c r="K16" s="45"/>
      <c r="L16" s="45"/>
      <c r="M16" s="45"/>
      <c r="N16" s="45"/>
      <c r="O16" s="45"/>
      <c r="P16" s="45"/>
      <c r="Q16" s="45"/>
      <c r="S16" s="47"/>
      <c r="T16" s="47"/>
      <c r="U16" s="47"/>
      <c r="V16" s="47"/>
      <c r="W16" s="47"/>
      <c r="X16" s="47"/>
      <c r="Y16" s="47"/>
      <c r="Z16" s="47"/>
      <c r="AB16" s="47"/>
      <c r="AC16" s="47"/>
      <c r="AD16" s="47"/>
      <c r="AE16" s="47"/>
      <c r="AF16" s="47"/>
      <c r="AG16" s="47"/>
      <c r="AH16" s="47"/>
      <c r="AI16" s="47"/>
      <c r="AK16" s="47"/>
      <c r="AL16" s="47"/>
      <c r="AM16" s="47"/>
      <c r="AN16" s="47"/>
      <c r="AO16" s="47"/>
      <c r="AP16" s="47"/>
      <c r="AQ16" s="47"/>
      <c r="AR16" s="47"/>
      <c r="AT16" s="82"/>
      <c r="AU16" s="82"/>
      <c r="AV16" s="82"/>
      <c r="AW16" s="82"/>
      <c r="AX16" s="82"/>
      <c r="AY16" s="82"/>
      <c r="AZ16" s="82"/>
      <c r="BA16" s="82"/>
      <c r="BC16" s="374">
        <f t="shared" si="53"/>
        <v>0</v>
      </c>
      <c r="BD16" s="374">
        <f t="shared" si="54"/>
        <v>0</v>
      </c>
      <c r="BE16" s="47">
        <f t="shared" si="54"/>
        <v>0</v>
      </c>
      <c r="BF16" s="47">
        <f t="shared" si="55"/>
        <v>0</v>
      </c>
      <c r="BG16" s="47">
        <f t="shared" si="56"/>
        <v>0</v>
      </c>
      <c r="BH16" s="47">
        <f t="shared" si="57"/>
        <v>0</v>
      </c>
      <c r="BI16" s="47">
        <f t="shared" si="58"/>
        <v>0</v>
      </c>
      <c r="BJ16" s="47">
        <f t="shared" si="59"/>
        <v>0</v>
      </c>
    </row>
    <row r="17" spans="2:62" x14ac:dyDescent="0.25">
      <c r="B17" s="7"/>
      <c r="C17" s="7"/>
      <c r="D17" s="7"/>
      <c r="E17" s="7"/>
      <c r="F17" s="7"/>
      <c r="G17" s="7"/>
      <c r="H17" s="7"/>
      <c r="I17" s="7"/>
      <c r="J17" s="45"/>
      <c r="K17" s="45"/>
      <c r="L17" s="45"/>
      <c r="M17" s="45"/>
      <c r="N17" s="45"/>
      <c r="O17" s="45"/>
      <c r="P17" s="45"/>
      <c r="Q17" s="45"/>
      <c r="S17" s="47"/>
      <c r="T17" s="47"/>
      <c r="U17" s="47"/>
      <c r="V17" s="47"/>
      <c r="W17" s="47"/>
      <c r="X17" s="47"/>
      <c r="Y17" s="47"/>
      <c r="Z17" s="47"/>
      <c r="AB17" s="47"/>
      <c r="AC17" s="47"/>
      <c r="AD17" s="47"/>
      <c r="AE17" s="47"/>
      <c r="AF17" s="47"/>
      <c r="AG17" s="47"/>
      <c r="AH17" s="47"/>
      <c r="AI17" s="47"/>
      <c r="AK17" s="47"/>
      <c r="AL17" s="47"/>
      <c r="AM17" s="47"/>
      <c r="AN17" s="47"/>
      <c r="AO17" s="47"/>
      <c r="AP17" s="47"/>
      <c r="AQ17" s="47"/>
      <c r="AR17" s="47"/>
      <c r="AT17" s="82"/>
      <c r="AU17" s="82"/>
      <c r="AV17" s="82"/>
      <c r="AW17" s="82"/>
      <c r="AX17" s="82"/>
      <c r="AY17" s="82"/>
      <c r="AZ17" s="82"/>
      <c r="BA17" s="82"/>
      <c r="BC17" s="374">
        <f t="shared" si="53"/>
        <v>0</v>
      </c>
      <c r="BD17" s="374">
        <f t="shared" si="54"/>
        <v>0</v>
      </c>
      <c r="BE17" s="47">
        <f t="shared" si="54"/>
        <v>0</v>
      </c>
      <c r="BF17" s="47">
        <f t="shared" si="55"/>
        <v>0</v>
      </c>
      <c r="BG17" s="47">
        <f t="shared" si="56"/>
        <v>0</v>
      </c>
      <c r="BH17" s="47">
        <f t="shared" si="57"/>
        <v>0</v>
      </c>
      <c r="BI17" s="47">
        <f t="shared" si="58"/>
        <v>0</v>
      </c>
      <c r="BJ17" s="47">
        <f t="shared" si="59"/>
        <v>0</v>
      </c>
    </row>
    <row r="18" spans="2:62" x14ac:dyDescent="0.25">
      <c r="B18" s="7"/>
      <c r="C18" s="7"/>
      <c r="D18" s="7"/>
      <c r="E18" s="7"/>
      <c r="F18" s="7"/>
      <c r="G18" s="7"/>
      <c r="H18" s="7"/>
      <c r="I18" s="7"/>
      <c r="J18" s="45"/>
      <c r="K18" s="45"/>
      <c r="L18" s="45"/>
      <c r="M18" s="45"/>
      <c r="N18" s="45"/>
      <c r="O18" s="45"/>
      <c r="P18" s="45"/>
      <c r="Q18" s="45"/>
      <c r="S18" s="47"/>
      <c r="T18" s="47"/>
      <c r="U18" s="47"/>
      <c r="V18" s="47"/>
      <c r="W18" s="47"/>
      <c r="X18" s="47"/>
      <c r="Y18" s="47"/>
      <c r="Z18" s="47"/>
      <c r="AB18" s="47"/>
      <c r="AC18" s="47"/>
      <c r="AD18" s="47"/>
      <c r="AE18" s="47"/>
      <c r="AF18" s="47"/>
      <c r="AG18" s="47"/>
      <c r="AH18" s="47"/>
      <c r="AI18" s="47"/>
      <c r="AK18" s="47"/>
      <c r="AL18" s="47"/>
      <c r="AM18" s="47"/>
      <c r="AN18" s="47"/>
      <c r="AO18" s="47"/>
      <c r="AP18" s="47"/>
      <c r="AQ18" s="47"/>
      <c r="AR18" s="47"/>
      <c r="AT18" s="82"/>
      <c r="AU18" s="82"/>
      <c r="AV18" s="82"/>
      <c r="AW18" s="82"/>
      <c r="AX18" s="82"/>
      <c r="AY18" s="82"/>
      <c r="AZ18" s="82"/>
      <c r="BA18" s="82"/>
      <c r="BC18" s="374">
        <f t="shared" si="53"/>
        <v>0</v>
      </c>
      <c r="BD18" s="374">
        <f t="shared" si="54"/>
        <v>0</v>
      </c>
      <c r="BE18" s="47">
        <f t="shared" si="54"/>
        <v>0</v>
      </c>
      <c r="BF18" s="47">
        <f t="shared" si="55"/>
        <v>0</v>
      </c>
      <c r="BG18" s="47">
        <f t="shared" si="56"/>
        <v>0</v>
      </c>
      <c r="BH18" s="47">
        <f t="shared" si="57"/>
        <v>0</v>
      </c>
      <c r="BI18" s="47">
        <f t="shared" si="58"/>
        <v>0</v>
      </c>
      <c r="BJ18" s="47">
        <f t="shared" si="59"/>
        <v>0</v>
      </c>
    </row>
    <row r="19" spans="2:62" x14ac:dyDescent="0.25">
      <c r="B19" s="7"/>
      <c r="C19" s="7"/>
      <c r="D19" s="7"/>
      <c r="E19" s="7"/>
      <c r="F19" s="7"/>
      <c r="G19" s="7"/>
      <c r="H19" s="7"/>
      <c r="I19" s="7"/>
      <c r="J19" s="45"/>
      <c r="K19" s="45"/>
      <c r="L19" s="45"/>
      <c r="M19" s="45"/>
      <c r="N19" s="45"/>
      <c r="O19" s="45"/>
      <c r="P19" s="45"/>
      <c r="Q19" s="45"/>
      <c r="S19" s="47"/>
      <c r="T19" s="47"/>
      <c r="U19" s="47"/>
      <c r="V19" s="47"/>
      <c r="W19" s="47"/>
      <c r="X19" s="47"/>
      <c r="Y19" s="47"/>
      <c r="Z19" s="47"/>
      <c r="AB19" s="47"/>
      <c r="AC19" s="47"/>
      <c r="AD19" s="47"/>
      <c r="AE19" s="47"/>
      <c r="AF19" s="47"/>
      <c r="AG19" s="47"/>
      <c r="AH19" s="47"/>
      <c r="AI19" s="47"/>
      <c r="AK19" s="47"/>
      <c r="AL19" s="47"/>
      <c r="AM19" s="47"/>
      <c r="AN19" s="47"/>
      <c r="AO19" s="47"/>
      <c r="AP19" s="47"/>
      <c r="AQ19" s="47"/>
      <c r="AR19" s="47"/>
      <c r="AT19" s="82"/>
      <c r="AU19" s="82"/>
      <c r="AV19" s="82"/>
      <c r="AW19" s="82"/>
      <c r="AX19" s="82"/>
      <c r="AY19" s="82"/>
      <c r="AZ19" s="82"/>
      <c r="BA19" s="82"/>
      <c r="BC19" s="374">
        <f t="shared" si="53"/>
        <v>0</v>
      </c>
      <c r="BD19" s="374">
        <f t="shared" si="54"/>
        <v>0</v>
      </c>
      <c r="BE19" s="47">
        <f t="shared" si="54"/>
        <v>0</v>
      </c>
      <c r="BF19" s="47">
        <f t="shared" si="55"/>
        <v>0</v>
      </c>
      <c r="BG19" s="47">
        <f t="shared" si="56"/>
        <v>0</v>
      </c>
      <c r="BH19" s="47">
        <f t="shared" si="57"/>
        <v>0</v>
      </c>
      <c r="BI19" s="47">
        <f t="shared" si="58"/>
        <v>0</v>
      </c>
      <c r="BJ19" s="47">
        <f t="shared" si="59"/>
        <v>0</v>
      </c>
    </row>
    <row r="20" spans="2:62" x14ac:dyDescent="0.25">
      <c r="B20" s="7"/>
      <c r="C20" s="7"/>
      <c r="D20" s="7"/>
      <c r="E20" s="7"/>
      <c r="F20" s="7"/>
      <c r="G20" s="7"/>
      <c r="H20" s="7"/>
      <c r="I20" s="7"/>
      <c r="J20" s="45"/>
      <c r="K20" s="45"/>
      <c r="L20" s="45"/>
      <c r="M20" s="45"/>
      <c r="N20" s="45"/>
      <c r="O20" s="45"/>
      <c r="P20" s="45"/>
      <c r="Q20" s="45"/>
      <c r="S20" s="47"/>
      <c r="T20" s="47"/>
      <c r="U20" s="47"/>
      <c r="V20" s="47"/>
      <c r="W20" s="47"/>
      <c r="X20" s="47"/>
      <c r="Y20" s="47"/>
      <c r="Z20" s="47"/>
      <c r="AB20" s="47"/>
      <c r="AC20" s="47"/>
      <c r="AD20" s="47"/>
      <c r="AE20" s="47"/>
      <c r="AF20" s="47"/>
      <c r="AG20" s="47"/>
      <c r="AH20" s="47"/>
      <c r="AI20" s="47"/>
      <c r="AK20" s="47"/>
      <c r="AL20" s="47"/>
      <c r="AM20" s="47"/>
      <c r="AN20" s="47"/>
      <c r="AO20" s="47"/>
      <c r="AP20" s="47"/>
      <c r="AQ20" s="47"/>
      <c r="AR20" s="47"/>
      <c r="AT20" s="82"/>
      <c r="AU20" s="82"/>
      <c r="AV20" s="82"/>
      <c r="AW20" s="82"/>
      <c r="AX20" s="82"/>
      <c r="AY20" s="82"/>
      <c r="AZ20" s="82"/>
      <c r="BA20" s="82"/>
      <c r="BC20" s="374">
        <f t="shared" si="8"/>
        <v>0</v>
      </c>
      <c r="BD20" s="374">
        <f t="shared" si="2"/>
        <v>0</v>
      </c>
      <c r="BE20" s="47">
        <f t="shared" si="2"/>
        <v>0</v>
      </c>
      <c r="BF20" s="47">
        <f t="shared" si="3"/>
        <v>0</v>
      </c>
      <c r="BG20" s="47">
        <f t="shared" si="4"/>
        <v>0</v>
      </c>
      <c r="BH20" s="47">
        <f t="shared" si="5"/>
        <v>0</v>
      </c>
      <c r="BI20" s="47">
        <f t="shared" si="6"/>
        <v>0</v>
      </c>
      <c r="BJ20" s="47">
        <f t="shared" si="7"/>
        <v>0</v>
      </c>
    </row>
    <row r="21" spans="2:62" x14ac:dyDescent="0.25">
      <c r="B21" s="7"/>
      <c r="C21" s="7"/>
      <c r="D21" s="7"/>
      <c r="E21" s="7"/>
      <c r="F21" s="7"/>
      <c r="G21" s="7"/>
      <c r="H21" s="7"/>
      <c r="I21" s="7"/>
      <c r="J21" s="45"/>
      <c r="K21" s="45"/>
      <c r="L21" s="45"/>
      <c r="M21" s="45"/>
      <c r="N21" s="45"/>
      <c r="O21" s="45"/>
      <c r="P21" s="45"/>
      <c r="Q21" s="45"/>
      <c r="S21" s="47"/>
      <c r="T21" s="47"/>
      <c r="U21" s="47"/>
      <c r="V21" s="47"/>
      <c r="W21" s="47"/>
      <c r="X21" s="47"/>
      <c r="Y21" s="47"/>
      <c r="Z21" s="47"/>
      <c r="AB21" s="47"/>
      <c r="AC21" s="47"/>
      <c r="AD21" s="47"/>
      <c r="AE21" s="47"/>
      <c r="AF21" s="47"/>
      <c r="AG21" s="47"/>
      <c r="AH21" s="47"/>
      <c r="AI21" s="47"/>
      <c r="AK21" s="47"/>
      <c r="AL21" s="47"/>
      <c r="AM21" s="47"/>
      <c r="AN21" s="47"/>
      <c r="AO21" s="47"/>
      <c r="AP21" s="47"/>
      <c r="AQ21" s="47"/>
      <c r="AR21" s="47"/>
      <c r="AT21" s="82"/>
      <c r="AU21" s="82"/>
      <c r="AV21" s="82"/>
      <c r="AW21" s="82"/>
      <c r="AX21" s="82"/>
      <c r="AY21" s="82"/>
      <c r="AZ21" s="82"/>
      <c r="BA21" s="82"/>
      <c r="BC21" s="374">
        <f t="shared" si="8"/>
        <v>0</v>
      </c>
      <c r="BD21" s="374">
        <f t="shared" si="2"/>
        <v>0</v>
      </c>
      <c r="BE21" s="47">
        <f t="shared" si="2"/>
        <v>0</v>
      </c>
      <c r="BF21" s="47">
        <f t="shared" si="3"/>
        <v>0</v>
      </c>
      <c r="BG21" s="47">
        <f t="shared" si="4"/>
        <v>0</v>
      </c>
      <c r="BH21" s="47">
        <f t="shared" si="5"/>
        <v>0</v>
      </c>
      <c r="BI21" s="47">
        <f t="shared" si="6"/>
        <v>0</v>
      </c>
      <c r="BJ21" s="47">
        <f t="shared" si="7"/>
        <v>0</v>
      </c>
    </row>
    <row r="22" spans="2:62" x14ac:dyDescent="0.25">
      <c r="B22" s="7"/>
      <c r="C22" s="7"/>
      <c r="D22" s="7"/>
      <c r="E22" s="7"/>
      <c r="F22" s="7"/>
      <c r="G22" s="7"/>
      <c r="H22" s="7"/>
      <c r="I22" s="7"/>
      <c r="J22" s="45"/>
      <c r="K22" s="45"/>
      <c r="L22" s="45"/>
      <c r="M22" s="45"/>
      <c r="N22" s="45"/>
      <c r="O22" s="45"/>
      <c r="P22" s="45"/>
      <c r="Q22" s="45"/>
      <c r="S22" s="47"/>
      <c r="T22" s="47"/>
      <c r="U22" s="47"/>
      <c r="V22" s="47"/>
      <c r="W22" s="47"/>
      <c r="X22" s="47"/>
      <c r="Y22" s="47"/>
      <c r="Z22" s="47"/>
      <c r="AB22" s="47"/>
      <c r="AC22" s="47"/>
      <c r="AD22" s="47"/>
      <c r="AE22" s="47"/>
      <c r="AF22" s="47"/>
      <c r="AG22" s="47"/>
      <c r="AH22" s="47"/>
      <c r="AI22" s="47"/>
      <c r="AK22" s="47"/>
      <c r="AL22" s="47"/>
      <c r="AM22" s="47"/>
      <c r="AN22" s="47"/>
      <c r="AO22" s="47"/>
      <c r="AP22" s="47"/>
      <c r="AQ22" s="47"/>
      <c r="AR22" s="47"/>
      <c r="AT22" s="82"/>
      <c r="AU22" s="82"/>
      <c r="AV22" s="82"/>
      <c r="AW22" s="82"/>
      <c r="AX22" s="82"/>
      <c r="AY22" s="82"/>
      <c r="AZ22" s="82"/>
      <c r="BA22" s="82"/>
      <c r="BC22" s="374">
        <f t="shared" si="8"/>
        <v>0</v>
      </c>
      <c r="BD22" s="374">
        <f t="shared" si="2"/>
        <v>0</v>
      </c>
      <c r="BE22" s="47">
        <f t="shared" si="2"/>
        <v>0</v>
      </c>
      <c r="BF22" s="47">
        <f t="shared" si="3"/>
        <v>0</v>
      </c>
      <c r="BG22" s="47">
        <f t="shared" si="4"/>
        <v>0</v>
      </c>
      <c r="BH22" s="47">
        <f t="shared" si="5"/>
        <v>0</v>
      </c>
      <c r="BI22" s="47">
        <f t="shared" si="6"/>
        <v>0</v>
      </c>
      <c r="BJ22" s="47">
        <f t="shared" si="7"/>
        <v>0</v>
      </c>
    </row>
    <row r="23" spans="2:62" x14ac:dyDescent="0.25">
      <c r="B23" s="7"/>
      <c r="C23" s="7"/>
      <c r="D23" s="7"/>
      <c r="E23" s="7"/>
      <c r="F23" s="7"/>
      <c r="G23" s="7"/>
      <c r="H23" s="7"/>
      <c r="I23" s="7"/>
      <c r="J23" s="45"/>
      <c r="K23" s="45"/>
      <c r="L23" s="45"/>
      <c r="M23" s="45"/>
      <c r="N23" s="45"/>
      <c r="O23" s="45"/>
      <c r="P23" s="45"/>
      <c r="Q23" s="45"/>
      <c r="S23" s="47"/>
      <c r="T23" s="47"/>
      <c r="U23" s="47"/>
      <c r="V23" s="47"/>
      <c r="W23" s="47"/>
      <c r="X23" s="47"/>
      <c r="Y23" s="47"/>
      <c r="Z23" s="47"/>
      <c r="AB23" s="47"/>
      <c r="AC23" s="47"/>
      <c r="AD23" s="47"/>
      <c r="AE23" s="47"/>
      <c r="AF23" s="47"/>
      <c r="AG23" s="47"/>
      <c r="AH23" s="47"/>
      <c r="AI23" s="47"/>
      <c r="AK23" s="47"/>
      <c r="AL23" s="47"/>
      <c r="AM23" s="47"/>
      <c r="AN23" s="47"/>
      <c r="AO23" s="47"/>
      <c r="AP23" s="47"/>
      <c r="AQ23" s="47"/>
      <c r="AR23" s="47"/>
      <c r="AT23" s="82"/>
      <c r="AU23" s="82"/>
      <c r="AV23" s="82"/>
      <c r="AW23" s="82"/>
      <c r="AX23" s="82"/>
      <c r="AY23" s="82"/>
      <c r="AZ23" s="82"/>
      <c r="BA23" s="82"/>
      <c r="BC23" s="374">
        <f t="shared" si="8"/>
        <v>0</v>
      </c>
      <c r="BD23" s="374">
        <f t="shared" si="2"/>
        <v>0</v>
      </c>
      <c r="BE23" s="47">
        <f t="shared" si="2"/>
        <v>0</v>
      </c>
      <c r="BF23" s="47">
        <f t="shared" si="3"/>
        <v>0</v>
      </c>
      <c r="BG23" s="47">
        <f t="shared" si="4"/>
        <v>0</v>
      </c>
      <c r="BH23" s="47">
        <f t="shared" si="5"/>
        <v>0</v>
      </c>
      <c r="BI23" s="47">
        <f t="shared" si="6"/>
        <v>0</v>
      </c>
      <c r="BJ23" s="47">
        <f t="shared" si="7"/>
        <v>0</v>
      </c>
    </row>
    <row r="24" spans="2:62" x14ac:dyDescent="0.25">
      <c r="B24" s="7"/>
      <c r="C24" s="7"/>
      <c r="D24" s="7"/>
      <c r="E24" s="7"/>
      <c r="F24" s="7"/>
      <c r="G24" s="7"/>
      <c r="H24" s="7"/>
      <c r="I24" s="7"/>
      <c r="J24" s="45"/>
      <c r="K24" s="45"/>
      <c r="L24" s="45"/>
      <c r="M24" s="45"/>
      <c r="N24" s="45"/>
      <c r="O24" s="45"/>
      <c r="P24" s="45"/>
      <c r="Q24" s="45"/>
      <c r="S24" s="47"/>
      <c r="T24" s="47"/>
      <c r="U24" s="47"/>
      <c r="V24" s="47"/>
      <c r="W24" s="47"/>
      <c r="X24" s="47"/>
      <c r="Y24" s="47"/>
      <c r="Z24" s="47"/>
      <c r="AB24" s="47"/>
      <c r="AC24" s="47"/>
      <c r="AD24" s="47"/>
      <c r="AE24" s="47"/>
      <c r="AF24" s="47"/>
      <c r="AG24" s="47"/>
      <c r="AH24" s="47"/>
      <c r="AI24" s="47"/>
      <c r="AK24" s="47"/>
      <c r="AL24" s="47"/>
      <c r="AM24" s="47"/>
      <c r="AN24" s="47"/>
      <c r="AO24" s="47"/>
      <c r="AP24" s="47"/>
      <c r="AQ24" s="47"/>
      <c r="AR24" s="47"/>
      <c r="AT24" s="47"/>
      <c r="AU24" s="47"/>
      <c r="AV24" s="47"/>
      <c r="AW24" s="47"/>
      <c r="AX24" s="47"/>
      <c r="AY24" s="47"/>
      <c r="AZ24" s="47"/>
      <c r="BA24" s="47"/>
      <c r="BC24" s="374"/>
      <c r="BD24" s="374"/>
      <c r="BE24" s="47"/>
      <c r="BF24" s="47"/>
      <c r="BG24" s="47"/>
      <c r="BH24" s="47"/>
      <c r="BI24" s="47"/>
      <c r="BJ24" s="47"/>
    </row>
    <row r="25" spans="2:62" x14ac:dyDescent="0.25">
      <c r="B25" s="7"/>
      <c r="C25" s="7"/>
      <c r="D25" s="7"/>
      <c r="E25" s="7"/>
      <c r="F25" s="7"/>
      <c r="G25" s="7"/>
      <c r="H25" s="7"/>
      <c r="I25" s="7"/>
      <c r="J25" s="45"/>
      <c r="K25" s="45"/>
      <c r="L25" s="45"/>
      <c r="M25" s="45"/>
      <c r="N25" s="45"/>
      <c r="O25" s="45"/>
      <c r="P25" s="45"/>
      <c r="Q25" s="45"/>
      <c r="S25" s="47"/>
      <c r="T25" s="47"/>
      <c r="U25" s="47"/>
      <c r="V25" s="47"/>
      <c r="W25" s="47"/>
      <c r="X25" s="47"/>
      <c r="Y25" s="47"/>
      <c r="Z25" s="47"/>
      <c r="AB25" s="47"/>
      <c r="AC25" s="47"/>
      <c r="AD25" s="47"/>
      <c r="AE25" s="47"/>
      <c r="AF25" s="47"/>
      <c r="AG25" s="47"/>
      <c r="AH25" s="47"/>
      <c r="AI25" s="47"/>
      <c r="AK25" s="47"/>
      <c r="AL25" s="47"/>
      <c r="AM25" s="47"/>
      <c r="AN25" s="47"/>
      <c r="AO25" s="47"/>
      <c r="AP25" s="47"/>
      <c r="AQ25" s="47"/>
      <c r="AR25" s="47"/>
      <c r="AT25" s="47"/>
      <c r="AU25" s="47"/>
      <c r="AV25" s="47"/>
      <c r="AW25" s="47"/>
      <c r="AX25" s="47"/>
      <c r="AY25" s="47"/>
      <c r="AZ25" s="47"/>
      <c r="BA25" s="47"/>
      <c r="BC25" s="374"/>
      <c r="BD25" s="374"/>
      <c r="BE25" s="47"/>
      <c r="BF25" s="47"/>
      <c r="BG25" s="47"/>
      <c r="BH25" s="47"/>
      <c r="BI25" s="47"/>
      <c r="BJ25" s="47"/>
    </row>
    <row r="26" spans="2:62" x14ac:dyDescent="0.25">
      <c r="B26" s="7"/>
      <c r="C26" s="7"/>
      <c r="D26" s="7"/>
      <c r="E26" s="7"/>
      <c r="F26" s="7"/>
      <c r="G26" s="7"/>
      <c r="H26" s="7"/>
      <c r="I26" s="7"/>
      <c r="J26" s="45"/>
      <c r="K26" s="45"/>
      <c r="L26" s="45"/>
      <c r="M26" s="45"/>
      <c r="N26" s="45"/>
      <c r="O26" s="45"/>
      <c r="P26" s="45"/>
      <c r="Q26" s="45"/>
      <c r="S26" s="47"/>
      <c r="T26" s="47"/>
      <c r="U26" s="47"/>
      <c r="V26" s="47"/>
      <c r="W26" s="47"/>
      <c r="X26" s="47"/>
      <c r="Y26" s="47"/>
      <c r="Z26" s="47"/>
      <c r="AB26" s="47"/>
      <c r="AC26" s="47"/>
      <c r="AD26" s="47"/>
      <c r="AE26" s="47"/>
      <c r="AF26" s="47"/>
      <c r="AG26" s="47"/>
      <c r="AH26" s="47"/>
      <c r="AI26" s="47"/>
      <c r="AK26" s="47"/>
      <c r="AL26" s="47"/>
      <c r="AM26" s="47"/>
      <c r="AN26" s="47"/>
      <c r="AO26" s="47"/>
      <c r="AP26" s="47"/>
      <c r="AQ26" s="47"/>
      <c r="AR26" s="47"/>
      <c r="AT26" s="47"/>
      <c r="AU26" s="47"/>
      <c r="AV26" s="47"/>
      <c r="AW26" s="47"/>
      <c r="AX26" s="47"/>
      <c r="AY26" s="47"/>
      <c r="AZ26" s="47"/>
      <c r="BA26" s="47"/>
      <c r="BC26" s="374"/>
      <c r="BD26" s="374"/>
      <c r="BE26" s="47"/>
      <c r="BF26" s="47"/>
      <c r="BG26" s="47"/>
      <c r="BH26" s="47"/>
      <c r="BI26" s="47"/>
      <c r="BJ26" s="47"/>
    </row>
    <row r="27" spans="2:62" x14ac:dyDescent="0.25">
      <c r="B27" s="7"/>
      <c r="C27" s="7"/>
      <c r="D27" s="7"/>
      <c r="E27" s="7"/>
      <c r="F27" s="7"/>
      <c r="G27" s="7"/>
      <c r="H27" s="7"/>
      <c r="I27" s="7"/>
      <c r="J27" s="45"/>
      <c r="K27" s="45"/>
      <c r="L27" s="45"/>
      <c r="M27" s="45"/>
      <c r="N27" s="45"/>
      <c r="O27" s="45"/>
      <c r="P27" s="45"/>
      <c r="Q27" s="45"/>
      <c r="S27" s="47"/>
      <c r="T27" s="47"/>
      <c r="U27" s="47"/>
      <c r="V27" s="47"/>
      <c r="W27" s="47"/>
      <c r="X27" s="47"/>
      <c r="Y27" s="47"/>
      <c r="Z27" s="47"/>
      <c r="AB27" s="47"/>
      <c r="AC27" s="47"/>
      <c r="AD27" s="47"/>
      <c r="AE27" s="47"/>
      <c r="AF27" s="47"/>
      <c r="AG27" s="47"/>
      <c r="AH27" s="47"/>
      <c r="AI27" s="47"/>
      <c r="AK27" s="47"/>
      <c r="AL27" s="47"/>
      <c r="AM27" s="47"/>
      <c r="AN27" s="47"/>
      <c r="AO27" s="47"/>
      <c r="AP27" s="47"/>
      <c r="AQ27" s="47"/>
      <c r="AR27" s="47"/>
      <c r="AT27" s="47"/>
      <c r="AU27" s="47"/>
      <c r="AV27" s="47"/>
      <c r="AW27" s="47"/>
      <c r="AX27" s="47"/>
      <c r="AY27" s="47"/>
      <c r="AZ27" s="47"/>
      <c r="BA27" s="47"/>
      <c r="BC27" s="374"/>
      <c r="BD27" s="374"/>
      <c r="BE27" s="47"/>
      <c r="BF27" s="47"/>
      <c r="BG27" s="47"/>
      <c r="BH27" s="47"/>
      <c r="BI27" s="47"/>
      <c r="BJ27" s="47"/>
    </row>
    <row r="28" spans="2:62" x14ac:dyDescent="0.25">
      <c r="B28" s="7"/>
      <c r="C28" s="7"/>
      <c r="D28" s="7"/>
      <c r="E28" s="7"/>
      <c r="F28" s="7"/>
      <c r="G28" s="7"/>
      <c r="H28" s="7"/>
      <c r="I28" s="7"/>
      <c r="J28" s="45"/>
      <c r="K28" s="45"/>
      <c r="L28" s="45"/>
      <c r="M28" s="45"/>
      <c r="N28" s="45"/>
      <c r="O28" s="45"/>
      <c r="P28" s="45"/>
      <c r="Q28" s="45"/>
      <c r="S28" s="47"/>
      <c r="T28" s="47"/>
      <c r="U28" s="47"/>
      <c r="V28" s="47"/>
      <c r="W28" s="47"/>
      <c r="X28" s="47"/>
      <c r="Y28" s="47"/>
      <c r="Z28" s="47"/>
      <c r="AB28" s="47"/>
      <c r="AC28" s="47"/>
      <c r="AD28" s="47"/>
      <c r="AE28" s="47"/>
      <c r="AF28" s="47"/>
      <c r="AG28" s="47"/>
      <c r="AH28" s="47"/>
      <c r="AI28" s="47"/>
      <c r="AK28" s="47"/>
      <c r="AL28" s="47"/>
      <c r="AM28" s="47"/>
      <c r="AN28" s="47"/>
      <c r="AO28" s="47"/>
      <c r="AP28" s="47"/>
      <c r="AQ28" s="47"/>
      <c r="AR28" s="47"/>
      <c r="AT28" s="47"/>
      <c r="AU28" s="47"/>
      <c r="AV28" s="47"/>
      <c r="AW28" s="47"/>
      <c r="AX28" s="47"/>
      <c r="AY28" s="47"/>
      <c r="AZ28" s="47"/>
      <c r="BA28" s="47"/>
      <c r="BC28" s="374"/>
      <c r="BD28" s="374"/>
      <c r="BE28" s="47"/>
      <c r="BF28" s="47"/>
      <c r="BG28" s="47"/>
      <c r="BH28" s="47"/>
      <c r="BI28" s="47"/>
      <c r="BJ28" s="47"/>
    </row>
    <row r="29" spans="2:62" x14ac:dyDescent="0.25">
      <c r="B29" s="7"/>
      <c r="C29" s="7"/>
      <c r="D29" s="7"/>
      <c r="E29" s="7"/>
      <c r="F29" s="7"/>
      <c r="G29" s="7"/>
      <c r="H29" s="7"/>
      <c r="I29" s="7"/>
      <c r="J29" s="45"/>
      <c r="K29" s="45"/>
      <c r="L29" s="45"/>
      <c r="M29" s="45"/>
      <c r="N29" s="45"/>
      <c r="O29" s="45"/>
      <c r="P29" s="45"/>
      <c r="Q29" s="45"/>
      <c r="S29" s="47"/>
      <c r="T29" s="47"/>
      <c r="U29" s="47"/>
      <c r="V29" s="47"/>
      <c r="W29" s="47"/>
      <c r="X29" s="47"/>
      <c r="Y29" s="47"/>
      <c r="Z29" s="47"/>
      <c r="AB29" s="47"/>
      <c r="AC29" s="47"/>
      <c r="AD29" s="47"/>
      <c r="AE29" s="47"/>
      <c r="AF29" s="47"/>
      <c r="AG29" s="47"/>
      <c r="AH29" s="47"/>
      <c r="AI29" s="47"/>
      <c r="AK29" s="47"/>
      <c r="AL29" s="47"/>
      <c r="AM29" s="47"/>
      <c r="AN29" s="47"/>
      <c r="AO29" s="47"/>
      <c r="AP29" s="47"/>
      <c r="AQ29" s="47"/>
      <c r="AR29" s="47"/>
      <c r="AT29" s="47"/>
      <c r="AU29" s="47"/>
      <c r="AV29" s="47"/>
      <c r="AW29" s="47"/>
      <c r="AX29" s="47"/>
      <c r="AY29" s="47"/>
      <c r="AZ29" s="47"/>
      <c r="BA29" s="47"/>
      <c r="BC29" s="374"/>
      <c r="BD29" s="374"/>
      <c r="BE29" s="47"/>
      <c r="BF29" s="47"/>
      <c r="BG29" s="47"/>
      <c r="BH29" s="47"/>
      <c r="BI29" s="47"/>
      <c r="BJ29" s="47"/>
    </row>
    <row r="30" spans="2:62" x14ac:dyDescent="0.25">
      <c r="B30" s="7"/>
      <c r="C30" s="7"/>
      <c r="D30" s="7"/>
      <c r="E30" s="7"/>
      <c r="F30" s="7"/>
      <c r="G30" s="7"/>
      <c r="H30" s="7"/>
      <c r="I30" s="7"/>
      <c r="J30" s="45"/>
      <c r="K30" s="45"/>
      <c r="L30" s="45"/>
      <c r="M30" s="45"/>
      <c r="N30" s="45"/>
      <c r="O30" s="45"/>
      <c r="P30" s="45"/>
      <c r="Q30" s="45"/>
      <c r="S30" s="47"/>
      <c r="T30" s="47"/>
      <c r="U30" s="47"/>
      <c r="V30" s="47"/>
      <c r="W30" s="47"/>
      <c r="X30" s="47"/>
      <c r="Y30" s="47"/>
      <c r="Z30" s="47"/>
      <c r="AB30" s="47"/>
      <c r="AC30" s="47"/>
      <c r="AD30" s="47"/>
      <c r="AE30" s="47"/>
      <c r="AF30" s="47"/>
      <c r="AG30" s="47"/>
      <c r="AH30" s="47"/>
      <c r="AI30" s="47"/>
      <c r="AK30" s="47"/>
      <c r="AL30" s="47"/>
      <c r="AM30" s="47"/>
      <c r="AN30" s="47"/>
      <c r="AO30" s="47"/>
      <c r="AP30" s="47"/>
      <c r="AQ30" s="47"/>
      <c r="AR30" s="47"/>
      <c r="AT30" s="47"/>
      <c r="AU30" s="47"/>
      <c r="AV30" s="47"/>
      <c r="AW30" s="47"/>
      <c r="AX30" s="47"/>
      <c r="AY30" s="47"/>
      <c r="AZ30" s="47"/>
      <c r="BA30" s="47"/>
      <c r="BC30" s="374"/>
      <c r="BD30" s="374"/>
      <c r="BE30" s="47"/>
      <c r="BF30" s="47"/>
      <c r="BG30" s="47"/>
      <c r="BH30" s="47"/>
      <c r="BI30" s="47"/>
      <c r="BJ30" s="47"/>
    </row>
    <row r="31" spans="2:62" x14ac:dyDescent="0.25">
      <c r="B31" s="7"/>
      <c r="C31" s="7"/>
      <c r="D31" s="7"/>
      <c r="E31" s="7"/>
      <c r="F31" s="7"/>
      <c r="G31" s="7"/>
      <c r="H31" s="7"/>
      <c r="I31" s="7"/>
      <c r="J31" s="45"/>
      <c r="K31" s="45"/>
      <c r="L31" s="45"/>
      <c r="M31" s="45"/>
      <c r="N31" s="45"/>
      <c r="O31" s="45"/>
      <c r="P31" s="45"/>
      <c r="Q31" s="45"/>
      <c r="S31" s="47"/>
      <c r="T31" s="47"/>
      <c r="U31" s="47"/>
      <c r="V31" s="47"/>
      <c r="W31" s="47"/>
      <c r="X31" s="47"/>
      <c r="Y31" s="47"/>
      <c r="Z31" s="47"/>
      <c r="AB31" s="47"/>
      <c r="AC31" s="47"/>
      <c r="AD31" s="47"/>
      <c r="AE31" s="47"/>
      <c r="AF31" s="47"/>
      <c r="AG31" s="47"/>
      <c r="AH31" s="47"/>
      <c r="AI31" s="47"/>
      <c r="AK31" s="47"/>
      <c r="AL31" s="47"/>
      <c r="AM31" s="47"/>
      <c r="AN31" s="47"/>
      <c r="AO31" s="47"/>
      <c r="AP31" s="47"/>
      <c r="AQ31" s="47"/>
      <c r="AR31" s="47"/>
      <c r="AT31" s="47"/>
      <c r="AU31" s="47"/>
      <c r="AV31" s="47"/>
      <c r="AW31" s="47"/>
      <c r="AX31" s="47"/>
      <c r="AY31" s="47"/>
      <c r="AZ31" s="47"/>
      <c r="BA31" s="47"/>
      <c r="BC31" s="374"/>
      <c r="BD31" s="374"/>
      <c r="BE31" s="47"/>
      <c r="BF31" s="47"/>
      <c r="BG31" s="47"/>
      <c r="BH31" s="47"/>
      <c r="BI31" s="47"/>
      <c r="BJ31" s="47"/>
    </row>
    <row r="32" spans="2:62" x14ac:dyDescent="0.25">
      <c r="B32" s="7"/>
      <c r="C32" s="7"/>
      <c r="D32" s="7"/>
      <c r="E32" s="7"/>
      <c r="F32" s="7"/>
      <c r="G32" s="7"/>
      <c r="H32" s="7"/>
      <c r="I32" s="7"/>
      <c r="J32" s="45"/>
      <c r="K32" s="45"/>
      <c r="L32" s="45"/>
      <c r="M32" s="45"/>
      <c r="N32" s="45"/>
      <c r="O32" s="45"/>
      <c r="P32" s="45"/>
      <c r="Q32" s="45"/>
      <c r="S32" s="47"/>
      <c r="T32" s="47"/>
      <c r="U32" s="47"/>
      <c r="V32" s="47"/>
      <c r="W32" s="47"/>
      <c r="X32" s="47"/>
      <c r="Y32" s="47"/>
      <c r="Z32" s="47"/>
      <c r="AB32" s="47"/>
      <c r="AC32" s="47"/>
      <c r="AD32" s="47"/>
      <c r="AE32" s="47"/>
      <c r="AF32" s="47"/>
      <c r="AG32" s="47"/>
      <c r="AH32" s="47"/>
      <c r="AI32" s="47"/>
      <c r="AK32" s="47"/>
      <c r="AL32" s="47"/>
      <c r="AM32" s="47"/>
      <c r="AN32" s="47"/>
      <c r="AO32" s="47"/>
      <c r="AP32" s="47"/>
      <c r="AQ32" s="47"/>
      <c r="AR32" s="47"/>
      <c r="AT32" s="47"/>
      <c r="AU32" s="47"/>
      <c r="AV32" s="47"/>
      <c r="AW32" s="47"/>
      <c r="AX32" s="47"/>
      <c r="AY32" s="47"/>
      <c r="AZ32" s="47"/>
      <c r="BA32" s="47"/>
      <c r="BC32" s="374"/>
      <c r="BD32" s="374"/>
      <c r="BE32" s="47"/>
      <c r="BF32" s="47"/>
      <c r="BG32" s="47"/>
      <c r="BH32" s="47"/>
      <c r="BI32" s="47"/>
      <c r="BJ32" s="47"/>
    </row>
    <row r="33" spans="2:62" x14ac:dyDescent="0.25">
      <c r="B33" s="7"/>
      <c r="C33" s="7"/>
      <c r="D33" s="7"/>
      <c r="E33" s="7"/>
      <c r="F33" s="7"/>
      <c r="G33" s="7"/>
      <c r="H33" s="7"/>
      <c r="I33" s="7"/>
      <c r="J33" s="45"/>
      <c r="K33" s="45"/>
      <c r="L33" s="45"/>
      <c r="M33" s="45"/>
      <c r="N33" s="45"/>
      <c r="O33" s="45"/>
      <c r="P33" s="45"/>
      <c r="Q33" s="45"/>
      <c r="S33" s="47"/>
      <c r="T33" s="47"/>
      <c r="U33" s="47"/>
      <c r="V33" s="47"/>
      <c r="W33" s="47"/>
      <c r="X33" s="47"/>
      <c r="Y33" s="47"/>
      <c r="Z33" s="47"/>
      <c r="AB33" s="47"/>
      <c r="AC33" s="47"/>
      <c r="AD33" s="47"/>
      <c r="AE33" s="47"/>
      <c r="AF33" s="47"/>
      <c r="AG33" s="47"/>
      <c r="AH33" s="47"/>
      <c r="AI33" s="47"/>
      <c r="AK33" s="47"/>
      <c r="AL33" s="47"/>
      <c r="AM33" s="47"/>
      <c r="AN33" s="47"/>
      <c r="AO33" s="47"/>
      <c r="AP33" s="47"/>
      <c r="AQ33" s="47"/>
      <c r="AR33" s="47"/>
      <c r="AT33" s="47"/>
      <c r="AU33" s="47"/>
      <c r="AV33" s="47"/>
      <c r="AW33" s="47"/>
      <c r="AX33" s="47"/>
      <c r="AY33" s="47"/>
      <c r="AZ33" s="47"/>
      <c r="BA33" s="47"/>
      <c r="BC33" s="374"/>
      <c r="BD33" s="374"/>
      <c r="BE33" s="47"/>
      <c r="BF33" s="47"/>
      <c r="BG33" s="47"/>
      <c r="BH33" s="47"/>
      <c r="BI33" s="47"/>
      <c r="BJ33" s="47"/>
    </row>
    <row r="34" spans="2:62" x14ac:dyDescent="0.25">
      <c r="B34" s="7"/>
      <c r="C34" s="7"/>
      <c r="D34" s="7"/>
      <c r="E34" s="7"/>
      <c r="F34" s="7"/>
      <c r="G34" s="7"/>
      <c r="H34" s="7"/>
      <c r="I34" s="7"/>
      <c r="J34" s="45"/>
      <c r="K34" s="45"/>
      <c r="L34" s="45"/>
      <c r="M34" s="45"/>
      <c r="N34" s="45"/>
      <c r="O34" s="45"/>
      <c r="P34" s="45"/>
      <c r="Q34" s="45"/>
      <c r="S34" s="47"/>
      <c r="T34" s="47"/>
      <c r="U34" s="47"/>
      <c r="V34" s="47"/>
      <c r="W34" s="47"/>
      <c r="X34" s="47"/>
      <c r="Y34" s="47"/>
      <c r="Z34" s="47"/>
      <c r="AB34" s="47"/>
      <c r="AC34" s="47"/>
      <c r="AD34" s="47"/>
      <c r="AE34" s="47"/>
      <c r="AF34" s="47"/>
      <c r="AG34" s="47"/>
      <c r="AH34" s="47"/>
      <c r="AI34" s="47"/>
      <c r="AK34" s="47"/>
      <c r="AL34" s="47"/>
      <c r="AM34" s="47"/>
      <c r="AN34" s="47"/>
      <c r="AO34" s="47"/>
      <c r="AP34" s="47"/>
      <c r="AQ34" s="47"/>
      <c r="AR34" s="47"/>
      <c r="AT34" s="47"/>
      <c r="AU34" s="47"/>
      <c r="AV34" s="47"/>
      <c r="AW34" s="47"/>
      <c r="AX34" s="47"/>
      <c r="AY34" s="47"/>
      <c r="AZ34" s="47"/>
      <c r="BA34" s="47"/>
      <c r="BC34" s="374"/>
      <c r="BD34" s="374"/>
      <c r="BE34" s="47"/>
      <c r="BF34" s="47"/>
      <c r="BG34" s="47"/>
      <c r="BH34" s="47"/>
      <c r="BI34" s="47"/>
      <c r="BJ34" s="47"/>
    </row>
    <row r="35" spans="2:62" x14ac:dyDescent="0.25">
      <c r="B35" s="7"/>
      <c r="C35" s="7"/>
      <c r="D35" s="7"/>
      <c r="E35" s="7"/>
      <c r="F35" s="7"/>
      <c r="G35" s="7"/>
      <c r="H35" s="7"/>
      <c r="I35" s="7"/>
      <c r="J35" s="45"/>
      <c r="K35" s="45"/>
      <c r="L35" s="45"/>
      <c r="M35" s="45"/>
      <c r="N35" s="45"/>
      <c r="O35" s="45"/>
      <c r="P35" s="45"/>
      <c r="Q35" s="45"/>
      <c r="S35" s="47"/>
      <c r="T35" s="47"/>
      <c r="U35" s="47"/>
      <c r="V35" s="47"/>
      <c r="W35" s="47"/>
      <c r="X35" s="47"/>
      <c r="Y35" s="47"/>
      <c r="Z35" s="47"/>
      <c r="AB35" s="47"/>
      <c r="AC35" s="47"/>
      <c r="AD35" s="47"/>
      <c r="AE35" s="47"/>
      <c r="AF35" s="47"/>
      <c r="AG35" s="47"/>
      <c r="AH35" s="47"/>
      <c r="AI35" s="47"/>
      <c r="AK35" s="47"/>
      <c r="AL35" s="47"/>
      <c r="AM35" s="47"/>
      <c r="AN35" s="47"/>
      <c r="AO35" s="47"/>
      <c r="AP35" s="47"/>
      <c r="AQ35" s="47"/>
      <c r="AR35" s="47"/>
      <c r="AT35" s="47"/>
      <c r="AU35" s="47"/>
      <c r="AV35" s="47"/>
      <c r="AW35" s="47"/>
      <c r="AX35" s="47"/>
      <c r="AY35" s="47"/>
      <c r="AZ35" s="47"/>
      <c r="BA35" s="47"/>
      <c r="BC35" s="374"/>
      <c r="BD35" s="374"/>
      <c r="BE35" s="47"/>
      <c r="BF35" s="47"/>
      <c r="BG35" s="47"/>
      <c r="BH35" s="47"/>
      <c r="BI35" s="47"/>
      <c r="BJ35" s="47"/>
    </row>
    <row r="36" spans="2:62" x14ac:dyDescent="0.25">
      <c r="B36" s="7"/>
      <c r="C36" s="7"/>
      <c r="D36" s="7"/>
      <c r="E36" s="7"/>
      <c r="F36" s="7"/>
      <c r="G36" s="7"/>
      <c r="H36" s="7"/>
      <c r="I36" s="7"/>
      <c r="J36" s="45"/>
      <c r="K36" s="45"/>
      <c r="L36" s="45"/>
      <c r="M36" s="45"/>
      <c r="N36" s="45"/>
      <c r="O36" s="45"/>
      <c r="P36" s="45"/>
      <c r="Q36" s="45"/>
      <c r="S36" s="47"/>
      <c r="T36" s="47"/>
      <c r="U36" s="47"/>
      <c r="V36" s="47"/>
      <c r="W36" s="47"/>
      <c r="X36" s="47"/>
      <c r="Y36" s="47"/>
      <c r="Z36" s="47"/>
      <c r="AB36" s="47"/>
      <c r="AC36" s="47"/>
      <c r="AD36" s="47"/>
      <c r="AE36" s="47"/>
      <c r="AF36" s="47"/>
      <c r="AG36" s="47"/>
      <c r="AH36" s="47"/>
      <c r="AI36" s="47"/>
      <c r="AK36" s="47"/>
      <c r="AL36" s="47"/>
      <c r="AM36" s="47"/>
      <c r="AN36" s="47"/>
      <c r="AO36" s="47"/>
      <c r="AP36" s="47"/>
      <c r="AQ36" s="47"/>
      <c r="AR36" s="47"/>
      <c r="AT36" s="47"/>
      <c r="AU36" s="47"/>
      <c r="AV36" s="47"/>
      <c r="AW36" s="47"/>
      <c r="AX36" s="47"/>
      <c r="AY36" s="47"/>
      <c r="AZ36" s="47"/>
      <c r="BA36" s="47"/>
      <c r="BC36" s="374"/>
      <c r="BD36" s="374"/>
      <c r="BE36" s="47"/>
      <c r="BF36" s="47"/>
      <c r="BG36" s="47"/>
      <c r="BH36" s="47"/>
      <c r="BI36" s="47"/>
      <c r="BJ36" s="47"/>
    </row>
    <row r="37" spans="2:62" x14ac:dyDescent="0.25">
      <c r="J37" s="49">
        <f t="shared" ref="J37:Q37" si="60">SUM(J6:J36)</f>
        <v>0</v>
      </c>
      <c r="K37" s="49">
        <f t="shared" si="60"/>
        <v>0</v>
      </c>
      <c r="L37" s="49">
        <f t="shared" si="60"/>
        <v>0</v>
      </c>
      <c r="M37" s="764">
        <f t="shared" si="60"/>
        <v>33463.965854859867</v>
      </c>
      <c r="N37" s="764">
        <f t="shared" si="60"/>
        <v>25413.524691519084</v>
      </c>
      <c r="O37" s="764">
        <f t="shared" si="60"/>
        <v>32466.379013251648</v>
      </c>
      <c r="P37" s="764">
        <f t="shared" si="60"/>
        <v>24971.30019003214</v>
      </c>
      <c r="Q37" s="764">
        <f t="shared" si="60"/>
        <v>23689.059070058749</v>
      </c>
      <c r="R37" s="129"/>
      <c r="S37" s="764">
        <f t="shared" ref="S37:Z37" si="61">SUM(S6:S36)</f>
        <v>0</v>
      </c>
      <c r="T37" s="764">
        <f t="shared" si="61"/>
        <v>0</v>
      </c>
      <c r="U37" s="764">
        <f t="shared" si="61"/>
        <v>0</v>
      </c>
      <c r="V37" s="764">
        <f t="shared" si="61"/>
        <v>6152.59307929238</v>
      </c>
      <c r="W37" s="764">
        <f t="shared" si="61"/>
        <v>4660.7904470528056</v>
      </c>
      <c r="X37" s="764">
        <f t="shared" si="61"/>
        <v>5949.9454332235518</v>
      </c>
      <c r="Y37" s="764">
        <f t="shared" si="61"/>
        <v>4593.168908407145</v>
      </c>
      <c r="Z37" s="764">
        <f t="shared" si="61"/>
        <v>4400.7408728791115</v>
      </c>
      <c r="AA37" s="129"/>
      <c r="AB37" s="764">
        <f t="shared" ref="AB37:AI37" si="62">SUM(AB6:AB36)</f>
        <v>0</v>
      </c>
      <c r="AC37" s="764">
        <f t="shared" si="62"/>
        <v>0</v>
      </c>
      <c r="AD37" s="764">
        <f t="shared" si="62"/>
        <v>0</v>
      </c>
      <c r="AE37" s="764">
        <f t="shared" si="62"/>
        <v>11526.158868016308</v>
      </c>
      <c r="AF37" s="764">
        <f t="shared" si="62"/>
        <v>8753.3056978709592</v>
      </c>
      <c r="AG37" s="764">
        <f t="shared" si="62"/>
        <v>11182.555110144642</v>
      </c>
      <c r="AH37" s="764">
        <f t="shared" si="62"/>
        <v>8600.9881309222237</v>
      </c>
      <c r="AI37" s="764">
        <f t="shared" si="62"/>
        <v>8159.3394954909836</v>
      </c>
      <c r="AJ37" s="129"/>
      <c r="AK37" s="764">
        <f t="shared" ref="AK37:AR37" si="63">SUM(AK6:AK36)</f>
        <v>0</v>
      </c>
      <c r="AL37" s="764">
        <f t="shared" si="63"/>
        <v>0</v>
      </c>
      <c r="AM37" s="764">
        <f t="shared" si="63"/>
        <v>0</v>
      </c>
      <c r="AN37" s="764">
        <f t="shared" si="63"/>
        <v>15894.3502386276</v>
      </c>
      <c r="AO37" s="764">
        <f t="shared" si="63"/>
        <v>12070.63932580343</v>
      </c>
      <c r="AP37" s="764">
        <f t="shared" si="63"/>
        <v>15420.527299567177</v>
      </c>
      <c r="AQ37" s="764">
        <f t="shared" si="63"/>
        <v>11860.596345804537</v>
      </c>
      <c r="AR37" s="764">
        <f t="shared" si="63"/>
        <v>11251.571416134781</v>
      </c>
      <c r="AS37" s="129"/>
      <c r="AT37" s="764">
        <f t="shared" ref="AT37:BA37" si="64">SUM(AT6:AT36)</f>
        <v>0</v>
      </c>
      <c r="AU37" s="764">
        <f t="shared" si="64"/>
        <v>0</v>
      </c>
      <c r="AV37" s="764">
        <f t="shared" si="64"/>
        <v>0</v>
      </c>
      <c r="AW37" s="764">
        <f t="shared" si="64"/>
        <v>0</v>
      </c>
      <c r="AX37" s="764">
        <f t="shared" si="64"/>
        <v>0</v>
      </c>
      <c r="AY37" s="764">
        <f t="shared" si="64"/>
        <v>0</v>
      </c>
      <c r="AZ37" s="764">
        <f t="shared" si="64"/>
        <v>0</v>
      </c>
      <c r="BA37" s="764">
        <f t="shared" si="64"/>
        <v>0</v>
      </c>
      <c r="BB37" s="129"/>
      <c r="BC37" s="764">
        <f t="shared" ref="BC37:BJ37" si="65">SUM(BC6:BC36)</f>
        <v>0</v>
      </c>
      <c r="BD37" s="764">
        <f t="shared" ref="BD37:BE37" si="66">SUM(BD6:BD36)</f>
        <v>0</v>
      </c>
      <c r="BE37" s="764">
        <f t="shared" si="66"/>
        <v>0</v>
      </c>
      <c r="BF37" s="764">
        <f t="shared" si="65"/>
        <v>33573.102185936288</v>
      </c>
      <c r="BG37" s="764">
        <f t="shared" si="65"/>
        <v>25484.735470727195</v>
      </c>
      <c r="BH37" s="764">
        <f t="shared" si="65"/>
        <v>32553.027842935371</v>
      </c>
      <c r="BI37" s="764">
        <f t="shared" si="65"/>
        <v>25054.753385133903</v>
      </c>
      <c r="BJ37" s="764">
        <f t="shared" si="65"/>
        <v>23811.651784504877</v>
      </c>
    </row>
    <row r="38" spans="2:62" x14ac:dyDescent="0.25">
      <c r="BC38" s="84">
        <f t="shared" ref="BC38:BJ38" si="67">IF(ISERROR((BC37-J37)/J37),0,(BC37-J37)/J37)</f>
        <v>0</v>
      </c>
      <c r="BD38" s="84">
        <f t="shared" si="67"/>
        <v>0</v>
      </c>
      <c r="BE38" s="84">
        <f t="shared" si="67"/>
        <v>0</v>
      </c>
      <c r="BF38" s="84">
        <f t="shared" si="67"/>
        <v>3.2613089419756078E-3</v>
      </c>
      <c r="BG38" s="84">
        <f t="shared" si="67"/>
        <v>2.802081965115044E-3</v>
      </c>
      <c r="BH38" s="84">
        <f t="shared" si="67"/>
        <v>2.6688787698916552E-3</v>
      </c>
      <c r="BI38" s="84">
        <f t="shared" si="67"/>
        <v>3.3419643537454108E-3</v>
      </c>
      <c r="BJ38" s="84">
        <f t="shared" si="67"/>
        <v>5.1750774095150028E-3</v>
      </c>
    </row>
    <row r="39" spans="2:62" x14ac:dyDescent="0.25">
      <c r="K39" s="78"/>
      <c r="L39" s="78"/>
      <c r="M39" s="1">
        <f>M6*Lab_Mat!D25</f>
        <v>2331.3775570666853</v>
      </c>
      <c r="N39" s="1">
        <f>N6*Lab_Mat!D25</f>
        <v>1079.7489127703222</v>
      </c>
      <c r="AE39" s="39"/>
      <c r="BF39" s="39">
        <f>BF37-M37</f>
        <v>109.1363310764209</v>
      </c>
      <c r="BG39" s="39">
        <f>BG37-N37</f>
        <v>71.210779208111489</v>
      </c>
      <c r="BH39" s="39">
        <f>BH37-O37</f>
        <v>86.648829683723307</v>
      </c>
      <c r="BI39" s="39">
        <f>BI37-P37</f>
        <v>83.453195101763413</v>
      </c>
      <c r="BJ39" s="39">
        <f>BJ37-Q37</f>
        <v>122.5927144461275</v>
      </c>
    </row>
    <row r="40" spans="2:62" x14ac:dyDescent="0.25">
      <c r="M40" s="1">
        <f>M39*Escalators!Q27</f>
        <v>2373.4789575619034</v>
      </c>
      <c r="N40" s="1">
        <f>N39*Escalators!R27</f>
        <v>1096.502028957887</v>
      </c>
    </row>
    <row r="41" spans="2:62" x14ac:dyDescent="0.25">
      <c r="M41" s="313">
        <f>M40-V6</f>
        <v>0</v>
      </c>
      <c r="N41" s="313">
        <f>N40-W6</f>
        <v>0</v>
      </c>
      <c r="O41" s="313"/>
      <c r="P41" s="313"/>
      <c r="Q41" s="313"/>
    </row>
    <row r="42" spans="2:62" x14ac:dyDescent="0.25">
      <c r="M42" s="313"/>
      <c r="N42" s="313"/>
      <c r="O42" s="313"/>
      <c r="P42" s="313"/>
      <c r="Q42" s="313"/>
    </row>
    <row r="43" spans="2:62" x14ac:dyDescent="0.25">
      <c r="M43" s="313"/>
      <c r="N43" s="313"/>
      <c r="O43" s="313"/>
      <c r="P43" s="313"/>
      <c r="Q43" s="313"/>
    </row>
    <row r="44" spans="2:62" x14ac:dyDescent="0.25">
      <c r="M44" s="157"/>
      <c r="N44" s="157"/>
      <c r="O44" s="157"/>
      <c r="P44" s="157"/>
      <c r="Q44" s="157"/>
    </row>
    <row r="45" spans="2:62" x14ac:dyDescent="0.25">
      <c r="K45" s="78"/>
      <c r="L45" s="78"/>
      <c r="M45" s="273"/>
      <c r="N45" s="273"/>
      <c r="O45" s="273"/>
      <c r="P45" s="273"/>
      <c r="Q45" s="273"/>
    </row>
    <row r="47" spans="2:62" x14ac:dyDescent="0.25">
      <c r="J47" s="328"/>
      <c r="K47" s="328"/>
      <c r="L47" s="328"/>
    </row>
    <row r="48" spans="2:62" x14ac:dyDescent="0.25">
      <c r="J48" s="216"/>
      <c r="K48" s="216"/>
      <c r="L48" s="216"/>
    </row>
    <row r="49" spans="10:19" x14ac:dyDescent="0.25">
      <c r="J49" s="216"/>
      <c r="K49" s="216"/>
      <c r="L49" s="216"/>
    </row>
    <row r="50" spans="10:19" x14ac:dyDescent="0.25">
      <c r="J50" s="216"/>
      <c r="K50" s="216"/>
      <c r="L50" s="216"/>
    </row>
    <row r="55" spans="10:19" x14ac:dyDescent="0.25">
      <c r="J55" s="39"/>
      <c r="K55" s="39"/>
      <c r="L55" s="39"/>
      <c r="M55" s="39"/>
      <c r="N55" s="39"/>
      <c r="S55" s="39"/>
    </row>
  </sheetData>
  <mergeCells count="13">
    <mergeCell ref="M1:N1"/>
    <mergeCell ref="BC3:BJ3"/>
    <mergeCell ref="AT3:BA3"/>
    <mergeCell ref="J4:Q4"/>
    <mergeCell ref="J3:Q3"/>
    <mergeCell ref="S3:Z3"/>
    <mergeCell ref="AB3:AI3"/>
    <mergeCell ref="AK3:AR3"/>
    <mergeCell ref="BC4:BJ4"/>
    <mergeCell ref="AK4:AR4"/>
    <mergeCell ref="AT4:BA4"/>
    <mergeCell ref="AB4:AI4"/>
    <mergeCell ref="S4:Z4"/>
  </mergeCells>
  <dataValidations disablePrompts="1" xWindow="606" yWindow="646" count="1">
    <dataValidation type="list" allowBlank="1" showInputMessage="1" showErrorMessage="1" prompt="Select from drop down list" sqref="H20:H36">
      <formula1>$C$25:$C$29</formula1>
    </dataValidation>
  </dataValidations>
  <hyperlinks>
    <hyperlink ref="B2" location="Contents!A1" display="Table of Contents"/>
  </hyperlink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disablePrompts="1" xWindow="606" yWindow="646" count="5">
        <x14:dataValidation type="list" errorStyle="warning" showInputMessage="1" showErrorMessage="1" error="Invalid data entered" prompt="Select from drop down list">
          <x14:formula1>
            <xm:f>Lookups!$C$5:$C$13</xm:f>
          </x14:formula1>
          <xm:sqref>E6:E36</xm:sqref>
        </x14:dataValidation>
        <x14:dataValidation type="list" errorStyle="warning" showInputMessage="1" showErrorMessage="1" error="Invalid data entered" prompt="Select from drop down list">
          <x14:formula1>
            <xm:f>Lookups!$C$16:$C$27</xm:f>
          </x14:formula1>
          <xm:sqref>F6:F36</xm:sqref>
        </x14:dataValidation>
        <x14:dataValidation type="list" allowBlank="1" showInputMessage="1" showErrorMessage="1" prompt="Select from drop down list">
          <x14:formula1>
            <xm:f>Lookups!$I$15:$I$26</xm:f>
          </x14:formula1>
          <xm:sqref>I6:I36</xm:sqref>
        </x14:dataValidation>
        <x14:dataValidation type="list" errorStyle="warning" showInputMessage="1" showErrorMessage="1" error="Invalid data entered" prompt="Select from drop down list">
          <x14:formula1>
            <xm:f>Lookups!$I$5:$I$8</xm:f>
          </x14:formula1>
          <xm:sqref>G6:G36</xm:sqref>
        </x14:dataValidation>
        <x14:dataValidation type="list" allowBlank="1" showInputMessage="1" showErrorMessage="1" prompt="Select from drop down list">
          <x14:formula1>
            <xm:f>Lab_Mat!$C$25:$C$28</xm:f>
          </x14:formula1>
          <xm:sqref>H6:H19</xm:sqref>
        </x14:dataValidation>
      </x14:dataValidations>
    </ex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56"/>
  <sheetViews>
    <sheetView zoomScale="85" zoomScaleNormal="85" zoomScalePageLayoutView="125" workbookViewId="0">
      <pane xSplit="8" topLeftCell="I1" activePane="topRight" state="frozen"/>
      <selection activeCell="V33" sqref="V33"/>
      <selection pane="topRight" activeCell="I40" sqref="I40"/>
    </sheetView>
  </sheetViews>
  <sheetFormatPr defaultColWidth="8.85546875" defaultRowHeight="15" outlineLevelCol="1" x14ac:dyDescent="0.25"/>
  <cols>
    <col min="1" max="1" width="4" style="1" customWidth="1"/>
    <col min="2" max="2" width="12.7109375" style="1" customWidth="1"/>
    <col min="3" max="3" width="18" style="1" customWidth="1"/>
    <col min="4" max="4" width="43.7109375" style="1" customWidth="1"/>
    <col min="5" max="5" width="33.28515625" style="1" customWidth="1" outlineLevel="1"/>
    <col min="6" max="6" width="31.140625" style="1" customWidth="1" outlineLevel="1"/>
    <col min="7" max="7" width="14" style="1" customWidth="1" outlineLevel="1"/>
    <col min="8" max="8" width="28.140625" style="1" customWidth="1" outlineLevel="1"/>
    <col min="9" max="9" width="27.28515625" style="1" customWidth="1" outlineLevel="1"/>
    <col min="10" max="12" width="9" style="1" customWidth="1"/>
    <col min="13" max="13" width="10.7109375" style="1" customWidth="1"/>
    <col min="14" max="14" width="10.28515625" style="1" customWidth="1"/>
    <col min="15" max="17" width="9" style="1" customWidth="1"/>
    <col min="18" max="18" width="3.140625" style="1" customWidth="1"/>
    <col min="19" max="26" width="8.85546875" style="1"/>
    <col min="27" max="27" width="2.85546875" style="1" customWidth="1"/>
    <col min="28" max="35" width="8.85546875" style="1"/>
    <col min="36" max="36" width="2.42578125" style="1" customWidth="1"/>
    <col min="37" max="44" width="8.85546875" style="1"/>
    <col min="45" max="45" width="2.85546875" style="1" customWidth="1"/>
    <col min="46" max="53" width="8.85546875" style="1"/>
    <col min="54" max="54" width="2.85546875" style="1" customWidth="1"/>
    <col min="55" max="16384" width="8.85546875" style="1"/>
  </cols>
  <sheetData>
    <row r="1" spans="2:62" ht="18.75" x14ac:dyDescent="0.3">
      <c r="B1" s="10" t="s">
        <v>525</v>
      </c>
      <c r="M1" s="825" t="s">
        <v>749</v>
      </c>
      <c r="N1" s="825"/>
    </row>
    <row r="2" spans="2:62" x14ac:dyDescent="0.25">
      <c r="B2" s="25" t="s">
        <v>6</v>
      </c>
      <c r="AB2" s="88"/>
      <c r="AC2" s="88"/>
      <c r="AD2" s="88"/>
    </row>
    <row r="3" spans="2:62" x14ac:dyDescent="0.25">
      <c r="J3" s="829"/>
      <c r="K3" s="829"/>
      <c r="L3" s="829"/>
      <c r="M3" s="829"/>
      <c r="N3" s="829"/>
      <c r="O3" s="829"/>
      <c r="P3" s="829"/>
      <c r="Q3" s="829"/>
      <c r="S3" s="829"/>
      <c r="T3" s="829"/>
      <c r="U3" s="829"/>
      <c r="V3" s="829"/>
      <c r="W3" s="829"/>
      <c r="X3" s="829"/>
      <c r="Y3" s="829"/>
      <c r="Z3" s="829"/>
      <c r="AB3" s="829"/>
      <c r="AC3" s="829"/>
      <c r="AD3" s="829"/>
      <c r="AE3" s="829"/>
      <c r="AF3" s="829"/>
      <c r="AG3" s="829"/>
      <c r="AH3" s="829"/>
      <c r="AI3" s="829"/>
      <c r="AK3" s="829"/>
      <c r="AL3" s="829"/>
      <c r="AM3" s="829"/>
      <c r="AN3" s="829"/>
      <c r="AO3" s="829"/>
      <c r="AP3" s="829"/>
      <c r="AQ3" s="829"/>
      <c r="AR3" s="829"/>
      <c r="AT3" s="829"/>
      <c r="AU3" s="829"/>
      <c r="AV3" s="829"/>
      <c r="AW3" s="829"/>
      <c r="AX3" s="829"/>
      <c r="AY3" s="829"/>
      <c r="AZ3" s="829"/>
      <c r="BA3" s="829"/>
      <c r="BC3" s="829"/>
      <c r="BD3" s="829"/>
      <c r="BE3" s="829"/>
      <c r="BF3" s="829"/>
      <c r="BG3" s="829"/>
      <c r="BH3" s="829"/>
      <c r="BI3" s="829"/>
      <c r="BJ3" s="829"/>
    </row>
    <row r="4" spans="2:62" ht="35.450000000000003" customHeight="1" x14ac:dyDescent="0.25">
      <c r="J4" s="826" t="s">
        <v>380</v>
      </c>
      <c r="K4" s="827"/>
      <c r="L4" s="827"/>
      <c r="M4" s="827"/>
      <c r="N4" s="827"/>
      <c r="O4" s="827"/>
      <c r="P4" s="827"/>
      <c r="Q4" s="828"/>
      <c r="S4" s="826" t="s">
        <v>174</v>
      </c>
      <c r="T4" s="827"/>
      <c r="U4" s="827"/>
      <c r="V4" s="827"/>
      <c r="W4" s="827"/>
      <c r="X4" s="827"/>
      <c r="Y4" s="827"/>
      <c r="Z4" s="828"/>
      <c r="AB4" s="826" t="s">
        <v>173</v>
      </c>
      <c r="AC4" s="827"/>
      <c r="AD4" s="827"/>
      <c r="AE4" s="827"/>
      <c r="AF4" s="827"/>
      <c r="AG4" s="827"/>
      <c r="AH4" s="827"/>
      <c r="AI4" s="828"/>
      <c r="AK4" s="826" t="s">
        <v>299</v>
      </c>
      <c r="AL4" s="827"/>
      <c r="AM4" s="827"/>
      <c r="AN4" s="827"/>
      <c r="AO4" s="827"/>
      <c r="AP4" s="827"/>
      <c r="AQ4" s="827"/>
      <c r="AR4" s="828"/>
      <c r="AT4" s="826" t="s">
        <v>175</v>
      </c>
      <c r="AU4" s="827"/>
      <c r="AV4" s="827"/>
      <c r="AW4" s="827"/>
      <c r="AX4" s="827"/>
      <c r="AY4" s="827"/>
      <c r="AZ4" s="827"/>
      <c r="BA4" s="828"/>
      <c r="BC4" s="826" t="s">
        <v>381</v>
      </c>
      <c r="BD4" s="827"/>
      <c r="BE4" s="827"/>
      <c r="BF4" s="827"/>
      <c r="BG4" s="827"/>
      <c r="BH4" s="827"/>
      <c r="BI4" s="827"/>
      <c r="BJ4" s="828"/>
    </row>
    <row r="5" spans="2:62" x14ac:dyDescent="0.25">
      <c r="B5" s="8" t="s">
        <v>23</v>
      </c>
      <c r="C5" s="8" t="s">
        <v>24</v>
      </c>
      <c r="D5" s="17" t="s">
        <v>98</v>
      </c>
      <c r="E5" s="17" t="s">
        <v>76</v>
      </c>
      <c r="F5" s="17" t="s">
        <v>77</v>
      </c>
      <c r="G5" s="17" t="s">
        <v>324</v>
      </c>
      <c r="H5" s="17" t="s">
        <v>212</v>
      </c>
      <c r="I5" s="17" t="s">
        <v>528</v>
      </c>
      <c r="J5" s="335">
        <f>CP_Yr_4</f>
        <v>43800</v>
      </c>
      <c r="K5" s="335">
        <f>CP_Yr_5</f>
        <v>44166</v>
      </c>
      <c r="L5" s="335">
        <f>Stub</f>
        <v>44377</v>
      </c>
      <c r="M5" s="335">
        <f>Yr_1</f>
        <v>44742</v>
      </c>
      <c r="N5" s="335">
        <f>Yr_2</f>
        <v>45107</v>
      </c>
      <c r="O5" s="335">
        <f>Yr_3</f>
        <v>45473</v>
      </c>
      <c r="P5" s="335">
        <f>Yr_4</f>
        <v>45838</v>
      </c>
      <c r="Q5" s="335">
        <f>Yr_5</f>
        <v>46203</v>
      </c>
      <c r="R5" s="336"/>
      <c r="S5" s="335">
        <f>CP_Yr_4</f>
        <v>43800</v>
      </c>
      <c r="T5" s="335">
        <f>CP_Yr_5</f>
        <v>44166</v>
      </c>
      <c r="U5" s="335">
        <f>Stub</f>
        <v>44377</v>
      </c>
      <c r="V5" s="335">
        <f>Yr_1</f>
        <v>44742</v>
      </c>
      <c r="W5" s="335">
        <f>Yr_2</f>
        <v>45107</v>
      </c>
      <c r="X5" s="335">
        <f>Yr_3</f>
        <v>45473</v>
      </c>
      <c r="Y5" s="335">
        <f>Yr_4</f>
        <v>45838</v>
      </c>
      <c r="Z5" s="335">
        <f>Yr_5</f>
        <v>46203</v>
      </c>
      <c r="AA5" s="336"/>
      <c r="AB5" s="335">
        <f>CP_Yr_4</f>
        <v>43800</v>
      </c>
      <c r="AC5" s="335">
        <f>CP_Yr_5</f>
        <v>44166</v>
      </c>
      <c r="AD5" s="335">
        <f>Stub</f>
        <v>44377</v>
      </c>
      <c r="AE5" s="335">
        <f>Yr_1</f>
        <v>44742</v>
      </c>
      <c r="AF5" s="335">
        <f>Yr_2</f>
        <v>45107</v>
      </c>
      <c r="AG5" s="335">
        <f>Yr_3</f>
        <v>45473</v>
      </c>
      <c r="AH5" s="335">
        <f>Yr_4</f>
        <v>45838</v>
      </c>
      <c r="AI5" s="335">
        <f>Yr_5</f>
        <v>46203</v>
      </c>
      <c r="AJ5" s="336"/>
      <c r="AK5" s="335">
        <f>CP_Yr_4</f>
        <v>43800</v>
      </c>
      <c r="AL5" s="335">
        <f>CP_Yr_5</f>
        <v>44166</v>
      </c>
      <c r="AM5" s="335">
        <f>Stub</f>
        <v>44377</v>
      </c>
      <c r="AN5" s="335">
        <f>Yr_1</f>
        <v>44742</v>
      </c>
      <c r="AO5" s="335">
        <f>Yr_2</f>
        <v>45107</v>
      </c>
      <c r="AP5" s="335">
        <f>Yr_3</f>
        <v>45473</v>
      </c>
      <c r="AQ5" s="335">
        <f>Yr_4</f>
        <v>45838</v>
      </c>
      <c r="AR5" s="335">
        <f>Yr_5</f>
        <v>46203</v>
      </c>
      <c r="AS5" s="336"/>
      <c r="AT5" s="335">
        <f>CP_Yr_4</f>
        <v>43800</v>
      </c>
      <c r="AU5" s="335">
        <f>CP_Yr_5</f>
        <v>44166</v>
      </c>
      <c r="AV5" s="335">
        <f>Stub</f>
        <v>44377</v>
      </c>
      <c r="AW5" s="335">
        <f>Yr_1</f>
        <v>44742</v>
      </c>
      <c r="AX5" s="335">
        <f>Yr_2</f>
        <v>45107</v>
      </c>
      <c r="AY5" s="335">
        <f>Yr_3</f>
        <v>45473</v>
      </c>
      <c r="AZ5" s="335">
        <f>Yr_4</f>
        <v>45838</v>
      </c>
      <c r="BA5" s="335">
        <f>Yr_5</f>
        <v>46203</v>
      </c>
      <c r="BB5" s="336"/>
      <c r="BC5" s="335">
        <f>CP_Yr_4</f>
        <v>43800</v>
      </c>
      <c r="BD5" s="335">
        <f>CP_Yr_5</f>
        <v>44166</v>
      </c>
      <c r="BE5" s="335">
        <f>Stub</f>
        <v>44377</v>
      </c>
      <c r="BF5" s="335">
        <f>Yr_1</f>
        <v>44742</v>
      </c>
      <c r="BG5" s="335">
        <f>Yr_2</f>
        <v>45107</v>
      </c>
      <c r="BH5" s="335">
        <f>Yr_3</f>
        <v>45473</v>
      </c>
      <c r="BI5" s="335">
        <f>Yr_4</f>
        <v>45838</v>
      </c>
      <c r="BJ5" s="335">
        <f>Yr_5</f>
        <v>46203</v>
      </c>
    </row>
    <row r="6" spans="2:62" x14ac:dyDescent="0.25">
      <c r="B6" s="7"/>
      <c r="C6" s="7"/>
      <c r="D6" s="7"/>
      <c r="E6" s="7"/>
      <c r="F6" s="7"/>
      <c r="G6" s="7"/>
      <c r="H6" s="7"/>
      <c r="I6" s="7"/>
      <c r="J6" s="45"/>
      <c r="K6" s="45"/>
      <c r="L6" s="45"/>
      <c r="M6" s="45"/>
      <c r="N6" s="45"/>
      <c r="O6" s="45"/>
      <c r="P6" s="45"/>
      <c r="Q6" s="45"/>
      <c r="S6" s="47"/>
      <c r="T6" s="47"/>
      <c r="U6" s="47"/>
      <c r="V6" s="47"/>
      <c r="W6" s="47"/>
      <c r="X6" s="47"/>
      <c r="Y6" s="47"/>
      <c r="Z6" s="47"/>
      <c r="AB6" s="47"/>
      <c r="AC6" s="47"/>
      <c r="AD6" s="47"/>
      <c r="AE6" s="47"/>
      <c r="AF6" s="47"/>
      <c r="AG6" s="47"/>
      <c r="AH6" s="47"/>
      <c r="AI6" s="47"/>
      <c r="AK6" s="47"/>
      <c r="AL6" s="47"/>
      <c r="AM6" s="47"/>
      <c r="AN6" s="47"/>
      <c r="AO6" s="47"/>
      <c r="AP6" s="47"/>
      <c r="AQ6" s="47"/>
      <c r="AR6" s="47"/>
      <c r="AT6" s="82"/>
      <c r="AU6" s="82"/>
      <c r="AV6" s="82"/>
      <c r="AW6" s="82"/>
      <c r="AX6" s="82"/>
      <c r="AY6" s="82"/>
      <c r="AZ6" s="82"/>
      <c r="BA6" s="82"/>
      <c r="BC6" s="374">
        <f t="shared" ref="BC6:BJ6" si="0">S6+AB6+AK6+AT6</f>
        <v>0</v>
      </c>
      <c r="BD6" s="374">
        <f t="shared" si="0"/>
        <v>0</v>
      </c>
      <c r="BE6" s="374">
        <f t="shared" si="0"/>
        <v>0</v>
      </c>
      <c r="BF6" s="47">
        <f t="shared" si="0"/>
        <v>0</v>
      </c>
      <c r="BG6" s="47">
        <f t="shared" si="0"/>
        <v>0</v>
      </c>
      <c r="BH6" s="47">
        <f t="shared" si="0"/>
        <v>0</v>
      </c>
      <c r="BI6" s="47">
        <f t="shared" si="0"/>
        <v>0</v>
      </c>
      <c r="BJ6" s="47">
        <f t="shared" si="0"/>
        <v>0</v>
      </c>
    </row>
    <row r="7" spans="2:62" x14ac:dyDescent="0.25">
      <c r="B7" s="7"/>
      <c r="C7" s="7"/>
      <c r="D7" s="7"/>
      <c r="E7" s="7"/>
      <c r="F7" s="7"/>
      <c r="G7" s="7"/>
      <c r="H7" s="7"/>
      <c r="I7" s="7"/>
      <c r="J7" s="45"/>
      <c r="K7" s="45"/>
      <c r="L7" s="45"/>
      <c r="M7" s="45"/>
      <c r="N7" s="45"/>
      <c r="O7" s="45"/>
      <c r="P7" s="45"/>
      <c r="Q7" s="45"/>
      <c r="S7" s="47"/>
      <c r="T7" s="47"/>
      <c r="U7" s="47"/>
      <c r="V7" s="47"/>
      <c r="W7" s="47"/>
      <c r="X7" s="47"/>
      <c r="Y7" s="47"/>
      <c r="Z7" s="47"/>
      <c r="AB7" s="47"/>
      <c r="AC7" s="47"/>
      <c r="AD7" s="47"/>
      <c r="AE7" s="47"/>
      <c r="AF7" s="47"/>
      <c r="AG7" s="47"/>
      <c r="AH7" s="47"/>
      <c r="AI7" s="47"/>
      <c r="AK7" s="47"/>
      <c r="AL7" s="47"/>
      <c r="AM7" s="47"/>
      <c r="AN7" s="47"/>
      <c r="AO7" s="47"/>
      <c r="AP7" s="47"/>
      <c r="AQ7" s="47"/>
      <c r="AR7" s="47"/>
      <c r="AT7" s="82"/>
      <c r="AU7" s="82"/>
      <c r="AV7" s="82"/>
      <c r="AW7" s="82"/>
      <c r="AX7" s="82"/>
      <c r="AY7" s="82"/>
      <c r="AZ7" s="82"/>
      <c r="BA7" s="82"/>
      <c r="BC7" s="374">
        <f t="shared" ref="BC7:BC23" si="1">S7+AB7+AK7+AT7</f>
        <v>0</v>
      </c>
      <c r="BD7" s="374">
        <f t="shared" ref="BD7:BD21" si="2">T7+AC7+AL7+AU7</f>
        <v>0</v>
      </c>
      <c r="BE7" s="374">
        <f t="shared" ref="BE7:BE21" si="3">U7+AD7+AM7+AV7</f>
        <v>0</v>
      </c>
      <c r="BF7" s="47">
        <f t="shared" ref="BF7:BF21" si="4">V7+AE7+AN7+AW7</f>
        <v>0</v>
      </c>
      <c r="BG7" s="47">
        <f t="shared" ref="BG7:BG21" si="5">W7+AF7+AO7+AX7</f>
        <v>0</v>
      </c>
      <c r="BH7" s="47">
        <f t="shared" ref="BH7:BH21" si="6">X7+AG7+AP7+AY7</f>
        <v>0</v>
      </c>
      <c r="BI7" s="47">
        <f t="shared" ref="BI7:BI21" si="7">Y7+AH7+AQ7+AZ7</f>
        <v>0</v>
      </c>
      <c r="BJ7" s="47">
        <f t="shared" ref="BJ7:BJ21" si="8">Z7+AI7+AR7+BA7</f>
        <v>0</v>
      </c>
    </row>
    <row r="8" spans="2:62" x14ac:dyDescent="0.25">
      <c r="B8" s="7"/>
      <c r="C8" s="7"/>
      <c r="D8" s="7"/>
      <c r="E8" s="7"/>
      <c r="F8" s="7"/>
      <c r="G8" s="7"/>
      <c r="H8" s="7"/>
      <c r="I8" s="7"/>
      <c r="J8" s="45"/>
      <c r="K8" s="45"/>
      <c r="L8" s="45"/>
      <c r="M8" s="45"/>
      <c r="N8" s="45"/>
      <c r="O8" s="45"/>
      <c r="P8" s="45"/>
      <c r="Q8" s="45"/>
      <c r="S8" s="47"/>
      <c r="T8" s="47"/>
      <c r="U8" s="47"/>
      <c r="V8" s="47"/>
      <c r="W8" s="47"/>
      <c r="X8" s="47"/>
      <c r="Y8" s="47"/>
      <c r="Z8" s="47"/>
      <c r="AB8" s="47"/>
      <c r="AC8" s="47"/>
      <c r="AD8" s="47"/>
      <c r="AE8" s="47"/>
      <c r="AF8" s="47"/>
      <c r="AG8" s="47"/>
      <c r="AH8" s="47"/>
      <c r="AI8" s="47"/>
      <c r="AK8" s="47"/>
      <c r="AL8" s="47"/>
      <c r="AM8" s="47"/>
      <c r="AN8" s="47"/>
      <c r="AO8" s="47"/>
      <c r="AP8" s="47"/>
      <c r="AQ8" s="47"/>
      <c r="AR8" s="47"/>
      <c r="AT8" s="82"/>
      <c r="AU8" s="82"/>
      <c r="AV8" s="82"/>
      <c r="AW8" s="82"/>
      <c r="AX8" s="82"/>
      <c r="AY8" s="82"/>
      <c r="AZ8" s="82"/>
      <c r="BA8" s="82"/>
      <c r="BC8" s="374">
        <f t="shared" si="1"/>
        <v>0</v>
      </c>
      <c r="BD8" s="374">
        <f t="shared" si="2"/>
        <v>0</v>
      </c>
      <c r="BE8" s="374">
        <f t="shared" si="3"/>
        <v>0</v>
      </c>
      <c r="BF8" s="47">
        <f t="shared" si="4"/>
        <v>0</v>
      </c>
      <c r="BG8" s="47">
        <f t="shared" si="5"/>
        <v>0</v>
      </c>
      <c r="BH8" s="47">
        <f t="shared" si="6"/>
        <v>0</v>
      </c>
      <c r="BI8" s="47">
        <f t="shared" si="7"/>
        <v>0</v>
      </c>
      <c r="BJ8" s="47">
        <f t="shared" si="8"/>
        <v>0</v>
      </c>
    </row>
    <row r="9" spans="2:62" x14ac:dyDescent="0.25">
      <c r="B9" s="7"/>
      <c r="C9" s="7"/>
      <c r="D9" s="254"/>
      <c r="E9" s="7"/>
      <c r="F9" s="7"/>
      <c r="G9" s="7"/>
      <c r="H9" s="7"/>
      <c r="I9" s="7"/>
      <c r="J9" s="45"/>
      <c r="K9" s="45"/>
      <c r="L9" s="45"/>
      <c r="M9" s="45"/>
      <c r="N9" s="45"/>
      <c r="O9" s="45"/>
      <c r="P9" s="45"/>
      <c r="Q9" s="45"/>
      <c r="S9" s="47"/>
      <c r="T9" s="47"/>
      <c r="U9" s="47"/>
      <c r="V9" s="47"/>
      <c r="W9" s="47"/>
      <c r="X9" s="47"/>
      <c r="Y9" s="47"/>
      <c r="Z9" s="47"/>
      <c r="AB9" s="47"/>
      <c r="AC9" s="47"/>
      <c r="AD9" s="47"/>
      <c r="AE9" s="47"/>
      <c r="AF9" s="47"/>
      <c r="AG9" s="47"/>
      <c r="AH9" s="47"/>
      <c r="AI9" s="47"/>
      <c r="AK9" s="47"/>
      <c r="AL9" s="47"/>
      <c r="AM9" s="47"/>
      <c r="AN9" s="47"/>
      <c r="AO9" s="47"/>
      <c r="AP9" s="47"/>
      <c r="AQ9" s="47"/>
      <c r="AR9" s="47"/>
      <c r="AT9" s="82"/>
      <c r="AU9" s="82"/>
      <c r="AV9" s="82"/>
      <c r="AW9" s="82"/>
      <c r="AX9" s="82"/>
      <c r="AY9" s="82"/>
      <c r="AZ9" s="82"/>
      <c r="BA9" s="82"/>
      <c r="BC9" s="374">
        <f t="shared" si="1"/>
        <v>0</v>
      </c>
      <c r="BD9" s="374">
        <f t="shared" si="2"/>
        <v>0</v>
      </c>
      <c r="BE9" s="374">
        <f t="shared" si="3"/>
        <v>0</v>
      </c>
      <c r="BF9" s="47">
        <f t="shared" si="4"/>
        <v>0</v>
      </c>
      <c r="BG9" s="47">
        <f t="shared" si="5"/>
        <v>0</v>
      </c>
      <c r="BH9" s="47">
        <f t="shared" si="6"/>
        <v>0</v>
      </c>
      <c r="BI9" s="47">
        <f t="shared" si="7"/>
        <v>0</v>
      </c>
      <c r="BJ9" s="47">
        <f t="shared" si="8"/>
        <v>0</v>
      </c>
    </row>
    <row r="10" spans="2:62" x14ac:dyDescent="0.25">
      <c r="B10" s="7"/>
      <c r="C10" s="7" t="s">
        <v>112</v>
      </c>
      <c r="D10" s="7" t="s">
        <v>527</v>
      </c>
      <c r="E10" s="7" t="s">
        <v>48</v>
      </c>
      <c r="F10" s="7" t="s">
        <v>48</v>
      </c>
      <c r="G10" s="7" t="s">
        <v>150</v>
      </c>
      <c r="H10" s="7" t="s">
        <v>548</v>
      </c>
      <c r="I10" s="7" t="s">
        <v>325</v>
      </c>
      <c r="J10" s="45"/>
      <c r="K10" s="45"/>
      <c r="L10" s="45"/>
      <c r="M10" s="128">
        <v>1085.7660000000001</v>
      </c>
      <c r="N10" s="128">
        <v>542.88300000000004</v>
      </c>
      <c r="O10" s="128">
        <v>0</v>
      </c>
      <c r="P10" s="128">
        <v>0</v>
      </c>
      <c r="Q10" s="128">
        <v>0</v>
      </c>
      <c r="R10" s="129"/>
      <c r="S10" s="128">
        <f>INDEX(Direct_Cost_Splits_Network,MATCH($H10,RIN_Asset_Cat_Network,0),MATCH($S$4,Direct_Cost_Type,0))*J10*HLOOKUP(S$5,Escalators!$I$25:$U$30,3,FALSE)</f>
        <v>0</v>
      </c>
      <c r="T10" s="128">
        <f>INDEX(Direct_Cost_Splits_Network,MATCH($H10,RIN_Asset_Cat_Network,0),MATCH($S$4,Direct_Cost_Type,0))*K10*HLOOKUP(T$5,Escalators!$I$25:$U$30,3,FALSE)</f>
        <v>0</v>
      </c>
      <c r="U10" s="128">
        <f>INDEX(Direct_Cost_Splits_Network,MATCH($H10,RIN_Asset_Cat_Network,0),MATCH($S$4,Direct_Cost_Type,0))*L10*HLOOKUP(U$5,Escalators!$I$25:$U$30,3,FALSE)</f>
        <v>0</v>
      </c>
      <c r="V10" s="128">
        <f>INDEX(Direct_Cost_Splits_Network,MATCH($H10,RIN_Asset_Cat_Network,0),MATCH($S$4,Direct_Cost_Type,0))*M10*HLOOKUP(V$5,Escalators!$I$25:$U$30,3,FALSE)</f>
        <v>210.02094737710675</v>
      </c>
      <c r="W10" s="128">
        <f>INDEX(Direct_Cost_Splits_Network,MATCH($H10,RIN_Asset_Cat_Network,0),MATCH($S$4,Direct_Cost_Type,0))*N10*HLOOKUP(W$5,Escalators!$I$25:$U$30,3,FALSE)</f>
        <v>104.7481852028869</v>
      </c>
      <c r="X10" s="128">
        <f>INDEX(Direct_Cost_Splits_Network,MATCH($H10,RIN_Asset_Cat_Network,0),MATCH($S$4,Direct_Cost_Type,0))*O10*HLOOKUP(X$5,Escalators!$I$25:$U$30,3,FALSE)</f>
        <v>0</v>
      </c>
      <c r="Y10" s="128">
        <f>INDEX(Direct_Cost_Splits_Network,MATCH($H10,RIN_Asset_Cat_Network,0),MATCH($S$4,Direct_Cost_Type,0))*P10*HLOOKUP(Y$5,Escalators!$I$25:$U$30,3,FALSE)</f>
        <v>0</v>
      </c>
      <c r="Z10" s="128">
        <f>INDEX(Direct_Cost_Splits_Network,MATCH($H10,RIN_Asset_Cat_Network,0),MATCH($S$4,Direct_Cost_Type,0))*Q10*HLOOKUP(Z$5,Escalators!$I$25:$U$30,3,FALSE)</f>
        <v>0</v>
      </c>
      <c r="AA10" s="129"/>
      <c r="AB10" s="128">
        <f t="shared" ref="AB10:AI12" si="9">INDEX(Direct_Cost_Splits_Network,MATCH($H10,RIN_Asset_Cat_Network,0),MATCH($AB$4,Direct_Cost_Type,0))*J10</f>
        <v>0</v>
      </c>
      <c r="AC10" s="128">
        <f t="shared" si="9"/>
        <v>0</v>
      </c>
      <c r="AD10" s="128">
        <f t="shared" si="9"/>
        <v>0</v>
      </c>
      <c r="AE10" s="128">
        <f t="shared" si="9"/>
        <v>879.47046000000012</v>
      </c>
      <c r="AF10" s="128">
        <f t="shared" si="9"/>
        <v>439.73523000000006</v>
      </c>
      <c r="AG10" s="128">
        <f t="shared" si="9"/>
        <v>0</v>
      </c>
      <c r="AH10" s="128">
        <f t="shared" si="9"/>
        <v>0</v>
      </c>
      <c r="AI10" s="128">
        <f t="shared" si="9"/>
        <v>0</v>
      </c>
      <c r="AJ10" s="129"/>
      <c r="AK10" s="128">
        <f>INDEX(Direct_Cost_Splits_Network,MATCH($H10,RIN_Asset_Cat_Network,0),MATCH($AK$4,Direct_Cost_Type,0))*J10*HLOOKUP(AK$5,Escalators!$I$25:$U$30,6,FALSE)</f>
        <v>0</v>
      </c>
      <c r="AL10" s="128">
        <f>INDEX(Direct_Cost_Splits_Network,MATCH($H10,RIN_Asset_Cat_Network,0),MATCH($AK$4,Direct_Cost_Type,0))*K10*HLOOKUP(AL$5,Escalators!$I$25:$U$30,6,FALSE)</f>
        <v>0</v>
      </c>
      <c r="AM10" s="128">
        <f>INDEX(Direct_Cost_Splits_Network,MATCH($H10,RIN_Asset_Cat_Network,0),MATCH($AK$4,Direct_Cost_Type,0))*L10*HLOOKUP(AM$5,Escalators!$I$25:$U$30,6,FALSE)</f>
        <v>0</v>
      </c>
      <c r="AN10" s="128">
        <f>INDEX(Direct_Cost_Splits_Network,MATCH($H10,RIN_Asset_Cat_Network,0),MATCH($AK$4,Direct_Cost_Type,0))*M10*HLOOKUP(AN$5,Escalators!$I$25:$U$30,6,FALSE)</f>
        <v>0</v>
      </c>
      <c r="AO10" s="128">
        <f>INDEX(Direct_Cost_Splits_Network,MATCH($H10,RIN_Asset_Cat_Network,0),MATCH($AK$4,Direct_Cost_Type,0))*N10*HLOOKUP(AO$5,Escalators!$I$25:$U$30,6,FALSE)</f>
        <v>0</v>
      </c>
      <c r="AP10" s="128">
        <f>INDEX(Direct_Cost_Splits_Network,MATCH($H10,RIN_Asset_Cat_Network,0),MATCH($AK$4,Direct_Cost_Type,0))*O10*HLOOKUP(AP$5,Escalators!$I$25:$U$30,6,FALSE)</f>
        <v>0</v>
      </c>
      <c r="AQ10" s="128">
        <f>INDEX(Direct_Cost_Splits_Network,MATCH($H10,RIN_Asset_Cat_Network,0),MATCH($AK$4,Direct_Cost_Type,0))*P10*HLOOKUP(AQ$5,Escalators!$I$25:$U$30,6,FALSE)</f>
        <v>0</v>
      </c>
      <c r="AR10" s="128">
        <f>INDEX(Direct_Cost_Splits_Network,MATCH($H10,RIN_Asset_Cat_Network,0),MATCH($AK$4,Direct_Cost_Type,0))*Q10*HLOOKUP(AR$5,Escalators!$I$25:$U$30,6,FALSE)</f>
        <v>0</v>
      </c>
      <c r="AS10" s="129"/>
      <c r="AT10" s="763">
        <f t="shared" ref="AT10:BA12" si="10">INDEX(Direct_Cost_Splits_Network,MATCH($H10,RIN_Asset_Cat_Network,0),MATCH($AT$4,Direct_Cost_Type,0))*J10</f>
        <v>0</v>
      </c>
      <c r="AU10" s="763">
        <f t="shared" si="10"/>
        <v>0</v>
      </c>
      <c r="AV10" s="763">
        <f t="shared" si="10"/>
        <v>0</v>
      </c>
      <c r="AW10" s="763">
        <f t="shared" si="10"/>
        <v>0</v>
      </c>
      <c r="AX10" s="763">
        <f t="shared" si="10"/>
        <v>0</v>
      </c>
      <c r="AY10" s="763">
        <f t="shared" si="10"/>
        <v>0</v>
      </c>
      <c r="AZ10" s="763">
        <f t="shared" si="10"/>
        <v>0</v>
      </c>
      <c r="BA10" s="763">
        <f t="shared" si="10"/>
        <v>0</v>
      </c>
      <c r="BB10" s="129"/>
      <c r="BC10" s="128">
        <f t="shared" si="1"/>
        <v>0</v>
      </c>
      <c r="BD10" s="128">
        <f t="shared" si="2"/>
        <v>0</v>
      </c>
      <c r="BE10" s="128">
        <f t="shared" si="3"/>
        <v>0</v>
      </c>
      <c r="BF10" s="128">
        <f t="shared" si="4"/>
        <v>1089.491407377107</v>
      </c>
      <c r="BG10" s="128">
        <f t="shared" si="5"/>
        <v>544.48341520288693</v>
      </c>
      <c r="BH10" s="128">
        <f t="shared" si="6"/>
        <v>0</v>
      </c>
      <c r="BI10" s="128">
        <f t="shared" si="7"/>
        <v>0</v>
      </c>
      <c r="BJ10" s="128">
        <f t="shared" si="8"/>
        <v>0</v>
      </c>
    </row>
    <row r="11" spans="2:62" x14ac:dyDescent="0.25">
      <c r="B11" s="7"/>
      <c r="C11" s="7" t="s">
        <v>112</v>
      </c>
      <c r="D11" s="7" t="s">
        <v>565</v>
      </c>
      <c r="E11" s="7" t="s">
        <v>48</v>
      </c>
      <c r="F11" s="7" t="s">
        <v>48</v>
      </c>
      <c r="G11" s="7" t="s">
        <v>150</v>
      </c>
      <c r="H11" s="7" t="s">
        <v>549</v>
      </c>
      <c r="I11" s="7" t="s">
        <v>325</v>
      </c>
      <c r="J11" s="45"/>
      <c r="K11" s="45"/>
      <c r="L11" s="45"/>
      <c r="M11" s="128">
        <v>1225</v>
      </c>
      <c r="N11" s="128">
        <v>75</v>
      </c>
      <c r="O11" s="128">
        <v>75</v>
      </c>
      <c r="P11" s="128">
        <v>75</v>
      </c>
      <c r="Q11" s="128">
        <v>75</v>
      </c>
      <c r="R11" s="129"/>
      <c r="S11" s="128">
        <f>INDEX(Direct_Cost_Splits_Network,MATCH($H11,RIN_Asset_Cat_Network,0),MATCH($S$4,Direct_Cost_Type,0))*J11*HLOOKUP(S$5,Escalators!$I$25:$U$30,3,FALSE)</f>
        <v>0</v>
      </c>
      <c r="T11" s="128">
        <f>INDEX(Direct_Cost_Splits_Network,MATCH($H11,RIN_Asset_Cat_Network,0),MATCH($S$4,Direct_Cost_Type,0))*K11*HLOOKUP(T$5,Escalators!$I$25:$U$30,3,FALSE)</f>
        <v>0</v>
      </c>
      <c r="U11" s="128">
        <f>INDEX(Direct_Cost_Splits_Network,MATCH($H11,RIN_Asset_Cat_Network,0),MATCH($S$4,Direct_Cost_Type,0))*L11*HLOOKUP(U$5,Escalators!$I$25:$U$30,3,FALSE)</f>
        <v>0</v>
      </c>
      <c r="V11" s="128">
        <f>INDEX(Direct_Cost_Splits_Network,MATCH($H11,RIN_Asset_Cat_Network,0),MATCH($S$4,Direct_Cost_Type,0))*M11*HLOOKUP(V$5,Escalators!$I$25:$U$30,3,FALSE)</f>
        <v>249.42435550177746</v>
      </c>
      <c r="W11" s="128">
        <f>INDEX(Direct_Cost_Splits_Network,MATCH($H11,RIN_Asset_Cat_Network,0),MATCH($S$4,Direct_Cost_Type,0))*N11*HLOOKUP(W$5,Escalators!$I$25:$U$30,3,FALSE)</f>
        <v>15.23273627770434</v>
      </c>
      <c r="X11" s="128">
        <f>INDEX(Direct_Cost_Splits_Network,MATCH($H11,RIN_Asset_Cat_Network,0),MATCH($S$4,Direct_Cost_Type,0))*O11*HLOOKUP(X$5,Escalators!$I$25:$U$30,3,FALSE)</f>
        <v>15.22167264137229</v>
      </c>
      <c r="Y11" s="128">
        <f>INDEX(Direct_Cost_Splits_Network,MATCH($H11,RIN_Asset_Cat_Network,0),MATCH($S$4,Direct_Cost_Type,0))*P11*HLOOKUP(Y$5,Escalators!$I$25:$U$30,3,FALSE)</f>
        <v>15.277578012918468</v>
      </c>
      <c r="Z11" s="128">
        <f>INDEX(Direct_Cost_Splits_Network,MATCH($H11,RIN_Asset_Cat_Network,0),MATCH($S$4,Direct_Cost_Type,0))*Q11*HLOOKUP(Z$5,Escalators!$I$25:$U$30,3,FALSE)</f>
        <v>15.429833341107443</v>
      </c>
      <c r="AA11" s="129"/>
      <c r="AB11" s="128">
        <f t="shared" si="9"/>
        <v>0</v>
      </c>
      <c r="AC11" s="128">
        <f t="shared" si="9"/>
        <v>0</v>
      </c>
      <c r="AD11" s="128">
        <f t="shared" si="9"/>
        <v>0</v>
      </c>
      <c r="AE11" s="128">
        <f t="shared" si="9"/>
        <v>980</v>
      </c>
      <c r="AF11" s="128">
        <f t="shared" si="9"/>
        <v>60</v>
      </c>
      <c r="AG11" s="128">
        <f t="shared" si="9"/>
        <v>60</v>
      </c>
      <c r="AH11" s="128">
        <f t="shared" si="9"/>
        <v>60</v>
      </c>
      <c r="AI11" s="128">
        <f t="shared" si="9"/>
        <v>60</v>
      </c>
      <c r="AJ11" s="129"/>
      <c r="AK11" s="128">
        <f>INDEX(Direct_Cost_Splits_Network,MATCH($H11,RIN_Asset_Cat_Network,0),MATCH($AK$4,Direct_Cost_Type,0))*J11*HLOOKUP(AK$5,Escalators!$I$25:$U$30,6,FALSE)</f>
        <v>0</v>
      </c>
      <c r="AL11" s="128">
        <f>INDEX(Direct_Cost_Splits_Network,MATCH($H11,RIN_Asset_Cat_Network,0),MATCH($AK$4,Direct_Cost_Type,0))*K11*HLOOKUP(AL$5,Escalators!$I$25:$U$30,6,FALSE)</f>
        <v>0</v>
      </c>
      <c r="AM11" s="128">
        <f>INDEX(Direct_Cost_Splits_Network,MATCH($H11,RIN_Asset_Cat_Network,0),MATCH($AK$4,Direct_Cost_Type,0))*L11*HLOOKUP(AM$5,Escalators!$I$25:$U$30,6,FALSE)</f>
        <v>0</v>
      </c>
      <c r="AN11" s="128">
        <f>INDEX(Direct_Cost_Splits_Network,MATCH($H11,RIN_Asset_Cat_Network,0),MATCH($AK$4,Direct_Cost_Type,0))*M11*HLOOKUP(AN$5,Escalators!$I$25:$U$30,6,FALSE)</f>
        <v>0</v>
      </c>
      <c r="AO11" s="128">
        <f>INDEX(Direct_Cost_Splits_Network,MATCH($H11,RIN_Asset_Cat_Network,0),MATCH($AK$4,Direct_Cost_Type,0))*N11*HLOOKUP(AO$5,Escalators!$I$25:$U$30,6,FALSE)</f>
        <v>0</v>
      </c>
      <c r="AP11" s="128">
        <f>INDEX(Direct_Cost_Splits_Network,MATCH($H11,RIN_Asset_Cat_Network,0),MATCH($AK$4,Direct_Cost_Type,0))*O11*HLOOKUP(AP$5,Escalators!$I$25:$U$30,6,FALSE)</f>
        <v>0</v>
      </c>
      <c r="AQ11" s="128">
        <f>INDEX(Direct_Cost_Splits_Network,MATCH($H11,RIN_Asset_Cat_Network,0),MATCH($AK$4,Direct_Cost_Type,0))*P11*HLOOKUP(AQ$5,Escalators!$I$25:$U$30,6,FALSE)</f>
        <v>0</v>
      </c>
      <c r="AR11" s="128">
        <f>INDEX(Direct_Cost_Splits_Network,MATCH($H11,RIN_Asset_Cat_Network,0),MATCH($AK$4,Direct_Cost_Type,0))*Q11*HLOOKUP(AR$5,Escalators!$I$25:$U$30,6,FALSE)</f>
        <v>0</v>
      </c>
      <c r="AS11" s="129"/>
      <c r="AT11" s="763">
        <f t="shared" si="10"/>
        <v>0</v>
      </c>
      <c r="AU11" s="763">
        <f t="shared" si="10"/>
        <v>0</v>
      </c>
      <c r="AV11" s="763">
        <f t="shared" si="10"/>
        <v>0</v>
      </c>
      <c r="AW11" s="763">
        <f t="shared" si="10"/>
        <v>0</v>
      </c>
      <c r="AX11" s="763">
        <f t="shared" si="10"/>
        <v>0</v>
      </c>
      <c r="AY11" s="763">
        <f t="shared" si="10"/>
        <v>0</v>
      </c>
      <c r="AZ11" s="763">
        <f t="shared" si="10"/>
        <v>0</v>
      </c>
      <c r="BA11" s="763">
        <f t="shared" si="10"/>
        <v>0</v>
      </c>
      <c r="BB11" s="129"/>
      <c r="BC11" s="128">
        <f>S11+AB11+AK11+AT11</f>
        <v>0</v>
      </c>
      <c r="BD11" s="128">
        <f t="shared" si="2"/>
        <v>0</v>
      </c>
      <c r="BE11" s="128">
        <f t="shared" si="3"/>
        <v>0</v>
      </c>
      <c r="BF11" s="128">
        <f t="shared" si="4"/>
        <v>1229.4243555017774</v>
      </c>
      <c r="BG11" s="128">
        <f t="shared" si="5"/>
        <v>75.232736277704333</v>
      </c>
      <c r="BH11" s="128">
        <f t="shared" si="6"/>
        <v>75.221672641372294</v>
      </c>
      <c r="BI11" s="128">
        <f t="shared" si="7"/>
        <v>75.277578012918468</v>
      </c>
      <c r="BJ11" s="128">
        <f t="shared" si="8"/>
        <v>75.42983334110744</v>
      </c>
    </row>
    <row r="12" spans="2:62" x14ac:dyDescent="0.25">
      <c r="B12" s="7"/>
      <c r="C12" s="7" t="s">
        <v>112</v>
      </c>
      <c r="D12" s="7" t="s">
        <v>566</v>
      </c>
      <c r="E12" s="7" t="s">
        <v>48</v>
      </c>
      <c r="F12" s="7" t="s">
        <v>48</v>
      </c>
      <c r="G12" s="7" t="s">
        <v>150</v>
      </c>
      <c r="H12" s="7" t="s">
        <v>548</v>
      </c>
      <c r="I12" s="7" t="s">
        <v>325</v>
      </c>
      <c r="J12" s="45"/>
      <c r="K12" s="45"/>
      <c r="L12" s="45"/>
      <c r="M12" s="128">
        <v>324.1828335764705</v>
      </c>
      <c r="N12" s="128">
        <v>330.34127294509801</v>
      </c>
      <c r="O12" s="128">
        <v>335.51602537254894</v>
      </c>
      <c r="P12" s="128">
        <v>354.52981788627437</v>
      </c>
      <c r="Q12" s="128">
        <v>347.15538147843125</v>
      </c>
      <c r="R12" s="129"/>
      <c r="S12" s="128">
        <f>INDEX(Direct_Cost_Splits_Network,MATCH($H12,RIN_Asset_Cat_Network,0),MATCH($S$4,Direct_Cost_Type,0))*J12*HLOOKUP(S$5,Escalators!$I$25:$U$30,3,FALSE)</f>
        <v>0</v>
      </c>
      <c r="T12" s="128">
        <f>INDEX(Direct_Cost_Splits_Network,MATCH($H12,RIN_Asset_Cat_Network,0),MATCH($S$4,Direct_Cost_Type,0))*K12*HLOOKUP(T$5,Escalators!$I$25:$U$30,3,FALSE)</f>
        <v>0</v>
      </c>
      <c r="U12" s="128">
        <f>INDEX(Direct_Cost_Splits_Network,MATCH($H12,RIN_Asset_Cat_Network,0),MATCH($S$4,Direct_Cost_Type,0))*L12*HLOOKUP(U$5,Escalators!$I$25:$U$30,3,FALSE)</f>
        <v>0</v>
      </c>
      <c r="V12" s="128">
        <f>INDEX(Direct_Cost_Splits_Network,MATCH($H12,RIN_Asset_Cat_Network,0),MATCH($S$4,Direct_Cost_Type,0))*M12*HLOOKUP(V$5,Escalators!$I$25:$U$30,3,FALSE)</f>
        <v>62.707052745366184</v>
      </c>
      <c r="W12" s="128">
        <f>INDEX(Direct_Cost_Splits_Network,MATCH($H12,RIN_Asset_Cat_Network,0),MATCH($S$4,Direct_Cost_Type,0))*N12*HLOOKUP(W$5,Escalators!$I$25:$U$30,3,FALSE)</f>
        <v>63.738685570575129</v>
      </c>
      <c r="X12" s="128">
        <f>INDEX(Direct_Cost_Splits_Network,MATCH($H12,RIN_Asset_Cat_Network,0),MATCH($S$4,Direct_Cost_Type,0))*O12*HLOOKUP(X$5,Escalators!$I$25:$U$30,3,FALSE)</f>
        <v>64.690124652633799</v>
      </c>
      <c r="Y12" s="128">
        <f>INDEX(Direct_Cost_Splits_Network,MATCH($H12,RIN_Asset_Cat_Network,0),MATCH($S$4,Direct_Cost_Type,0))*P12*HLOOKUP(Y$5,Escalators!$I$25:$U$30,3,FALSE)</f>
        <v>68.607188041735569</v>
      </c>
      <c r="Z12" s="128">
        <f>INDEX(Direct_Cost_Splits_Network,MATCH($H12,RIN_Asset_Cat_Network,0),MATCH($S$4,Direct_Cost_Type,0))*Q12*HLOOKUP(Z$5,Escalators!$I$25:$U$30,3,FALSE)</f>
        <v>67.849629275956445</v>
      </c>
      <c r="AA12" s="129"/>
      <c r="AB12" s="128">
        <f t="shared" si="9"/>
        <v>0</v>
      </c>
      <c r="AC12" s="128">
        <f t="shared" si="9"/>
        <v>0</v>
      </c>
      <c r="AD12" s="128">
        <f t="shared" si="9"/>
        <v>0</v>
      </c>
      <c r="AE12" s="128">
        <f t="shared" si="9"/>
        <v>262.58809519694114</v>
      </c>
      <c r="AF12" s="128">
        <f t="shared" si="9"/>
        <v>267.57643108552941</v>
      </c>
      <c r="AG12" s="128">
        <f t="shared" si="9"/>
        <v>271.76798055176465</v>
      </c>
      <c r="AH12" s="128">
        <f t="shared" si="9"/>
        <v>287.16915248788229</v>
      </c>
      <c r="AI12" s="128">
        <f t="shared" si="9"/>
        <v>281.19585899752934</v>
      </c>
      <c r="AJ12" s="129"/>
      <c r="AK12" s="128">
        <f>INDEX(Direct_Cost_Splits_Network,MATCH($H12,RIN_Asset_Cat_Network,0),MATCH($AK$4,Direct_Cost_Type,0))*J12*HLOOKUP(AK$5,Escalators!$I$25:$U$30,6,FALSE)</f>
        <v>0</v>
      </c>
      <c r="AL12" s="128">
        <f>INDEX(Direct_Cost_Splits_Network,MATCH($H12,RIN_Asset_Cat_Network,0),MATCH($AK$4,Direct_Cost_Type,0))*K12*HLOOKUP(AL$5,Escalators!$I$25:$U$30,6,FALSE)</f>
        <v>0</v>
      </c>
      <c r="AM12" s="128">
        <f>INDEX(Direct_Cost_Splits_Network,MATCH($H12,RIN_Asset_Cat_Network,0),MATCH($AK$4,Direct_Cost_Type,0))*L12*HLOOKUP(AM$5,Escalators!$I$25:$U$30,6,FALSE)</f>
        <v>0</v>
      </c>
      <c r="AN12" s="128">
        <f>INDEX(Direct_Cost_Splits_Network,MATCH($H12,RIN_Asset_Cat_Network,0),MATCH($AK$4,Direct_Cost_Type,0))*M12*HLOOKUP(AN$5,Escalators!$I$25:$U$30,6,FALSE)</f>
        <v>0</v>
      </c>
      <c r="AO12" s="128">
        <f>INDEX(Direct_Cost_Splits_Network,MATCH($H12,RIN_Asset_Cat_Network,0),MATCH($AK$4,Direct_Cost_Type,0))*N12*HLOOKUP(AO$5,Escalators!$I$25:$U$30,6,FALSE)</f>
        <v>0</v>
      </c>
      <c r="AP12" s="128">
        <f>INDEX(Direct_Cost_Splits_Network,MATCH($H12,RIN_Asset_Cat_Network,0),MATCH($AK$4,Direct_Cost_Type,0))*O12*HLOOKUP(AP$5,Escalators!$I$25:$U$30,6,FALSE)</f>
        <v>0</v>
      </c>
      <c r="AQ12" s="128">
        <f>INDEX(Direct_Cost_Splits_Network,MATCH($H12,RIN_Asset_Cat_Network,0),MATCH($AK$4,Direct_Cost_Type,0))*P12*HLOOKUP(AQ$5,Escalators!$I$25:$U$30,6,FALSE)</f>
        <v>0</v>
      </c>
      <c r="AR12" s="128">
        <f>INDEX(Direct_Cost_Splits_Network,MATCH($H12,RIN_Asset_Cat_Network,0),MATCH($AK$4,Direct_Cost_Type,0))*Q12*HLOOKUP(AR$5,Escalators!$I$25:$U$30,6,FALSE)</f>
        <v>0</v>
      </c>
      <c r="AS12" s="129"/>
      <c r="AT12" s="763">
        <f t="shared" si="10"/>
        <v>0</v>
      </c>
      <c r="AU12" s="763">
        <f t="shared" si="10"/>
        <v>0</v>
      </c>
      <c r="AV12" s="763">
        <f t="shared" si="10"/>
        <v>0</v>
      </c>
      <c r="AW12" s="763">
        <f t="shared" si="10"/>
        <v>0</v>
      </c>
      <c r="AX12" s="763">
        <f t="shared" si="10"/>
        <v>0</v>
      </c>
      <c r="AY12" s="763">
        <f t="shared" si="10"/>
        <v>0</v>
      </c>
      <c r="AZ12" s="763">
        <f t="shared" si="10"/>
        <v>0</v>
      </c>
      <c r="BA12" s="763">
        <f t="shared" si="10"/>
        <v>0</v>
      </c>
      <c r="BB12" s="129"/>
      <c r="BC12" s="128">
        <f>S12+AB12+AK12+AT12</f>
        <v>0</v>
      </c>
      <c r="BD12" s="128">
        <f t="shared" si="2"/>
        <v>0</v>
      </c>
      <c r="BE12" s="128">
        <f t="shared" si="3"/>
        <v>0</v>
      </c>
      <c r="BF12" s="128">
        <f t="shared" si="4"/>
        <v>325.29514794230732</v>
      </c>
      <c r="BG12" s="128">
        <f t="shared" si="5"/>
        <v>331.31511665610452</v>
      </c>
      <c r="BH12" s="128">
        <f t="shared" si="6"/>
        <v>336.45810520439846</v>
      </c>
      <c r="BI12" s="128">
        <f t="shared" si="7"/>
        <v>355.77634052961787</v>
      </c>
      <c r="BJ12" s="128">
        <f t="shared" si="8"/>
        <v>349.04548827348577</v>
      </c>
    </row>
    <row r="13" spans="2:62" x14ac:dyDescent="0.25">
      <c r="B13" s="7" t="s">
        <v>688</v>
      </c>
      <c r="C13" s="7" t="s">
        <v>112</v>
      </c>
      <c r="D13" s="7" t="s">
        <v>520</v>
      </c>
      <c r="E13" s="7" t="s">
        <v>48</v>
      </c>
      <c r="F13" s="7" t="s">
        <v>48</v>
      </c>
      <c r="G13" s="7" t="s">
        <v>150</v>
      </c>
      <c r="H13" s="7" t="s">
        <v>548</v>
      </c>
      <c r="I13" s="7" t="s">
        <v>325</v>
      </c>
      <c r="J13" s="45"/>
      <c r="K13" s="45"/>
      <c r="L13" s="45"/>
      <c r="M13" s="128">
        <v>3411</v>
      </c>
      <c r="N13" s="128">
        <v>5.5</v>
      </c>
      <c r="O13" s="128">
        <v>55.5</v>
      </c>
      <c r="P13" s="128">
        <v>5.5</v>
      </c>
      <c r="Q13" s="128">
        <v>75</v>
      </c>
      <c r="R13" s="129"/>
      <c r="S13" s="128">
        <f>INDEX(Direct_Cost_Splits_Network,MATCH($H13,RIN_Asset_Cat_Network,0),MATCH($S$4,Direct_Cost_Type,0))*J13*HLOOKUP(S$5,Escalators!$I$25:$U$30,3,FALSE)</f>
        <v>0</v>
      </c>
      <c r="T13" s="128">
        <f>INDEX(Direct_Cost_Splits_Network,MATCH($H13,RIN_Asset_Cat_Network,0),MATCH($S$4,Direct_Cost_Type,0))*K13*HLOOKUP(T$5,Escalators!$I$25:$U$30,3,FALSE)</f>
        <v>0</v>
      </c>
      <c r="U13" s="128">
        <f>INDEX(Direct_Cost_Splits_Network,MATCH($H13,RIN_Asset_Cat_Network,0),MATCH($S$4,Direct_Cost_Type,0))*L13*HLOOKUP(U$5,Escalators!$I$25:$U$30,3,FALSE)</f>
        <v>0</v>
      </c>
      <c r="V13" s="128">
        <f>INDEX(Direct_Cost_Splits_Network,MATCH($H13,RIN_Asset_Cat_Network,0),MATCH($S$4,Direct_Cost_Type,0))*M13*HLOOKUP(V$5,Escalators!$I$25:$U$30,3,FALSE)</f>
        <v>659.79359411080384</v>
      </c>
      <c r="W13" s="128">
        <f>INDEX(Direct_Cost_Splits_Network,MATCH($H13,RIN_Asset_Cat_Network,0),MATCH($S$4,Direct_Cost_Type,0))*N13*HLOOKUP(W$5,Escalators!$I$25:$U$30,3,FALSE)</f>
        <v>1.061213960680069</v>
      </c>
      <c r="X13" s="128">
        <f>INDEX(Direct_Cost_Splits_Network,MATCH($H13,RIN_Asset_Cat_Network,0),MATCH($S$4,Direct_Cost_Type,0))*O13*HLOOKUP(X$5,Escalators!$I$25:$U$30,3,FALSE)</f>
        <v>10.70083586688472</v>
      </c>
      <c r="Y13" s="128">
        <f>INDEX(Direct_Cost_Splits_Network,MATCH($H13,RIN_Asset_Cat_Network,0),MATCH($S$4,Direct_Cost_Type,0))*P13*HLOOKUP(Y$5,Escalators!$I$25:$U$30,3,FALSE)</f>
        <v>1.0643379348999866</v>
      </c>
      <c r="Z13" s="128">
        <f>INDEX(Direct_Cost_Splits_Network,MATCH($H13,RIN_Asset_Cat_Network,0),MATCH($S$4,Direct_Cost_Type,0))*Q13*HLOOKUP(Z$5,Escalators!$I$25:$U$30,3,FALSE)</f>
        <v>14.658341674052071</v>
      </c>
      <c r="AA13" s="129"/>
      <c r="AB13" s="128">
        <f t="shared" ref="AB13" si="11">INDEX(Direct_Cost_Splits_Network,MATCH($H13,RIN_Asset_Cat_Network,0),MATCH($AB$4,Direct_Cost_Type,0))*J13</f>
        <v>0</v>
      </c>
      <c r="AC13" s="128">
        <f t="shared" ref="AC13:AD13" si="12">INDEX(Direct_Cost_Splits_Network,MATCH($H13,RIN_Asset_Cat_Network,0),MATCH($AB$4,Direct_Cost_Type,0))*K13</f>
        <v>0</v>
      </c>
      <c r="AD13" s="128">
        <f t="shared" si="12"/>
        <v>0</v>
      </c>
      <c r="AE13" s="128">
        <f t="shared" ref="AE13" si="13">INDEX(Direct_Cost_Splits_Network,MATCH($H13,RIN_Asset_Cat_Network,0),MATCH($AB$4,Direct_Cost_Type,0))*M13</f>
        <v>2762.9100000000003</v>
      </c>
      <c r="AF13" s="128">
        <f t="shared" ref="AF13" si="14">INDEX(Direct_Cost_Splits_Network,MATCH($H13,RIN_Asset_Cat_Network,0),MATCH($AB$4,Direct_Cost_Type,0))*N13</f>
        <v>4.4550000000000001</v>
      </c>
      <c r="AG13" s="128">
        <f t="shared" ref="AG13" si="15">INDEX(Direct_Cost_Splits_Network,MATCH($H13,RIN_Asset_Cat_Network,0),MATCH($AB$4,Direct_Cost_Type,0))*O13</f>
        <v>44.955000000000005</v>
      </c>
      <c r="AH13" s="128">
        <f t="shared" ref="AH13" si="16">INDEX(Direct_Cost_Splits_Network,MATCH($H13,RIN_Asset_Cat_Network,0),MATCH($AB$4,Direct_Cost_Type,0))*P13</f>
        <v>4.4550000000000001</v>
      </c>
      <c r="AI13" s="128">
        <f t="shared" ref="AI13" si="17">INDEX(Direct_Cost_Splits_Network,MATCH($H13,RIN_Asset_Cat_Network,0),MATCH($AB$4,Direct_Cost_Type,0))*Q13</f>
        <v>60.750000000000007</v>
      </c>
      <c r="AJ13" s="129"/>
      <c r="AK13" s="128">
        <f>INDEX(Direct_Cost_Splits_Network,MATCH($H13,RIN_Asset_Cat_Network,0),MATCH($AK$4,Direct_Cost_Type,0))*J13*HLOOKUP(AK$5,Escalators!$I$25:$U$30,6,FALSE)</f>
        <v>0</v>
      </c>
      <c r="AL13" s="128">
        <f>INDEX(Direct_Cost_Splits_Network,MATCH($H13,RIN_Asset_Cat_Network,0),MATCH($AK$4,Direct_Cost_Type,0))*K13*HLOOKUP(AL$5,Escalators!$I$25:$U$30,6,FALSE)</f>
        <v>0</v>
      </c>
      <c r="AM13" s="128">
        <f>INDEX(Direct_Cost_Splits_Network,MATCH($H13,RIN_Asset_Cat_Network,0),MATCH($AK$4,Direct_Cost_Type,0))*L13*HLOOKUP(AM$5,Escalators!$I$25:$U$30,6,FALSE)</f>
        <v>0</v>
      </c>
      <c r="AN13" s="128">
        <f>INDEX(Direct_Cost_Splits_Network,MATCH($H13,RIN_Asset_Cat_Network,0),MATCH($AK$4,Direct_Cost_Type,0))*M13*HLOOKUP(AN$5,Escalators!$I$25:$U$30,6,FALSE)</f>
        <v>0</v>
      </c>
      <c r="AO13" s="128">
        <f>INDEX(Direct_Cost_Splits_Network,MATCH($H13,RIN_Asset_Cat_Network,0),MATCH($AK$4,Direct_Cost_Type,0))*N13*HLOOKUP(AO$5,Escalators!$I$25:$U$30,6,FALSE)</f>
        <v>0</v>
      </c>
      <c r="AP13" s="128">
        <f>INDEX(Direct_Cost_Splits_Network,MATCH($H13,RIN_Asset_Cat_Network,0),MATCH($AK$4,Direct_Cost_Type,0))*O13*HLOOKUP(AP$5,Escalators!$I$25:$U$30,6,FALSE)</f>
        <v>0</v>
      </c>
      <c r="AQ13" s="128">
        <f>INDEX(Direct_Cost_Splits_Network,MATCH($H13,RIN_Asset_Cat_Network,0),MATCH($AK$4,Direct_Cost_Type,0))*P13*HLOOKUP(AQ$5,Escalators!$I$25:$U$30,6,FALSE)</f>
        <v>0</v>
      </c>
      <c r="AR13" s="128">
        <f>INDEX(Direct_Cost_Splits_Network,MATCH($H13,RIN_Asset_Cat_Network,0),MATCH($AK$4,Direct_Cost_Type,0))*Q13*HLOOKUP(AR$5,Escalators!$I$25:$U$30,6,FALSE)</f>
        <v>0</v>
      </c>
      <c r="AS13" s="129"/>
      <c r="AT13" s="763">
        <f t="shared" ref="AT13" si="18">INDEX(Direct_Cost_Splits_Network,MATCH($H13,RIN_Asset_Cat_Network,0),MATCH($AT$4,Direct_Cost_Type,0))*J13</f>
        <v>0</v>
      </c>
      <c r="AU13" s="763">
        <f t="shared" ref="AU13:AV13" si="19">INDEX(Direct_Cost_Splits_Network,MATCH($H13,RIN_Asset_Cat_Network,0),MATCH($AT$4,Direct_Cost_Type,0))*K13</f>
        <v>0</v>
      </c>
      <c r="AV13" s="763">
        <f t="shared" si="19"/>
        <v>0</v>
      </c>
      <c r="AW13" s="763">
        <f t="shared" ref="AW13" si="20">INDEX(Direct_Cost_Splits_Network,MATCH($H13,RIN_Asset_Cat_Network,0),MATCH($AT$4,Direct_Cost_Type,0))*M13</f>
        <v>0</v>
      </c>
      <c r="AX13" s="763">
        <f t="shared" ref="AX13" si="21">INDEX(Direct_Cost_Splits_Network,MATCH($H13,RIN_Asset_Cat_Network,0),MATCH($AT$4,Direct_Cost_Type,0))*N13</f>
        <v>0</v>
      </c>
      <c r="AY13" s="763">
        <f t="shared" ref="AY13" si="22">INDEX(Direct_Cost_Splits_Network,MATCH($H13,RIN_Asset_Cat_Network,0),MATCH($AT$4,Direct_Cost_Type,0))*O13</f>
        <v>0</v>
      </c>
      <c r="AZ13" s="763">
        <f t="shared" ref="AZ13" si="23">INDEX(Direct_Cost_Splits_Network,MATCH($H13,RIN_Asset_Cat_Network,0),MATCH($AT$4,Direct_Cost_Type,0))*P13</f>
        <v>0</v>
      </c>
      <c r="BA13" s="763">
        <f t="shared" ref="BA13" si="24">INDEX(Direct_Cost_Splits_Network,MATCH($H13,RIN_Asset_Cat_Network,0),MATCH($AT$4,Direct_Cost_Type,0))*Q13</f>
        <v>0</v>
      </c>
      <c r="BB13" s="129"/>
      <c r="BC13" s="128">
        <f t="shared" si="1"/>
        <v>0</v>
      </c>
      <c r="BD13" s="128">
        <f t="shared" si="2"/>
        <v>0</v>
      </c>
      <c r="BE13" s="128">
        <f t="shared" si="3"/>
        <v>0</v>
      </c>
      <c r="BF13" s="128">
        <f t="shared" si="4"/>
        <v>3422.7035941108043</v>
      </c>
      <c r="BG13" s="128">
        <f t="shared" si="5"/>
        <v>5.5162139606800693</v>
      </c>
      <c r="BH13" s="128">
        <f t="shared" si="6"/>
        <v>55.655835866884729</v>
      </c>
      <c r="BI13" s="128">
        <f t="shared" si="7"/>
        <v>5.5193379348999869</v>
      </c>
      <c r="BJ13" s="128">
        <f t="shared" si="8"/>
        <v>75.408341674052082</v>
      </c>
    </row>
    <row r="14" spans="2:62" x14ac:dyDescent="0.25">
      <c r="B14" s="7"/>
      <c r="C14" s="7" t="s">
        <v>526</v>
      </c>
      <c r="D14" s="7" t="s">
        <v>578</v>
      </c>
      <c r="E14" s="7" t="s">
        <v>521</v>
      </c>
      <c r="F14" s="7" t="s">
        <v>49</v>
      </c>
      <c r="G14" s="7" t="s">
        <v>34</v>
      </c>
      <c r="H14" s="7" t="s">
        <v>166</v>
      </c>
      <c r="I14" s="7" t="s">
        <v>335</v>
      </c>
      <c r="J14" s="45"/>
      <c r="K14" s="45"/>
      <c r="L14" s="45"/>
      <c r="M14" s="128">
        <v>6500</v>
      </c>
      <c r="N14" s="128">
        <v>0</v>
      </c>
      <c r="O14" s="128">
        <v>0</v>
      </c>
      <c r="P14" s="128">
        <v>0</v>
      </c>
      <c r="Q14" s="128">
        <v>0</v>
      </c>
      <c r="R14" s="129"/>
      <c r="S14" s="128">
        <f>INDEX(Direct_Cost_Splits_Non_Ntwk,MATCH($H14,RIN_Asset_Cat_Non_Ntwk,0),MATCH($S$4,Direct_Cost_Type,0))*J14*HLOOKUP(S$5,Escalators!$I$25:$U$30,3,FALSE)</f>
        <v>0</v>
      </c>
      <c r="T14" s="128">
        <f>INDEX(Direct_Cost_Splits_Non_Ntwk,MATCH($H14,RIN_Asset_Cat_Non_Ntwk,0),MATCH($S$4,Direct_Cost_Type,0))*K14*HLOOKUP(T$5,Escalators!$I$25:$U$30,3,FALSE)</f>
        <v>0</v>
      </c>
      <c r="U14" s="128">
        <f>INDEX(Direct_Cost_Splits_Non_Ntwk,MATCH($H14,RIN_Asset_Cat_Non_Ntwk,0),MATCH($S$4,Direct_Cost_Type,0))*L14*HLOOKUP(U$5,Escalators!$I$25:$U$30,3,FALSE)</f>
        <v>0</v>
      </c>
      <c r="V14" s="128">
        <f>INDEX(Direct_Cost_Splits_Non_Ntwk,MATCH($H14,RIN_Asset_Cat_Non_Ntwk,0),MATCH($S$4,Direct_Cost_Type,0))*M14*HLOOKUP(V$5,Escalators!$I$25:$U$30,3,FALSE)</f>
        <v>1195.0721916479777</v>
      </c>
      <c r="W14" s="128">
        <f>INDEX(Direct_Cost_Splits_Non_Ntwk,MATCH($H14,RIN_Asset_Cat_Non_Ntwk,0),MATCH($S$4,Direct_Cost_Type,0))*N14*HLOOKUP(W$5,Escalators!$I$25:$U$30,3,FALSE)</f>
        <v>0</v>
      </c>
      <c r="X14" s="128">
        <f>INDEX(Direct_Cost_Splits_Non_Ntwk,MATCH($H14,RIN_Asset_Cat_Non_Ntwk,0),MATCH($S$4,Direct_Cost_Type,0))*O14*HLOOKUP(X$5,Escalators!$I$25:$U$30,3,FALSE)</f>
        <v>0</v>
      </c>
      <c r="Y14" s="128">
        <f>INDEX(Direct_Cost_Splits_Non_Ntwk,MATCH($H14,RIN_Asset_Cat_Non_Ntwk,0),MATCH($S$4,Direct_Cost_Type,0))*P14*HLOOKUP(Y$5,Escalators!$I$25:$U$30,3,FALSE)</f>
        <v>0</v>
      </c>
      <c r="Z14" s="128">
        <f>INDEX(Direct_Cost_Splits_Non_Ntwk,MATCH($H14,RIN_Asset_Cat_Non_Ntwk,0),MATCH($S$4,Direct_Cost_Type,0))*Q14*HLOOKUP(Z$5,Escalators!$I$25:$U$30,3,FALSE)</f>
        <v>0</v>
      </c>
      <c r="AA14" s="129"/>
      <c r="AB14" s="128">
        <f t="shared" ref="AB14:AI18" si="25">INDEX(Direct_Cost_Splits_Non_Ntwk,MATCH($H14,RIN_Asset_Cat_Non_Ntwk,0),MATCH($AB$4,Direct_Cost_Type,0))*J14</f>
        <v>0</v>
      </c>
      <c r="AC14" s="128">
        <f t="shared" si="25"/>
        <v>0</v>
      </c>
      <c r="AD14" s="128">
        <f t="shared" si="25"/>
        <v>0</v>
      </c>
      <c r="AE14" s="128">
        <f t="shared" si="25"/>
        <v>2238.8270704987467</v>
      </c>
      <c r="AF14" s="128">
        <f t="shared" si="25"/>
        <v>0</v>
      </c>
      <c r="AG14" s="128">
        <f t="shared" si="25"/>
        <v>0</v>
      </c>
      <c r="AH14" s="128">
        <f t="shared" si="25"/>
        <v>0</v>
      </c>
      <c r="AI14" s="128">
        <f t="shared" si="25"/>
        <v>0</v>
      </c>
      <c r="AJ14" s="129"/>
      <c r="AK14" s="128">
        <f>INDEX(Direct_Cost_Splits_Non_Ntwk,MATCH($H14,RIN_Asset_Cat_Non_Ntwk,0),MATCH($AK$4,Direct_Cost_Type,0))*J14*HLOOKUP(AK$5,Escalators!$I$25:$U$30,6,FALSE)</f>
        <v>0</v>
      </c>
      <c r="AL14" s="128">
        <f>INDEX(Direct_Cost_Splits_Non_Ntwk,MATCH($H14,RIN_Asset_Cat_Non_Ntwk,0),MATCH($AK$4,Direct_Cost_Type,0))*K14*HLOOKUP(AL$5,Escalators!$I$25:$U$30,6,FALSE)</f>
        <v>0</v>
      </c>
      <c r="AM14" s="128">
        <f>INDEX(Direct_Cost_Splits_Non_Ntwk,MATCH($H14,RIN_Asset_Cat_Non_Ntwk,0),MATCH($AK$4,Direct_Cost_Type,0))*L14*HLOOKUP(AM$5,Escalators!$I$25:$U$30,6,FALSE)</f>
        <v>0</v>
      </c>
      <c r="AN14" s="128">
        <f>INDEX(Direct_Cost_Splits_Non_Ntwk,MATCH($H14,RIN_Asset_Cat_Non_Ntwk,0),MATCH($AK$4,Direct_Cost_Type,0))*M14*HLOOKUP(AN$5,Escalators!$I$25:$U$30,6,FALSE)</f>
        <v>3087.2992459761172</v>
      </c>
      <c r="AO14" s="128">
        <f>INDEX(Direct_Cost_Splits_Non_Ntwk,MATCH($H14,RIN_Asset_Cat_Non_Ntwk,0),MATCH($AK$4,Direct_Cost_Type,0))*N14*HLOOKUP(AO$5,Escalators!$I$25:$U$30,6,FALSE)</f>
        <v>0</v>
      </c>
      <c r="AP14" s="128">
        <f>INDEX(Direct_Cost_Splits_Non_Ntwk,MATCH($H14,RIN_Asset_Cat_Non_Ntwk,0),MATCH($AK$4,Direct_Cost_Type,0))*O14*HLOOKUP(AP$5,Escalators!$I$25:$U$30,6,FALSE)</f>
        <v>0</v>
      </c>
      <c r="AQ14" s="128">
        <f>INDEX(Direct_Cost_Splits_Non_Ntwk,MATCH($H14,RIN_Asset_Cat_Non_Ntwk,0),MATCH($AK$4,Direct_Cost_Type,0))*P14*HLOOKUP(AQ$5,Escalators!$I$25:$U$30,6,FALSE)</f>
        <v>0</v>
      </c>
      <c r="AR14" s="128">
        <f>INDEX(Direct_Cost_Splits_Non_Ntwk,MATCH($H14,RIN_Asset_Cat_Non_Ntwk,0),MATCH($AK$4,Direct_Cost_Type,0))*Q14*HLOOKUP(AR$5,Escalators!$I$25:$U$30,6,FALSE)</f>
        <v>0</v>
      </c>
      <c r="AS14" s="129"/>
      <c r="AT14" s="763">
        <f t="shared" ref="AT14:BA18" si="26">INDEX(Direct_Cost_Splits_Non_Ntwk,MATCH($H14,RIN_Asset_Cat_Non_Ntwk,0),MATCH($AT$4,Direct_Cost_Type,0))*J14</f>
        <v>0</v>
      </c>
      <c r="AU14" s="763">
        <f t="shared" si="26"/>
        <v>0</v>
      </c>
      <c r="AV14" s="763">
        <f t="shared" si="26"/>
        <v>0</v>
      </c>
      <c r="AW14" s="763">
        <f t="shared" si="26"/>
        <v>0</v>
      </c>
      <c r="AX14" s="763">
        <f t="shared" si="26"/>
        <v>0</v>
      </c>
      <c r="AY14" s="763">
        <f t="shared" si="26"/>
        <v>0</v>
      </c>
      <c r="AZ14" s="763">
        <f t="shared" si="26"/>
        <v>0</v>
      </c>
      <c r="BA14" s="763">
        <f t="shared" si="26"/>
        <v>0</v>
      </c>
      <c r="BB14" s="129"/>
      <c r="BC14" s="128">
        <f>S14+AB14+AK14+AT14</f>
        <v>0</v>
      </c>
      <c r="BD14" s="128">
        <f t="shared" si="2"/>
        <v>0</v>
      </c>
      <c r="BE14" s="128">
        <f t="shared" si="3"/>
        <v>0</v>
      </c>
      <c r="BF14" s="128">
        <f t="shared" si="4"/>
        <v>6521.1985081228413</v>
      </c>
      <c r="BG14" s="128">
        <f t="shared" si="5"/>
        <v>0</v>
      </c>
      <c r="BH14" s="128">
        <f t="shared" si="6"/>
        <v>0</v>
      </c>
      <c r="BI14" s="128">
        <f t="shared" si="7"/>
        <v>0</v>
      </c>
      <c r="BJ14" s="128">
        <f t="shared" si="8"/>
        <v>0</v>
      </c>
    </row>
    <row r="15" spans="2:62" x14ac:dyDescent="0.25">
      <c r="B15" s="7"/>
      <c r="C15" s="7"/>
      <c r="D15" s="7"/>
      <c r="E15" s="7"/>
      <c r="F15" s="7"/>
      <c r="G15" s="7"/>
      <c r="H15" s="7"/>
      <c r="I15" s="7"/>
      <c r="J15" s="45"/>
      <c r="K15" s="45"/>
      <c r="L15" s="45"/>
      <c r="M15" s="128"/>
      <c r="N15" s="128"/>
      <c r="O15" s="128"/>
      <c r="P15" s="128"/>
      <c r="Q15" s="128"/>
      <c r="R15" s="129"/>
      <c r="S15" s="128"/>
      <c r="T15" s="128"/>
      <c r="U15" s="128"/>
      <c r="V15" s="128"/>
      <c r="W15" s="128"/>
      <c r="X15" s="128"/>
      <c r="Y15" s="128"/>
      <c r="Z15" s="128"/>
      <c r="AA15" s="129"/>
      <c r="AB15" s="128"/>
      <c r="AC15" s="128"/>
      <c r="AD15" s="128"/>
      <c r="AE15" s="128"/>
      <c r="AF15" s="128"/>
      <c r="AG15" s="128"/>
      <c r="AH15" s="128"/>
      <c r="AI15" s="128"/>
      <c r="AJ15" s="129"/>
      <c r="AK15" s="128"/>
      <c r="AL15" s="128"/>
      <c r="AM15" s="128"/>
      <c r="AN15" s="128"/>
      <c r="AO15" s="128"/>
      <c r="AP15" s="128"/>
      <c r="AQ15" s="128"/>
      <c r="AR15" s="128"/>
      <c r="AS15" s="129"/>
      <c r="AT15" s="763"/>
      <c r="AU15" s="763"/>
      <c r="AV15" s="763"/>
      <c r="AW15" s="763"/>
      <c r="AX15" s="763"/>
      <c r="AY15" s="763"/>
      <c r="AZ15" s="763"/>
      <c r="BA15" s="763"/>
      <c r="BB15" s="129"/>
      <c r="BC15" s="128">
        <f t="shared" si="1"/>
        <v>0</v>
      </c>
      <c r="BD15" s="128">
        <f t="shared" si="2"/>
        <v>0</v>
      </c>
      <c r="BE15" s="128">
        <f t="shared" si="3"/>
        <v>0</v>
      </c>
      <c r="BF15" s="128">
        <f t="shared" si="4"/>
        <v>0</v>
      </c>
      <c r="BG15" s="128">
        <f t="shared" si="5"/>
        <v>0</v>
      </c>
      <c r="BH15" s="128">
        <f t="shared" si="6"/>
        <v>0</v>
      </c>
      <c r="BI15" s="128">
        <f t="shared" si="7"/>
        <v>0</v>
      </c>
      <c r="BJ15" s="128">
        <f t="shared" si="8"/>
        <v>0</v>
      </c>
    </row>
    <row r="16" spans="2:62" x14ac:dyDescent="0.25">
      <c r="B16" s="7"/>
      <c r="C16" s="7"/>
      <c r="D16" s="7"/>
      <c r="E16" s="7"/>
      <c r="F16" s="7"/>
      <c r="G16" s="7"/>
      <c r="H16" s="7"/>
      <c r="I16" s="7"/>
      <c r="J16" s="45"/>
      <c r="K16" s="45"/>
      <c r="L16" s="45"/>
      <c r="M16" s="128"/>
      <c r="N16" s="128"/>
      <c r="O16" s="128"/>
      <c r="P16" s="128"/>
      <c r="Q16" s="128"/>
      <c r="R16" s="129"/>
      <c r="S16" s="128"/>
      <c r="T16" s="128"/>
      <c r="U16" s="128"/>
      <c r="V16" s="128"/>
      <c r="W16" s="128"/>
      <c r="X16" s="128"/>
      <c r="Y16" s="128"/>
      <c r="Z16" s="128"/>
      <c r="AA16" s="129"/>
      <c r="AB16" s="128"/>
      <c r="AC16" s="128"/>
      <c r="AD16" s="128"/>
      <c r="AE16" s="128"/>
      <c r="AF16" s="128"/>
      <c r="AG16" s="128"/>
      <c r="AH16" s="128"/>
      <c r="AI16" s="128"/>
      <c r="AJ16" s="129"/>
      <c r="AK16" s="128"/>
      <c r="AL16" s="128"/>
      <c r="AM16" s="128"/>
      <c r="AN16" s="128"/>
      <c r="AO16" s="128"/>
      <c r="AP16" s="128"/>
      <c r="AQ16" s="128"/>
      <c r="AR16" s="128"/>
      <c r="AS16" s="129"/>
      <c r="AT16" s="763"/>
      <c r="AU16" s="763"/>
      <c r="AV16" s="763"/>
      <c r="AW16" s="763"/>
      <c r="AX16" s="763"/>
      <c r="AY16" s="763"/>
      <c r="AZ16" s="763"/>
      <c r="BA16" s="763"/>
      <c r="BB16" s="129"/>
      <c r="BC16" s="128">
        <f t="shared" si="1"/>
        <v>0</v>
      </c>
      <c r="BD16" s="128">
        <f t="shared" si="2"/>
        <v>0</v>
      </c>
      <c r="BE16" s="128">
        <f t="shared" si="3"/>
        <v>0</v>
      </c>
      <c r="BF16" s="128">
        <f t="shared" si="4"/>
        <v>0</v>
      </c>
      <c r="BG16" s="128">
        <f t="shared" si="5"/>
        <v>0</v>
      </c>
      <c r="BH16" s="128">
        <f t="shared" si="6"/>
        <v>0</v>
      </c>
      <c r="BI16" s="128">
        <f t="shared" si="7"/>
        <v>0</v>
      </c>
      <c r="BJ16" s="128">
        <f t="shared" si="8"/>
        <v>0</v>
      </c>
    </row>
    <row r="17" spans="2:62" x14ac:dyDescent="0.25">
      <c r="B17" s="7" t="s">
        <v>688</v>
      </c>
      <c r="C17" s="7" t="s">
        <v>526</v>
      </c>
      <c r="D17" s="7" t="s">
        <v>518</v>
      </c>
      <c r="E17" s="7" t="s">
        <v>521</v>
      </c>
      <c r="F17" s="7" t="s">
        <v>49</v>
      </c>
      <c r="G17" s="7" t="s">
        <v>34</v>
      </c>
      <c r="H17" s="7" t="s">
        <v>166</v>
      </c>
      <c r="I17" s="7" t="s">
        <v>334</v>
      </c>
      <c r="J17" s="45"/>
      <c r="K17" s="45"/>
      <c r="L17" s="45"/>
      <c r="M17" s="128">
        <v>120</v>
      </c>
      <c r="N17" s="128">
        <v>180</v>
      </c>
      <c r="O17" s="128">
        <v>0</v>
      </c>
      <c r="P17" s="128">
        <v>0</v>
      </c>
      <c r="Q17" s="128">
        <v>0</v>
      </c>
      <c r="R17" s="129"/>
      <c r="S17" s="128">
        <f>INDEX(Direct_Cost_Splits_Non_Ntwk,MATCH($H17,RIN_Asset_Cat_Non_Ntwk,0),MATCH($S$4,Direct_Cost_Type,0))*J17*HLOOKUP(S$5,Escalators!$I$25:$U$30,3,FALSE)</f>
        <v>0</v>
      </c>
      <c r="T17" s="128">
        <f>INDEX(Direct_Cost_Splits_Non_Ntwk,MATCH($H17,RIN_Asset_Cat_Non_Ntwk,0),MATCH($S$4,Direct_Cost_Type,0))*K17*HLOOKUP(T$5,Escalators!$I$25:$U$30,3,FALSE)</f>
        <v>0</v>
      </c>
      <c r="U17" s="128">
        <f>INDEX(Direct_Cost_Splits_Non_Ntwk,MATCH($H17,RIN_Asset_Cat_Non_Ntwk,0),MATCH($S$4,Direct_Cost_Type,0))*L17*HLOOKUP(U$5,Escalators!$I$25:$U$30,3,FALSE)</f>
        <v>0</v>
      </c>
      <c r="V17" s="128">
        <f>INDEX(Direct_Cost_Splits_Non_Ntwk,MATCH($H17,RIN_Asset_Cat_Non_Ntwk,0),MATCH($S$4,Direct_Cost_Type,0))*M17*HLOOKUP(V$5,Escalators!$I$25:$U$30,3,FALSE)</f>
        <v>22.0628712304242</v>
      </c>
      <c r="W17" s="128">
        <f>INDEX(Direct_Cost_Splits_Non_Ntwk,MATCH($H17,RIN_Asset_Cat_Non_Ntwk,0),MATCH($S$4,Direct_Cost_Type,0))*N17*HLOOKUP(W$5,Escalators!$I$25:$U$30,3,FALSE)</f>
        <v>33.011645989801409</v>
      </c>
      <c r="X17" s="128">
        <f>INDEX(Direct_Cost_Splits_Non_Ntwk,MATCH($H17,RIN_Asset_Cat_Non_Ntwk,0),MATCH($S$4,Direct_Cost_Type,0))*O17*HLOOKUP(X$5,Escalators!$I$25:$U$30,3,FALSE)</f>
        <v>0</v>
      </c>
      <c r="Y17" s="128">
        <f>INDEX(Direct_Cost_Splits_Non_Ntwk,MATCH($H17,RIN_Asset_Cat_Non_Ntwk,0),MATCH($S$4,Direct_Cost_Type,0))*P17*HLOOKUP(Y$5,Escalators!$I$25:$U$30,3,FALSE)</f>
        <v>0</v>
      </c>
      <c r="Z17" s="128">
        <f>INDEX(Direct_Cost_Splits_Non_Ntwk,MATCH($H17,RIN_Asset_Cat_Non_Ntwk,0),MATCH($S$4,Direct_Cost_Type,0))*Q17*HLOOKUP(Z$5,Escalators!$I$25:$U$30,3,FALSE)</f>
        <v>0</v>
      </c>
      <c r="AA17" s="129"/>
      <c r="AB17" s="128">
        <f t="shared" si="25"/>
        <v>0</v>
      </c>
      <c r="AC17" s="128">
        <f t="shared" si="25"/>
        <v>0</v>
      </c>
      <c r="AD17" s="128">
        <f t="shared" si="25"/>
        <v>0</v>
      </c>
      <c r="AE17" s="128">
        <f t="shared" si="25"/>
        <v>41.332192070746089</v>
      </c>
      <c r="AF17" s="128">
        <f t="shared" si="25"/>
        <v>61.998288106119141</v>
      </c>
      <c r="AG17" s="128">
        <f t="shared" si="25"/>
        <v>0</v>
      </c>
      <c r="AH17" s="128">
        <f t="shared" si="25"/>
        <v>0</v>
      </c>
      <c r="AI17" s="128">
        <f t="shared" si="25"/>
        <v>0</v>
      </c>
      <c r="AJ17" s="129"/>
      <c r="AK17" s="128">
        <f>INDEX(Direct_Cost_Splits_Non_Ntwk,MATCH($H17,RIN_Asset_Cat_Non_Ntwk,0),MATCH($AK$4,Direct_Cost_Type,0))*J17*HLOOKUP(AK$5,Escalators!$I$25:$U$30,6,FALSE)</f>
        <v>0</v>
      </c>
      <c r="AL17" s="128">
        <f>INDEX(Direct_Cost_Splits_Non_Ntwk,MATCH($H17,RIN_Asset_Cat_Non_Ntwk,0),MATCH($AK$4,Direct_Cost_Type,0))*K17*HLOOKUP(AL$5,Escalators!$I$25:$U$30,6,FALSE)</f>
        <v>0</v>
      </c>
      <c r="AM17" s="128">
        <f>INDEX(Direct_Cost_Splits_Non_Ntwk,MATCH($H17,RIN_Asset_Cat_Non_Ntwk,0),MATCH($AK$4,Direct_Cost_Type,0))*L17*HLOOKUP(AM$5,Escalators!$I$25:$U$30,6,FALSE)</f>
        <v>0</v>
      </c>
      <c r="AN17" s="128">
        <f>INDEX(Direct_Cost_Splits_Non_Ntwk,MATCH($H17,RIN_Asset_Cat_Non_Ntwk,0),MATCH($AK$4,Direct_Cost_Type,0))*M17*HLOOKUP(AN$5,Escalators!$I$25:$U$30,6,FALSE)</f>
        <v>56.996293771866775</v>
      </c>
      <c r="AO17" s="128">
        <f>INDEX(Direct_Cost_Splits_Non_Ntwk,MATCH($H17,RIN_Asset_Cat_Non_Ntwk,0),MATCH($AK$4,Direct_Cost_Type,0))*N17*HLOOKUP(AO$5,Escalators!$I$25:$U$30,6,FALSE)</f>
        <v>85.494440657800169</v>
      </c>
      <c r="AP17" s="128">
        <f>INDEX(Direct_Cost_Splits_Non_Ntwk,MATCH($H17,RIN_Asset_Cat_Non_Ntwk,0),MATCH($AK$4,Direct_Cost_Type,0))*O17*HLOOKUP(AP$5,Escalators!$I$25:$U$30,6,FALSE)</f>
        <v>0</v>
      </c>
      <c r="AQ17" s="128">
        <f>INDEX(Direct_Cost_Splits_Non_Ntwk,MATCH($H17,RIN_Asset_Cat_Non_Ntwk,0),MATCH($AK$4,Direct_Cost_Type,0))*P17*HLOOKUP(AQ$5,Escalators!$I$25:$U$30,6,FALSE)</f>
        <v>0</v>
      </c>
      <c r="AR17" s="128">
        <f>INDEX(Direct_Cost_Splits_Non_Ntwk,MATCH($H17,RIN_Asset_Cat_Non_Ntwk,0),MATCH($AK$4,Direct_Cost_Type,0))*Q17*HLOOKUP(AR$5,Escalators!$I$25:$U$30,6,FALSE)</f>
        <v>0</v>
      </c>
      <c r="AS17" s="129"/>
      <c r="AT17" s="763">
        <f t="shared" si="26"/>
        <v>0</v>
      </c>
      <c r="AU17" s="763">
        <f t="shared" si="26"/>
        <v>0</v>
      </c>
      <c r="AV17" s="763">
        <f t="shared" si="26"/>
        <v>0</v>
      </c>
      <c r="AW17" s="763">
        <f t="shared" si="26"/>
        <v>0</v>
      </c>
      <c r="AX17" s="763">
        <f t="shared" si="26"/>
        <v>0</v>
      </c>
      <c r="AY17" s="763">
        <f t="shared" si="26"/>
        <v>0</v>
      </c>
      <c r="AZ17" s="763">
        <f t="shared" si="26"/>
        <v>0</v>
      </c>
      <c r="BA17" s="763">
        <f t="shared" si="26"/>
        <v>0</v>
      </c>
      <c r="BB17" s="129"/>
      <c r="BC17" s="128">
        <f t="shared" si="1"/>
        <v>0</v>
      </c>
      <c r="BD17" s="128">
        <f t="shared" si="2"/>
        <v>0</v>
      </c>
      <c r="BE17" s="128">
        <f t="shared" si="3"/>
        <v>0</v>
      </c>
      <c r="BF17" s="128">
        <f t="shared" si="4"/>
        <v>120.39135707303706</v>
      </c>
      <c r="BG17" s="128">
        <f t="shared" si="5"/>
        <v>180.50437475372073</v>
      </c>
      <c r="BH17" s="128">
        <f t="shared" si="6"/>
        <v>0</v>
      </c>
      <c r="BI17" s="128">
        <f t="shared" si="7"/>
        <v>0</v>
      </c>
      <c r="BJ17" s="128">
        <f t="shared" si="8"/>
        <v>0</v>
      </c>
    </row>
    <row r="18" spans="2:62" x14ac:dyDescent="0.25">
      <c r="B18" s="7" t="s">
        <v>688</v>
      </c>
      <c r="C18" s="7" t="s">
        <v>526</v>
      </c>
      <c r="D18" s="7" t="s">
        <v>519</v>
      </c>
      <c r="E18" s="7" t="s">
        <v>521</v>
      </c>
      <c r="F18" s="7" t="s">
        <v>49</v>
      </c>
      <c r="G18" s="7" t="s">
        <v>34</v>
      </c>
      <c r="H18" s="7" t="s">
        <v>166</v>
      </c>
      <c r="I18" s="7" t="s">
        <v>334</v>
      </c>
      <c r="J18" s="45"/>
      <c r="K18" s="45"/>
      <c r="L18" s="45"/>
      <c r="M18" s="128">
        <v>1080</v>
      </c>
      <c r="N18" s="128">
        <v>2200</v>
      </c>
      <c r="O18" s="128">
        <v>610</v>
      </c>
      <c r="P18" s="128">
        <v>0</v>
      </c>
      <c r="Q18" s="128">
        <v>610</v>
      </c>
      <c r="R18" s="129"/>
      <c r="S18" s="128">
        <f>INDEX(Direct_Cost_Splits_Non_Ntwk,MATCH($H18,RIN_Asset_Cat_Non_Ntwk,0),MATCH($S$4,Direct_Cost_Type,0))*J18*HLOOKUP(S$5,Escalators!$I$25:$U$30,3,FALSE)</f>
        <v>0</v>
      </c>
      <c r="T18" s="128">
        <f>INDEX(Direct_Cost_Splits_Non_Ntwk,MATCH($H18,RIN_Asset_Cat_Non_Ntwk,0),MATCH($S$4,Direct_Cost_Type,0))*K18*HLOOKUP(T$5,Escalators!$I$25:$U$30,3,FALSE)</f>
        <v>0</v>
      </c>
      <c r="U18" s="128">
        <f>INDEX(Direct_Cost_Splits_Non_Ntwk,MATCH($H18,RIN_Asset_Cat_Non_Ntwk,0),MATCH($S$4,Direct_Cost_Type,0))*L18*HLOOKUP(U$5,Escalators!$I$25:$U$30,3,FALSE)</f>
        <v>0</v>
      </c>
      <c r="V18" s="128">
        <f>INDEX(Direct_Cost_Splits_Non_Ntwk,MATCH($H18,RIN_Asset_Cat_Non_Ntwk,0),MATCH($S$4,Direct_Cost_Type,0))*M18*HLOOKUP(V$5,Escalators!$I$25:$U$30,3,FALSE)</f>
        <v>198.56584107381784</v>
      </c>
      <c r="W18" s="128">
        <f>INDEX(Direct_Cost_Splits_Non_Ntwk,MATCH($H18,RIN_Asset_Cat_Non_Ntwk,0),MATCH($S$4,Direct_Cost_Type,0))*N18*HLOOKUP(W$5,Escalators!$I$25:$U$30,3,FALSE)</f>
        <v>403.47567320868387</v>
      </c>
      <c r="X18" s="128">
        <f>INDEX(Direct_Cost_Splits_Non_Ntwk,MATCH($H18,RIN_Asset_Cat_Non_Ntwk,0),MATCH($S$4,Direct_Cost_Type,0))*O18*HLOOKUP(X$5,Escalators!$I$25:$U$30,3,FALSE)</f>
        <v>111.79154634968515</v>
      </c>
      <c r="Y18" s="128">
        <f>INDEX(Direct_Cost_Splits_Non_Ntwk,MATCH($H18,RIN_Asset_Cat_Non_Ntwk,0),MATCH($S$4,Direct_Cost_Type,0))*P18*HLOOKUP(Y$5,Escalators!$I$25:$U$30,3,FALSE)</f>
        <v>0</v>
      </c>
      <c r="Z18" s="128">
        <f>INDEX(Direct_Cost_Splits_Non_Ntwk,MATCH($H18,RIN_Asset_Cat_Non_Ntwk,0),MATCH($S$4,Direct_Cost_Type,0))*Q18*HLOOKUP(Z$5,Escalators!$I$25:$U$30,3,FALSE)</f>
        <v>113.32032751985537</v>
      </c>
      <c r="AA18" s="129"/>
      <c r="AB18" s="128">
        <f t="shared" si="25"/>
        <v>0</v>
      </c>
      <c r="AC18" s="128">
        <f t="shared" si="25"/>
        <v>0</v>
      </c>
      <c r="AD18" s="128">
        <f t="shared" si="25"/>
        <v>0</v>
      </c>
      <c r="AE18" s="128">
        <f t="shared" si="25"/>
        <v>371.9897286367148</v>
      </c>
      <c r="AF18" s="128">
        <f t="shared" si="25"/>
        <v>757.75685463034506</v>
      </c>
      <c r="AG18" s="128">
        <f t="shared" si="25"/>
        <v>210.10530969295931</v>
      </c>
      <c r="AH18" s="128">
        <f t="shared" si="25"/>
        <v>0</v>
      </c>
      <c r="AI18" s="128">
        <f t="shared" si="25"/>
        <v>210.10530969295931</v>
      </c>
      <c r="AJ18" s="129"/>
      <c r="AK18" s="128">
        <f>INDEX(Direct_Cost_Splits_Non_Ntwk,MATCH($H18,RIN_Asset_Cat_Non_Ntwk,0),MATCH($AK$4,Direct_Cost_Type,0))*J18*HLOOKUP(AK$5,Escalators!$I$25:$U$30,6,FALSE)</f>
        <v>0</v>
      </c>
      <c r="AL18" s="128">
        <f>INDEX(Direct_Cost_Splits_Non_Ntwk,MATCH($H18,RIN_Asset_Cat_Non_Ntwk,0),MATCH($AK$4,Direct_Cost_Type,0))*K18*HLOOKUP(AL$5,Escalators!$I$25:$U$30,6,FALSE)</f>
        <v>0</v>
      </c>
      <c r="AM18" s="128">
        <f>INDEX(Direct_Cost_Splits_Non_Ntwk,MATCH($H18,RIN_Asset_Cat_Non_Ntwk,0),MATCH($AK$4,Direct_Cost_Type,0))*L18*HLOOKUP(AM$5,Escalators!$I$25:$U$30,6,FALSE)</f>
        <v>0</v>
      </c>
      <c r="AN18" s="128">
        <f>INDEX(Direct_Cost_Splits_Non_Ntwk,MATCH($H18,RIN_Asset_Cat_Non_Ntwk,0),MATCH($AK$4,Direct_Cost_Type,0))*M18*HLOOKUP(AN$5,Escalators!$I$25:$U$30,6,FALSE)</f>
        <v>512.96664394680101</v>
      </c>
      <c r="AO18" s="128">
        <f>INDEX(Direct_Cost_Splits_Non_Ntwk,MATCH($H18,RIN_Asset_Cat_Non_Ntwk,0),MATCH($AK$4,Direct_Cost_Type,0))*N18*HLOOKUP(AO$5,Escalators!$I$25:$U$30,6,FALSE)</f>
        <v>1044.9320524842242</v>
      </c>
      <c r="AP18" s="128">
        <f>INDEX(Direct_Cost_Splits_Non_Ntwk,MATCH($H18,RIN_Asset_Cat_Non_Ntwk,0),MATCH($AK$4,Direct_Cost_Type,0))*O18*HLOOKUP(AP$5,Escalators!$I$25:$U$30,6,FALSE)</f>
        <v>289.73116000698946</v>
      </c>
      <c r="AQ18" s="128">
        <f>INDEX(Direct_Cost_Splits_Non_Ntwk,MATCH($H18,RIN_Asset_Cat_Non_Ntwk,0),MATCH($AK$4,Direct_Cost_Type,0))*P18*HLOOKUP(AQ$5,Escalators!$I$25:$U$30,6,FALSE)</f>
        <v>0</v>
      </c>
      <c r="AR18" s="128">
        <f>INDEX(Direct_Cost_Splits_Non_Ntwk,MATCH($H18,RIN_Asset_Cat_Non_Ntwk,0),MATCH($AK$4,Direct_Cost_Type,0))*Q18*HLOOKUP(AR$5,Escalators!$I$25:$U$30,6,FALSE)</f>
        <v>289.73116000698946</v>
      </c>
      <c r="AS18" s="129"/>
      <c r="AT18" s="763">
        <f t="shared" si="26"/>
        <v>0</v>
      </c>
      <c r="AU18" s="763">
        <f t="shared" si="26"/>
        <v>0</v>
      </c>
      <c r="AV18" s="763">
        <f t="shared" si="26"/>
        <v>0</v>
      </c>
      <c r="AW18" s="763">
        <f t="shared" si="26"/>
        <v>0</v>
      </c>
      <c r="AX18" s="763">
        <f t="shared" si="26"/>
        <v>0</v>
      </c>
      <c r="AY18" s="763">
        <f t="shared" si="26"/>
        <v>0</v>
      </c>
      <c r="AZ18" s="763">
        <f t="shared" si="26"/>
        <v>0</v>
      </c>
      <c r="BA18" s="763">
        <f t="shared" si="26"/>
        <v>0</v>
      </c>
      <c r="BB18" s="129"/>
      <c r="BC18" s="128">
        <f t="shared" si="1"/>
        <v>0</v>
      </c>
      <c r="BD18" s="128">
        <f t="shared" si="2"/>
        <v>0</v>
      </c>
      <c r="BE18" s="128">
        <f t="shared" si="3"/>
        <v>0</v>
      </c>
      <c r="BF18" s="128">
        <f t="shared" si="4"/>
        <v>1083.5222136573336</v>
      </c>
      <c r="BG18" s="128">
        <f t="shared" si="5"/>
        <v>2206.1645803232532</v>
      </c>
      <c r="BH18" s="128">
        <f t="shared" si="6"/>
        <v>611.62801604963397</v>
      </c>
      <c r="BI18" s="128">
        <f t="shared" si="7"/>
        <v>0</v>
      </c>
      <c r="BJ18" s="128">
        <f t="shared" si="8"/>
        <v>613.15679721980405</v>
      </c>
    </row>
    <row r="19" spans="2:62" x14ac:dyDescent="0.25">
      <c r="B19" s="7"/>
      <c r="C19" s="7"/>
      <c r="D19" s="7"/>
      <c r="E19" s="7"/>
      <c r="F19" s="7"/>
      <c r="G19" s="7"/>
      <c r="H19" s="7"/>
      <c r="I19" s="7"/>
      <c r="J19" s="45"/>
      <c r="K19" s="45"/>
      <c r="L19" s="45"/>
      <c r="M19" s="45"/>
      <c r="N19" s="45"/>
      <c r="O19" s="45"/>
      <c r="P19" s="45"/>
      <c r="Q19" s="45"/>
      <c r="S19" s="47"/>
      <c r="T19" s="47"/>
      <c r="U19" s="47"/>
      <c r="V19" s="47"/>
      <c r="W19" s="47"/>
      <c r="X19" s="47"/>
      <c r="Y19" s="47"/>
      <c r="Z19" s="47"/>
      <c r="AB19" s="47"/>
      <c r="AC19" s="47"/>
      <c r="AD19" s="47"/>
      <c r="AE19" s="47"/>
      <c r="AF19" s="47"/>
      <c r="AG19" s="47"/>
      <c r="AH19" s="47"/>
      <c r="AI19" s="47"/>
      <c r="AK19" s="47"/>
      <c r="AL19" s="47"/>
      <c r="AM19" s="47"/>
      <c r="AN19" s="47"/>
      <c r="AO19" s="47"/>
      <c r="AP19" s="47"/>
      <c r="AQ19" s="47"/>
      <c r="AR19" s="47"/>
      <c r="AT19" s="82"/>
      <c r="AU19" s="82"/>
      <c r="AV19" s="82"/>
      <c r="AW19" s="82"/>
      <c r="AX19" s="82"/>
      <c r="AY19" s="82"/>
      <c r="AZ19" s="82"/>
      <c r="BA19" s="82"/>
      <c r="BC19" s="374">
        <f t="shared" si="1"/>
        <v>0</v>
      </c>
      <c r="BD19" s="374">
        <f t="shared" si="2"/>
        <v>0</v>
      </c>
      <c r="BE19" s="374">
        <f t="shared" si="3"/>
        <v>0</v>
      </c>
      <c r="BF19" s="47">
        <f t="shared" si="4"/>
        <v>0</v>
      </c>
      <c r="BG19" s="47">
        <f t="shared" si="5"/>
        <v>0</v>
      </c>
      <c r="BH19" s="47">
        <f t="shared" si="6"/>
        <v>0</v>
      </c>
      <c r="BI19" s="47">
        <f t="shared" si="7"/>
        <v>0</v>
      </c>
      <c r="BJ19" s="47">
        <f t="shared" si="8"/>
        <v>0</v>
      </c>
    </row>
    <row r="20" spans="2:62" x14ac:dyDescent="0.25">
      <c r="B20" s="7"/>
      <c r="C20" s="7"/>
      <c r="D20" s="7"/>
      <c r="E20" s="7"/>
      <c r="F20" s="7"/>
      <c r="G20" s="7"/>
      <c r="H20" s="7"/>
      <c r="I20" s="7"/>
      <c r="J20" s="45"/>
      <c r="K20" s="45"/>
      <c r="L20" s="45"/>
      <c r="M20" s="45"/>
      <c r="N20" s="45"/>
      <c r="O20" s="45"/>
      <c r="P20" s="45"/>
      <c r="Q20" s="45"/>
      <c r="S20" s="47"/>
      <c r="T20" s="47"/>
      <c r="U20" s="47"/>
      <c r="V20" s="47"/>
      <c r="W20" s="47"/>
      <c r="X20" s="47"/>
      <c r="Y20" s="47"/>
      <c r="Z20" s="47"/>
      <c r="AB20" s="47"/>
      <c r="AC20" s="47"/>
      <c r="AD20" s="47"/>
      <c r="AE20" s="47"/>
      <c r="AF20" s="47"/>
      <c r="AG20" s="47"/>
      <c r="AH20" s="47"/>
      <c r="AI20" s="47"/>
      <c r="AK20" s="47"/>
      <c r="AL20" s="47"/>
      <c r="AM20" s="47"/>
      <c r="AN20" s="47"/>
      <c r="AO20" s="47"/>
      <c r="AP20" s="47"/>
      <c r="AQ20" s="47"/>
      <c r="AR20" s="47"/>
      <c r="AT20" s="82"/>
      <c r="AU20" s="82"/>
      <c r="AV20" s="82"/>
      <c r="AW20" s="82"/>
      <c r="AX20" s="82"/>
      <c r="AY20" s="82"/>
      <c r="AZ20" s="82"/>
      <c r="BA20" s="82"/>
      <c r="BC20" s="374">
        <f t="shared" si="1"/>
        <v>0</v>
      </c>
      <c r="BD20" s="374">
        <f t="shared" si="2"/>
        <v>0</v>
      </c>
      <c r="BE20" s="374">
        <f t="shared" si="3"/>
        <v>0</v>
      </c>
      <c r="BF20" s="47">
        <f t="shared" si="4"/>
        <v>0</v>
      </c>
      <c r="BG20" s="47">
        <f t="shared" si="5"/>
        <v>0</v>
      </c>
      <c r="BH20" s="47">
        <f t="shared" si="6"/>
        <v>0</v>
      </c>
      <c r="BI20" s="47">
        <f t="shared" si="7"/>
        <v>0</v>
      </c>
      <c r="BJ20" s="47">
        <f t="shared" si="8"/>
        <v>0</v>
      </c>
    </row>
    <row r="21" spans="2:62" x14ac:dyDescent="0.25">
      <c r="B21" s="7"/>
      <c r="C21" s="7"/>
      <c r="D21" s="7"/>
      <c r="E21" s="7"/>
      <c r="F21" s="7"/>
      <c r="G21" s="7"/>
      <c r="H21" s="7"/>
      <c r="I21" s="7"/>
      <c r="J21" s="45"/>
      <c r="K21" s="45"/>
      <c r="L21" s="45"/>
      <c r="M21" s="45"/>
      <c r="N21" s="45"/>
      <c r="O21" s="45"/>
      <c r="P21" s="45"/>
      <c r="Q21" s="45"/>
      <c r="S21" s="47"/>
      <c r="T21" s="47"/>
      <c r="U21" s="47"/>
      <c r="V21" s="47"/>
      <c r="W21" s="47"/>
      <c r="X21" s="47"/>
      <c r="Y21" s="47"/>
      <c r="Z21" s="47"/>
      <c r="AB21" s="47"/>
      <c r="AC21" s="47"/>
      <c r="AD21" s="47"/>
      <c r="AE21" s="47"/>
      <c r="AF21" s="47"/>
      <c r="AG21" s="47"/>
      <c r="AH21" s="47"/>
      <c r="AI21" s="47"/>
      <c r="AK21" s="47"/>
      <c r="AL21" s="47"/>
      <c r="AM21" s="47"/>
      <c r="AN21" s="47"/>
      <c r="AO21" s="47"/>
      <c r="AP21" s="47"/>
      <c r="AQ21" s="47"/>
      <c r="AR21" s="47"/>
      <c r="AT21" s="82"/>
      <c r="AU21" s="82"/>
      <c r="AV21" s="82"/>
      <c r="AW21" s="82"/>
      <c r="AX21" s="82"/>
      <c r="AY21" s="82"/>
      <c r="AZ21" s="82"/>
      <c r="BA21" s="82"/>
      <c r="BC21" s="374">
        <f t="shared" si="1"/>
        <v>0</v>
      </c>
      <c r="BD21" s="374">
        <f t="shared" si="2"/>
        <v>0</v>
      </c>
      <c r="BE21" s="374">
        <f t="shared" si="3"/>
        <v>0</v>
      </c>
      <c r="BF21" s="47">
        <f t="shared" si="4"/>
        <v>0</v>
      </c>
      <c r="BG21" s="47">
        <f t="shared" si="5"/>
        <v>0</v>
      </c>
      <c r="BH21" s="47">
        <f t="shared" si="6"/>
        <v>0</v>
      </c>
      <c r="BI21" s="47">
        <f t="shared" si="7"/>
        <v>0</v>
      </c>
      <c r="BJ21" s="47">
        <f t="shared" si="8"/>
        <v>0</v>
      </c>
    </row>
    <row r="22" spans="2:62" x14ac:dyDescent="0.25">
      <c r="B22" s="7"/>
      <c r="C22" s="7"/>
      <c r="D22" s="7"/>
      <c r="E22" s="7"/>
      <c r="F22" s="7"/>
      <c r="G22" s="7"/>
      <c r="H22" s="7"/>
      <c r="I22" s="7"/>
      <c r="J22" s="45"/>
      <c r="K22" s="45"/>
      <c r="L22" s="45"/>
      <c r="M22" s="45"/>
      <c r="N22" s="45"/>
      <c r="O22" s="45"/>
      <c r="P22" s="45"/>
      <c r="Q22" s="45"/>
      <c r="S22" s="47"/>
      <c r="T22" s="47"/>
      <c r="U22" s="47"/>
      <c r="V22" s="47"/>
      <c r="W22" s="47"/>
      <c r="X22" s="47"/>
      <c r="Y22" s="47"/>
      <c r="Z22" s="47"/>
      <c r="AB22" s="47"/>
      <c r="AC22" s="47"/>
      <c r="AD22" s="47"/>
      <c r="AE22" s="47"/>
      <c r="AF22" s="47"/>
      <c r="AG22" s="47"/>
      <c r="AH22" s="47"/>
      <c r="AI22" s="47"/>
      <c r="AK22" s="47"/>
      <c r="AL22" s="47"/>
      <c r="AM22" s="47"/>
      <c r="AN22" s="47"/>
      <c r="AO22" s="47"/>
      <c r="AP22" s="47"/>
      <c r="AQ22" s="47"/>
      <c r="AR22" s="47"/>
      <c r="AT22" s="82"/>
      <c r="AU22" s="82"/>
      <c r="AV22" s="82"/>
      <c r="AW22" s="82"/>
      <c r="AX22" s="82"/>
      <c r="AY22" s="82"/>
      <c r="AZ22" s="82"/>
      <c r="BA22" s="82"/>
      <c r="BC22" s="374"/>
      <c r="BD22" s="374"/>
      <c r="BE22" s="374"/>
      <c r="BF22" s="47"/>
      <c r="BG22" s="47"/>
      <c r="BH22" s="47"/>
      <c r="BI22" s="47"/>
      <c r="BJ22" s="47"/>
    </row>
    <row r="23" spans="2:62" x14ac:dyDescent="0.25">
      <c r="B23" s="7"/>
      <c r="C23" s="7"/>
      <c r="D23" s="7"/>
      <c r="E23" s="7"/>
      <c r="F23" s="7"/>
      <c r="G23" s="7"/>
      <c r="H23" s="7"/>
      <c r="I23" s="7"/>
      <c r="J23" s="45"/>
      <c r="K23" s="45"/>
      <c r="L23" s="45"/>
      <c r="M23" s="45"/>
      <c r="N23" s="45"/>
      <c r="O23" s="45"/>
      <c r="P23" s="45"/>
      <c r="Q23" s="45"/>
      <c r="S23" s="47"/>
      <c r="T23" s="47"/>
      <c r="U23" s="47"/>
      <c r="V23" s="47"/>
      <c r="W23" s="47"/>
      <c r="X23" s="47"/>
      <c r="Y23" s="47"/>
      <c r="Z23" s="47"/>
      <c r="AB23" s="47"/>
      <c r="AC23" s="47"/>
      <c r="AD23" s="47"/>
      <c r="AE23" s="47"/>
      <c r="AF23" s="47"/>
      <c r="AG23" s="47"/>
      <c r="AH23" s="47"/>
      <c r="AI23" s="47"/>
      <c r="AK23" s="47"/>
      <c r="AL23" s="47"/>
      <c r="AM23" s="47"/>
      <c r="AN23" s="47"/>
      <c r="AO23" s="47"/>
      <c r="AP23" s="47"/>
      <c r="AQ23" s="47"/>
      <c r="AR23" s="47"/>
      <c r="AT23" s="82"/>
      <c r="AU23" s="82"/>
      <c r="AV23" s="82"/>
      <c r="AW23" s="82"/>
      <c r="AX23" s="82"/>
      <c r="AY23" s="82"/>
      <c r="AZ23" s="82"/>
      <c r="BA23" s="82"/>
      <c r="BC23" s="374">
        <f t="shared" si="1"/>
        <v>0</v>
      </c>
      <c r="BD23" s="374">
        <f t="shared" ref="BD23:BJ23" si="27">T23+AC23+AL23+AU23</f>
        <v>0</v>
      </c>
      <c r="BE23" s="374">
        <f t="shared" si="27"/>
        <v>0</v>
      </c>
      <c r="BF23" s="47">
        <f t="shared" si="27"/>
        <v>0</v>
      </c>
      <c r="BG23" s="47">
        <f t="shared" si="27"/>
        <v>0</v>
      </c>
      <c r="BH23" s="47">
        <f t="shared" si="27"/>
        <v>0</v>
      </c>
      <c r="BI23" s="47">
        <f t="shared" si="27"/>
        <v>0</v>
      </c>
      <c r="BJ23" s="47">
        <f t="shared" si="27"/>
        <v>0</v>
      </c>
    </row>
    <row r="24" spans="2:62" x14ac:dyDescent="0.25">
      <c r="B24" s="7"/>
      <c r="C24" s="7"/>
      <c r="D24" s="7"/>
      <c r="E24" s="7"/>
      <c r="F24" s="7"/>
      <c r="G24" s="7"/>
      <c r="H24" s="7"/>
      <c r="I24" s="7"/>
      <c r="J24" s="45"/>
      <c r="K24" s="45"/>
      <c r="L24" s="45"/>
      <c r="M24" s="45"/>
      <c r="N24" s="45"/>
      <c r="O24" s="45"/>
      <c r="P24" s="45"/>
      <c r="Q24" s="45"/>
      <c r="S24" s="47"/>
      <c r="T24" s="47"/>
      <c r="U24" s="47"/>
      <c r="V24" s="47"/>
      <c r="W24" s="47"/>
      <c r="X24" s="47"/>
      <c r="Y24" s="47"/>
      <c r="Z24" s="47"/>
      <c r="AB24" s="47"/>
      <c r="AC24" s="47"/>
      <c r="AD24" s="47"/>
      <c r="AE24" s="47"/>
      <c r="AF24" s="47"/>
      <c r="AG24" s="47"/>
      <c r="AH24" s="47"/>
      <c r="AI24" s="47"/>
      <c r="AK24" s="47"/>
      <c r="AL24" s="47"/>
      <c r="AM24" s="47"/>
      <c r="AN24" s="47"/>
      <c r="AO24" s="47"/>
      <c r="AP24" s="47"/>
      <c r="AQ24" s="47"/>
      <c r="AR24" s="47"/>
      <c r="AT24" s="47"/>
      <c r="AU24" s="47"/>
      <c r="AV24" s="47"/>
      <c r="AW24" s="47"/>
      <c r="AX24" s="47"/>
      <c r="AY24" s="47"/>
      <c r="AZ24" s="47"/>
      <c r="BA24" s="47"/>
      <c r="BC24" s="374">
        <f t="shared" ref="BC24:BC36" si="28">S24+AB24+AK24+AT24</f>
        <v>0</v>
      </c>
      <c r="BD24" s="374">
        <f t="shared" ref="BD24:BD36" si="29">T24+AC24+AL24+AU24</f>
        <v>0</v>
      </c>
      <c r="BE24" s="374">
        <f t="shared" ref="BE24:BE36" si="30">U24+AD24+AM24+AV24</f>
        <v>0</v>
      </c>
      <c r="BF24" s="47">
        <f t="shared" ref="BF24:BF36" si="31">V24+AE24+AN24+AW24</f>
        <v>0</v>
      </c>
      <c r="BG24" s="47">
        <f t="shared" ref="BG24:BG36" si="32">W24+AF24+AO24+AX24</f>
        <v>0</v>
      </c>
      <c r="BH24" s="47">
        <f t="shared" ref="BH24:BH36" si="33">X24+AG24+AP24+AY24</f>
        <v>0</v>
      </c>
      <c r="BI24" s="47">
        <f t="shared" ref="BI24:BI36" si="34">Y24+AH24+AQ24+AZ24</f>
        <v>0</v>
      </c>
      <c r="BJ24" s="47">
        <f t="shared" ref="BJ24:BJ36" si="35">Z24+AI24+AR24+BA24</f>
        <v>0</v>
      </c>
    </row>
    <row r="25" spans="2:62" x14ac:dyDescent="0.25">
      <c r="B25" s="7"/>
      <c r="C25" s="7"/>
      <c r="D25" s="7"/>
      <c r="E25" s="7"/>
      <c r="F25" s="7"/>
      <c r="G25" s="7"/>
      <c r="H25" s="7"/>
      <c r="I25" s="7"/>
      <c r="J25" s="45"/>
      <c r="K25" s="45"/>
      <c r="L25" s="45"/>
      <c r="M25" s="45"/>
      <c r="N25" s="45"/>
      <c r="O25" s="45"/>
      <c r="P25" s="45"/>
      <c r="Q25" s="45"/>
      <c r="S25" s="47"/>
      <c r="T25" s="47"/>
      <c r="U25" s="47"/>
      <c r="V25" s="47"/>
      <c r="W25" s="47"/>
      <c r="X25" s="47"/>
      <c r="Y25" s="47"/>
      <c r="Z25" s="47"/>
      <c r="AB25" s="47"/>
      <c r="AC25" s="47"/>
      <c r="AD25" s="47"/>
      <c r="AE25" s="47"/>
      <c r="AF25" s="47"/>
      <c r="AG25" s="47"/>
      <c r="AH25" s="47"/>
      <c r="AI25" s="47"/>
      <c r="AK25" s="47"/>
      <c r="AL25" s="47"/>
      <c r="AM25" s="47"/>
      <c r="AN25" s="47"/>
      <c r="AO25" s="47"/>
      <c r="AP25" s="47"/>
      <c r="AQ25" s="47"/>
      <c r="AR25" s="47"/>
      <c r="AT25" s="47"/>
      <c r="AU25" s="47"/>
      <c r="AV25" s="47"/>
      <c r="AW25" s="47"/>
      <c r="AX25" s="47"/>
      <c r="AY25" s="47"/>
      <c r="AZ25" s="47"/>
      <c r="BA25" s="47"/>
      <c r="BC25" s="374">
        <f t="shared" si="28"/>
        <v>0</v>
      </c>
      <c r="BD25" s="374">
        <f t="shared" si="29"/>
        <v>0</v>
      </c>
      <c r="BE25" s="374">
        <f t="shared" si="30"/>
        <v>0</v>
      </c>
      <c r="BF25" s="47">
        <f t="shared" si="31"/>
        <v>0</v>
      </c>
      <c r="BG25" s="47">
        <f t="shared" si="32"/>
        <v>0</v>
      </c>
      <c r="BH25" s="47">
        <f t="shared" si="33"/>
        <v>0</v>
      </c>
      <c r="BI25" s="47">
        <f t="shared" si="34"/>
        <v>0</v>
      </c>
      <c r="BJ25" s="47">
        <f t="shared" si="35"/>
        <v>0</v>
      </c>
    </row>
    <row r="26" spans="2:62" x14ac:dyDescent="0.25">
      <c r="B26" s="7"/>
      <c r="C26" s="7"/>
      <c r="D26" s="7"/>
      <c r="E26" s="7"/>
      <c r="F26" s="7"/>
      <c r="G26" s="7"/>
      <c r="H26" s="7"/>
      <c r="I26" s="7"/>
      <c r="J26" s="45"/>
      <c r="K26" s="45"/>
      <c r="L26" s="45"/>
      <c r="M26" s="45"/>
      <c r="N26" s="45"/>
      <c r="O26" s="45"/>
      <c r="P26" s="45"/>
      <c r="Q26" s="45"/>
      <c r="S26" s="47"/>
      <c r="T26" s="47"/>
      <c r="U26" s="47"/>
      <c r="V26" s="47"/>
      <c r="W26" s="47"/>
      <c r="X26" s="47"/>
      <c r="Y26" s="47"/>
      <c r="Z26" s="47"/>
      <c r="AB26" s="47"/>
      <c r="AC26" s="47"/>
      <c r="AD26" s="47"/>
      <c r="AE26" s="47"/>
      <c r="AF26" s="47"/>
      <c r="AG26" s="47"/>
      <c r="AH26" s="47"/>
      <c r="AI26" s="47"/>
      <c r="AK26" s="47"/>
      <c r="AL26" s="47"/>
      <c r="AM26" s="47"/>
      <c r="AN26" s="47"/>
      <c r="AO26" s="47"/>
      <c r="AP26" s="47"/>
      <c r="AQ26" s="47"/>
      <c r="AR26" s="47"/>
      <c r="AT26" s="47"/>
      <c r="AU26" s="47"/>
      <c r="AV26" s="47"/>
      <c r="AW26" s="47"/>
      <c r="AX26" s="47"/>
      <c r="AY26" s="47"/>
      <c r="AZ26" s="47"/>
      <c r="BA26" s="47"/>
      <c r="BC26" s="374">
        <f t="shared" si="28"/>
        <v>0</v>
      </c>
      <c r="BD26" s="374">
        <f t="shared" si="29"/>
        <v>0</v>
      </c>
      <c r="BE26" s="374">
        <f t="shared" si="30"/>
        <v>0</v>
      </c>
      <c r="BF26" s="47">
        <f t="shared" si="31"/>
        <v>0</v>
      </c>
      <c r="BG26" s="47">
        <f t="shared" si="32"/>
        <v>0</v>
      </c>
      <c r="BH26" s="47">
        <f t="shared" si="33"/>
        <v>0</v>
      </c>
      <c r="BI26" s="47">
        <f t="shared" si="34"/>
        <v>0</v>
      </c>
      <c r="BJ26" s="47">
        <f t="shared" si="35"/>
        <v>0</v>
      </c>
    </row>
    <row r="27" spans="2:62" x14ac:dyDescent="0.25">
      <c r="B27" s="7"/>
      <c r="C27" s="7"/>
      <c r="D27" s="7"/>
      <c r="E27" s="7"/>
      <c r="F27" s="7"/>
      <c r="G27" s="7"/>
      <c r="H27" s="7"/>
      <c r="I27" s="7"/>
      <c r="J27" s="45"/>
      <c r="K27" s="45"/>
      <c r="L27" s="45"/>
      <c r="M27" s="45"/>
      <c r="N27" s="45"/>
      <c r="O27" s="45"/>
      <c r="P27" s="45"/>
      <c r="Q27" s="45"/>
      <c r="S27" s="47"/>
      <c r="T27" s="47"/>
      <c r="U27" s="47"/>
      <c r="V27" s="47"/>
      <c r="W27" s="47"/>
      <c r="X27" s="47"/>
      <c r="Y27" s="47"/>
      <c r="Z27" s="47"/>
      <c r="AB27" s="47"/>
      <c r="AC27" s="47"/>
      <c r="AD27" s="47"/>
      <c r="AE27" s="47"/>
      <c r="AF27" s="47"/>
      <c r="AG27" s="47"/>
      <c r="AH27" s="47"/>
      <c r="AI27" s="47"/>
      <c r="AK27" s="47"/>
      <c r="AL27" s="47"/>
      <c r="AM27" s="47"/>
      <c r="AN27" s="47"/>
      <c r="AO27" s="47"/>
      <c r="AP27" s="47"/>
      <c r="AQ27" s="47"/>
      <c r="AR27" s="47"/>
      <c r="AT27" s="47"/>
      <c r="AU27" s="47"/>
      <c r="AV27" s="47"/>
      <c r="AW27" s="47"/>
      <c r="AX27" s="47"/>
      <c r="AY27" s="47"/>
      <c r="AZ27" s="47"/>
      <c r="BA27" s="47"/>
      <c r="BC27" s="374">
        <f t="shared" si="28"/>
        <v>0</v>
      </c>
      <c r="BD27" s="374">
        <f t="shared" si="29"/>
        <v>0</v>
      </c>
      <c r="BE27" s="374">
        <f t="shared" si="30"/>
        <v>0</v>
      </c>
      <c r="BF27" s="47">
        <f t="shared" si="31"/>
        <v>0</v>
      </c>
      <c r="BG27" s="47">
        <f t="shared" si="32"/>
        <v>0</v>
      </c>
      <c r="BH27" s="47">
        <f t="shared" si="33"/>
        <v>0</v>
      </c>
      <c r="BI27" s="47">
        <f t="shared" si="34"/>
        <v>0</v>
      </c>
      <c r="BJ27" s="47">
        <f t="shared" si="35"/>
        <v>0</v>
      </c>
    </row>
    <row r="28" spans="2:62" x14ac:dyDescent="0.25">
      <c r="B28" s="7"/>
      <c r="C28" s="7"/>
      <c r="D28" s="7"/>
      <c r="E28" s="7"/>
      <c r="F28" s="7"/>
      <c r="G28" s="7"/>
      <c r="H28" s="7"/>
      <c r="I28" s="7"/>
      <c r="J28" s="45"/>
      <c r="K28" s="45"/>
      <c r="L28" s="45"/>
      <c r="M28" s="45"/>
      <c r="N28" s="45"/>
      <c r="O28" s="45"/>
      <c r="P28" s="45"/>
      <c r="Q28" s="45"/>
      <c r="S28" s="47"/>
      <c r="T28" s="47"/>
      <c r="U28" s="47"/>
      <c r="V28" s="47"/>
      <c r="W28" s="47"/>
      <c r="X28" s="47"/>
      <c r="Y28" s="47"/>
      <c r="Z28" s="47"/>
      <c r="AB28" s="47"/>
      <c r="AC28" s="47"/>
      <c r="AD28" s="47"/>
      <c r="AE28" s="47"/>
      <c r="AF28" s="47"/>
      <c r="AG28" s="47"/>
      <c r="AH28" s="47"/>
      <c r="AI28" s="47"/>
      <c r="AK28" s="47"/>
      <c r="AL28" s="47"/>
      <c r="AM28" s="47"/>
      <c r="AN28" s="47"/>
      <c r="AO28" s="47"/>
      <c r="AP28" s="47"/>
      <c r="AQ28" s="47"/>
      <c r="AR28" s="47"/>
      <c r="AT28" s="47"/>
      <c r="AU28" s="47"/>
      <c r="AV28" s="47"/>
      <c r="AW28" s="47"/>
      <c r="AX28" s="47"/>
      <c r="AY28" s="47"/>
      <c r="AZ28" s="47"/>
      <c r="BA28" s="47"/>
      <c r="BC28" s="374">
        <f t="shared" si="28"/>
        <v>0</v>
      </c>
      <c r="BD28" s="374">
        <f t="shared" si="29"/>
        <v>0</v>
      </c>
      <c r="BE28" s="374">
        <f t="shared" si="30"/>
        <v>0</v>
      </c>
      <c r="BF28" s="47">
        <f t="shared" si="31"/>
        <v>0</v>
      </c>
      <c r="BG28" s="47">
        <f t="shared" si="32"/>
        <v>0</v>
      </c>
      <c r="BH28" s="47">
        <f t="shared" si="33"/>
        <v>0</v>
      </c>
      <c r="BI28" s="47">
        <f t="shared" si="34"/>
        <v>0</v>
      </c>
      <c r="BJ28" s="47">
        <f t="shared" si="35"/>
        <v>0</v>
      </c>
    </row>
    <row r="29" spans="2:62" x14ac:dyDescent="0.25">
      <c r="B29" s="7"/>
      <c r="C29" s="7"/>
      <c r="D29" s="7"/>
      <c r="E29" s="7"/>
      <c r="F29" s="7"/>
      <c r="G29" s="7"/>
      <c r="H29" s="7"/>
      <c r="I29" s="7"/>
      <c r="J29" s="45"/>
      <c r="K29" s="45"/>
      <c r="L29" s="45"/>
      <c r="M29" s="45"/>
      <c r="N29" s="45"/>
      <c r="O29" s="45"/>
      <c r="P29" s="45"/>
      <c r="Q29" s="45"/>
      <c r="S29" s="47"/>
      <c r="T29" s="47"/>
      <c r="U29" s="47"/>
      <c r="V29" s="47"/>
      <c r="W29" s="47"/>
      <c r="X29" s="47"/>
      <c r="Y29" s="47"/>
      <c r="Z29" s="47"/>
      <c r="AB29" s="47"/>
      <c r="AC29" s="47"/>
      <c r="AD29" s="47"/>
      <c r="AE29" s="47"/>
      <c r="AF29" s="47"/>
      <c r="AG29" s="47"/>
      <c r="AH29" s="47"/>
      <c r="AI29" s="47"/>
      <c r="AK29" s="47"/>
      <c r="AL29" s="47"/>
      <c r="AM29" s="47"/>
      <c r="AN29" s="47"/>
      <c r="AO29" s="47"/>
      <c r="AP29" s="47"/>
      <c r="AQ29" s="47"/>
      <c r="AR29" s="47"/>
      <c r="AT29" s="47"/>
      <c r="AU29" s="47"/>
      <c r="AV29" s="47"/>
      <c r="AW29" s="47"/>
      <c r="AX29" s="47"/>
      <c r="AY29" s="47"/>
      <c r="AZ29" s="47"/>
      <c r="BA29" s="47"/>
      <c r="BC29" s="374">
        <f t="shared" si="28"/>
        <v>0</v>
      </c>
      <c r="BD29" s="374">
        <f t="shared" si="29"/>
        <v>0</v>
      </c>
      <c r="BE29" s="374">
        <f t="shared" si="30"/>
        <v>0</v>
      </c>
      <c r="BF29" s="47">
        <f t="shared" si="31"/>
        <v>0</v>
      </c>
      <c r="BG29" s="47">
        <f t="shared" si="32"/>
        <v>0</v>
      </c>
      <c r="BH29" s="47">
        <f t="shared" si="33"/>
        <v>0</v>
      </c>
      <c r="BI29" s="47">
        <f t="shared" si="34"/>
        <v>0</v>
      </c>
      <c r="BJ29" s="47">
        <f t="shared" si="35"/>
        <v>0</v>
      </c>
    </row>
    <row r="30" spans="2:62" x14ac:dyDescent="0.25">
      <c r="B30" s="7"/>
      <c r="C30" s="7"/>
      <c r="D30" s="7"/>
      <c r="E30" s="7"/>
      <c r="F30" s="7"/>
      <c r="G30" s="7"/>
      <c r="H30" s="7"/>
      <c r="I30" s="7"/>
      <c r="J30" s="45"/>
      <c r="K30" s="45"/>
      <c r="L30" s="45"/>
      <c r="M30" s="45"/>
      <c r="N30" s="45"/>
      <c r="O30" s="45"/>
      <c r="P30" s="45"/>
      <c r="Q30" s="45"/>
      <c r="S30" s="47"/>
      <c r="T30" s="47"/>
      <c r="U30" s="47"/>
      <c r="V30" s="47"/>
      <c r="W30" s="47"/>
      <c r="X30" s="47"/>
      <c r="Y30" s="47"/>
      <c r="Z30" s="47"/>
      <c r="AB30" s="47"/>
      <c r="AC30" s="47"/>
      <c r="AD30" s="47"/>
      <c r="AE30" s="47"/>
      <c r="AF30" s="47"/>
      <c r="AG30" s="47"/>
      <c r="AH30" s="47"/>
      <c r="AI30" s="47"/>
      <c r="AK30" s="47"/>
      <c r="AL30" s="47"/>
      <c r="AM30" s="47"/>
      <c r="AN30" s="47"/>
      <c r="AO30" s="47"/>
      <c r="AP30" s="47"/>
      <c r="AQ30" s="47"/>
      <c r="AR30" s="47"/>
      <c r="AT30" s="47"/>
      <c r="AU30" s="47"/>
      <c r="AV30" s="47"/>
      <c r="AW30" s="47"/>
      <c r="AX30" s="47"/>
      <c r="AY30" s="47"/>
      <c r="AZ30" s="47"/>
      <c r="BA30" s="47"/>
      <c r="BC30" s="374">
        <f t="shared" si="28"/>
        <v>0</v>
      </c>
      <c r="BD30" s="374">
        <f t="shared" si="29"/>
        <v>0</v>
      </c>
      <c r="BE30" s="374">
        <f t="shared" si="30"/>
        <v>0</v>
      </c>
      <c r="BF30" s="47">
        <f t="shared" si="31"/>
        <v>0</v>
      </c>
      <c r="BG30" s="47">
        <f t="shared" si="32"/>
        <v>0</v>
      </c>
      <c r="BH30" s="47">
        <f t="shared" si="33"/>
        <v>0</v>
      </c>
      <c r="BI30" s="47">
        <f t="shared" si="34"/>
        <v>0</v>
      </c>
      <c r="BJ30" s="47">
        <f t="shared" si="35"/>
        <v>0</v>
      </c>
    </row>
    <row r="31" spans="2:62" x14ac:dyDescent="0.25">
      <c r="B31" s="7"/>
      <c r="C31" s="7"/>
      <c r="D31" s="7"/>
      <c r="E31" s="7"/>
      <c r="F31" s="7"/>
      <c r="G31" s="7"/>
      <c r="H31" s="7"/>
      <c r="I31" s="7"/>
      <c r="J31" s="45"/>
      <c r="K31" s="45"/>
      <c r="L31" s="45"/>
      <c r="M31" s="45"/>
      <c r="N31" s="45"/>
      <c r="O31" s="45"/>
      <c r="P31" s="45"/>
      <c r="Q31" s="45"/>
      <c r="S31" s="47"/>
      <c r="T31" s="47"/>
      <c r="U31" s="47"/>
      <c r="V31" s="47"/>
      <c r="W31" s="47"/>
      <c r="X31" s="47"/>
      <c r="Y31" s="47"/>
      <c r="Z31" s="47"/>
      <c r="AB31" s="47"/>
      <c r="AC31" s="47"/>
      <c r="AD31" s="47"/>
      <c r="AE31" s="47"/>
      <c r="AF31" s="47"/>
      <c r="AG31" s="47"/>
      <c r="AH31" s="47"/>
      <c r="AI31" s="47"/>
      <c r="AK31" s="47"/>
      <c r="AL31" s="47"/>
      <c r="AM31" s="47"/>
      <c r="AN31" s="47"/>
      <c r="AO31" s="47"/>
      <c r="AP31" s="47"/>
      <c r="AQ31" s="47"/>
      <c r="AR31" s="47"/>
      <c r="AT31" s="47"/>
      <c r="AU31" s="47"/>
      <c r="AV31" s="47"/>
      <c r="AW31" s="47"/>
      <c r="AX31" s="47"/>
      <c r="AY31" s="47"/>
      <c r="AZ31" s="47"/>
      <c r="BA31" s="47"/>
      <c r="BC31" s="374">
        <f t="shared" si="28"/>
        <v>0</v>
      </c>
      <c r="BD31" s="374">
        <f t="shared" si="29"/>
        <v>0</v>
      </c>
      <c r="BE31" s="374">
        <f t="shared" si="30"/>
        <v>0</v>
      </c>
      <c r="BF31" s="47">
        <f t="shared" si="31"/>
        <v>0</v>
      </c>
      <c r="BG31" s="47">
        <f t="shared" si="32"/>
        <v>0</v>
      </c>
      <c r="BH31" s="47">
        <f t="shared" si="33"/>
        <v>0</v>
      </c>
      <c r="BI31" s="47">
        <f t="shared" si="34"/>
        <v>0</v>
      </c>
      <c r="BJ31" s="47">
        <f t="shared" si="35"/>
        <v>0</v>
      </c>
    </row>
    <row r="32" spans="2:62" x14ac:dyDescent="0.25">
      <c r="B32" s="7"/>
      <c r="C32" s="7"/>
      <c r="D32" s="7"/>
      <c r="E32" s="7"/>
      <c r="F32" s="7"/>
      <c r="G32" s="7"/>
      <c r="H32" s="7"/>
      <c r="I32" s="7"/>
      <c r="J32" s="45"/>
      <c r="K32" s="45"/>
      <c r="L32" s="45"/>
      <c r="M32" s="45"/>
      <c r="N32" s="45"/>
      <c r="O32" s="45"/>
      <c r="P32" s="45"/>
      <c r="Q32" s="45"/>
      <c r="S32" s="47"/>
      <c r="T32" s="47"/>
      <c r="U32" s="47"/>
      <c r="V32" s="47"/>
      <c r="W32" s="47"/>
      <c r="X32" s="47"/>
      <c r="Y32" s="47"/>
      <c r="Z32" s="47"/>
      <c r="AB32" s="47"/>
      <c r="AC32" s="47"/>
      <c r="AD32" s="47"/>
      <c r="AE32" s="47"/>
      <c r="AF32" s="47"/>
      <c r="AG32" s="47"/>
      <c r="AH32" s="47"/>
      <c r="AI32" s="47"/>
      <c r="AK32" s="47"/>
      <c r="AL32" s="47"/>
      <c r="AM32" s="47"/>
      <c r="AN32" s="47"/>
      <c r="AO32" s="47"/>
      <c r="AP32" s="47"/>
      <c r="AQ32" s="47"/>
      <c r="AR32" s="47"/>
      <c r="AT32" s="47"/>
      <c r="AU32" s="47"/>
      <c r="AV32" s="47"/>
      <c r="AW32" s="47"/>
      <c r="AX32" s="47"/>
      <c r="AY32" s="47"/>
      <c r="AZ32" s="47"/>
      <c r="BA32" s="47"/>
      <c r="BC32" s="374">
        <f t="shared" si="28"/>
        <v>0</v>
      </c>
      <c r="BD32" s="374">
        <f t="shared" si="29"/>
        <v>0</v>
      </c>
      <c r="BE32" s="374">
        <f t="shared" si="30"/>
        <v>0</v>
      </c>
      <c r="BF32" s="47">
        <f t="shared" si="31"/>
        <v>0</v>
      </c>
      <c r="BG32" s="47">
        <f t="shared" si="32"/>
        <v>0</v>
      </c>
      <c r="BH32" s="47">
        <f t="shared" si="33"/>
        <v>0</v>
      </c>
      <c r="BI32" s="47">
        <f t="shared" si="34"/>
        <v>0</v>
      </c>
      <c r="BJ32" s="47">
        <f t="shared" si="35"/>
        <v>0</v>
      </c>
    </row>
    <row r="33" spans="2:62" x14ac:dyDescent="0.25">
      <c r="B33" s="7"/>
      <c r="C33" s="7"/>
      <c r="D33" s="7"/>
      <c r="E33" s="7"/>
      <c r="F33" s="7"/>
      <c r="G33" s="7"/>
      <c r="H33" s="7"/>
      <c r="I33" s="7"/>
      <c r="J33" s="45"/>
      <c r="K33" s="45"/>
      <c r="L33" s="45"/>
      <c r="M33" s="45"/>
      <c r="N33" s="45"/>
      <c r="O33" s="45"/>
      <c r="P33" s="45"/>
      <c r="Q33" s="45"/>
      <c r="S33" s="47"/>
      <c r="T33" s="47"/>
      <c r="U33" s="47"/>
      <c r="V33" s="47"/>
      <c r="W33" s="47"/>
      <c r="X33" s="47"/>
      <c r="Y33" s="47"/>
      <c r="Z33" s="47"/>
      <c r="AB33" s="47"/>
      <c r="AC33" s="47"/>
      <c r="AD33" s="47"/>
      <c r="AE33" s="47"/>
      <c r="AF33" s="47"/>
      <c r="AG33" s="47"/>
      <c r="AH33" s="47"/>
      <c r="AI33" s="47"/>
      <c r="AK33" s="47"/>
      <c r="AL33" s="47"/>
      <c r="AM33" s="47"/>
      <c r="AN33" s="47"/>
      <c r="AO33" s="47"/>
      <c r="AP33" s="47"/>
      <c r="AQ33" s="47"/>
      <c r="AR33" s="47"/>
      <c r="AT33" s="47"/>
      <c r="AU33" s="47"/>
      <c r="AV33" s="47"/>
      <c r="AW33" s="47"/>
      <c r="AX33" s="47"/>
      <c r="AY33" s="47"/>
      <c r="AZ33" s="47"/>
      <c r="BA33" s="47"/>
      <c r="BC33" s="374">
        <f t="shared" si="28"/>
        <v>0</v>
      </c>
      <c r="BD33" s="374">
        <f t="shared" si="29"/>
        <v>0</v>
      </c>
      <c r="BE33" s="374">
        <f t="shared" si="30"/>
        <v>0</v>
      </c>
      <c r="BF33" s="47">
        <f t="shared" si="31"/>
        <v>0</v>
      </c>
      <c r="BG33" s="47">
        <f t="shared" si="32"/>
        <v>0</v>
      </c>
      <c r="BH33" s="47">
        <f t="shared" si="33"/>
        <v>0</v>
      </c>
      <c r="BI33" s="47">
        <f t="shared" si="34"/>
        <v>0</v>
      </c>
      <c r="BJ33" s="47">
        <f t="shared" si="35"/>
        <v>0</v>
      </c>
    </row>
    <row r="34" spans="2:62" x14ac:dyDescent="0.25">
      <c r="B34" s="7"/>
      <c r="C34" s="7"/>
      <c r="D34" s="7"/>
      <c r="E34" s="7"/>
      <c r="F34" s="7"/>
      <c r="G34" s="7"/>
      <c r="H34" s="7"/>
      <c r="I34" s="7"/>
      <c r="J34" s="45"/>
      <c r="K34" s="45"/>
      <c r="L34" s="45"/>
      <c r="M34" s="45"/>
      <c r="N34" s="45"/>
      <c r="O34" s="45"/>
      <c r="P34" s="45"/>
      <c r="Q34" s="45"/>
      <c r="S34" s="47"/>
      <c r="T34" s="47"/>
      <c r="U34" s="47"/>
      <c r="V34" s="47"/>
      <c r="W34" s="47"/>
      <c r="X34" s="47"/>
      <c r="Y34" s="47"/>
      <c r="Z34" s="47"/>
      <c r="AB34" s="47"/>
      <c r="AC34" s="47"/>
      <c r="AD34" s="47"/>
      <c r="AE34" s="47"/>
      <c r="AF34" s="47"/>
      <c r="AG34" s="47"/>
      <c r="AH34" s="47"/>
      <c r="AI34" s="47"/>
      <c r="AK34" s="47"/>
      <c r="AL34" s="47"/>
      <c r="AM34" s="47"/>
      <c r="AN34" s="47"/>
      <c r="AO34" s="47"/>
      <c r="AP34" s="47"/>
      <c r="AQ34" s="47"/>
      <c r="AR34" s="47"/>
      <c r="AT34" s="47"/>
      <c r="AU34" s="47"/>
      <c r="AV34" s="47"/>
      <c r="AW34" s="47"/>
      <c r="AX34" s="47"/>
      <c r="AY34" s="47"/>
      <c r="AZ34" s="47"/>
      <c r="BA34" s="47"/>
      <c r="BC34" s="374">
        <f t="shared" si="28"/>
        <v>0</v>
      </c>
      <c r="BD34" s="374">
        <f t="shared" si="29"/>
        <v>0</v>
      </c>
      <c r="BE34" s="374">
        <f t="shared" si="30"/>
        <v>0</v>
      </c>
      <c r="BF34" s="47">
        <f t="shared" si="31"/>
        <v>0</v>
      </c>
      <c r="BG34" s="47">
        <f t="shared" si="32"/>
        <v>0</v>
      </c>
      <c r="BH34" s="47">
        <f t="shared" si="33"/>
        <v>0</v>
      </c>
      <c r="BI34" s="47">
        <f t="shared" si="34"/>
        <v>0</v>
      </c>
      <c r="BJ34" s="47">
        <f t="shared" si="35"/>
        <v>0</v>
      </c>
    </row>
    <row r="35" spans="2:62" x14ac:dyDescent="0.25">
      <c r="B35" s="7"/>
      <c r="C35" s="7"/>
      <c r="D35" s="7"/>
      <c r="E35" s="7"/>
      <c r="F35" s="7"/>
      <c r="G35" s="7"/>
      <c r="H35" s="7"/>
      <c r="I35" s="7"/>
      <c r="J35" s="45"/>
      <c r="K35" s="45"/>
      <c r="L35" s="45"/>
      <c r="M35" s="45"/>
      <c r="N35" s="45"/>
      <c r="O35" s="45"/>
      <c r="P35" s="45"/>
      <c r="Q35" s="45"/>
      <c r="S35" s="47"/>
      <c r="T35" s="47"/>
      <c r="U35" s="47"/>
      <c r="V35" s="47"/>
      <c r="W35" s="47"/>
      <c r="X35" s="47"/>
      <c r="Y35" s="47"/>
      <c r="Z35" s="47"/>
      <c r="AB35" s="47"/>
      <c r="AC35" s="47"/>
      <c r="AD35" s="47"/>
      <c r="AE35" s="47"/>
      <c r="AF35" s="47"/>
      <c r="AG35" s="47"/>
      <c r="AH35" s="47"/>
      <c r="AI35" s="47"/>
      <c r="AK35" s="47"/>
      <c r="AL35" s="47"/>
      <c r="AM35" s="47"/>
      <c r="AN35" s="47"/>
      <c r="AO35" s="47"/>
      <c r="AP35" s="47"/>
      <c r="AQ35" s="47"/>
      <c r="AR35" s="47"/>
      <c r="AT35" s="47"/>
      <c r="AU35" s="47"/>
      <c r="AV35" s="47"/>
      <c r="AW35" s="47"/>
      <c r="AX35" s="47"/>
      <c r="AY35" s="47"/>
      <c r="AZ35" s="47"/>
      <c r="BA35" s="47"/>
      <c r="BC35" s="374">
        <f t="shared" si="28"/>
        <v>0</v>
      </c>
      <c r="BD35" s="374">
        <f t="shared" si="29"/>
        <v>0</v>
      </c>
      <c r="BE35" s="374">
        <f t="shared" si="30"/>
        <v>0</v>
      </c>
      <c r="BF35" s="47">
        <f t="shared" si="31"/>
        <v>0</v>
      </c>
      <c r="BG35" s="47">
        <f t="shared" si="32"/>
        <v>0</v>
      </c>
      <c r="BH35" s="47">
        <f t="shared" si="33"/>
        <v>0</v>
      </c>
      <c r="BI35" s="47">
        <f t="shared" si="34"/>
        <v>0</v>
      </c>
      <c r="BJ35" s="47">
        <f t="shared" si="35"/>
        <v>0</v>
      </c>
    </row>
    <row r="36" spans="2:62" x14ac:dyDescent="0.25">
      <c r="B36" s="7"/>
      <c r="C36" s="7"/>
      <c r="D36" s="7"/>
      <c r="E36" s="7"/>
      <c r="F36" s="7"/>
      <c r="G36" s="7"/>
      <c r="H36" s="7"/>
      <c r="I36" s="7"/>
      <c r="J36" s="45"/>
      <c r="K36" s="45"/>
      <c r="L36" s="45"/>
      <c r="M36" s="45"/>
      <c r="N36" s="45"/>
      <c r="O36" s="45"/>
      <c r="P36" s="45"/>
      <c r="Q36" s="45"/>
      <c r="S36" s="47"/>
      <c r="T36" s="47"/>
      <c r="U36" s="47"/>
      <c r="V36" s="47"/>
      <c r="W36" s="47"/>
      <c r="X36" s="47"/>
      <c r="Y36" s="47"/>
      <c r="Z36" s="47"/>
      <c r="AB36" s="47"/>
      <c r="AC36" s="47"/>
      <c r="AD36" s="47"/>
      <c r="AE36" s="47"/>
      <c r="AF36" s="47"/>
      <c r="AG36" s="47"/>
      <c r="AH36" s="47"/>
      <c r="AI36" s="47"/>
      <c r="AK36" s="47"/>
      <c r="AL36" s="47"/>
      <c r="AM36" s="47"/>
      <c r="AN36" s="47"/>
      <c r="AO36" s="47"/>
      <c r="AP36" s="47"/>
      <c r="AQ36" s="47"/>
      <c r="AR36" s="47"/>
      <c r="AT36" s="47"/>
      <c r="AU36" s="47"/>
      <c r="AV36" s="47"/>
      <c r="AW36" s="47"/>
      <c r="AX36" s="47"/>
      <c r="AY36" s="47"/>
      <c r="AZ36" s="47"/>
      <c r="BA36" s="47"/>
      <c r="BC36" s="374">
        <f t="shared" si="28"/>
        <v>0</v>
      </c>
      <c r="BD36" s="374">
        <f t="shared" si="29"/>
        <v>0</v>
      </c>
      <c r="BE36" s="374">
        <f t="shared" si="30"/>
        <v>0</v>
      </c>
      <c r="BF36" s="47">
        <f t="shared" si="31"/>
        <v>0</v>
      </c>
      <c r="BG36" s="47">
        <f t="shared" si="32"/>
        <v>0</v>
      </c>
      <c r="BH36" s="47">
        <f t="shared" si="33"/>
        <v>0</v>
      </c>
      <c r="BI36" s="47">
        <f t="shared" si="34"/>
        <v>0</v>
      </c>
      <c r="BJ36" s="47">
        <f t="shared" si="35"/>
        <v>0</v>
      </c>
    </row>
    <row r="37" spans="2:62" x14ac:dyDescent="0.25">
      <c r="J37" s="764">
        <f t="shared" ref="J37:Q37" si="36">SUM(J6:J36)</f>
        <v>0</v>
      </c>
      <c r="K37" s="764">
        <f t="shared" si="36"/>
        <v>0</v>
      </c>
      <c r="L37" s="764">
        <f t="shared" si="36"/>
        <v>0</v>
      </c>
      <c r="M37" s="764">
        <f t="shared" si="36"/>
        <v>13745.948833576471</v>
      </c>
      <c r="N37" s="764">
        <f t="shared" si="36"/>
        <v>3333.7242729450982</v>
      </c>
      <c r="O37" s="764">
        <f t="shared" si="36"/>
        <v>1076.0160253725489</v>
      </c>
      <c r="P37" s="764">
        <f t="shared" si="36"/>
        <v>435.02981788627437</v>
      </c>
      <c r="Q37" s="764">
        <f t="shared" si="36"/>
        <v>1107.1553814784313</v>
      </c>
      <c r="R37" s="129"/>
      <c r="S37" s="764">
        <f t="shared" ref="S37:Z37" si="37">SUM(S6:S36)</f>
        <v>0</v>
      </c>
      <c r="T37" s="764">
        <f t="shared" si="37"/>
        <v>0</v>
      </c>
      <c r="U37" s="764">
        <f t="shared" si="37"/>
        <v>0</v>
      </c>
      <c r="V37" s="764">
        <f t="shared" si="37"/>
        <v>2597.646853687274</v>
      </c>
      <c r="W37" s="764">
        <f t="shared" si="37"/>
        <v>621.26814021033169</v>
      </c>
      <c r="X37" s="764">
        <f t="shared" si="37"/>
        <v>202.40417951057594</v>
      </c>
      <c r="Y37" s="764">
        <f t="shared" si="37"/>
        <v>84.949103989554018</v>
      </c>
      <c r="Z37" s="764">
        <f t="shared" si="37"/>
        <v>211.25813181097132</v>
      </c>
      <c r="AA37" s="129"/>
      <c r="AB37" s="764">
        <f t="shared" ref="AB37:AI37" si="38">SUM(AB6:AB36)</f>
        <v>0</v>
      </c>
      <c r="AC37" s="764">
        <f t="shared" si="38"/>
        <v>0</v>
      </c>
      <c r="AD37" s="764">
        <f t="shared" si="38"/>
        <v>0</v>
      </c>
      <c r="AE37" s="764">
        <f t="shared" si="38"/>
        <v>7537.1175464031485</v>
      </c>
      <c r="AF37" s="764">
        <f t="shared" si="38"/>
        <v>1591.5218038219937</v>
      </c>
      <c r="AG37" s="764">
        <f t="shared" si="38"/>
        <v>586.82829024472392</v>
      </c>
      <c r="AH37" s="764">
        <f t="shared" si="38"/>
        <v>351.62415248788227</v>
      </c>
      <c r="AI37" s="764">
        <f t="shared" si="38"/>
        <v>612.05116869048868</v>
      </c>
      <c r="AJ37" s="129"/>
      <c r="AK37" s="764">
        <f t="shared" ref="AK37:AR37" si="39">SUM(AK6:AK36)</f>
        <v>0</v>
      </c>
      <c r="AL37" s="764">
        <f t="shared" si="39"/>
        <v>0</v>
      </c>
      <c r="AM37" s="764">
        <f t="shared" si="39"/>
        <v>0</v>
      </c>
      <c r="AN37" s="764">
        <f t="shared" si="39"/>
        <v>3657.2621836947851</v>
      </c>
      <c r="AO37" s="764">
        <f t="shared" si="39"/>
        <v>1130.4264931420244</v>
      </c>
      <c r="AP37" s="764">
        <f t="shared" si="39"/>
        <v>289.73116000698946</v>
      </c>
      <c r="AQ37" s="764">
        <f t="shared" si="39"/>
        <v>0</v>
      </c>
      <c r="AR37" s="764">
        <f t="shared" si="39"/>
        <v>289.73116000698946</v>
      </c>
      <c r="AS37" s="129"/>
      <c r="AT37" s="764">
        <f t="shared" ref="AT37:BA37" si="40">SUM(AT6:AT36)</f>
        <v>0</v>
      </c>
      <c r="AU37" s="764">
        <f t="shared" si="40"/>
        <v>0</v>
      </c>
      <c r="AV37" s="764">
        <f t="shared" si="40"/>
        <v>0</v>
      </c>
      <c r="AW37" s="764">
        <f t="shared" si="40"/>
        <v>0</v>
      </c>
      <c r="AX37" s="764">
        <f t="shared" si="40"/>
        <v>0</v>
      </c>
      <c r="AY37" s="764">
        <f t="shared" si="40"/>
        <v>0</v>
      </c>
      <c r="AZ37" s="764">
        <f t="shared" si="40"/>
        <v>0</v>
      </c>
      <c r="BA37" s="764">
        <f t="shared" si="40"/>
        <v>0</v>
      </c>
      <c r="BB37" s="129"/>
      <c r="BC37" s="764">
        <f t="shared" ref="BC37:BJ37" si="41">SUM(BC6:BC36)</f>
        <v>0</v>
      </c>
      <c r="BD37" s="764">
        <f t="shared" si="41"/>
        <v>0</v>
      </c>
      <c r="BE37" s="764">
        <f t="shared" si="41"/>
        <v>0</v>
      </c>
      <c r="BF37" s="764">
        <f t="shared" si="41"/>
        <v>13792.026583785208</v>
      </c>
      <c r="BG37" s="764">
        <f t="shared" si="41"/>
        <v>3343.2164371743497</v>
      </c>
      <c r="BH37" s="764">
        <f t="shared" si="41"/>
        <v>1078.9636297622894</v>
      </c>
      <c r="BI37" s="764">
        <f t="shared" si="41"/>
        <v>436.5732564774363</v>
      </c>
      <c r="BJ37" s="764">
        <f t="shared" si="41"/>
        <v>1113.0404605084493</v>
      </c>
    </row>
    <row r="38" spans="2:62" x14ac:dyDescent="0.25">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765">
        <f t="shared" ref="BC38:BJ38" si="42">IF(ISERROR((BC37-J37)/J37),0,(BC37-J37)/J37)</f>
        <v>0</v>
      </c>
      <c r="BD38" s="765">
        <f t="shared" si="42"/>
        <v>0</v>
      </c>
      <c r="BE38" s="765">
        <f t="shared" si="42"/>
        <v>0</v>
      </c>
      <c r="BF38" s="765">
        <f t="shared" si="42"/>
        <v>3.3520967353075771E-3</v>
      </c>
      <c r="BG38" s="765">
        <f t="shared" si="42"/>
        <v>2.8473153302705305E-3</v>
      </c>
      <c r="BH38" s="765">
        <f t="shared" si="42"/>
        <v>2.7393684854460617E-3</v>
      </c>
      <c r="BI38" s="765">
        <f t="shared" si="42"/>
        <v>3.5478914954869055E-3</v>
      </c>
      <c r="BJ38" s="765">
        <f t="shared" si="42"/>
        <v>5.3154951224275411E-3</v>
      </c>
    </row>
    <row r="39" spans="2:62" x14ac:dyDescent="0.25">
      <c r="J39" s="129"/>
      <c r="K39" s="129"/>
      <c r="L39" s="766">
        <v>44377</v>
      </c>
      <c r="M39" s="766">
        <v>44742</v>
      </c>
      <c r="N39" s="766">
        <v>45107</v>
      </c>
      <c r="O39" s="766">
        <v>45473</v>
      </c>
      <c r="P39" s="766">
        <v>45838</v>
      </c>
      <c r="Q39" s="766">
        <v>46203</v>
      </c>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765"/>
      <c r="BD39" s="765"/>
      <c r="BE39" s="765"/>
      <c r="BF39" s="765"/>
      <c r="BG39" s="765"/>
      <c r="BH39" s="765"/>
      <c r="BI39" s="765"/>
      <c r="BJ39" s="765"/>
    </row>
    <row r="40" spans="2:62" x14ac:dyDescent="0.25">
      <c r="D40" s="1" t="s">
        <v>689</v>
      </c>
      <c r="J40" s="129"/>
      <c r="K40" s="767"/>
      <c r="L40" s="218">
        <f>L13+L17+L18</f>
        <v>0</v>
      </c>
      <c r="M40" s="218">
        <f>M13+M17+M18</f>
        <v>4611</v>
      </c>
      <c r="N40" s="218">
        <f t="shared" ref="N40:Q40" si="43">N13+N17+N18</f>
        <v>2385.5</v>
      </c>
      <c r="O40" s="218">
        <f t="shared" si="43"/>
        <v>665.5</v>
      </c>
      <c r="P40" s="218">
        <f t="shared" si="43"/>
        <v>5.5</v>
      </c>
      <c r="Q40" s="218">
        <f t="shared" si="43"/>
        <v>685</v>
      </c>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218">
        <f>BF13+BF17+BF18</f>
        <v>4626.6171648411746</v>
      </c>
      <c r="BG40" s="218">
        <f t="shared" ref="BG40:BJ40" si="44">BG13+BG17+BG18</f>
        <v>2392.1851690376538</v>
      </c>
      <c r="BH40" s="218">
        <f t="shared" si="44"/>
        <v>667.28385191651864</v>
      </c>
      <c r="BI40" s="218">
        <f t="shared" si="44"/>
        <v>5.5193379348999869</v>
      </c>
      <c r="BJ40" s="218">
        <f t="shared" si="44"/>
        <v>688.5651388938561</v>
      </c>
    </row>
    <row r="41" spans="2:62" x14ac:dyDescent="0.25">
      <c r="J41" s="129"/>
      <c r="K41" s="129"/>
      <c r="L41" s="129"/>
      <c r="M41" s="129"/>
      <c r="N41" s="129"/>
      <c r="O41" s="129"/>
      <c r="P41" s="129"/>
      <c r="Q41" s="218">
        <f>SUM(M40:Q40)</f>
        <v>8352.5</v>
      </c>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row>
    <row r="42" spans="2:62" x14ac:dyDescent="0.25">
      <c r="M42" s="313"/>
      <c r="N42" s="313"/>
      <c r="O42" s="313"/>
      <c r="P42" s="313"/>
      <c r="Q42" s="313"/>
    </row>
    <row r="43" spans="2:62" x14ac:dyDescent="0.25">
      <c r="M43" s="330"/>
      <c r="N43" s="313"/>
      <c r="O43" s="313"/>
      <c r="P43" s="313"/>
      <c r="Q43" s="313"/>
    </row>
    <row r="44" spans="2:62" x14ac:dyDescent="0.25">
      <c r="M44" s="330"/>
      <c r="N44" s="313"/>
      <c r="O44" s="313"/>
      <c r="P44" s="313"/>
      <c r="Q44" s="313"/>
    </row>
    <row r="45" spans="2:62" x14ac:dyDescent="0.25">
      <c r="M45" s="330"/>
      <c r="N45" s="157"/>
      <c r="O45" s="157"/>
      <c r="P45" s="157"/>
      <c r="Q45" s="157"/>
    </row>
    <row r="46" spans="2:62" x14ac:dyDescent="0.25">
      <c r="K46" s="78"/>
      <c r="L46" s="78"/>
      <c r="M46" s="331"/>
      <c r="N46" s="273"/>
      <c r="O46" s="273"/>
      <c r="P46" s="273"/>
      <c r="Q46" s="273"/>
    </row>
    <row r="47" spans="2:62" x14ac:dyDescent="0.25">
      <c r="M47" s="78"/>
      <c r="N47" s="157"/>
    </row>
    <row r="48" spans="2:62" x14ac:dyDescent="0.25">
      <c r="J48" s="314"/>
      <c r="K48" s="314"/>
      <c r="L48" s="328"/>
      <c r="M48" s="78"/>
      <c r="N48" s="157"/>
    </row>
    <row r="49" spans="10:19" x14ac:dyDescent="0.25">
      <c r="J49" s="216"/>
      <c r="K49" s="216"/>
      <c r="L49" s="216"/>
      <c r="M49" s="78"/>
      <c r="N49" s="157"/>
    </row>
    <row r="50" spans="10:19" x14ac:dyDescent="0.25">
      <c r="J50" s="216"/>
      <c r="K50" s="216"/>
      <c r="L50" s="216"/>
      <c r="M50" s="78"/>
      <c r="N50" s="157"/>
    </row>
    <row r="51" spans="10:19" x14ac:dyDescent="0.25">
      <c r="J51" s="216"/>
      <c r="K51" s="216"/>
      <c r="L51" s="216"/>
      <c r="M51" s="78"/>
      <c r="N51" s="157"/>
    </row>
    <row r="56" spans="10:19" x14ac:dyDescent="0.25">
      <c r="J56" s="39"/>
      <c r="K56" s="39"/>
      <c r="L56" s="39"/>
      <c r="M56" s="39"/>
      <c r="N56" s="39"/>
      <c r="S56" s="39"/>
    </row>
  </sheetData>
  <mergeCells count="13">
    <mergeCell ref="M1:N1"/>
    <mergeCell ref="BC4:BJ4"/>
    <mergeCell ref="J3:Q3"/>
    <mergeCell ref="S3:Z3"/>
    <mergeCell ref="AB3:AI3"/>
    <mergeCell ref="AK3:AR3"/>
    <mergeCell ref="AT3:BA3"/>
    <mergeCell ref="BC3:BJ3"/>
    <mergeCell ref="J4:Q4"/>
    <mergeCell ref="S4:Z4"/>
    <mergeCell ref="AB4:AI4"/>
    <mergeCell ref="AK4:AR4"/>
    <mergeCell ref="AT4:BA4"/>
  </mergeCells>
  <hyperlinks>
    <hyperlink ref="B2" location="Contents!A1" display="Table of Contents"/>
  </hyperlink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5">
        <x14:dataValidation type="list" errorStyle="warning" showInputMessage="1" showErrorMessage="1" error="Invalid data entered" prompt="Select from drop down list">
          <x14:formula1>
            <xm:f>Lookups!$I$5:$I$8</xm:f>
          </x14:formula1>
          <xm:sqref>G6:G36</xm:sqref>
        </x14:dataValidation>
        <x14:dataValidation type="list" allowBlank="1" showInputMessage="1" showErrorMessage="1" prompt="Select from drop down list">
          <x14:formula1>
            <xm:f>Lookups!$I$15:$I$26</xm:f>
          </x14:formula1>
          <xm:sqref>I6:I36</xm:sqref>
        </x14:dataValidation>
        <x14:dataValidation type="list" errorStyle="warning" showInputMessage="1" showErrorMessage="1" error="Invalid data entered" prompt="Select from drop down list">
          <x14:formula1>
            <xm:f>Lookups!$C$16:$C$27</xm:f>
          </x14:formula1>
          <xm:sqref>F6:F36</xm:sqref>
        </x14:dataValidation>
        <x14:dataValidation type="list" errorStyle="warning" showInputMessage="1" showErrorMessage="1" error="Invalid data entered" prompt="Select from drop down list">
          <x14:formula1>
            <xm:f>Lookups!$C$5:$C$13</xm:f>
          </x14:formula1>
          <xm:sqref>E6:E36</xm:sqref>
        </x14:dataValidation>
        <x14:dataValidation type="list" allowBlank="1" showInputMessage="1" showErrorMessage="1" prompt="Select from drop down list">
          <x14:formula1>
            <xm:f>Lab_Mat!$C$23:$C$28</xm:f>
          </x14:formula1>
          <xm:sqref>H6:H36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BK41"/>
  <sheetViews>
    <sheetView topLeftCell="A16" zoomScale="85" zoomScaleNormal="85" zoomScalePageLayoutView="125" workbookViewId="0">
      <pane xSplit="7" topLeftCell="H1" activePane="topRight" state="frozen"/>
      <selection activeCell="V33" sqref="V33"/>
      <selection pane="topRight" activeCell="BI37" sqref="K37:BI37"/>
    </sheetView>
  </sheetViews>
  <sheetFormatPr defaultColWidth="8.85546875" defaultRowHeight="15" outlineLevelCol="1" x14ac:dyDescent="0.25"/>
  <cols>
    <col min="1" max="1" width="4" style="1" customWidth="1"/>
    <col min="2" max="2" width="16" style="1" customWidth="1"/>
    <col min="3" max="3" width="41" style="1" customWidth="1"/>
    <col min="4" max="4" width="10.28515625" style="1" customWidth="1"/>
    <col min="5" max="5" width="33.28515625" style="1" customWidth="1" outlineLevel="1"/>
    <col min="6" max="6" width="33.42578125" style="1" customWidth="1" outlineLevel="1"/>
    <col min="7" max="7" width="21.140625" style="1" customWidth="1" outlineLevel="1"/>
    <col min="8" max="8" width="27.140625" style="1" customWidth="1" outlineLevel="1"/>
    <col min="9" max="16" width="9.42578125" style="1" customWidth="1"/>
    <col min="17" max="17" width="2.85546875" style="1" customWidth="1"/>
    <col min="18" max="25" width="8.85546875" style="1"/>
    <col min="26" max="26" width="2.85546875" style="1" customWidth="1"/>
    <col min="27" max="34" width="8.85546875" style="1"/>
    <col min="35" max="35" width="2.42578125" style="1" customWidth="1"/>
    <col min="36" max="43" width="8.85546875" style="1"/>
    <col min="44" max="44" width="2.85546875" style="1" customWidth="1"/>
    <col min="45" max="52" width="8.85546875" style="1"/>
    <col min="53" max="53" width="2.85546875" style="1" customWidth="1"/>
    <col min="54" max="16384" width="8.85546875" style="1"/>
  </cols>
  <sheetData>
    <row r="1" spans="2:63" ht="18.75" x14ac:dyDescent="0.3">
      <c r="B1" s="10" t="s">
        <v>14</v>
      </c>
      <c r="L1" s="825" t="s">
        <v>749</v>
      </c>
      <c r="M1" s="825"/>
    </row>
    <row r="2" spans="2:63" x14ac:dyDescent="0.25">
      <c r="B2" s="25" t="s">
        <v>6</v>
      </c>
      <c r="AA2" s="88"/>
      <c r="AB2" s="88"/>
      <c r="AC2" s="88"/>
    </row>
    <row r="3" spans="2:63" x14ac:dyDescent="0.25">
      <c r="I3" s="829"/>
      <c r="J3" s="829"/>
      <c r="K3" s="829"/>
      <c r="L3" s="829"/>
      <c r="M3" s="829"/>
      <c r="N3" s="829"/>
      <c r="O3" s="829"/>
      <c r="P3" s="829"/>
      <c r="R3" s="829"/>
      <c r="S3" s="829"/>
      <c r="T3" s="829"/>
      <c r="U3" s="829"/>
      <c r="V3" s="829"/>
      <c r="W3" s="829"/>
      <c r="X3" s="829"/>
      <c r="Y3" s="829"/>
      <c r="AA3" s="829"/>
      <c r="AB3" s="829"/>
      <c r="AC3" s="829"/>
      <c r="AD3" s="829"/>
      <c r="AE3" s="829"/>
      <c r="AF3" s="829"/>
      <c r="AG3" s="829"/>
      <c r="AH3" s="829"/>
      <c r="AJ3" s="829"/>
      <c r="AK3" s="829"/>
      <c r="AL3" s="829"/>
      <c r="AM3" s="829"/>
      <c r="AN3" s="829"/>
      <c r="AO3" s="829"/>
      <c r="AP3" s="829"/>
      <c r="AQ3" s="829"/>
      <c r="AS3" s="829"/>
      <c r="AT3" s="829"/>
      <c r="AU3" s="829"/>
      <c r="AV3" s="829"/>
      <c r="AW3" s="829"/>
      <c r="AX3" s="829"/>
      <c r="AY3" s="829"/>
      <c r="AZ3" s="829"/>
      <c r="BB3" s="829"/>
      <c r="BC3" s="829"/>
      <c r="BD3" s="829"/>
      <c r="BE3" s="829"/>
      <c r="BF3" s="829"/>
      <c r="BG3" s="829"/>
      <c r="BH3" s="829"/>
      <c r="BI3" s="829"/>
    </row>
    <row r="4" spans="2:63" ht="30.6" customHeight="1" x14ac:dyDescent="0.25">
      <c r="I4" s="826" t="s">
        <v>380</v>
      </c>
      <c r="J4" s="827"/>
      <c r="K4" s="827"/>
      <c r="L4" s="827"/>
      <c r="M4" s="827"/>
      <c r="N4" s="827"/>
      <c r="O4" s="827"/>
      <c r="P4" s="828"/>
      <c r="R4" s="826" t="s">
        <v>174</v>
      </c>
      <c r="S4" s="827"/>
      <c r="T4" s="827"/>
      <c r="U4" s="827"/>
      <c r="V4" s="827"/>
      <c r="W4" s="827"/>
      <c r="X4" s="827"/>
      <c r="Y4" s="828"/>
      <c r="AA4" s="826" t="s">
        <v>173</v>
      </c>
      <c r="AB4" s="827"/>
      <c r="AC4" s="827"/>
      <c r="AD4" s="827"/>
      <c r="AE4" s="827"/>
      <c r="AF4" s="827"/>
      <c r="AG4" s="827"/>
      <c r="AH4" s="828"/>
      <c r="AJ4" s="826" t="s">
        <v>299</v>
      </c>
      <c r="AK4" s="827"/>
      <c r="AL4" s="827"/>
      <c r="AM4" s="827"/>
      <c r="AN4" s="827"/>
      <c r="AO4" s="827"/>
      <c r="AP4" s="827"/>
      <c r="AQ4" s="828"/>
      <c r="AS4" s="826" t="s">
        <v>175</v>
      </c>
      <c r="AT4" s="827"/>
      <c r="AU4" s="827"/>
      <c r="AV4" s="827"/>
      <c r="AW4" s="827"/>
      <c r="AX4" s="827"/>
      <c r="AY4" s="827"/>
      <c r="AZ4" s="828"/>
      <c r="BB4" s="826" t="s">
        <v>381</v>
      </c>
      <c r="BC4" s="827"/>
      <c r="BD4" s="827"/>
      <c r="BE4" s="827"/>
      <c r="BF4" s="827"/>
      <c r="BG4" s="827"/>
      <c r="BH4" s="827"/>
      <c r="BI4" s="828"/>
    </row>
    <row r="5" spans="2:63" ht="16.149999999999999" customHeight="1" x14ac:dyDescent="0.25">
      <c r="B5" s="8" t="s">
        <v>23</v>
      </c>
      <c r="C5" s="8" t="s">
        <v>24</v>
      </c>
      <c r="D5" s="17" t="s">
        <v>98</v>
      </c>
      <c r="E5" s="17" t="s">
        <v>76</v>
      </c>
      <c r="F5" s="17" t="s">
        <v>77</v>
      </c>
      <c r="G5" s="17" t="s">
        <v>212</v>
      </c>
      <c r="H5" s="17" t="s">
        <v>361</v>
      </c>
      <c r="I5" s="335">
        <f>CP_Yr_4</f>
        <v>43800</v>
      </c>
      <c r="J5" s="335">
        <f>CP_Yr_5</f>
        <v>44166</v>
      </c>
      <c r="K5" s="335">
        <f>Stub</f>
        <v>44377</v>
      </c>
      <c r="L5" s="335">
        <f>Yr_1</f>
        <v>44742</v>
      </c>
      <c r="M5" s="335">
        <f>Yr_2</f>
        <v>45107</v>
      </c>
      <c r="N5" s="335">
        <f>Yr_3</f>
        <v>45473</v>
      </c>
      <c r="O5" s="335">
        <f>Yr_4</f>
        <v>45838</v>
      </c>
      <c r="P5" s="335">
        <f>Yr_5</f>
        <v>46203</v>
      </c>
      <c r="Q5" s="336"/>
      <c r="R5" s="335">
        <f>CP_Yr_4</f>
        <v>43800</v>
      </c>
      <c r="S5" s="335">
        <f>CP_Yr_5</f>
        <v>44166</v>
      </c>
      <c r="T5" s="335">
        <f>Stub</f>
        <v>44377</v>
      </c>
      <c r="U5" s="335">
        <f>Yr_1</f>
        <v>44742</v>
      </c>
      <c r="V5" s="335">
        <f>Yr_2</f>
        <v>45107</v>
      </c>
      <c r="W5" s="335">
        <f>Yr_3</f>
        <v>45473</v>
      </c>
      <c r="X5" s="335">
        <f>Yr_4</f>
        <v>45838</v>
      </c>
      <c r="Y5" s="335">
        <f>Yr_5</f>
        <v>46203</v>
      </c>
      <c r="Z5" s="336"/>
      <c r="AA5" s="335">
        <f>CP_Yr_4</f>
        <v>43800</v>
      </c>
      <c r="AB5" s="335">
        <f>CP_Yr_5</f>
        <v>44166</v>
      </c>
      <c r="AC5" s="335">
        <f>Stub</f>
        <v>44377</v>
      </c>
      <c r="AD5" s="335">
        <f>Yr_1</f>
        <v>44742</v>
      </c>
      <c r="AE5" s="335">
        <f>Yr_2</f>
        <v>45107</v>
      </c>
      <c r="AF5" s="335">
        <f>Yr_3</f>
        <v>45473</v>
      </c>
      <c r="AG5" s="335">
        <f>Yr_4</f>
        <v>45838</v>
      </c>
      <c r="AH5" s="335">
        <f>Yr_5</f>
        <v>46203</v>
      </c>
      <c r="AI5" s="336"/>
      <c r="AJ5" s="335">
        <f>CP_Yr_4</f>
        <v>43800</v>
      </c>
      <c r="AK5" s="335">
        <f>CP_Yr_5</f>
        <v>44166</v>
      </c>
      <c r="AL5" s="335">
        <f>Stub</f>
        <v>44377</v>
      </c>
      <c r="AM5" s="335">
        <f>Yr_1</f>
        <v>44742</v>
      </c>
      <c r="AN5" s="335">
        <f>Yr_2</f>
        <v>45107</v>
      </c>
      <c r="AO5" s="335">
        <f>Yr_3</f>
        <v>45473</v>
      </c>
      <c r="AP5" s="335">
        <f>Yr_4</f>
        <v>45838</v>
      </c>
      <c r="AQ5" s="335">
        <f>Yr_5</f>
        <v>46203</v>
      </c>
      <c r="AR5" s="336"/>
      <c r="AS5" s="335">
        <f>CP_Yr_4</f>
        <v>43800</v>
      </c>
      <c r="AT5" s="335">
        <f>CP_Yr_5</f>
        <v>44166</v>
      </c>
      <c r="AU5" s="335">
        <f>Stub</f>
        <v>44377</v>
      </c>
      <c r="AV5" s="335">
        <f>Yr_1</f>
        <v>44742</v>
      </c>
      <c r="AW5" s="335">
        <f>Yr_2</f>
        <v>45107</v>
      </c>
      <c r="AX5" s="335">
        <f>Yr_3</f>
        <v>45473</v>
      </c>
      <c r="AY5" s="335">
        <f>Yr_4</f>
        <v>45838</v>
      </c>
      <c r="AZ5" s="335">
        <f>Yr_5</f>
        <v>46203</v>
      </c>
      <c r="BA5" s="336"/>
      <c r="BB5" s="335">
        <f>CP_Yr_4</f>
        <v>43800</v>
      </c>
      <c r="BC5" s="335">
        <f>CP_Yr_5</f>
        <v>44166</v>
      </c>
      <c r="BD5" s="335">
        <f>Stub</f>
        <v>44377</v>
      </c>
      <c r="BE5" s="335">
        <f>Yr_1</f>
        <v>44742</v>
      </c>
      <c r="BF5" s="335">
        <f>Yr_2</f>
        <v>45107</v>
      </c>
      <c r="BG5" s="335">
        <f>Yr_3</f>
        <v>45473</v>
      </c>
      <c r="BH5" s="335">
        <f>Yr_4</f>
        <v>45838</v>
      </c>
      <c r="BI5" s="335">
        <f>Yr_5</f>
        <v>46203</v>
      </c>
    </row>
    <row r="6" spans="2:63" x14ac:dyDescent="0.25">
      <c r="B6" s="7"/>
      <c r="C6" s="7" t="s">
        <v>282</v>
      </c>
      <c r="D6" s="7"/>
      <c r="E6" s="7" t="s">
        <v>50</v>
      </c>
      <c r="F6" s="7" t="s">
        <v>50</v>
      </c>
      <c r="G6" s="7" t="s">
        <v>162</v>
      </c>
      <c r="H6" s="7" t="s">
        <v>336</v>
      </c>
      <c r="I6" s="45"/>
      <c r="J6" s="45"/>
      <c r="K6" s="128">
        <v>1362.7707</v>
      </c>
      <c r="L6" s="128">
        <v>1914.5985315126049</v>
      </c>
      <c r="M6" s="128">
        <v>1762.1738659663861</v>
      </c>
      <c r="N6" s="128">
        <v>2158.2905483193272</v>
      </c>
      <c r="O6" s="128">
        <v>4202.5892294117639</v>
      </c>
      <c r="P6" s="128">
        <v>3020.865084453781</v>
      </c>
      <c r="Q6" s="129"/>
      <c r="R6" s="128">
        <f>INDEX(Direct_Cost_Splits_Non_Ntwk,MATCH($G6,RIN_Asset_Cat_Non_Ntwk,0),MATCH($R$4,Direct_Cost_Type,0))*I6*HLOOKUP(R$5,Escalators!$I$25:$U$30,3,FALSE)</f>
        <v>0</v>
      </c>
      <c r="S6" s="128">
        <f>INDEX(Direct_Cost_Splits_Non_Ntwk,MATCH($G6,RIN_Asset_Cat_Non_Ntwk,0),MATCH($R$4,Direct_Cost_Type,0))*J6*HLOOKUP(S$5,Escalators!$I$25:$U$30,3,FALSE)</f>
        <v>0</v>
      </c>
      <c r="T6" s="128">
        <f>INDEX(Direct_Cost_Splits_Non_Ntwk,MATCH($G6,RIN_Asset_Cat_Non_Ntwk,0),MATCH($R$4,Direct_Cost_Type,0))*K6*HLOOKUP(T$5,Escalators!$I$25:$U$30,3,FALSE)</f>
        <v>0.10463932940444048</v>
      </c>
      <c r="U6" s="128">
        <f>INDEX(Direct_Cost_Splits_Non_Ntwk,MATCH($G6,RIN_Asset_Cat_Non_Ntwk,0),MATCH($R$4,Direct_Cost_Type,0))*L6*HLOOKUP(U$5,Escalators!$I$25:$U$30,3,FALSE)</f>
        <v>0.14736189925952362</v>
      </c>
      <c r="V6" s="128">
        <f>INDEX(Direct_Cost_Splits_Non_Ntwk,MATCH($G6,RIN_Asset_Cat_Non_Ntwk,0),MATCH($R$4,Direct_Cost_Type,0))*M6*HLOOKUP(V$5,Escalators!$I$25:$U$30,3,FALSE)</f>
        <v>0.13529138251667122</v>
      </c>
      <c r="W6" s="128">
        <f>INDEX(Direct_Cost_Splits_Non_Ntwk,MATCH($G6,RIN_Asset_Cat_Non_Ntwk,0),MATCH($R$4,Direct_Cost_Type,0))*N6*HLOOKUP(W$5,Escalators!$I$25:$U$30,3,FALSE)</f>
        <v>0.16558299816204927</v>
      </c>
      <c r="X6" s="128">
        <f>INDEX(Direct_Cost_Splits_Non_Ntwk,MATCH($G6,RIN_Asset_Cat_Non_Ntwk,0),MATCH($R$4,Direct_Cost_Type,0))*O6*HLOOKUP(X$5,Escalators!$I$25:$U$30,3,FALSE)</f>
        <v>0.32360476554896517</v>
      </c>
      <c r="Y6" s="128">
        <f>INDEX(Direct_Cost_Splits_Non_Ntwk,MATCH($G6,RIN_Asset_Cat_Non_Ntwk,0),MATCH($R$4,Direct_Cost_Type,0))*P6*HLOOKUP(Y$5,Escalators!$I$25:$U$30,3,FALSE)</f>
        <v>0.23492867009638982</v>
      </c>
      <c r="Z6" s="129"/>
      <c r="AA6" s="128">
        <f t="shared" ref="AA6:AH7" si="0">INDEX(Direct_Cost_Splits_Non_Ntwk,MATCH($G6,RIN_Asset_Cat_Non_Ntwk,0),MATCH($AA$4,Direct_Cost_Type,0))*I6</f>
        <v>0</v>
      </c>
      <c r="AB6" s="128">
        <f t="shared" si="0"/>
        <v>0</v>
      </c>
      <c r="AC6" s="128">
        <f t="shared" si="0"/>
        <v>425.65931265721525</v>
      </c>
      <c r="AD6" s="128">
        <f t="shared" si="0"/>
        <v>598.02187920401354</v>
      </c>
      <c r="AE6" s="128">
        <f t="shared" si="0"/>
        <v>550.41227153604018</v>
      </c>
      <c r="AF6" s="128">
        <f t="shared" si="0"/>
        <v>674.13870235995603</v>
      </c>
      <c r="AG6" s="128">
        <f t="shared" si="0"/>
        <v>1312.6722219460892</v>
      </c>
      <c r="AH6" s="128">
        <f t="shared" si="0"/>
        <v>943.56251970986523</v>
      </c>
      <c r="AI6" s="129"/>
      <c r="AJ6" s="128">
        <f>INDEX(Direct_Cost_Splits_Non_Ntwk,MATCH($G6,RIN_Asset_Cat_Non_Ntwk,0),MATCH($AJ$4,Direct_Cost_Type,0))*I6*HLOOKUP(AJ$5,Escalators!$I$25:$U$30,6,FALSE)</f>
        <v>0</v>
      </c>
      <c r="AK6" s="128">
        <f>INDEX(Direct_Cost_Splits_Non_Ntwk,MATCH($G6,RIN_Asset_Cat_Non_Ntwk,0),MATCH($AJ$4,Direct_Cost_Type,0))*J6*HLOOKUP(AK$5,Escalators!$I$25:$U$30,6,FALSE)</f>
        <v>0</v>
      </c>
      <c r="AL6" s="128">
        <f>INDEX(Direct_Cost_Splits_Non_Ntwk,MATCH($G6,RIN_Asset_Cat_Non_Ntwk,0),MATCH($AJ$4,Direct_Cost_Type,0))*K6*HLOOKUP(AL$5,Escalators!$I$25:$U$30,6,FALSE)</f>
        <v>-2.1614947242143523E-2</v>
      </c>
      <c r="AM6" s="128">
        <f>INDEX(Direct_Cost_Splits_Non_Ntwk,MATCH($G6,RIN_Asset_Cat_Non_Ntwk,0),MATCH($AJ$4,Direct_Cost_Type,0))*L6*HLOOKUP(AM$5,Escalators!$I$25:$U$30,6,FALSE)</f>
        <v>-3.0367505148540704E-2</v>
      </c>
      <c r="AN6" s="128">
        <f>INDEX(Direct_Cost_Splits_Non_Ntwk,MATCH($G6,RIN_Asset_Cat_Non_Ntwk,0),MATCH($AJ$4,Direct_Cost_Type,0))*M6*HLOOKUP(AN$5,Escalators!$I$25:$U$30,6,FALSE)</f>
        <v>-2.7949892923547246E-2</v>
      </c>
      <c r="AO6" s="128">
        <f>INDEX(Direct_Cost_Splits_Non_Ntwk,MATCH($G6,RIN_Asset_Cat_Non_Ntwk,0),MATCH($AJ$4,Direct_Cost_Type,0))*N6*HLOOKUP(AO$5,Escalators!$I$25:$U$30,6,FALSE)</f>
        <v>-3.4232711589073109E-2</v>
      </c>
      <c r="AP6" s="128">
        <f>INDEX(Direct_Cost_Splits_Non_Ntwk,MATCH($G6,RIN_Asset_Cat_Non_Ntwk,0),MATCH($AJ$4,Direct_Cost_Type,0))*O6*HLOOKUP(AP$5,Escalators!$I$25:$U$30,6,FALSE)</f>
        <v>-6.6657394728354427E-2</v>
      </c>
      <c r="AQ6" s="128">
        <f>INDEX(Direct_Cost_Splits_Non_Ntwk,MATCH($G6,RIN_Asset_Cat_Non_Ntwk,0),MATCH($AJ$4,Direct_Cost_Type,0))*P6*HLOOKUP(AQ$5,Escalators!$I$25:$U$30,6,FALSE)</f>
        <v>-4.7914032365167461E-2</v>
      </c>
      <c r="AR6" s="129"/>
      <c r="AS6" s="763">
        <f t="shared" ref="AS6:AZ7" si="1">INDEX(Direct_Cost_Splits_Non_Ntwk,MATCH($G6,RIN_Asset_Cat_Non_Ntwk,0),MATCH($AS$4,Direct_Cost_Type,0))*I6</f>
        <v>0</v>
      </c>
      <c r="AT6" s="763">
        <f t="shared" si="1"/>
        <v>0</v>
      </c>
      <c r="AU6" s="763">
        <f t="shared" si="1"/>
        <v>937.0299737603674</v>
      </c>
      <c r="AV6" s="763">
        <f t="shared" si="1"/>
        <v>1316.4622718590106</v>
      </c>
      <c r="AW6" s="763">
        <f t="shared" si="1"/>
        <v>1211.6563200160438</v>
      </c>
      <c r="AX6" s="763">
        <f t="shared" si="1"/>
        <v>1484.0229070517205</v>
      </c>
      <c r="AY6" s="763">
        <f t="shared" si="1"/>
        <v>2889.6659396634427</v>
      </c>
      <c r="AZ6" s="763">
        <f t="shared" si="1"/>
        <v>2077.1220945822629</v>
      </c>
      <c r="BA6" s="129"/>
      <c r="BB6" s="128">
        <f t="shared" ref="BB6:BI7" si="2">R6+AA6+AJ6+AS6</f>
        <v>0</v>
      </c>
      <c r="BC6" s="128">
        <f t="shared" si="2"/>
        <v>0</v>
      </c>
      <c r="BD6" s="128">
        <f t="shared" si="2"/>
        <v>1362.7723107997449</v>
      </c>
      <c r="BE6" s="128">
        <f t="shared" si="2"/>
        <v>1914.6011454571351</v>
      </c>
      <c r="BF6" s="128">
        <f t="shared" si="2"/>
        <v>1762.1759330416771</v>
      </c>
      <c r="BG6" s="128">
        <f t="shared" si="2"/>
        <v>2158.2929596982494</v>
      </c>
      <c r="BH6" s="128">
        <f t="shared" si="2"/>
        <v>4202.595108980353</v>
      </c>
      <c r="BI6" s="128">
        <f t="shared" si="2"/>
        <v>3020.8716289298591</v>
      </c>
    </row>
    <row r="7" spans="2:63" x14ac:dyDescent="0.25">
      <c r="B7" s="7"/>
      <c r="C7" s="7" t="s">
        <v>283</v>
      </c>
      <c r="D7" s="7"/>
      <c r="E7" s="7" t="s">
        <v>50</v>
      </c>
      <c r="F7" s="7" t="s">
        <v>50</v>
      </c>
      <c r="G7" s="7" t="s">
        <v>5</v>
      </c>
      <c r="H7" s="7" t="s">
        <v>363</v>
      </c>
      <c r="I7" s="45"/>
      <c r="J7" s="45"/>
      <c r="K7" s="128">
        <v>614</v>
      </c>
      <c r="L7" s="128">
        <v>1228</v>
      </c>
      <c r="M7" s="128">
        <v>1228</v>
      </c>
      <c r="N7" s="128">
        <v>1228</v>
      </c>
      <c r="O7" s="128">
        <v>1228</v>
      </c>
      <c r="P7" s="128">
        <v>1228</v>
      </c>
      <c r="Q7" s="129"/>
      <c r="R7" s="128">
        <f>INDEX(Direct_Cost_Splits_Non_Ntwk,MATCH($G7,RIN_Asset_Cat_Non_Ntwk,0),MATCH($R$4,Direct_Cost_Type,0))*I7*HLOOKUP(R$5,Escalators!$I$25:$U$30,3,FALSE)</f>
        <v>0</v>
      </c>
      <c r="S7" s="128">
        <f>INDEX(Direct_Cost_Splits_Non_Ntwk,MATCH($G7,RIN_Asset_Cat_Non_Ntwk,0),MATCH($R$4,Direct_Cost_Type,0))*J7*HLOOKUP(S$5,Escalators!$I$25:$U$30,3,FALSE)</f>
        <v>0</v>
      </c>
      <c r="T7" s="128">
        <f>INDEX(Direct_Cost_Splits_Non_Ntwk,MATCH($G7,RIN_Asset_Cat_Non_Ntwk,0),MATCH($R$4,Direct_Cost_Type,0))*K7*HLOOKUP(T$5,Escalators!$I$25:$U$30,3,FALSE)</f>
        <v>25.88988114471104</v>
      </c>
      <c r="U7" s="128">
        <f>INDEX(Direct_Cost_Splits_Non_Ntwk,MATCH($G7,RIN_Asset_Cat_Non_Ntwk,0),MATCH($R$4,Direct_Cost_Type,0))*L7*HLOOKUP(U$5,Escalators!$I$25:$U$30,3,FALSE)</f>
        <v>51.903348978761926</v>
      </c>
      <c r="V7" s="128">
        <f>INDEX(Direct_Cost_Splits_Non_Ntwk,MATCH($G7,RIN_Asset_Cat_Non_Ntwk,0),MATCH($R$4,Direct_Cost_Type,0))*M7*HLOOKUP(V$5,Escalators!$I$25:$U$30,3,FALSE)</f>
        <v>51.773708093177177</v>
      </c>
      <c r="W7" s="128">
        <f>INDEX(Direct_Cost_Splits_Non_Ntwk,MATCH($G7,RIN_Asset_Cat_Non_Ntwk,0),MATCH($R$4,Direct_Cost_Type,0))*N7*HLOOKUP(W$5,Escalators!$I$25:$U$30,3,FALSE)</f>
        <v>51.736104509194504</v>
      </c>
      <c r="X7" s="128">
        <f>INDEX(Direct_Cost_Splits_Non_Ntwk,MATCH($G7,RIN_Asset_Cat_Non_Ntwk,0),MATCH($R$4,Direct_Cost_Type,0))*O7*HLOOKUP(X$5,Escalators!$I$25:$U$30,3,FALSE)</f>
        <v>51.926118196460187</v>
      </c>
      <c r="Y7" s="128">
        <f>INDEX(Direct_Cost_Splits_Non_Ntwk,MATCH($G7,RIN_Asset_Cat_Non_Ntwk,0),MATCH($R$4,Direct_Cost_Type,0))*P7*HLOOKUP(Y$5,Escalators!$I$25:$U$30,3,FALSE)</f>
        <v>52.443610442999294</v>
      </c>
      <c r="Z7" s="129"/>
      <c r="AA7" s="128">
        <f t="shared" si="0"/>
        <v>0</v>
      </c>
      <c r="AB7" s="128">
        <f t="shared" si="0"/>
        <v>0</v>
      </c>
      <c r="AC7" s="128">
        <f t="shared" si="0"/>
        <v>335.5119971501029</v>
      </c>
      <c r="AD7" s="128">
        <f t="shared" si="0"/>
        <v>671.0239943002058</v>
      </c>
      <c r="AE7" s="128">
        <f t="shared" si="0"/>
        <v>671.0239943002058</v>
      </c>
      <c r="AF7" s="128">
        <f t="shared" si="0"/>
        <v>671.0239943002058</v>
      </c>
      <c r="AG7" s="128">
        <f t="shared" si="0"/>
        <v>671.0239943002058</v>
      </c>
      <c r="AH7" s="128">
        <f t="shared" si="0"/>
        <v>671.0239943002058</v>
      </c>
      <c r="AI7" s="129"/>
      <c r="AJ7" s="128">
        <f>INDEX(Direct_Cost_Splits_Non_Ntwk,MATCH($G7,RIN_Asset_Cat_Non_Ntwk,0),MATCH($AJ$4,Direct_Cost_Type,0))*I7*HLOOKUP(AJ$5,Escalators!$I$25:$U$30,6,FALSE)</f>
        <v>0</v>
      </c>
      <c r="AK7" s="128">
        <f>INDEX(Direct_Cost_Splits_Non_Ntwk,MATCH($G7,RIN_Asset_Cat_Non_Ntwk,0),MATCH($AJ$4,Direct_Cost_Type,0))*J7*HLOOKUP(AK$5,Escalators!$I$25:$U$30,6,FALSE)</f>
        <v>0</v>
      </c>
      <c r="AL7" s="128">
        <f>INDEX(Direct_Cost_Splits_Non_Ntwk,MATCH($G7,RIN_Asset_Cat_Non_Ntwk,0),MATCH($AJ$4,Direct_Cost_Type,0))*K7*HLOOKUP(AL$5,Escalators!$I$25:$U$30,6,FALSE)</f>
        <v>115.53357280591808</v>
      </c>
      <c r="AM7" s="128">
        <f>INDEX(Direct_Cost_Splits_Non_Ntwk,MATCH($G7,RIN_Asset_Cat_Non_Ntwk,0),MATCH($AJ$4,Direct_Cost_Type,0))*L7*HLOOKUP(AM$5,Escalators!$I$25:$U$30,6,FALSE)</f>
        <v>231.06714561183617</v>
      </c>
      <c r="AN7" s="128">
        <f>INDEX(Direct_Cost_Splits_Non_Ntwk,MATCH($G7,RIN_Asset_Cat_Non_Ntwk,0),MATCH($AJ$4,Direct_Cost_Type,0))*M7*HLOOKUP(AN$5,Escalators!$I$25:$U$30,6,FALSE)</f>
        <v>231.06714561183617</v>
      </c>
      <c r="AO7" s="128">
        <f>INDEX(Direct_Cost_Splits_Non_Ntwk,MATCH($G7,RIN_Asset_Cat_Non_Ntwk,0),MATCH($AJ$4,Direct_Cost_Type,0))*N7*HLOOKUP(AO$5,Escalators!$I$25:$U$30,6,FALSE)</f>
        <v>231.06714561183617</v>
      </c>
      <c r="AP7" s="128">
        <f>INDEX(Direct_Cost_Splits_Non_Ntwk,MATCH($G7,RIN_Asset_Cat_Non_Ntwk,0),MATCH($AJ$4,Direct_Cost_Type,0))*O7*HLOOKUP(AP$5,Escalators!$I$25:$U$30,6,FALSE)</f>
        <v>231.06714561183617</v>
      </c>
      <c r="AQ7" s="128">
        <f>INDEX(Direct_Cost_Splits_Non_Ntwk,MATCH($G7,RIN_Asset_Cat_Non_Ntwk,0),MATCH($AJ$4,Direct_Cost_Type,0))*P7*HLOOKUP(AQ$5,Escalators!$I$25:$U$30,6,FALSE)</f>
        <v>231.06714561183617</v>
      </c>
      <c r="AR7" s="129"/>
      <c r="AS7" s="763">
        <f t="shared" si="1"/>
        <v>0</v>
      </c>
      <c r="AT7" s="763">
        <f t="shared" si="1"/>
        <v>0</v>
      </c>
      <c r="AU7" s="763">
        <f t="shared" si="1"/>
        <v>137.46309325328204</v>
      </c>
      <c r="AV7" s="763">
        <f t="shared" si="1"/>
        <v>274.92618650656408</v>
      </c>
      <c r="AW7" s="763">
        <f t="shared" si="1"/>
        <v>274.92618650656408</v>
      </c>
      <c r="AX7" s="763">
        <f t="shared" si="1"/>
        <v>274.92618650656408</v>
      </c>
      <c r="AY7" s="763">
        <f t="shared" si="1"/>
        <v>274.92618650656408</v>
      </c>
      <c r="AZ7" s="763">
        <f t="shared" si="1"/>
        <v>274.92618650656408</v>
      </c>
      <c r="BA7" s="129"/>
      <c r="BB7" s="128">
        <f t="shared" si="2"/>
        <v>0</v>
      </c>
      <c r="BC7" s="128">
        <f t="shared" si="2"/>
        <v>0</v>
      </c>
      <c r="BD7" s="128">
        <f t="shared" si="2"/>
        <v>614.39854435401412</v>
      </c>
      <c r="BE7" s="128">
        <f t="shared" si="2"/>
        <v>1228.9206753973681</v>
      </c>
      <c r="BF7" s="128">
        <f t="shared" si="2"/>
        <v>1228.7910345117832</v>
      </c>
      <c r="BG7" s="128">
        <f t="shared" si="2"/>
        <v>1228.7534309278005</v>
      </c>
      <c r="BH7" s="128">
        <f t="shared" si="2"/>
        <v>1228.9434446150663</v>
      </c>
      <c r="BI7" s="128">
        <f t="shared" si="2"/>
        <v>1229.4609368616054</v>
      </c>
    </row>
    <row r="8" spans="2:63" x14ac:dyDescent="0.25">
      <c r="B8" s="7"/>
      <c r="C8" s="7" t="s">
        <v>441</v>
      </c>
      <c r="D8" s="7"/>
      <c r="E8" s="7" t="s">
        <v>399</v>
      </c>
      <c r="F8" s="7" t="s">
        <v>50</v>
      </c>
      <c r="G8" s="7" t="s">
        <v>163</v>
      </c>
      <c r="H8" s="7" t="s">
        <v>341</v>
      </c>
      <c r="I8" s="45"/>
      <c r="J8" s="45"/>
      <c r="K8" s="128"/>
      <c r="L8" s="128"/>
      <c r="M8" s="128"/>
      <c r="N8" s="128"/>
      <c r="O8" s="128"/>
      <c r="P8" s="128"/>
      <c r="Q8" s="129"/>
      <c r="R8" s="128">
        <f>INDEX(Direct_Cost_Splits_Non_Ntwk,MATCH($G8,RIN_Asset_Cat_Non_Ntwk,0),MATCH($R$4,Direct_Cost_Type,0))*I8*HLOOKUP(R$5,Escalators!$I$25:$U$30,3,FALSE)</f>
        <v>0</v>
      </c>
      <c r="S8" s="128">
        <f>INDEX(Direct_Cost_Splits_Non_Ntwk,MATCH($G8,RIN_Asset_Cat_Non_Ntwk,0),MATCH($R$4,Direct_Cost_Type,0))*J8*HLOOKUP(S$5,Escalators!$I$25:$U$30,3,FALSE)</f>
        <v>0</v>
      </c>
      <c r="T8" s="128">
        <f>INDEX(Direct_Cost_Splits_Non_Ntwk,MATCH($G8,RIN_Asset_Cat_Non_Ntwk,0),MATCH($R$4,Direct_Cost_Type,0))*K8*HLOOKUP(T$5,Escalators!$I$25:$U$30,3,FALSE)</f>
        <v>0</v>
      </c>
      <c r="U8" s="128">
        <f>INDEX(Direct_Cost_Splits_Non_Ntwk,MATCH($G8,RIN_Asset_Cat_Non_Ntwk,0),MATCH($R$4,Direct_Cost_Type,0))*L8*HLOOKUP(U$5,Escalators!$I$25:$U$30,3,FALSE)</f>
        <v>0</v>
      </c>
      <c r="V8" s="128">
        <f>INDEX(Direct_Cost_Splits_Non_Ntwk,MATCH($G8,RIN_Asset_Cat_Non_Ntwk,0),MATCH($R$4,Direct_Cost_Type,0))*M8*HLOOKUP(V$5,Escalators!$I$25:$U$30,3,FALSE)</f>
        <v>0</v>
      </c>
      <c r="W8" s="128">
        <f>INDEX(Direct_Cost_Splits_Non_Ntwk,MATCH($G8,RIN_Asset_Cat_Non_Ntwk,0),MATCH($R$4,Direct_Cost_Type,0))*N8*HLOOKUP(W$5,Escalators!$I$25:$U$30,3,FALSE)</f>
        <v>0</v>
      </c>
      <c r="X8" s="128">
        <f>INDEX(Direct_Cost_Splits_Non_Ntwk,MATCH($G8,RIN_Asset_Cat_Non_Ntwk,0),MATCH($R$4,Direct_Cost_Type,0))*O8*HLOOKUP(X$5,Escalators!$I$25:$U$30,3,FALSE)</f>
        <v>0</v>
      </c>
      <c r="Y8" s="128">
        <f>INDEX(Direct_Cost_Splits_Non_Ntwk,MATCH($G8,RIN_Asset_Cat_Non_Ntwk,0),MATCH($R$4,Direct_Cost_Type,0))*P8*HLOOKUP(Y$5,Escalators!$I$25:$U$30,3,FALSE)</f>
        <v>0</v>
      </c>
      <c r="Z8" s="129"/>
      <c r="AA8" s="128">
        <f t="shared" ref="AA8" si="3">INDEX(Direct_Cost_Splits_Non_Ntwk,MATCH($G8,RIN_Asset_Cat_Non_Ntwk,0),MATCH($AA$4,Direct_Cost_Type,0))*I8</f>
        <v>0</v>
      </c>
      <c r="AB8" s="128">
        <f t="shared" ref="AB8:AC8" si="4">INDEX(Direct_Cost_Splits_Non_Ntwk,MATCH($G8,RIN_Asset_Cat_Non_Ntwk,0),MATCH($AA$4,Direct_Cost_Type,0))*J8</f>
        <v>0</v>
      </c>
      <c r="AC8" s="128">
        <f t="shared" si="4"/>
        <v>0</v>
      </c>
      <c r="AD8" s="128">
        <f t="shared" ref="AD8" si="5">INDEX(Direct_Cost_Splits_Non_Ntwk,MATCH($G8,RIN_Asset_Cat_Non_Ntwk,0),MATCH($AA$4,Direct_Cost_Type,0))*L8</f>
        <v>0</v>
      </c>
      <c r="AE8" s="128">
        <f t="shared" ref="AE8" si="6">INDEX(Direct_Cost_Splits_Non_Ntwk,MATCH($G8,RIN_Asset_Cat_Non_Ntwk,0),MATCH($AA$4,Direct_Cost_Type,0))*M8</f>
        <v>0</v>
      </c>
      <c r="AF8" s="128">
        <f t="shared" ref="AF8" si="7">INDEX(Direct_Cost_Splits_Non_Ntwk,MATCH($G8,RIN_Asset_Cat_Non_Ntwk,0),MATCH($AA$4,Direct_Cost_Type,0))*N8</f>
        <v>0</v>
      </c>
      <c r="AG8" s="128">
        <f t="shared" ref="AG8" si="8">INDEX(Direct_Cost_Splits_Non_Ntwk,MATCH($G8,RIN_Asset_Cat_Non_Ntwk,0),MATCH($AA$4,Direct_Cost_Type,0))*O8</f>
        <v>0</v>
      </c>
      <c r="AH8" s="128">
        <f t="shared" ref="AH8" si="9">INDEX(Direct_Cost_Splits_Non_Ntwk,MATCH($G8,RIN_Asset_Cat_Non_Ntwk,0),MATCH($AA$4,Direct_Cost_Type,0))*P8</f>
        <v>0</v>
      </c>
      <c r="AI8" s="129"/>
      <c r="AJ8" s="128">
        <f>INDEX(Direct_Cost_Splits_Non_Ntwk,MATCH($G8,RIN_Asset_Cat_Non_Ntwk,0),MATCH($AJ$4,Direct_Cost_Type,0))*I8*HLOOKUP(AJ$5,Escalators!$I$25:$U$30,6,FALSE)</f>
        <v>0</v>
      </c>
      <c r="AK8" s="128">
        <f>INDEX(Direct_Cost_Splits_Non_Ntwk,MATCH($G8,RIN_Asset_Cat_Non_Ntwk,0),MATCH($AJ$4,Direct_Cost_Type,0))*J8*HLOOKUP(AK$5,Escalators!$I$25:$U$30,6,FALSE)</f>
        <v>0</v>
      </c>
      <c r="AL8" s="128">
        <f>INDEX(Direct_Cost_Splits_Non_Ntwk,MATCH($G8,RIN_Asset_Cat_Non_Ntwk,0),MATCH($AJ$4,Direct_Cost_Type,0))*K8*HLOOKUP(AL$5,Escalators!$I$25:$U$30,6,FALSE)</f>
        <v>0</v>
      </c>
      <c r="AM8" s="128">
        <f>INDEX(Direct_Cost_Splits_Non_Ntwk,MATCH($G8,RIN_Asset_Cat_Non_Ntwk,0),MATCH($AJ$4,Direct_Cost_Type,0))*L8*HLOOKUP(AM$5,Escalators!$I$25:$U$30,6,FALSE)</f>
        <v>0</v>
      </c>
      <c r="AN8" s="128">
        <f>INDEX(Direct_Cost_Splits_Non_Ntwk,MATCH($G8,RIN_Asset_Cat_Non_Ntwk,0),MATCH($AJ$4,Direct_Cost_Type,0))*M8*HLOOKUP(AN$5,Escalators!$I$25:$U$30,6,FALSE)</f>
        <v>0</v>
      </c>
      <c r="AO8" s="128">
        <f>INDEX(Direct_Cost_Splits_Non_Ntwk,MATCH($G8,RIN_Asset_Cat_Non_Ntwk,0),MATCH($AJ$4,Direct_Cost_Type,0))*N8*HLOOKUP(AO$5,Escalators!$I$25:$U$30,6,FALSE)</f>
        <v>0</v>
      </c>
      <c r="AP8" s="128">
        <f>INDEX(Direct_Cost_Splits_Non_Ntwk,MATCH($G8,RIN_Asset_Cat_Non_Ntwk,0),MATCH($AJ$4,Direct_Cost_Type,0))*O8*HLOOKUP(AP$5,Escalators!$I$25:$U$30,6,FALSE)</f>
        <v>0</v>
      </c>
      <c r="AQ8" s="128">
        <f>INDEX(Direct_Cost_Splits_Non_Ntwk,MATCH($G8,RIN_Asset_Cat_Non_Ntwk,0),MATCH($AJ$4,Direct_Cost_Type,0))*P8*HLOOKUP(AQ$5,Escalators!$I$25:$U$30,6,FALSE)</f>
        <v>0</v>
      </c>
      <c r="AR8" s="129"/>
      <c r="AS8" s="763">
        <f t="shared" ref="AS8" si="10">INDEX(Direct_Cost_Splits_Non_Ntwk,MATCH($G8,RIN_Asset_Cat_Non_Ntwk,0),MATCH($AS$4,Direct_Cost_Type,0))*I8</f>
        <v>0</v>
      </c>
      <c r="AT8" s="763">
        <f t="shared" ref="AT8:AU8" si="11">INDEX(Direct_Cost_Splits_Non_Ntwk,MATCH($G8,RIN_Asset_Cat_Non_Ntwk,0),MATCH($AS$4,Direct_Cost_Type,0))*J8</f>
        <v>0</v>
      </c>
      <c r="AU8" s="763">
        <f t="shared" si="11"/>
        <v>0</v>
      </c>
      <c r="AV8" s="763">
        <f t="shared" ref="AV8" si="12">INDEX(Direct_Cost_Splits_Non_Ntwk,MATCH($G8,RIN_Asset_Cat_Non_Ntwk,0),MATCH($AS$4,Direct_Cost_Type,0))*L8</f>
        <v>0</v>
      </c>
      <c r="AW8" s="763">
        <f t="shared" ref="AW8" si="13">INDEX(Direct_Cost_Splits_Non_Ntwk,MATCH($G8,RIN_Asset_Cat_Non_Ntwk,0),MATCH($AS$4,Direct_Cost_Type,0))*M8</f>
        <v>0</v>
      </c>
      <c r="AX8" s="763">
        <f t="shared" ref="AX8" si="14">INDEX(Direct_Cost_Splits_Non_Ntwk,MATCH($G8,RIN_Asset_Cat_Non_Ntwk,0),MATCH($AS$4,Direct_Cost_Type,0))*N8</f>
        <v>0</v>
      </c>
      <c r="AY8" s="763">
        <f t="shared" ref="AY8" si="15">INDEX(Direct_Cost_Splits_Non_Ntwk,MATCH($G8,RIN_Asset_Cat_Non_Ntwk,0),MATCH($AS$4,Direct_Cost_Type,0))*O8</f>
        <v>0</v>
      </c>
      <c r="AZ8" s="763">
        <f t="shared" ref="AZ8" si="16">INDEX(Direct_Cost_Splits_Non_Ntwk,MATCH($G8,RIN_Asset_Cat_Non_Ntwk,0),MATCH($AS$4,Direct_Cost_Type,0))*P8</f>
        <v>0</v>
      </c>
      <c r="BA8" s="129"/>
      <c r="BB8" s="128">
        <f t="shared" ref="BB8" si="17">R8+AA8+AJ8+AS8</f>
        <v>0</v>
      </c>
      <c r="BC8" s="128">
        <f t="shared" ref="BC8:BD8" si="18">S8+AB8+AK8+AT8</f>
        <v>0</v>
      </c>
      <c r="BD8" s="128">
        <f t="shared" si="18"/>
        <v>0</v>
      </c>
      <c r="BE8" s="128">
        <f t="shared" ref="BE8" si="19">U8+AD8+AM8+AV8</f>
        <v>0</v>
      </c>
      <c r="BF8" s="128">
        <f t="shared" ref="BF8" si="20">V8+AE8+AN8+AW8</f>
        <v>0</v>
      </c>
      <c r="BG8" s="128">
        <f t="shared" ref="BG8" si="21">W8+AF8+AO8+AX8</f>
        <v>0</v>
      </c>
      <c r="BH8" s="128">
        <f t="shared" ref="BH8" si="22">X8+AG8+AP8+AY8</f>
        <v>0</v>
      </c>
      <c r="BI8" s="128">
        <f t="shared" ref="BI8" si="23">Y8+AH8+AQ8+AZ8</f>
        <v>0</v>
      </c>
    </row>
    <row r="9" spans="2:63" x14ac:dyDescent="0.25">
      <c r="B9" s="7"/>
      <c r="C9" s="7" t="s">
        <v>545</v>
      </c>
      <c r="D9" s="7"/>
      <c r="E9" s="7" t="s">
        <v>50</v>
      </c>
      <c r="F9" s="7" t="s">
        <v>50</v>
      </c>
      <c r="G9" s="7" t="s">
        <v>163</v>
      </c>
      <c r="H9" s="7" t="s">
        <v>341</v>
      </c>
      <c r="I9" s="45"/>
      <c r="J9" s="45"/>
      <c r="K9" s="128">
        <v>1693.3</v>
      </c>
      <c r="L9" s="128">
        <v>3190.46</v>
      </c>
      <c r="M9" s="128">
        <v>2006.14</v>
      </c>
      <c r="N9" s="128">
        <v>811.48</v>
      </c>
      <c r="O9" s="128">
        <v>2372.13</v>
      </c>
      <c r="P9" s="128">
        <v>4139.26</v>
      </c>
      <c r="Q9" s="129"/>
      <c r="R9" s="128">
        <f>INDEX(Direct_Cost_Splits_Non_Ntwk,MATCH($G9,RIN_Asset_Cat_Non_Ntwk,0),MATCH($R$4,Direct_Cost_Type,0))*I9*HLOOKUP(R$5,Escalators!$I$25:$U$30,3,FALSE)</f>
        <v>0</v>
      </c>
      <c r="S9" s="128">
        <f>INDEX(Direct_Cost_Splits_Non_Ntwk,MATCH($G9,RIN_Asset_Cat_Non_Ntwk,0),MATCH($R$4,Direct_Cost_Type,0))*J9*HLOOKUP(S$5,Escalators!$I$25:$U$30,3,FALSE)</f>
        <v>0</v>
      </c>
      <c r="T9" s="128">
        <f>INDEX(Direct_Cost_Splits_Non_Ntwk,MATCH($G9,RIN_Asset_Cat_Non_Ntwk,0),MATCH($R$4,Direct_Cost_Type,0))*K9*HLOOKUP(T$5,Escalators!$I$25:$U$30,3,FALSE)</f>
        <v>0</v>
      </c>
      <c r="U9" s="128">
        <f>INDEX(Direct_Cost_Splits_Non_Ntwk,MATCH($G9,RIN_Asset_Cat_Non_Ntwk,0),MATCH($R$4,Direct_Cost_Type,0))*L9*HLOOKUP(U$5,Escalators!$I$25:$U$30,3,FALSE)</f>
        <v>0</v>
      </c>
      <c r="V9" s="128">
        <f>INDEX(Direct_Cost_Splits_Non_Ntwk,MATCH($G9,RIN_Asset_Cat_Non_Ntwk,0),MATCH($R$4,Direct_Cost_Type,0))*M9*HLOOKUP(V$5,Escalators!$I$25:$U$30,3,FALSE)</f>
        <v>0</v>
      </c>
      <c r="W9" s="128">
        <f>INDEX(Direct_Cost_Splits_Non_Ntwk,MATCH($G9,RIN_Asset_Cat_Non_Ntwk,0),MATCH($R$4,Direct_Cost_Type,0))*N9*HLOOKUP(W$5,Escalators!$I$25:$U$30,3,FALSE)</f>
        <v>0</v>
      </c>
      <c r="X9" s="128">
        <f>INDEX(Direct_Cost_Splits_Non_Ntwk,MATCH($G9,RIN_Asset_Cat_Non_Ntwk,0),MATCH($R$4,Direct_Cost_Type,0))*O9*HLOOKUP(X$5,Escalators!$I$25:$U$30,3,FALSE)</f>
        <v>0</v>
      </c>
      <c r="Y9" s="128">
        <f>INDEX(Direct_Cost_Splits_Non_Ntwk,MATCH($G9,RIN_Asset_Cat_Non_Ntwk,0),MATCH($R$4,Direct_Cost_Type,0))*P9*HLOOKUP(Y$5,Escalators!$I$25:$U$30,3,FALSE)</f>
        <v>0</v>
      </c>
      <c r="Z9" s="129"/>
      <c r="AA9" s="128">
        <f t="shared" ref="AA9:AH9" si="24">INDEX(Direct_Cost_Splits_Non_Ntwk,MATCH($G9,RIN_Asset_Cat_Non_Ntwk,0),MATCH($AA$4,Direct_Cost_Type,0))*I9</f>
        <v>0</v>
      </c>
      <c r="AB9" s="128">
        <f t="shared" si="24"/>
        <v>0</v>
      </c>
      <c r="AC9" s="128">
        <f t="shared" si="24"/>
        <v>209.05476768083906</v>
      </c>
      <c r="AD9" s="128">
        <f t="shared" si="24"/>
        <v>393.89409679029694</v>
      </c>
      <c r="AE9" s="128">
        <f t="shared" si="24"/>
        <v>247.67798478429015</v>
      </c>
      <c r="AF9" s="128">
        <f t="shared" si="24"/>
        <v>100.18529668555323</v>
      </c>
      <c r="AG9" s="128">
        <f t="shared" si="24"/>
        <v>292.86309930830259</v>
      </c>
      <c r="AH9" s="128">
        <f t="shared" si="24"/>
        <v>511.03291659516327</v>
      </c>
      <c r="AI9" s="129"/>
      <c r="AJ9" s="128">
        <f>INDEX(Direct_Cost_Splits_Non_Ntwk,MATCH($G9,RIN_Asset_Cat_Non_Ntwk,0),MATCH($AJ$4,Direct_Cost_Type,0))*I9*HLOOKUP(AJ$5,Escalators!$I$25:$U$30,6,FALSE)</f>
        <v>0</v>
      </c>
      <c r="AK9" s="128">
        <f>INDEX(Direct_Cost_Splits_Non_Ntwk,MATCH($G9,RIN_Asset_Cat_Non_Ntwk,0),MATCH($AJ$4,Direct_Cost_Type,0))*J9*HLOOKUP(AK$5,Escalators!$I$25:$U$30,6,FALSE)</f>
        <v>0</v>
      </c>
      <c r="AL9" s="128">
        <f>INDEX(Direct_Cost_Splits_Non_Ntwk,MATCH($G9,RIN_Asset_Cat_Non_Ntwk,0),MATCH($AJ$4,Direct_Cost_Type,0))*K9*HLOOKUP(AL$5,Escalators!$I$25:$U$30,6,FALSE)</f>
        <v>1215.8818510802678</v>
      </c>
      <c r="AM9" s="128">
        <f>INDEX(Direct_Cost_Splits_Non_Ntwk,MATCH($G9,RIN_Asset_Cat_Non_Ntwk,0),MATCH($AJ$4,Direct_Cost_Type,0))*L9*HLOOKUP(AM$5,Escalators!$I$25:$U$30,6,FALSE)</f>
        <v>2290.9244732755869</v>
      </c>
      <c r="AN9" s="128">
        <f>INDEX(Direct_Cost_Splits_Non_Ntwk,MATCH($G9,RIN_Asset_Cat_Non_Ntwk,0),MATCH($AJ$4,Direct_Cost_Type,0))*M9*HLOOKUP(AN$5,Escalators!$I$25:$U$30,6,FALSE)</f>
        <v>1440.5180515715874</v>
      </c>
      <c r="AO9" s="128">
        <f>INDEX(Direct_Cost_Splits_Non_Ntwk,MATCH($G9,RIN_Asset_Cat_Non_Ntwk,0),MATCH($AJ$4,Direct_Cost_Type,0))*N9*HLOOKUP(AO$5,Escalators!$I$25:$U$30,6,FALSE)</f>
        <v>582.68694532251573</v>
      </c>
      <c r="AP9" s="128">
        <f>INDEX(Direct_Cost_Splits_Non_Ntwk,MATCH($G9,RIN_Asset_Cat_Non_Ntwk,0),MATCH($AJ$4,Direct_Cost_Type,0))*O9*HLOOKUP(AP$5,Escalators!$I$25:$U$30,6,FALSE)</f>
        <v>1703.3188539556111</v>
      </c>
      <c r="AQ9" s="128">
        <f>INDEX(Direct_Cost_Splits_Non_Ntwk,MATCH($G9,RIN_Asset_Cat_Non_Ntwk,0),MATCH($AJ$4,Direct_Cost_Type,0))*P9*HLOOKUP(AQ$5,Escalators!$I$25:$U$30,6,FALSE)</f>
        <v>2972.214676018727</v>
      </c>
      <c r="AR9" s="129"/>
      <c r="AS9" s="763">
        <f t="shared" ref="AS9:AZ9" si="25">INDEX(Direct_Cost_Splits_Non_Ntwk,MATCH($G9,RIN_Asset_Cat_Non_Ntwk,0),MATCH($AS$4,Direct_Cost_Type,0))*I9</f>
        <v>0</v>
      </c>
      <c r="AT9" s="763">
        <f t="shared" si="25"/>
        <v>0</v>
      </c>
      <c r="AU9" s="763">
        <f t="shared" si="25"/>
        <v>268.36338123889294</v>
      </c>
      <c r="AV9" s="763">
        <f t="shared" si="25"/>
        <v>505.64142993411588</v>
      </c>
      <c r="AW9" s="763">
        <f t="shared" si="25"/>
        <v>317.94396364412256</v>
      </c>
      <c r="AX9" s="763">
        <f t="shared" si="25"/>
        <v>128.60775799193107</v>
      </c>
      <c r="AY9" s="763">
        <f t="shared" si="25"/>
        <v>375.94804673608644</v>
      </c>
      <c r="AZ9" s="763">
        <f t="shared" si="25"/>
        <v>656.01240738611</v>
      </c>
      <c r="BA9" s="129"/>
      <c r="BB9" s="128">
        <f t="shared" ref="BB9:BI9" si="26">R9+AA9+AJ9+AS9</f>
        <v>0</v>
      </c>
      <c r="BC9" s="128">
        <f t="shared" si="26"/>
        <v>0</v>
      </c>
      <c r="BD9" s="128">
        <f t="shared" si="26"/>
        <v>1693.2999999999997</v>
      </c>
      <c r="BE9" s="128">
        <f t="shared" si="26"/>
        <v>3190.4599999999996</v>
      </c>
      <c r="BF9" s="128">
        <f t="shared" si="26"/>
        <v>2006.14</v>
      </c>
      <c r="BG9" s="128">
        <f t="shared" si="26"/>
        <v>811.48</v>
      </c>
      <c r="BH9" s="128">
        <f t="shared" si="26"/>
        <v>2372.13</v>
      </c>
      <c r="BI9" s="128">
        <f t="shared" si="26"/>
        <v>4139.26</v>
      </c>
    </row>
    <row r="10" spans="2:63" x14ac:dyDescent="0.25">
      <c r="B10" s="7"/>
      <c r="C10" s="7" t="s">
        <v>284</v>
      </c>
      <c r="D10" s="7"/>
      <c r="E10" s="7" t="s">
        <v>50</v>
      </c>
      <c r="F10" s="7" t="s">
        <v>50</v>
      </c>
      <c r="G10" s="7" t="s">
        <v>5</v>
      </c>
      <c r="H10" s="7" t="s">
        <v>363</v>
      </c>
      <c r="I10" s="45"/>
      <c r="J10" s="45"/>
      <c r="K10" s="128">
        <v>130</v>
      </c>
      <c r="L10" s="128">
        <v>260</v>
      </c>
      <c r="M10" s="128">
        <v>260</v>
      </c>
      <c r="N10" s="128">
        <v>260</v>
      </c>
      <c r="O10" s="128">
        <v>260</v>
      </c>
      <c r="P10" s="128">
        <v>260</v>
      </c>
      <c r="Q10" s="129"/>
      <c r="R10" s="128">
        <f>INDEX(Direct_Cost_Splits_Non_Ntwk,MATCH($G10,RIN_Asset_Cat_Non_Ntwk,0),MATCH($R$4,Direct_Cost_Type,0))*I10*HLOOKUP(R$5,Escalators!$I$25:$U$30,3,FALSE)</f>
        <v>0</v>
      </c>
      <c r="S10" s="128">
        <f>INDEX(Direct_Cost_Splits_Non_Ntwk,MATCH($G10,RIN_Asset_Cat_Non_Ntwk,0),MATCH($R$4,Direct_Cost_Type,0))*J10*HLOOKUP(S$5,Escalators!$I$25:$U$30,3,FALSE)</f>
        <v>0</v>
      </c>
      <c r="T10" s="128">
        <f>INDEX(Direct_Cost_Splits_Non_Ntwk,MATCH($G10,RIN_Asset_Cat_Non_Ntwk,0),MATCH($R$4,Direct_Cost_Type,0))*K10*HLOOKUP(T$5,Escalators!$I$25:$U$30,3,FALSE)</f>
        <v>5.4815709264046175</v>
      </c>
      <c r="U10" s="128">
        <f>INDEX(Direct_Cost_Splits_Non_Ntwk,MATCH($G10,RIN_Asset_Cat_Non_Ntwk,0),MATCH($R$4,Direct_Cost_Type,0))*L10*HLOOKUP(U$5,Escalators!$I$25:$U$30,3,FALSE)</f>
        <v>10.98930841569878</v>
      </c>
      <c r="V10" s="128">
        <f>INDEX(Direct_Cost_Splits_Non_Ntwk,MATCH($G10,RIN_Asset_Cat_Non_Ntwk,0),MATCH($R$4,Direct_Cost_Type,0))*M10*HLOOKUP(V$5,Escalators!$I$25:$U$30,3,FALSE)</f>
        <v>10.961860019728068</v>
      </c>
      <c r="W10" s="128">
        <f>INDEX(Direct_Cost_Splits_Non_Ntwk,MATCH($G10,RIN_Asset_Cat_Non_Ntwk,0),MATCH($R$4,Direct_Cost_Type,0))*N10*HLOOKUP(W$5,Escalators!$I$25:$U$30,3,FALSE)</f>
        <v>10.953898348852256</v>
      </c>
      <c r="X10" s="128">
        <f>INDEX(Direct_Cost_Splits_Non_Ntwk,MATCH($G10,RIN_Asset_Cat_Non_Ntwk,0),MATCH($R$4,Direct_Cost_Type,0))*O10*HLOOKUP(X$5,Escalators!$I$25:$U$30,3,FALSE)</f>
        <v>10.994129259836848</v>
      </c>
      <c r="Y10" s="128">
        <f>INDEX(Direct_Cost_Splits_Non_Ntwk,MATCH($G10,RIN_Asset_Cat_Non_Ntwk,0),MATCH($R$4,Direct_Cost_Type,0))*P10*HLOOKUP(Y$5,Escalators!$I$25:$U$30,3,FALSE)</f>
        <v>11.1036960221334</v>
      </c>
      <c r="Z10" s="129"/>
      <c r="AA10" s="128">
        <f t="shared" ref="AA10" si="27">INDEX(Direct_Cost_Splits_Non_Ntwk,MATCH($G10,RIN_Asset_Cat_Non_Ntwk,0),MATCH($AA$4,Direct_Cost_Type,0))*I10</f>
        <v>0</v>
      </c>
      <c r="AB10" s="128">
        <f t="shared" ref="AB10:AC10" si="28">INDEX(Direct_Cost_Splits_Non_Ntwk,MATCH($G10,RIN_Asset_Cat_Non_Ntwk,0),MATCH($AA$4,Direct_Cost_Type,0))*J10</f>
        <v>0</v>
      </c>
      <c r="AC10" s="128">
        <f t="shared" si="28"/>
        <v>71.036742067611371</v>
      </c>
      <c r="AD10" s="128">
        <f t="shared" ref="AD10" si="29">INDEX(Direct_Cost_Splits_Non_Ntwk,MATCH($G10,RIN_Asset_Cat_Non_Ntwk,0),MATCH($AA$4,Direct_Cost_Type,0))*L10</f>
        <v>142.07348413522274</v>
      </c>
      <c r="AE10" s="128">
        <f t="shared" ref="AE10" si="30">INDEX(Direct_Cost_Splits_Non_Ntwk,MATCH($G10,RIN_Asset_Cat_Non_Ntwk,0),MATCH($AA$4,Direct_Cost_Type,0))*M10</f>
        <v>142.07348413522274</v>
      </c>
      <c r="AF10" s="128">
        <f t="shared" ref="AF10" si="31">INDEX(Direct_Cost_Splits_Non_Ntwk,MATCH($G10,RIN_Asset_Cat_Non_Ntwk,0),MATCH($AA$4,Direct_Cost_Type,0))*N10</f>
        <v>142.07348413522274</v>
      </c>
      <c r="AG10" s="128">
        <f t="shared" ref="AG10" si="32">INDEX(Direct_Cost_Splits_Non_Ntwk,MATCH($G10,RIN_Asset_Cat_Non_Ntwk,0),MATCH($AA$4,Direct_Cost_Type,0))*O10</f>
        <v>142.07348413522274</v>
      </c>
      <c r="AH10" s="128">
        <f t="shared" ref="AH10" si="33">INDEX(Direct_Cost_Splits_Non_Ntwk,MATCH($G10,RIN_Asset_Cat_Non_Ntwk,0),MATCH($AA$4,Direct_Cost_Type,0))*P10</f>
        <v>142.07348413522274</v>
      </c>
      <c r="AI10" s="129"/>
      <c r="AJ10" s="128">
        <f>INDEX(Direct_Cost_Splits_Non_Ntwk,MATCH($G10,RIN_Asset_Cat_Non_Ntwk,0),MATCH($AJ$4,Direct_Cost_Type,0))*I10*HLOOKUP(AJ$5,Escalators!$I$25:$U$30,6,FALSE)</f>
        <v>0</v>
      </c>
      <c r="AK10" s="128">
        <f>INDEX(Direct_Cost_Splits_Non_Ntwk,MATCH($G10,RIN_Asset_Cat_Non_Ntwk,0),MATCH($AJ$4,Direct_Cost_Type,0))*J10*HLOOKUP(AK$5,Escalators!$I$25:$U$30,6,FALSE)</f>
        <v>0</v>
      </c>
      <c r="AL10" s="128">
        <f>INDEX(Direct_Cost_Splits_Non_Ntwk,MATCH($G10,RIN_Asset_Cat_Non_Ntwk,0),MATCH($AJ$4,Direct_Cost_Type,0))*K10*HLOOKUP(AL$5,Escalators!$I$25:$U$30,6,FALSE)</f>
        <v>24.461505642946825</v>
      </c>
      <c r="AM10" s="128">
        <f>INDEX(Direct_Cost_Splits_Non_Ntwk,MATCH($G10,RIN_Asset_Cat_Non_Ntwk,0),MATCH($AJ$4,Direct_Cost_Type,0))*L10*HLOOKUP(AM$5,Escalators!$I$25:$U$30,6,FALSE)</f>
        <v>48.923011285893651</v>
      </c>
      <c r="AN10" s="128">
        <f>INDEX(Direct_Cost_Splits_Non_Ntwk,MATCH($G10,RIN_Asset_Cat_Non_Ntwk,0),MATCH($AJ$4,Direct_Cost_Type,0))*M10*HLOOKUP(AN$5,Escalators!$I$25:$U$30,6,FALSE)</f>
        <v>48.923011285893651</v>
      </c>
      <c r="AO10" s="128">
        <f>INDEX(Direct_Cost_Splits_Non_Ntwk,MATCH($G10,RIN_Asset_Cat_Non_Ntwk,0),MATCH($AJ$4,Direct_Cost_Type,0))*N10*HLOOKUP(AO$5,Escalators!$I$25:$U$30,6,FALSE)</f>
        <v>48.923011285893651</v>
      </c>
      <c r="AP10" s="128">
        <f>INDEX(Direct_Cost_Splits_Non_Ntwk,MATCH($G10,RIN_Asset_Cat_Non_Ntwk,0),MATCH($AJ$4,Direct_Cost_Type,0))*O10*HLOOKUP(AP$5,Escalators!$I$25:$U$30,6,FALSE)</f>
        <v>48.923011285893651</v>
      </c>
      <c r="AQ10" s="128">
        <f>INDEX(Direct_Cost_Splits_Non_Ntwk,MATCH($G10,RIN_Asset_Cat_Non_Ntwk,0),MATCH($AJ$4,Direct_Cost_Type,0))*P10*HLOOKUP(AQ$5,Escalators!$I$25:$U$30,6,FALSE)</f>
        <v>48.923011285893651</v>
      </c>
      <c r="AR10" s="129"/>
      <c r="AS10" s="763">
        <f t="shared" ref="AS10" si="34">INDEX(Direct_Cost_Splits_Non_Ntwk,MATCH($G10,RIN_Asset_Cat_Non_Ntwk,0),MATCH($AS$4,Direct_Cost_Type,0))*I10</f>
        <v>0</v>
      </c>
      <c r="AT10" s="763">
        <f t="shared" ref="AT10:AU10" si="35">INDEX(Direct_Cost_Splits_Non_Ntwk,MATCH($G10,RIN_Asset_Cat_Non_Ntwk,0),MATCH($AS$4,Direct_Cost_Type,0))*J10</f>
        <v>0</v>
      </c>
      <c r="AU10" s="763">
        <f t="shared" si="35"/>
        <v>29.104563718121604</v>
      </c>
      <c r="AV10" s="763">
        <f t="shared" ref="AV10" si="36">INDEX(Direct_Cost_Splits_Non_Ntwk,MATCH($G10,RIN_Asset_Cat_Non_Ntwk,0),MATCH($AS$4,Direct_Cost_Type,0))*L10</f>
        <v>58.209127436243207</v>
      </c>
      <c r="AW10" s="763">
        <f t="shared" ref="AW10" si="37">INDEX(Direct_Cost_Splits_Non_Ntwk,MATCH($G10,RIN_Asset_Cat_Non_Ntwk,0),MATCH($AS$4,Direct_Cost_Type,0))*M10</f>
        <v>58.209127436243207</v>
      </c>
      <c r="AX10" s="763">
        <f t="shared" ref="AX10" si="38">INDEX(Direct_Cost_Splits_Non_Ntwk,MATCH($G10,RIN_Asset_Cat_Non_Ntwk,0),MATCH($AS$4,Direct_Cost_Type,0))*N10</f>
        <v>58.209127436243207</v>
      </c>
      <c r="AY10" s="763">
        <f t="shared" ref="AY10" si="39">INDEX(Direct_Cost_Splits_Non_Ntwk,MATCH($G10,RIN_Asset_Cat_Non_Ntwk,0),MATCH($AS$4,Direct_Cost_Type,0))*O10</f>
        <v>58.209127436243207</v>
      </c>
      <c r="AZ10" s="763">
        <f t="shared" ref="AZ10" si="40">INDEX(Direct_Cost_Splits_Non_Ntwk,MATCH($G10,RIN_Asset_Cat_Non_Ntwk,0),MATCH($AS$4,Direct_Cost_Type,0))*P10</f>
        <v>58.209127436243207</v>
      </c>
      <c r="BA10" s="129"/>
      <c r="BB10" s="128">
        <f t="shared" ref="BB10" si="41">R10+AA10+AJ10+AS10</f>
        <v>0</v>
      </c>
      <c r="BC10" s="128">
        <f t="shared" ref="BC10:BD10" si="42">S10+AB10+AK10+AT10</f>
        <v>0</v>
      </c>
      <c r="BD10" s="128">
        <f t="shared" si="42"/>
        <v>130.08438235508441</v>
      </c>
      <c r="BE10" s="128">
        <f t="shared" ref="BE10" si="43">U10+AD10+AM10+AV10</f>
        <v>260.19493127305839</v>
      </c>
      <c r="BF10" s="128">
        <f t="shared" ref="BF10" si="44">V10+AE10+AN10+AW10</f>
        <v>260.16748287708765</v>
      </c>
      <c r="BG10" s="128">
        <f t="shared" ref="BG10" si="45">W10+AF10+AO10+AX10</f>
        <v>260.15952120621182</v>
      </c>
      <c r="BH10" s="128">
        <f t="shared" ref="BH10" si="46">X10+AG10+AP10+AY10</f>
        <v>260.19975211719645</v>
      </c>
      <c r="BI10" s="128">
        <f t="shared" ref="BI10" si="47">Y10+AH10+AQ10+AZ10</f>
        <v>260.30931887949299</v>
      </c>
    </row>
    <row r="11" spans="2:63" x14ac:dyDescent="0.25">
      <c r="B11" s="7"/>
      <c r="C11" s="7" t="s">
        <v>651</v>
      </c>
      <c r="D11" s="7"/>
      <c r="E11" s="7" t="s">
        <v>50</v>
      </c>
      <c r="F11" s="7" t="s">
        <v>50</v>
      </c>
      <c r="G11" s="7" t="s">
        <v>5</v>
      </c>
      <c r="H11" s="7" t="s">
        <v>341</v>
      </c>
      <c r="I11" s="45"/>
      <c r="J11" s="45"/>
      <c r="K11" s="128"/>
      <c r="L11" s="128"/>
      <c r="M11" s="128"/>
      <c r="N11" s="128"/>
      <c r="O11" s="128"/>
      <c r="P11" s="128"/>
      <c r="Q11" s="129"/>
      <c r="R11" s="128">
        <f>INDEX(Direct_Cost_Splits_Non_Ntwk,MATCH($G11,RIN_Asset_Cat_Non_Ntwk,0),MATCH($R$4,Direct_Cost_Type,0))*I11*HLOOKUP(R$5,Escalators!$I$25:$U$30,3,FALSE)</f>
        <v>0</v>
      </c>
      <c r="S11" s="128">
        <f>INDEX(Direct_Cost_Splits_Non_Ntwk,MATCH($G11,RIN_Asset_Cat_Non_Ntwk,0),MATCH($R$4,Direct_Cost_Type,0))*J11*HLOOKUP(S$5,Escalators!$I$25:$U$30,3,FALSE)</f>
        <v>0</v>
      </c>
      <c r="T11" s="128">
        <f>INDEX(Direct_Cost_Splits_Non_Ntwk,MATCH($G11,RIN_Asset_Cat_Non_Ntwk,0),MATCH($R$4,Direct_Cost_Type,0))*K11*HLOOKUP(T$5,Escalators!$I$25:$U$30,3,FALSE)</f>
        <v>0</v>
      </c>
      <c r="U11" s="128">
        <f>INDEX(Direct_Cost_Splits_Non_Ntwk,MATCH($G11,RIN_Asset_Cat_Non_Ntwk,0),MATCH($R$4,Direct_Cost_Type,0))*L11*HLOOKUP(U$5,Escalators!$I$25:$U$30,3,FALSE)</f>
        <v>0</v>
      </c>
      <c r="V11" s="128">
        <f>INDEX(Direct_Cost_Splits_Non_Ntwk,MATCH($G11,RIN_Asset_Cat_Non_Ntwk,0),MATCH($R$4,Direct_Cost_Type,0))*M11*HLOOKUP(V$5,Escalators!$I$25:$U$30,3,FALSE)</f>
        <v>0</v>
      </c>
      <c r="W11" s="128">
        <f>INDEX(Direct_Cost_Splits_Non_Ntwk,MATCH($G11,RIN_Asset_Cat_Non_Ntwk,0),MATCH($R$4,Direct_Cost_Type,0))*N11*HLOOKUP(W$5,Escalators!$I$25:$U$30,3,FALSE)</f>
        <v>0</v>
      </c>
      <c r="X11" s="128">
        <f>INDEX(Direct_Cost_Splits_Non_Ntwk,MATCH($G11,RIN_Asset_Cat_Non_Ntwk,0),MATCH($R$4,Direct_Cost_Type,0))*O11*HLOOKUP(X$5,Escalators!$I$25:$U$30,3,FALSE)</f>
        <v>0</v>
      </c>
      <c r="Y11" s="128">
        <f>INDEX(Direct_Cost_Splits_Non_Ntwk,MATCH($G11,RIN_Asset_Cat_Non_Ntwk,0),MATCH($R$4,Direct_Cost_Type,0))*P11*HLOOKUP(Y$5,Escalators!$I$25:$U$30,3,FALSE)</f>
        <v>0</v>
      </c>
      <c r="Z11" s="129"/>
      <c r="AA11" s="128">
        <f t="shared" ref="AA11" si="48">INDEX(Direct_Cost_Splits_Non_Ntwk,MATCH($G11,RIN_Asset_Cat_Non_Ntwk,0),MATCH($AA$4,Direct_Cost_Type,0))*I11</f>
        <v>0</v>
      </c>
      <c r="AB11" s="128">
        <f t="shared" ref="AB11" si="49">INDEX(Direct_Cost_Splits_Non_Ntwk,MATCH($G11,RIN_Asset_Cat_Non_Ntwk,0),MATCH($AA$4,Direct_Cost_Type,0))*J11</f>
        <v>0</v>
      </c>
      <c r="AC11" s="128">
        <f t="shared" ref="AC11" si="50">INDEX(Direct_Cost_Splits_Non_Ntwk,MATCH($G11,RIN_Asset_Cat_Non_Ntwk,0),MATCH($AA$4,Direct_Cost_Type,0))*K11</f>
        <v>0</v>
      </c>
      <c r="AD11" s="128">
        <f t="shared" ref="AD11" si="51">INDEX(Direct_Cost_Splits_Non_Ntwk,MATCH($G11,RIN_Asset_Cat_Non_Ntwk,0),MATCH($AA$4,Direct_Cost_Type,0))*L11</f>
        <v>0</v>
      </c>
      <c r="AE11" s="128">
        <f t="shared" ref="AE11" si="52">INDEX(Direct_Cost_Splits_Non_Ntwk,MATCH($G11,RIN_Asset_Cat_Non_Ntwk,0),MATCH($AA$4,Direct_Cost_Type,0))*M11</f>
        <v>0</v>
      </c>
      <c r="AF11" s="128">
        <f t="shared" ref="AF11" si="53">INDEX(Direct_Cost_Splits_Non_Ntwk,MATCH($G11,RIN_Asset_Cat_Non_Ntwk,0),MATCH($AA$4,Direct_Cost_Type,0))*N11</f>
        <v>0</v>
      </c>
      <c r="AG11" s="128">
        <f t="shared" ref="AG11" si="54">INDEX(Direct_Cost_Splits_Non_Ntwk,MATCH($G11,RIN_Asset_Cat_Non_Ntwk,0),MATCH($AA$4,Direct_Cost_Type,0))*O11</f>
        <v>0</v>
      </c>
      <c r="AH11" s="128">
        <f t="shared" ref="AH11" si="55">INDEX(Direct_Cost_Splits_Non_Ntwk,MATCH($G11,RIN_Asset_Cat_Non_Ntwk,0),MATCH($AA$4,Direct_Cost_Type,0))*P11</f>
        <v>0</v>
      </c>
      <c r="AI11" s="129"/>
      <c r="AJ11" s="128">
        <f>INDEX(Direct_Cost_Splits_Non_Ntwk,MATCH($G11,RIN_Asset_Cat_Non_Ntwk,0),MATCH($AJ$4,Direct_Cost_Type,0))*I11*HLOOKUP(AJ$5,Escalators!$I$25:$U$30,6,FALSE)</f>
        <v>0</v>
      </c>
      <c r="AK11" s="128">
        <f>INDEX(Direct_Cost_Splits_Non_Ntwk,MATCH($G11,RIN_Asset_Cat_Non_Ntwk,0),MATCH($AJ$4,Direct_Cost_Type,0))*J11*HLOOKUP(AK$5,Escalators!$I$25:$U$30,6,FALSE)</f>
        <v>0</v>
      </c>
      <c r="AL11" s="128">
        <f>INDEX(Direct_Cost_Splits_Non_Ntwk,MATCH($G11,RIN_Asset_Cat_Non_Ntwk,0),MATCH($AJ$4,Direct_Cost_Type,0))*K11*HLOOKUP(AL$5,Escalators!$I$25:$U$30,6,FALSE)</f>
        <v>0</v>
      </c>
      <c r="AM11" s="128">
        <f>INDEX(Direct_Cost_Splits_Non_Ntwk,MATCH($G11,RIN_Asset_Cat_Non_Ntwk,0),MATCH($AJ$4,Direct_Cost_Type,0))*L11*HLOOKUP(AM$5,Escalators!$I$25:$U$30,6,FALSE)</f>
        <v>0</v>
      </c>
      <c r="AN11" s="128">
        <f>INDEX(Direct_Cost_Splits_Non_Ntwk,MATCH($G11,RIN_Asset_Cat_Non_Ntwk,0),MATCH($AJ$4,Direct_Cost_Type,0))*M11*HLOOKUP(AN$5,Escalators!$I$25:$U$30,6,FALSE)</f>
        <v>0</v>
      </c>
      <c r="AO11" s="128">
        <f>INDEX(Direct_Cost_Splits_Non_Ntwk,MATCH($G11,RIN_Asset_Cat_Non_Ntwk,0),MATCH($AJ$4,Direct_Cost_Type,0))*N11*HLOOKUP(AO$5,Escalators!$I$25:$U$30,6,FALSE)</f>
        <v>0</v>
      </c>
      <c r="AP11" s="128">
        <f>INDEX(Direct_Cost_Splits_Non_Ntwk,MATCH($G11,RIN_Asset_Cat_Non_Ntwk,0),MATCH($AJ$4,Direct_Cost_Type,0))*O11*HLOOKUP(AP$5,Escalators!$I$25:$U$30,6,FALSE)</f>
        <v>0</v>
      </c>
      <c r="AQ11" s="128">
        <f>INDEX(Direct_Cost_Splits_Non_Ntwk,MATCH($G11,RIN_Asset_Cat_Non_Ntwk,0),MATCH($AJ$4,Direct_Cost_Type,0))*P11*HLOOKUP(AQ$5,Escalators!$I$25:$U$30,6,FALSE)</f>
        <v>0</v>
      </c>
      <c r="AR11" s="129"/>
      <c r="AS11" s="763">
        <f t="shared" ref="AS11" si="56">INDEX(Direct_Cost_Splits_Non_Ntwk,MATCH($G11,RIN_Asset_Cat_Non_Ntwk,0),MATCH($AS$4,Direct_Cost_Type,0))*I11</f>
        <v>0</v>
      </c>
      <c r="AT11" s="763">
        <f t="shared" ref="AT11" si="57">INDEX(Direct_Cost_Splits_Non_Ntwk,MATCH($G11,RIN_Asset_Cat_Non_Ntwk,0),MATCH($AS$4,Direct_Cost_Type,0))*J11</f>
        <v>0</v>
      </c>
      <c r="AU11" s="763">
        <f t="shared" ref="AU11" si="58">INDEX(Direct_Cost_Splits_Non_Ntwk,MATCH($G11,RIN_Asset_Cat_Non_Ntwk,0),MATCH($AS$4,Direct_Cost_Type,0))*K11</f>
        <v>0</v>
      </c>
      <c r="AV11" s="763">
        <f t="shared" ref="AV11" si="59">INDEX(Direct_Cost_Splits_Non_Ntwk,MATCH($G11,RIN_Asset_Cat_Non_Ntwk,0),MATCH($AS$4,Direct_Cost_Type,0))*L11</f>
        <v>0</v>
      </c>
      <c r="AW11" s="763">
        <f t="shared" ref="AW11" si="60">INDEX(Direct_Cost_Splits_Non_Ntwk,MATCH($G11,RIN_Asset_Cat_Non_Ntwk,0),MATCH($AS$4,Direct_Cost_Type,0))*M11</f>
        <v>0</v>
      </c>
      <c r="AX11" s="763">
        <f t="shared" ref="AX11" si="61">INDEX(Direct_Cost_Splits_Non_Ntwk,MATCH($G11,RIN_Asset_Cat_Non_Ntwk,0),MATCH($AS$4,Direct_Cost_Type,0))*N11</f>
        <v>0</v>
      </c>
      <c r="AY11" s="763">
        <f t="shared" ref="AY11" si="62">INDEX(Direct_Cost_Splits_Non_Ntwk,MATCH($G11,RIN_Asset_Cat_Non_Ntwk,0),MATCH($AS$4,Direct_Cost_Type,0))*O11</f>
        <v>0</v>
      </c>
      <c r="AZ11" s="763">
        <f t="shared" ref="AZ11" si="63">INDEX(Direct_Cost_Splits_Non_Ntwk,MATCH($G11,RIN_Asset_Cat_Non_Ntwk,0),MATCH($AS$4,Direct_Cost_Type,0))*P11</f>
        <v>0</v>
      </c>
      <c r="BA11" s="129"/>
      <c r="BB11" s="128">
        <f t="shared" ref="BB11" si="64">R11+AA11+AJ11+AS11</f>
        <v>0</v>
      </c>
      <c r="BC11" s="128">
        <f t="shared" ref="BC11" si="65">S11+AB11+AK11+AT11</f>
        <v>0</v>
      </c>
      <c r="BD11" s="128">
        <f t="shared" ref="BD11" si="66">T11+AC11+AL11+AU11</f>
        <v>0</v>
      </c>
      <c r="BE11" s="128">
        <f t="shared" ref="BE11" si="67">U11+AD11+AM11+AV11</f>
        <v>0</v>
      </c>
      <c r="BF11" s="128">
        <f t="shared" ref="BF11" si="68">V11+AE11+AN11+AW11</f>
        <v>0</v>
      </c>
      <c r="BG11" s="128">
        <f t="shared" ref="BG11" si="69">W11+AF11+AO11+AX11</f>
        <v>0</v>
      </c>
      <c r="BH11" s="128">
        <f t="shared" ref="BH11" si="70">X11+AG11+AP11+AY11</f>
        <v>0</v>
      </c>
      <c r="BI11" s="128">
        <f t="shared" ref="BI11" si="71">Y11+AH11+AQ11+AZ11</f>
        <v>0</v>
      </c>
    </row>
    <row r="12" spans="2:63" x14ac:dyDescent="0.25">
      <c r="B12" s="7"/>
      <c r="C12" s="7" t="s">
        <v>457</v>
      </c>
      <c r="D12" s="7"/>
      <c r="E12" s="7" t="s">
        <v>50</v>
      </c>
      <c r="F12" s="7" t="s">
        <v>50</v>
      </c>
      <c r="G12" s="7" t="s">
        <v>5</v>
      </c>
      <c r="H12" s="7" t="s">
        <v>342</v>
      </c>
      <c r="I12" s="45"/>
      <c r="J12" s="45"/>
      <c r="K12" s="128">
        <v>0</v>
      </c>
      <c r="L12" s="128">
        <v>1198.9570261455015</v>
      </c>
      <c r="M12" s="128">
        <v>1198.9570261455015</v>
      </c>
      <c r="N12" s="128">
        <v>1198.9570261455015</v>
      </c>
      <c r="O12" s="128">
        <v>1198.9570261455015</v>
      </c>
      <c r="P12" s="128">
        <v>1198.9570261455015</v>
      </c>
      <c r="Q12" s="129"/>
      <c r="R12" s="128">
        <f>INDEX(Direct_Cost_Splits_Non_Ntwk,MATCH($G12,RIN_Asset_Cat_Non_Ntwk,0),MATCH($R$4,Direct_Cost_Type,0))*I12*HLOOKUP(R$5,Escalators!$I$25:$U$30,3,FALSE)</f>
        <v>0</v>
      </c>
      <c r="S12" s="128">
        <f>INDEX(Direct_Cost_Splits_Non_Ntwk,MATCH($G12,RIN_Asset_Cat_Non_Ntwk,0),MATCH($R$4,Direct_Cost_Type,0))*J12*HLOOKUP(S$5,Escalators!$I$25:$U$30,3,FALSE)</f>
        <v>0</v>
      </c>
      <c r="T12" s="128">
        <f>INDEX(Direct_Cost_Splits_Non_Ntwk,MATCH($G12,RIN_Asset_Cat_Non_Ntwk,0),MATCH($R$4,Direct_Cost_Type,0))*K12*HLOOKUP(T$5,Escalators!$I$25:$U$30,3,FALSE)</f>
        <v>0</v>
      </c>
      <c r="U12" s="128">
        <f>INDEX(Direct_Cost_Splits_Non_Ntwk,MATCH($G12,RIN_Asset_Cat_Non_Ntwk,0),MATCH($R$4,Direct_Cost_Type,0))*L12*HLOOKUP(U$5,Escalators!$I$25:$U$30,3,FALSE)</f>
        <v>50.675802067238237</v>
      </c>
      <c r="V12" s="128">
        <f>INDEX(Direct_Cost_Splits_Non_Ntwk,MATCH($G12,RIN_Asset_Cat_Non_Ntwk,0),MATCH($R$4,Direct_Cost_Type,0))*M12*HLOOKUP(V$5,Escalators!$I$25:$U$30,3,FALSE)</f>
        <v>50.549227270293969</v>
      </c>
      <c r="W12" s="128">
        <f>INDEX(Direct_Cost_Splits_Non_Ntwk,MATCH($G12,RIN_Asset_Cat_Non_Ntwk,0),MATCH($R$4,Direct_Cost_Type,0))*N12*HLOOKUP(W$5,Escalators!$I$25:$U$30,3,FALSE)</f>
        <v>50.512513034769313</v>
      </c>
      <c r="X12" s="128">
        <f>INDEX(Direct_Cost_Splits_Non_Ntwk,MATCH($G12,RIN_Asset_Cat_Non_Ntwk,0),MATCH($R$4,Direct_Cost_Type,0))*O12*HLOOKUP(X$5,Escalators!$I$25:$U$30,3,FALSE)</f>
        <v>50.698032778589351</v>
      </c>
      <c r="Y12" s="128">
        <f>INDEX(Direct_Cost_Splits_Non_Ntwk,MATCH($G12,RIN_Asset_Cat_Non_Ntwk,0),MATCH($R$4,Direct_Cost_Type,0))*P12*HLOOKUP(Y$5,Escalators!$I$25:$U$30,3,FALSE)</f>
        <v>51.203286007387298</v>
      </c>
      <c r="Z12" s="129"/>
      <c r="AA12" s="128">
        <f t="shared" ref="AA12" si="72">INDEX(Direct_Cost_Splits_Non_Ntwk,MATCH($G12,RIN_Asset_Cat_Non_Ntwk,0),MATCH($AA$4,Direct_Cost_Type,0))*I12</f>
        <v>0</v>
      </c>
      <c r="AB12" s="128">
        <f t="shared" ref="AB12:AC12" si="73">INDEX(Direct_Cost_Splits_Non_Ntwk,MATCH($G12,RIN_Asset_Cat_Non_Ntwk,0),MATCH($AA$4,Direct_Cost_Type,0))*J12</f>
        <v>0</v>
      </c>
      <c r="AC12" s="128">
        <f t="shared" si="73"/>
        <v>0</v>
      </c>
      <c r="AD12" s="128">
        <f t="shared" ref="AD12" si="74">INDEX(Direct_Cost_Splits_Non_Ntwk,MATCH($G12,RIN_Asset_Cat_Non_Ntwk,0),MATCH($AA$4,Direct_Cost_Type,0))*L12</f>
        <v>655.15385397267971</v>
      </c>
      <c r="AE12" s="128">
        <f t="shared" ref="AE12" si="75">INDEX(Direct_Cost_Splits_Non_Ntwk,MATCH($G12,RIN_Asset_Cat_Non_Ntwk,0),MATCH($AA$4,Direct_Cost_Type,0))*M12</f>
        <v>655.15385397267971</v>
      </c>
      <c r="AF12" s="128">
        <f t="shared" ref="AF12" si="76">INDEX(Direct_Cost_Splits_Non_Ntwk,MATCH($G12,RIN_Asset_Cat_Non_Ntwk,0),MATCH($AA$4,Direct_Cost_Type,0))*N12</f>
        <v>655.15385397267971</v>
      </c>
      <c r="AG12" s="128">
        <f t="shared" ref="AG12" si="77">INDEX(Direct_Cost_Splits_Non_Ntwk,MATCH($G12,RIN_Asset_Cat_Non_Ntwk,0),MATCH($AA$4,Direct_Cost_Type,0))*O12</f>
        <v>655.15385397267971</v>
      </c>
      <c r="AH12" s="128">
        <f t="shared" ref="AH12" si="78">INDEX(Direct_Cost_Splits_Non_Ntwk,MATCH($G12,RIN_Asset_Cat_Non_Ntwk,0),MATCH($AA$4,Direct_Cost_Type,0))*P12</f>
        <v>655.15385397267971</v>
      </c>
      <c r="AI12" s="129"/>
      <c r="AJ12" s="128">
        <f>INDEX(Direct_Cost_Splits_Non_Ntwk,MATCH($G12,RIN_Asset_Cat_Non_Ntwk,0),MATCH($AJ$4,Direct_Cost_Type,0))*I12*HLOOKUP(AJ$5,Escalators!$I$25:$U$30,6,FALSE)</f>
        <v>0</v>
      </c>
      <c r="AK12" s="128">
        <f>INDEX(Direct_Cost_Splits_Non_Ntwk,MATCH($G12,RIN_Asset_Cat_Non_Ntwk,0),MATCH($AJ$4,Direct_Cost_Type,0))*J12*HLOOKUP(AK$5,Escalators!$I$25:$U$30,6,FALSE)</f>
        <v>0</v>
      </c>
      <c r="AL12" s="128">
        <f>INDEX(Direct_Cost_Splits_Non_Ntwk,MATCH($G12,RIN_Asset_Cat_Non_Ntwk,0),MATCH($AJ$4,Direct_Cost_Type,0))*K12*HLOOKUP(AL$5,Escalators!$I$25:$U$30,6,FALSE)</f>
        <v>0</v>
      </c>
      <c r="AM12" s="128">
        <f>INDEX(Direct_Cost_Splits_Non_Ntwk,MATCH($G12,RIN_Asset_Cat_Non_Ntwk,0),MATCH($AJ$4,Direct_Cost_Type,0))*L12*HLOOKUP(AM$5,Escalators!$I$25:$U$30,6,FALSE)</f>
        <v>225.6022620054533</v>
      </c>
      <c r="AN12" s="128">
        <f>INDEX(Direct_Cost_Splits_Non_Ntwk,MATCH($G12,RIN_Asset_Cat_Non_Ntwk,0),MATCH($AJ$4,Direct_Cost_Type,0))*M12*HLOOKUP(AN$5,Escalators!$I$25:$U$30,6,FALSE)</f>
        <v>225.6022620054533</v>
      </c>
      <c r="AO12" s="128">
        <f>INDEX(Direct_Cost_Splits_Non_Ntwk,MATCH($G12,RIN_Asset_Cat_Non_Ntwk,0),MATCH($AJ$4,Direct_Cost_Type,0))*N12*HLOOKUP(AO$5,Escalators!$I$25:$U$30,6,FALSE)</f>
        <v>225.6022620054533</v>
      </c>
      <c r="AP12" s="128">
        <f>INDEX(Direct_Cost_Splits_Non_Ntwk,MATCH($G12,RIN_Asset_Cat_Non_Ntwk,0),MATCH($AJ$4,Direct_Cost_Type,0))*O12*HLOOKUP(AP$5,Escalators!$I$25:$U$30,6,FALSE)</f>
        <v>225.6022620054533</v>
      </c>
      <c r="AQ12" s="128">
        <f>INDEX(Direct_Cost_Splits_Non_Ntwk,MATCH($G12,RIN_Asset_Cat_Non_Ntwk,0),MATCH($AJ$4,Direct_Cost_Type,0))*P12*HLOOKUP(AQ$5,Escalators!$I$25:$U$30,6,FALSE)</f>
        <v>225.6022620054533</v>
      </c>
      <c r="AR12" s="129"/>
      <c r="AS12" s="763">
        <f t="shared" ref="AS12" si="79">INDEX(Direct_Cost_Splits_Non_Ntwk,MATCH($G12,RIN_Asset_Cat_Non_Ntwk,0),MATCH($AS$4,Direct_Cost_Type,0))*I12</f>
        <v>0</v>
      </c>
      <c r="AT12" s="763">
        <f t="shared" ref="AT12:AU12" si="80">INDEX(Direct_Cost_Splits_Non_Ntwk,MATCH($G12,RIN_Asset_Cat_Non_Ntwk,0),MATCH($AS$4,Direct_Cost_Type,0))*J12</f>
        <v>0</v>
      </c>
      <c r="AU12" s="763">
        <f t="shared" si="80"/>
        <v>0</v>
      </c>
      <c r="AV12" s="763">
        <f t="shared" ref="AV12" si="81">INDEX(Direct_Cost_Splits_Non_Ntwk,MATCH($G12,RIN_Asset_Cat_Non_Ntwk,0),MATCH($AS$4,Direct_Cost_Type,0))*L12</f>
        <v>268.42400894416414</v>
      </c>
      <c r="AW12" s="763">
        <f t="shared" ref="AW12" si="82">INDEX(Direct_Cost_Splits_Non_Ntwk,MATCH($G12,RIN_Asset_Cat_Non_Ntwk,0),MATCH($AS$4,Direct_Cost_Type,0))*M12</f>
        <v>268.42400894416414</v>
      </c>
      <c r="AX12" s="763">
        <f t="shared" ref="AX12" si="83">INDEX(Direct_Cost_Splits_Non_Ntwk,MATCH($G12,RIN_Asset_Cat_Non_Ntwk,0),MATCH($AS$4,Direct_Cost_Type,0))*N12</f>
        <v>268.42400894416414</v>
      </c>
      <c r="AY12" s="763">
        <f t="shared" ref="AY12" si="84">INDEX(Direct_Cost_Splits_Non_Ntwk,MATCH($G12,RIN_Asset_Cat_Non_Ntwk,0),MATCH($AS$4,Direct_Cost_Type,0))*O12</f>
        <v>268.42400894416414</v>
      </c>
      <c r="AZ12" s="763">
        <f t="shared" ref="AZ12" si="85">INDEX(Direct_Cost_Splits_Non_Ntwk,MATCH($G12,RIN_Asset_Cat_Non_Ntwk,0),MATCH($AS$4,Direct_Cost_Type,0))*P12</f>
        <v>268.42400894416414</v>
      </c>
      <c r="BA12" s="129"/>
      <c r="BB12" s="128">
        <f t="shared" ref="BB12" si="86">R12+AA12+AJ12+AS12</f>
        <v>0</v>
      </c>
      <c r="BC12" s="128">
        <f t="shared" ref="BC12:BD12" si="87">S12+AB12+AK12+AT12</f>
        <v>0</v>
      </c>
      <c r="BD12" s="128">
        <f t="shared" si="87"/>
        <v>0</v>
      </c>
      <c r="BE12" s="128">
        <f t="shared" ref="BE12" si="88">U12+AD12+AM12+AV12</f>
        <v>1199.8559269895354</v>
      </c>
      <c r="BF12" s="128">
        <f t="shared" ref="BF12" si="89">V12+AE12+AN12+AW12</f>
        <v>1199.7293521925913</v>
      </c>
      <c r="BG12" s="128">
        <f t="shared" ref="BG12" si="90">W12+AF12+AO12+AX12</f>
        <v>1199.6926379570664</v>
      </c>
      <c r="BH12" s="128">
        <f t="shared" ref="BH12" si="91">X12+AG12+AP12+AY12</f>
        <v>1199.8781577008865</v>
      </c>
      <c r="BI12" s="128">
        <f t="shared" ref="BI12" si="92">Y12+AH12+AQ12+AZ12</f>
        <v>1200.3834109296845</v>
      </c>
      <c r="BK12" s="39"/>
    </row>
    <row r="13" spans="2:63" x14ac:dyDescent="0.25">
      <c r="B13" s="7"/>
      <c r="C13" s="7"/>
      <c r="D13" s="7"/>
      <c r="E13" s="7"/>
      <c r="F13" s="7"/>
      <c r="G13" s="7"/>
      <c r="H13" s="7"/>
      <c r="I13" s="45"/>
      <c r="J13" s="45"/>
      <c r="K13" s="128"/>
      <c r="L13" s="128"/>
      <c r="M13" s="128"/>
      <c r="N13" s="128"/>
      <c r="O13" s="128"/>
      <c r="P13" s="128"/>
      <c r="Q13" s="129"/>
      <c r="R13" s="128"/>
      <c r="S13" s="128"/>
      <c r="T13" s="128"/>
      <c r="U13" s="128"/>
      <c r="V13" s="128"/>
      <c r="W13" s="128"/>
      <c r="X13" s="128"/>
      <c r="Y13" s="128"/>
      <c r="Z13" s="129"/>
      <c r="AA13" s="128"/>
      <c r="AB13" s="128"/>
      <c r="AC13" s="128"/>
      <c r="AD13" s="128"/>
      <c r="AE13" s="128"/>
      <c r="AF13" s="128"/>
      <c r="AG13" s="128"/>
      <c r="AH13" s="128"/>
      <c r="AI13" s="129"/>
      <c r="AJ13" s="128"/>
      <c r="AK13" s="128"/>
      <c r="AL13" s="128"/>
      <c r="AM13" s="128"/>
      <c r="AN13" s="128"/>
      <c r="AO13" s="128"/>
      <c r="AP13" s="128"/>
      <c r="AQ13" s="128"/>
      <c r="AR13" s="129"/>
      <c r="AS13" s="763"/>
      <c r="AT13" s="763"/>
      <c r="AU13" s="763"/>
      <c r="AV13" s="763"/>
      <c r="AW13" s="763"/>
      <c r="AX13" s="763"/>
      <c r="AY13" s="763"/>
      <c r="AZ13" s="763"/>
      <c r="BA13" s="129"/>
      <c r="BB13" s="128"/>
      <c r="BC13" s="128"/>
      <c r="BD13" s="128"/>
      <c r="BE13" s="128"/>
      <c r="BF13" s="128"/>
      <c r="BG13" s="128"/>
      <c r="BH13" s="128"/>
      <c r="BI13" s="128"/>
      <c r="BK13" s="39"/>
    </row>
    <row r="14" spans="2:63" x14ac:dyDescent="0.25">
      <c r="B14" s="7"/>
      <c r="C14" s="7" t="s">
        <v>592</v>
      </c>
      <c r="D14" s="7"/>
      <c r="E14" s="7" t="s">
        <v>591</v>
      </c>
      <c r="F14" s="7" t="s">
        <v>50</v>
      </c>
      <c r="G14" s="7" t="s">
        <v>163</v>
      </c>
      <c r="H14" s="7" t="s">
        <v>341</v>
      </c>
      <c r="I14" s="45"/>
      <c r="J14" s="45"/>
      <c r="K14" s="128">
        <v>152.21789856580605</v>
      </c>
      <c r="L14" s="128">
        <v>1240.1278634824585</v>
      </c>
      <c r="M14" s="128">
        <v>0</v>
      </c>
      <c r="N14" s="128">
        <v>0</v>
      </c>
      <c r="O14" s="128">
        <v>0</v>
      </c>
      <c r="P14" s="128">
        <v>4601.6493504988621</v>
      </c>
      <c r="Q14" s="129"/>
      <c r="R14" s="128">
        <v>0</v>
      </c>
      <c r="S14" s="128">
        <v>0</v>
      </c>
      <c r="T14" s="128">
        <v>0</v>
      </c>
      <c r="U14" s="128">
        <v>0</v>
      </c>
      <c r="V14" s="128">
        <v>0</v>
      </c>
      <c r="W14" s="128">
        <v>0</v>
      </c>
      <c r="X14" s="128">
        <v>0</v>
      </c>
      <c r="Y14" s="128">
        <v>0</v>
      </c>
      <c r="Z14" s="129"/>
      <c r="AA14" s="128">
        <v>0</v>
      </c>
      <c r="AB14" s="128">
        <v>0</v>
      </c>
      <c r="AC14" s="128">
        <v>0</v>
      </c>
      <c r="AD14" s="128">
        <v>0</v>
      </c>
      <c r="AE14" s="128">
        <v>0</v>
      </c>
      <c r="AF14" s="128">
        <v>0</v>
      </c>
      <c r="AG14" s="128">
        <v>0</v>
      </c>
      <c r="AH14" s="128">
        <v>0</v>
      </c>
      <c r="AI14" s="129"/>
      <c r="AJ14" s="128">
        <v>0</v>
      </c>
      <c r="AK14" s="128">
        <v>0</v>
      </c>
      <c r="AL14" s="128">
        <v>0</v>
      </c>
      <c r="AM14" s="128">
        <v>0</v>
      </c>
      <c r="AN14" s="128">
        <v>0</v>
      </c>
      <c r="AO14" s="128">
        <v>0</v>
      </c>
      <c r="AP14" s="128">
        <v>0</v>
      </c>
      <c r="AQ14" s="128">
        <v>0</v>
      </c>
      <c r="AR14" s="129"/>
      <c r="AS14" s="763">
        <f>I14</f>
        <v>0</v>
      </c>
      <c r="AT14" s="763">
        <f t="shared" ref="AT14:AZ14" si="93">J14</f>
        <v>0</v>
      </c>
      <c r="AU14" s="763">
        <f t="shared" si="93"/>
        <v>152.21789856580605</v>
      </c>
      <c r="AV14" s="763">
        <f t="shared" si="93"/>
        <v>1240.1278634824585</v>
      </c>
      <c r="AW14" s="763">
        <f t="shared" si="93"/>
        <v>0</v>
      </c>
      <c r="AX14" s="763">
        <f t="shared" si="93"/>
        <v>0</v>
      </c>
      <c r="AY14" s="763">
        <f t="shared" si="93"/>
        <v>0</v>
      </c>
      <c r="AZ14" s="763">
        <f t="shared" si="93"/>
        <v>4601.6493504988621</v>
      </c>
      <c r="BA14" s="129"/>
      <c r="BB14" s="128">
        <f t="shared" ref="BB14" si="94">R14+AA14+AJ14+AS14</f>
        <v>0</v>
      </c>
      <c r="BC14" s="128">
        <f t="shared" ref="BC14" si="95">S14+AB14+AK14+AT14</f>
        <v>0</v>
      </c>
      <c r="BD14" s="128">
        <f t="shared" ref="BD14" si="96">T14+AC14+AL14+AU14</f>
        <v>152.21789856580605</v>
      </c>
      <c r="BE14" s="128">
        <f t="shared" ref="BE14" si="97">U14+AD14+AM14+AV14</f>
        <v>1240.1278634824585</v>
      </c>
      <c r="BF14" s="128">
        <f t="shared" ref="BF14" si="98">V14+AE14+AN14+AW14</f>
        <v>0</v>
      </c>
      <c r="BG14" s="128">
        <f t="shared" ref="BG14" si="99">W14+AF14+AO14+AX14</f>
        <v>0</v>
      </c>
      <c r="BH14" s="128">
        <f t="shared" ref="BH14" si="100">X14+AG14+AP14+AY14</f>
        <v>0</v>
      </c>
      <c r="BI14" s="128">
        <f t="shared" ref="BI14" si="101">Y14+AH14+AQ14+AZ14</f>
        <v>4601.6493504988621</v>
      </c>
    </row>
    <row r="15" spans="2:63" x14ac:dyDescent="0.25">
      <c r="B15" s="7"/>
      <c r="C15" s="7"/>
      <c r="D15" s="7"/>
      <c r="E15" s="7"/>
      <c r="F15" s="7"/>
      <c r="G15" s="7"/>
      <c r="H15" s="7"/>
      <c r="I15" s="45"/>
      <c r="J15" s="45"/>
      <c r="K15" s="45"/>
      <c r="L15" s="45"/>
      <c r="M15" s="45"/>
      <c r="N15" s="45"/>
      <c r="O15" s="45"/>
      <c r="P15" s="45"/>
      <c r="R15" s="47"/>
      <c r="S15" s="47"/>
      <c r="T15" s="47"/>
      <c r="U15" s="47"/>
      <c r="V15" s="47"/>
      <c r="W15" s="47"/>
      <c r="X15" s="47"/>
      <c r="Y15" s="47"/>
      <c r="AA15" s="47"/>
      <c r="AB15" s="47"/>
      <c r="AC15" s="47"/>
      <c r="AD15" s="47"/>
      <c r="AE15" s="47"/>
      <c r="AF15" s="47"/>
      <c r="AG15" s="47"/>
      <c r="AH15" s="47"/>
      <c r="AJ15" s="47"/>
      <c r="AK15" s="47"/>
      <c r="AL15" s="47"/>
      <c r="AM15" s="47"/>
      <c r="AN15" s="47"/>
      <c r="AO15" s="47"/>
      <c r="AP15" s="47"/>
      <c r="AQ15" s="47"/>
      <c r="AS15" s="47"/>
      <c r="AT15" s="47"/>
      <c r="AU15" s="47"/>
      <c r="AV15" s="47"/>
      <c r="AW15" s="47"/>
      <c r="AX15" s="47"/>
      <c r="AY15" s="47"/>
      <c r="AZ15" s="47"/>
      <c r="BB15" s="374"/>
      <c r="BC15" s="47"/>
      <c r="BD15" s="47"/>
      <c r="BE15" s="47"/>
      <c r="BF15" s="47"/>
      <c r="BG15" s="47"/>
      <c r="BH15" s="47"/>
      <c r="BI15" s="47"/>
    </row>
    <row r="16" spans="2:63" x14ac:dyDescent="0.25">
      <c r="B16" s="7"/>
      <c r="C16" s="7"/>
      <c r="D16" s="7"/>
      <c r="E16" s="7"/>
      <c r="F16" s="7"/>
      <c r="G16" s="7"/>
      <c r="H16" s="7"/>
      <c r="I16" s="45"/>
      <c r="J16" s="45"/>
      <c r="K16" s="45"/>
      <c r="L16" s="45"/>
      <c r="M16" s="45"/>
      <c r="N16" s="45"/>
      <c r="O16" s="45"/>
      <c r="P16" s="45"/>
      <c r="R16" s="47"/>
      <c r="S16" s="47"/>
      <c r="T16" s="47"/>
      <c r="U16" s="47"/>
      <c r="V16" s="47"/>
      <c r="W16" s="47"/>
      <c r="X16" s="47"/>
      <c r="Y16" s="47"/>
      <c r="AA16" s="47"/>
      <c r="AB16" s="47"/>
      <c r="AC16" s="47"/>
      <c r="AD16" s="47"/>
      <c r="AE16" s="47"/>
      <c r="AF16" s="47"/>
      <c r="AG16" s="47"/>
      <c r="AH16" s="47"/>
      <c r="AJ16" s="47"/>
      <c r="AK16" s="47"/>
      <c r="AL16" s="47"/>
      <c r="AM16" s="47"/>
      <c r="AN16" s="47"/>
      <c r="AO16" s="47"/>
      <c r="AP16" s="47"/>
      <c r="AQ16" s="47"/>
      <c r="AS16" s="47"/>
      <c r="AT16" s="47"/>
      <c r="AU16" s="47"/>
      <c r="AV16" s="47"/>
      <c r="AW16" s="47"/>
      <c r="AX16" s="47"/>
      <c r="AY16" s="47"/>
      <c r="AZ16" s="47"/>
      <c r="BB16" s="374"/>
      <c r="BC16" s="47"/>
      <c r="BD16" s="47"/>
      <c r="BE16" s="47"/>
      <c r="BF16" s="47"/>
      <c r="BG16" s="47"/>
      <c r="BH16" s="47"/>
      <c r="BI16" s="47"/>
    </row>
    <row r="17" spans="2:61" x14ac:dyDescent="0.25">
      <c r="B17" s="7"/>
      <c r="C17" s="7"/>
      <c r="D17" s="7"/>
      <c r="E17" s="7"/>
      <c r="F17" s="7"/>
      <c r="G17" s="7"/>
      <c r="H17" s="7"/>
      <c r="I17" s="45"/>
      <c r="J17" s="45"/>
      <c r="K17" s="45"/>
      <c r="L17" s="45"/>
      <c r="M17" s="45"/>
      <c r="N17" s="45"/>
      <c r="O17" s="45"/>
      <c r="P17" s="45"/>
      <c r="R17" s="47"/>
      <c r="S17" s="47"/>
      <c r="T17" s="47"/>
      <c r="U17" s="47"/>
      <c r="V17" s="47"/>
      <c r="W17" s="47"/>
      <c r="X17" s="47"/>
      <c r="Y17" s="47"/>
      <c r="AA17" s="47"/>
      <c r="AB17" s="47"/>
      <c r="AC17" s="47"/>
      <c r="AD17" s="47"/>
      <c r="AE17" s="47"/>
      <c r="AF17" s="47"/>
      <c r="AG17" s="47"/>
      <c r="AH17" s="47"/>
      <c r="AJ17" s="47"/>
      <c r="AK17" s="47"/>
      <c r="AL17" s="47"/>
      <c r="AM17" s="47"/>
      <c r="AN17" s="47"/>
      <c r="AO17" s="47"/>
      <c r="AP17" s="47"/>
      <c r="AQ17" s="47"/>
      <c r="AS17" s="47"/>
      <c r="AT17" s="47"/>
      <c r="AU17" s="47"/>
      <c r="AV17" s="47"/>
      <c r="AW17" s="47"/>
      <c r="AX17" s="47"/>
      <c r="AY17" s="47"/>
      <c r="AZ17" s="47"/>
      <c r="BB17" s="374"/>
      <c r="BC17" s="47"/>
      <c r="BD17" s="47"/>
      <c r="BE17" s="47"/>
      <c r="BF17" s="47"/>
      <c r="BG17" s="47"/>
      <c r="BH17" s="47"/>
      <c r="BI17" s="47"/>
    </row>
    <row r="18" spans="2:61" x14ac:dyDescent="0.25">
      <c r="B18" s="7"/>
      <c r="C18" s="7"/>
      <c r="D18" s="7"/>
      <c r="E18" s="7"/>
      <c r="F18" s="7"/>
      <c r="G18" s="7"/>
      <c r="H18" s="7"/>
      <c r="I18" s="45"/>
      <c r="J18" s="45"/>
      <c r="K18" s="45"/>
      <c r="L18" s="45"/>
      <c r="M18" s="45"/>
      <c r="N18" s="45"/>
      <c r="O18" s="45"/>
      <c r="P18" s="45"/>
      <c r="R18" s="47"/>
      <c r="S18" s="47"/>
      <c r="T18" s="47"/>
      <c r="U18" s="47"/>
      <c r="V18" s="47"/>
      <c r="W18" s="47"/>
      <c r="X18" s="47"/>
      <c r="Y18" s="47"/>
      <c r="AA18" s="47"/>
      <c r="AB18" s="47"/>
      <c r="AC18" s="47"/>
      <c r="AD18" s="47"/>
      <c r="AE18" s="47"/>
      <c r="AF18" s="47"/>
      <c r="AG18" s="47"/>
      <c r="AH18" s="47"/>
      <c r="AJ18" s="47"/>
      <c r="AK18" s="47"/>
      <c r="AL18" s="47"/>
      <c r="AM18" s="47"/>
      <c r="AN18" s="47"/>
      <c r="AO18" s="47"/>
      <c r="AP18" s="47"/>
      <c r="AQ18" s="47"/>
      <c r="AS18" s="47"/>
      <c r="AT18" s="47"/>
      <c r="AU18" s="47"/>
      <c r="AV18" s="47"/>
      <c r="AW18" s="47"/>
      <c r="AX18" s="47"/>
      <c r="AY18" s="47"/>
      <c r="AZ18" s="47"/>
      <c r="BB18" s="374"/>
      <c r="BC18" s="47"/>
      <c r="BD18" s="47"/>
      <c r="BE18" s="47"/>
      <c r="BF18" s="47"/>
      <c r="BG18" s="47"/>
      <c r="BH18" s="47"/>
      <c r="BI18" s="47"/>
    </row>
    <row r="19" spans="2:61" x14ac:dyDescent="0.25">
      <c r="B19" s="7"/>
      <c r="C19" s="7"/>
      <c r="D19" s="7"/>
      <c r="E19" s="7"/>
      <c r="F19" s="7"/>
      <c r="G19" s="7"/>
      <c r="H19" s="7"/>
      <c r="I19" s="45"/>
      <c r="J19" s="45"/>
      <c r="K19" s="45"/>
      <c r="L19" s="45"/>
      <c r="M19" s="45"/>
      <c r="N19" s="45"/>
      <c r="O19" s="45"/>
      <c r="P19" s="45"/>
      <c r="R19" s="47"/>
      <c r="S19" s="47"/>
      <c r="T19" s="47"/>
      <c r="U19" s="47"/>
      <c r="V19" s="47"/>
      <c r="W19" s="47"/>
      <c r="X19" s="47"/>
      <c r="Y19" s="47"/>
      <c r="AA19" s="47"/>
      <c r="AB19" s="47"/>
      <c r="AC19" s="47"/>
      <c r="AD19" s="47"/>
      <c r="AE19" s="47"/>
      <c r="AF19" s="47"/>
      <c r="AG19" s="47"/>
      <c r="AH19" s="47"/>
      <c r="AJ19" s="47"/>
      <c r="AK19" s="47"/>
      <c r="AL19" s="47"/>
      <c r="AM19" s="47"/>
      <c r="AN19" s="47"/>
      <c r="AO19" s="47"/>
      <c r="AP19" s="47"/>
      <c r="AQ19" s="47"/>
      <c r="AS19" s="47"/>
      <c r="AT19" s="47"/>
      <c r="AU19" s="47"/>
      <c r="AV19" s="47"/>
      <c r="AW19" s="47"/>
      <c r="AX19" s="47"/>
      <c r="AY19" s="47"/>
      <c r="AZ19" s="47"/>
      <c r="BB19" s="374"/>
      <c r="BC19" s="47"/>
      <c r="BD19" s="47"/>
      <c r="BE19" s="47"/>
      <c r="BF19" s="47"/>
      <c r="BG19" s="47"/>
      <c r="BH19" s="47"/>
      <c r="BI19" s="47"/>
    </row>
    <row r="20" spans="2:61" x14ac:dyDescent="0.25">
      <c r="B20" s="7"/>
      <c r="C20" s="7"/>
      <c r="D20" s="7"/>
      <c r="E20" s="7"/>
      <c r="F20" s="7"/>
      <c r="G20" s="7"/>
      <c r="H20" s="7"/>
      <c r="I20" s="45"/>
      <c r="J20" s="45"/>
      <c r="K20" s="45"/>
      <c r="L20" s="45"/>
      <c r="M20" s="45"/>
      <c r="N20" s="45"/>
      <c r="O20" s="45"/>
      <c r="P20" s="45"/>
      <c r="R20" s="47"/>
      <c r="S20" s="47"/>
      <c r="T20" s="47"/>
      <c r="U20" s="47"/>
      <c r="V20" s="47"/>
      <c r="W20" s="47"/>
      <c r="X20" s="47"/>
      <c r="Y20" s="47"/>
      <c r="AA20" s="47"/>
      <c r="AB20" s="47"/>
      <c r="AC20" s="47"/>
      <c r="AD20" s="47"/>
      <c r="AE20" s="47"/>
      <c r="AF20" s="47"/>
      <c r="AG20" s="47"/>
      <c r="AH20" s="47"/>
      <c r="AJ20" s="47"/>
      <c r="AK20" s="47"/>
      <c r="AL20" s="47"/>
      <c r="AM20" s="47"/>
      <c r="AN20" s="47"/>
      <c r="AO20" s="47"/>
      <c r="AP20" s="47"/>
      <c r="AQ20" s="47"/>
      <c r="AS20" s="47"/>
      <c r="AT20" s="47"/>
      <c r="AU20" s="47"/>
      <c r="AV20" s="47"/>
      <c r="AW20" s="47"/>
      <c r="AX20" s="47"/>
      <c r="AY20" s="47"/>
      <c r="AZ20" s="47"/>
      <c r="BB20" s="374"/>
      <c r="BC20" s="47"/>
      <c r="BD20" s="47"/>
      <c r="BE20" s="47"/>
      <c r="BF20" s="47"/>
      <c r="BG20" s="47"/>
      <c r="BH20" s="47"/>
      <c r="BI20" s="47"/>
    </row>
    <row r="21" spans="2:61" x14ac:dyDescent="0.25">
      <c r="B21" s="7"/>
      <c r="C21" s="7"/>
      <c r="D21" s="7"/>
      <c r="E21" s="7"/>
      <c r="F21" s="7"/>
      <c r="G21" s="7"/>
      <c r="H21" s="7"/>
      <c r="I21" s="45"/>
      <c r="J21" s="45"/>
      <c r="K21" s="45"/>
      <c r="L21" s="45"/>
      <c r="M21" s="45"/>
      <c r="N21" s="45"/>
      <c r="O21" s="45"/>
      <c r="P21" s="45"/>
      <c r="R21" s="47"/>
      <c r="S21" s="47"/>
      <c r="T21" s="47"/>
      <c r="U21" s="47"/>
      <c r="V21" s="47"/>
      <c r="W21" s="47"/>
      <c r="X21" s="47"/>
      <c r="Y21" s="47"/>
      <c r="AA21" s="47"/>
      <c r="AB21" s="47"/>
      <c r="AC21" s="47"/>
      <c r="AD21" s="47"/>
      <c r="AE21" s="47"/>
      <c r="AF21" s="47"/>
      <c r="AG21" s="47"/>
      <c r="AH21" s="47"/>
      <c r="AJ21" s="47"/>
      <c r="AK21" s="47"/>
      <c r="AL21" s="47"/>
      <c r="AM21" s="47"/>
      <c r="AN21" s="47"/>
      <c r="AO21" s="47"/>
      <c r="AP21" s="47"/>
      <c r="AQ21" s="47"/>
      <c r="AS21" s="47"/>
      <c r="AT21" s="47"/>
      <c r="AU21" s="47"/>
      <c r="AV21" s="47"/>
      <c r="AW21" s="47"/>
      <c r="AX21" s="47"/>
      <c r="AY21" s="47"/>
      <c r="AZ21" s="47"/>
      <c r="BB21" s="374"/>
      <c r="BC21" s="47"/>
      <c r="BD21" s="47"/>
      <c r="BE21" s="47"/>
      <c r="BF21" s="47"/>
      <c r="BG21" s="47"/>
      <c r="BH21" s="47"/>
      <c r="BI21" s="47"/>
    </row>
    <row r="22" spans="2:61" x14ac:dyDescent="0.25">
      <c r="B22" s="7"/>
      <c r="C22" s="7"/>
      <c r="D22" s="7"/>
      <c r="E22" s="7"/>
      <c r="F22" s="7"/>
      <c r="G22" s="7"/>
      <c r="H22" s="7"/>
      <c r="I22" s="45"/>
      <c r="J22" s="45"/>
      <c r="K22" s="45"/>
      <c r="L22" s="45"/>
      <c r="M22" s="45"/>
      <c r="N22" s="45"/>
      <c r="O22" s="45"/>
      <c r="P22" s="45"/>
      <c r="R22" s="47"/>
      <c r="S22" s="47"/>
      <c r="T22" s="47"/>
      <c r="U22" s="47"/>
      <c r="V22" s="47"/>
      <c r="W22" s="47"/>
      <c r="X22" s="47"/>
      <c r="Y22" s="47"/>
      <c r="AA22" s="47"/>
      <c r="AB22" s="47"/>
      <c r="AC22" s="47"/>
      <c r="AD22" s="47"/>
      <c r="AE22" s="47"/>
      <c r="AF22" s="47"/>
      <c r="AG22" s="47"/>
      <c r="AH22" s="47"/>
      <c r="AJ22" s="47"/>
      <c r="AK22" s="47"/>
      <c r="AL22" s="47"/>
      <c r="AM22" s="47"/>
      <c r="AN22" s="47"/>
      <c r="AO22" s="47"/>
      <c r="AP22" s="47"/>
      <c r="AQ22" s="47"/>
      <c r="AS22" s="47"/>
      <c r="AT22" s="47"/>
      <c r="AU22" s="47"/>
      <c r="AV22" s="47"/>
      <c r="AW22" s="47"/>
      <c r="AX22" s="47"/>
      <c r="AY22" s="47"/>
      <c r="AZ22" s="47"/>
      <c r="BB22" s="374"/>
      <c r="BC22" s="47"/>
      <c r="BD22" s="47"/>
      <c r="BE22" s="47"/>
      <c r="BF22" s="47"/>
      <c r="BG22" s="47"/>
      <c r="BH22" s="47"/>
      <c r="BI22" s="47"/>
    </row>
    <row r="23" spans="2:61" x14ac:dyDescent="0.25">
      <c r="B23" s="7"/>
      <c r="C23" s="7"/>
      <c r="D23" s="7"/>
      <c r="E23" s="7"/>
      <c r="F23" s="7"/>
      <c r="G23" s="7"/>
      <c r="H23" s="7"/>
      <c r="I23" s="45"/>
      <c r="J23" s="45"/>
      <c r="K23" s="45"/>
      <c r="L23" s="45"/>
      <c r="M23" s="45"/>
      <c r="N23" s="45"/>
      <c r="O23" s="45"/>
      <c r="P23" s="45"/>
      <c r="R23" s="47"/>
      <c r="S23" s="47"/>
      <c r="T23" s="47"/>
      <c r="U23" s="47"/>
      <c r="V23" s="47"/>
      <c r="W23" s="47"/>
      <c r="X23" s="47"/>
      <c r="Y23" s="47"/>
      <c r="AA23" s="47"/>
      <c r="AB23" s="47"/>
      <c r="AC23" s="47"/>
      <c r="AD23" s="47"/>
      <c r="AE23" s="47"/>
      <c r="AF23" s="47"/>
      <c r="AG23" s="47"/>
      <c r="AH23" s="47"/>
      <c r="AJ23" s="47"/>
      <c r="AK23" s="47"/>
      <c r="AL23" s="47"/>
      <c r="AM23" s="47"/>
      <c r="AN23" s="47"/>
      <c r="AO23" s="47"/>
      <c r="AP23" s="47"/>
      <c r="AQ23" s="47"/>
      <c r="AS23" s="47"/>
      <c r="AT23" s="47"/>
      <c r="AU23" s="47"/>
      <c r="AV23" s="47"/>
      <c r="AW23" s="47"/>
      <c r="AX23" s="47"/>
      <c r="AY23" s="47"/>
      <c r="AZ23" s="47"/>
      <c r="BB23" s="374"/>
      <c r="BC23" s="47"/>
      <c r="BD23" s="47"/>
      <c r="BE23" s="47"/>
      <c r="BF23" s="47"/>
      <c r="BG23" s="47"/>
      <c r="BH23" s="47"/>
      <c r="BI23" s="47"/>
    </row>
    <row r="24" spans="2:61" x14ac:dyDescent="0.25">
      <c r="B24" s="7"/>
      <c r="C24" s="7"/>
      <c r="D24" s="7"/>
      <c r="E24" s="7"/>
      <c r="F24" s="7"/>
      <c r="G24" s="7"/>
      <c r="H24" s="7"/>
      <c r="I24" s="45"/>
      <c r="J24" s="45"/>
      <c r="K24" s="45"/>
      <c r="L24" s="45"/>
      <c r="M24" s="45"/>
      <c r="N24" s="45"/>
      <c r="O24" s="45"/>
      <c r="P24" s="45"/>
      <c r="R24" s="47"/>
      <c r="S24" s="47"/>
      <c r="T24" s="47"/>
      <c r="U24" s="47"/>
      <c r="V24" s="47"/>
      <c r="W24" s="47"/>
      <c r="X24" s="47"/>
      <c r="Y24" s="47"/>
      <c r="AA24" s="47"/>
      <c r="AB24" s="47"/>
      <c r="AC24" s="47"/>
      <c r="AD24" s="47"/>
      <c r="AE24" s="47"/>
      <c r="AF24" s="47"/>
      <c r="AG24" s="47"/>
      <c r="AH24" s="47"/>
      <c r="AJ24" s="47"/>
      <c r="AK24" s="47"/>
      <c r="AL24" s="47"/>
      <c r="AM24" s="47"/>
      <c r="AN24" s="47"/>
      <c r="AO24" s="47"/>
      <c r="AP24" s="47"/>
      <c r="AQ24" s="47"/>
      <c r="AS24" s="47"/>
      <c r="AT24" s="47"/>
      <c r="AU24" s="47"/>
      <c r="AV24" s="47"/>
      <c r="AW24" s="47"/>
      <c r="AX24" s="47"/>
      <c r="AY24" s="47"/>
      <c r="AZ24" s="47"/>
      <c r="BB24" s="374"/>
      <c r="BC24" s="47"/>
      <c r="BD24" s="47"/>
      <c r="BE24" s="47"/>
      <c r="BF24" s="47"/>
      <c r="BG24" s="47"/>
      <c r="BH24" s="47"/>
      <c r="BI24" s="47"/>
    </row>
    <row r="25" spans="2:61" x14ac:dyDescent="0.25">
      <c r="B25" s="7"/>
      <c r="C25" s="7"/>
      <c r="D25" s="7"/>
      <c r="E25" s="7"/>
      <c r="F25" s="7"/>
      <c r="G25" s="7"/>
      <c r="H25" s="7"/>
      <c r="I25" s="45"/>
      <c r="J25" s="45"/>
      <c r="K25" s="45"/>
      <c r="L25" s="45"/>
      <c r="M25" s="45"/>
      <c r="N25" s="45"/>
      <c r="O25" s="45"/>
      <c r="P25" s="45"/>
      <c r="R25" s="47"/>
      <c r="S25" s="47"/>
      <c r="T25" s="47"/>
      <c r="U25" s="47"/>
      <c r="V25" s="47"/>
      <c r="W25" s="47"/>
      <c r="X25" s="47"/>
      <c r="Y25" s="47"/>
      <c r="AA25" s="47"/>
      <c r="AB25" s="47"/>
      <c r="AC25" s="47"/>
      <c r="AD25" s="47"/>
      <c r="AE25" s="47"/>
      <c r="AF25" s="47"/>
      <c r="AG25" s="47"/>
      <c r="AH25" s="47"/>
      <c r="AJ25" s="47"/>
      <c r="AK25" s="47"/>
      <c r="AL25" s="47"/>
      <c r="AM25" s="47"/>
      <c r="AN25" s="47"/>
      <c r="AO25" s="47"/>
      <c r="AP25" s="47"/>
      <c r="AQ25" s="47"/>
      <c r="AS25" s="47"/>
      <c r="AT25" s="47"/>
      <c r="AU25" s="47"/>
      <c r="AV25" s="47"/>
      <c r="AW25" s="47"/>
      <c r="AX25" s="47"/>
      <c r="AY25" s="47"/>
      <c r="AZ25" s="47"/>
      <c r="BB25" s="374"/>
      <c r="BC25" s="47"/>
      <c r="BD25" s="47"/>
      <c r="BE25" s="47"/>
      <c r="BF25" s="47"/>
      <c r="BG25" s="47"/>
      <c r="BH25" s="47"/>
      <c r="BI25" s="47"/>
    </row>
    <row r="26" spans="2:61" x14ac:dyDescent="0.25">
      <c r="B26" s="7"/>
      <c r="C26" s="7"/>
      <c r="D26" s="7"/>
      <c r="E26" s="7"/>
      <c r="F26" s="7"/>
      <c r="G26" s="7"/>
      <c r="H26" s="7"/>
      <c r="I26" s="45"/>
      <c r="J26" s="45"/>
      <c r="K26" s="45"/>
      <c r="L26" s="45"/>
      <c r="M26" s="45"/>
      <c r="N26" s="45"/>
      <c r="O26" s="45"/>
      <c r="P26" s="45"/>
      <c r="R26" s="47"/>
      <c r="S26" s="47"/>
      <c r="T26" s="47"/>
      <c r="U26" s="47"/>
      <c r="V26" s="47"/>
      <c r="W26" s="47"/>
      <c r="X26" s="47"/>
      <c r="Y26" s="47"/>
      <c r="AA26" s="47"/>
      <c r="AB26" s="47"/>
      <c r="AC26" s="47"/>
      <c r="AD26" s="47"/>
      <c r="AE26" s="47"/>
      <c r="AF26" s="47"/>
      <c r="AG26" s="47"/>
      <c r="AH26" s="47"/>
      <c r="AJ26" s="47"/>
      <c r="AK26" s="47"/>
      <c r="AL26" s="47"/>
      <c r="AM26" s="47"/>
      <c r="AN26" s="47"/>
      <c r="AO26" s="47"/>
      <c r="AP26" s="47"/>
      <c r="AQ26" s="47"/>
      <c r="AS26" s="47"/>
      <c r="AT26" s="47"/>
      <c r="AU26" s="47"/>
      <c r="AV26" s="47"/>
      <c r="AW26" s="47"/>
      <c r="AX26" s="47"/>
      <c r="AY26" s="47"/>
      <c r="AZ26" s="47"/>
      <c r="BB26" s="374"/>
      <c r="BC26" s="47"/>
      <c r="BD26" s="47"/>
      <c r="BE26" s="47"/>
      <c r="BF26" s="47"/>
      <c r="BG26" s="47"/>
      <c r="BH26" s="47"/>
      <c r="BI26" s="47"/>
    </row>
    <row r="27" spans="2:61" x14ac:dyDescent="0.25">
      <c r="B27" s="7"/>
      <c r="C27" s="7"/>
      <c r="D27" s="7"/>
      <c r="E27" s="7"/>
      <c r="F27" s="7"/>
      <c r="G27" s="7"/>
      <c r="H27" s="7"/>
      <c r="I27" s="45"/>
      <c r="J27" s="45"/>
      <c r="K27" s="45"/>
      <c r="L27" s="45"/>
      <c r="M27" s="45"/>
      <c r="N27" s="45"/>
      <c r="O27" s="45"/>
      <c r="P27" s="45"/>
      <c r="R27" s="47"/>
      <c r="S27" s="47"/>
      <c r="T27" s="47"/>
      <c r="U27" s="47"/>
      <c r="V27" s="47"/>
      <c r="W27" s="47"/>
      <c r="X27" s="47"/>
      <c r="Y27" s="47"/>
      <c r="AA27" s="47"/>
      <c r="AB27" s="47"/>
      <c r="AC27" s="47"/>
      <c r="AD27" s="47"/>
      <c r="AE27" s="47"/>
      <c r="AF27" s="47"/>
      <c r="AG27" s="47"/>
      <c r="AH27" s="47"/>
      <c r="AJ27" s="47"/>
      <c r="AK27" s="47"/>
      <c r="AL27" s="47"/>
      <c r="AM27" s="47"/>
      <c r="AN27" s="47"/>
      <c r="AO27" s="47"/>
      <c r="AP27" s="47"/>
      <c r="AQ27" s="47"/>
      <c r="AS27" s="47"/>
      <c r="AT27" s="47"/>
      <c r="AU27" s="47"/>
      <c r="AV27" s="47"/>
      <c r="AW27" s="47"/>
      <c r="AX27" s="47"/>
      <c r="AY27" s="47"/>
      <c r="AZ27" s="47"/>
      <c r="BB27" s="374"/>
      <c r="BC27" s="47"/>
      <c r="BD27" s="47"/>
      <c r="BE27" s="47"/>
      <c r="BF27" s="47"/>
      <c r="BG27" s="47"/>
      <c r="BH27" s="47"/>
      <c r="BI27" s="47"/>
    </row>
    <row r="28" spans="2:61" x14ac:dyDescent="0.25">
      <c r="B28" s="7"/>
      <c r="C28" s="7"/>
      <c r="D28" s="7"/>
      <c r="E28" s="7"/>
      <c r="F28" s="7"/>
      <c r="G28" s="7"/>
      <c r="H28" s="7"/>
      <c r="I28" s="45"/>
      <c r="J28" s="45"/>
      <c r="K28" s="45"/>
      <c r="L28" s="45"/>
      <c r="M28" s="45"/>
      <c r="N28" s="45"/>
      <c r="O28" s="45"/>
      <c r="P28" s="45"/>
      <c r="R28" s="47"/>
      <c r="S28" s="47"/>
      <c r="T28" s="47"/>
      <c r="U28" s="47"/>
      <c r="V28" s="47"/>
      <c r="W28" s="47"/>
      <c r="X28" s="47"/>
      <c r="Y28" s="47"/>
      <c r="AA28" s="47"/>
      <c r="AB28" s="47"/>
      <c r="AC28" s="47"/>
      <c r="AD28" s="47"/>
      <c r="AE28" s="47"/>
      <c r="AF28" s="47"/>
      <c r="AG28" s="47"/>
      <c r="AH28" s="47"/>
      <c r="AJ28" s="47"/>
      <c r="AK28" s="47"/>
      <c r="AL28" s="47"/>
      <c r="AM28" s="47"/>
      <c r="AN28" s="47"/>
      <c r="AO28" s="47"/>
      <c r="AP28" s="47"/>
      <c r="AQ28" s="47"/>
      <c r="AS28" s="47"/>
      <c r="AT28" s="47"/>
      <c r="AU28" s="47"/>
      <c r="AV28" s="47"/>
      <c r="AW28" s="47"/>
      <c r="AX28" s="47"/>
      <c r="AY28" s="47"/>
      <c r="AZ28" s="47"/>
      <c r="BB28" s="374"/>
      <c r="BC28" s="47"/>
      <c r="BD28" s="47"/>
      <c r="BE28" s="47"/>
      <c r="BF28" s="47"/>
      <c r="BG28" s="47"/>
      <c r="BH28" s="47"/>
      <c r="BI28" s="47"/>
    </row>
    <row r="29" spans="2:61" x14ac:dyDescent="0.25">
      <c r="B29" s="7"/>
      <c r="C29" s="7"/>
      <c r="D29" s="7"/>
      <c r="E29" s="7"/>
      <c r="F29" s="7"/>
      <c r="G29" s="7"/>
      <c r="H29" s="7"/>
      <c r="I29" s="45"/>
      <c r="J29" s="45"/>
      <c r="K29" s="45"/>
      <c r="L29" s="45"/>
      <c r="M29" s="45"/>
      <c r="N29" s="45"/>
      <c r="O29" s="45"/>
      <c r="P29" s="45"/>
      <c r="R29" s="47"/>
      <c r="S29" s="47"/>
      <c r="T29" s="47"/>
      <c r="U29" s="47"/>
      <c r="V29" s="47"/>
      <c r="W29" s="47"/>
      <c r="X29" s="47"/>
      <c r="Y29" s="47"/>
      <c r="AA29" s="47"/>
      <c r="AB29" s="47"/>
      <c r="AC29" s="47"/>
      <c r="AD29" s="47"/>
      <c r="AE29" s="47"/>
      <c r="AF29" s="47"/>
      <c r="AG29" s="47"/>
      <c r="AH29" s="47"/>
      <c r="AJ29" s="47"/>
      <c r="AK29" s="47"/>
      <c r="AL29" s="47"/>
      <c r="AM29" s="47"/>
      <c r="AN29" s="47"/>
      <c r="AO29" s="47"/>
      <c r="AP29" s="47"/>
      <c r="AQ29" s="47"/>
      <c r="AS29" s="47"/>
      <c r="AT29" s="47"/>
      <c r="AU29" s="47"/>
      <c r="AV29" s="47"/>
      <c r="AW29" s="47"/>
      <c r="AX29" s="47"/>
      <c r="AY29" s="47"/>
      <c r="AZ29" s="47"/>
      <c r="BB29" s="374"/>
      <c r="BC29" s="47"/>
      <c r="BD29" s="47"/>
      <c r="BE29" s="47"/>
      <c r="BF29" s="47"/>
      <c r="BG29" s="47"/>
      <c r="BH29" s="47"/>
      <c r="BI29" s="47"/>
    </row>
    <row r="30" spans="2:61" x14ac:dyDescent="0.25">
      <c r="B30" s="7"/>
      <c r="C30" s="7"/>
      <c r="D30" s="7"/>
      <c r="E30" s="7"/>
      <c r="F30" s="7"/>
      <c r="G30" s="7"/>
      <c r="H30" s="7"/>
      <c r="I30" s="45"/>
      <c r="J30" s="45"/>
      <c r="K30" s="45"/>
      <c r="L30" s="45"/>
      <c r="M30" s="45"/>
      <c r="N30" s="45"/>
      <c r="O30" s="45"/>
      <c r="P30" s="45"/>
      <c r="R30" s="47"/>
      <c r="S30" s="47"/>
      <c r="T30" s="47"/>
      <c r="U30" s="47"/>
      <c r="V30" s="47"/>
      <c r="W30" s="47"/>
      <c r="X30" s="47"/>
      <c r="Y30" s="47"/>
      <c r="AA30" s="47"/>
      <c r="AB30" s="47"/>
      <c r="AC30" s="47"/>
      <c r="AD30" s="47"/>
      <c r="AE30" s="47"/>
      <c r="AF30" s="47"/>
      <c r="AG30" s="47"/>
      <c r="AH30" s="47"/>
      <c r="AJ30" s="47"/>
      <c r="AK30" s="47"/>
      <c r="AL30" s="47"/>
      <c r="AM30" s="47"/>
      <c r="AN30" s="47"/>
      <c r="AO30" s="47"/>
      <c r="AP30" s="47"/>
      <c r="AQ30" s="47"/>
      <c r="AS30" s="47"/>
      <c r="AT30" s="47"/>
      <c r="AU30" s="47"/>
      <c r="AV30" s="47"/>
      <c r="AW30" s="47"/>
      <c r="AX30" s="47"/>
      <c r="AY30" s="47"/>
      <c r="AZ30" s="47"/>
      <c r="BB30" s="374"/>
      <c r="BC30" s="47"/>
      <c r="BD30" s="47"/>
      <c r="BE30" s="47"/>
      <c r="BF30" s="47"/>
      <c r="BG30" s="47"/>
      <c r="BH30" s="47"/>
      <c r="BI30" s="47"/>
    </row>
    <row r="31" spans="2:61" x14ac:dyDescent="0.25">
      <c r="B31" s="7"/>
      <c r="C31" s="7"/>
      <c r="D31" s="7"/>
      <c r="E31" s="7"/>
      <c r="F31" s="7"/>
      <c r="G31" s="7"/>
      <c r="H31" s="7"/>
      <c r="I31" s="45"/>
      <c r="J31" s="45"/>
      <c r="K31" s="45"/>
      <c r="L31" s="45"/>
      <c r="M31" s="45"/>
      <c r="N31" s="45"/>
      <c r="O31" s="45"/>
      <c r="P31" s="45"/>
      <c r="R31" s="47"/>
      <c r="S31" s="47"/>
      <c r="T31" s="47"/>
      <c r="U31" s="47"/>
      <c r="V31" s="47"/>
      <c r="W31" s="47"/>
      <c r="X31" s="47"/>
      <c r="Y31" s="47"/>
      <c r="AA31" s="47"/>
      <c r="AB31" s="47"/>
      <c r="AC31" s="47"/>
      <c r="AD31" s="47"/>
      <c r="AE31" s="47"/>
      <c r="AF31" s="47"/>
      <c r="AG31" s="47"/>
      <c r="AH31" s="47"/>
      <c r="AJ31" s="47"/>
      <c r="AK31" s="47"/>
      <c r="AL31" s="47"/>
      <c r="AM31" s="47"/>
      <c r="AN31" s="47"/>
      <c r="AO31" s="47"/>
      <c r="AP31" s="47"/>
      <c r="AQ31" s="47"/>
      <c r="AS31" s="47"/>
      <c r="AT31" s="47"/>
      <c r="AU31" s="47"/>
      <c r="AV31" s="47"/>
      <c r="AW31" s="47"/>
      <c r="AX31" s="47"/>
      <c r="AY31" s="47"/>
      <c r="AZ31" s="47"/>
      <c r="BB31" s="374"/>
      <c r="BC31" s="47"/>
      <c r="BD31" s="47"/>
      <c r="BE31" s="47"/>
      <c r="BF31" s="47"/>
      <c r="BG31" s="47"/>
      <c r="BH31" s="47"/>
      <c r="BI31" s="47"/>
    </row>
    <row r="32" spans="2:61" x14ac:dyDescent="0.25">
      <c r="B32" s="7"/>
      <c r="C32" s="7"/>
      <c r="D32" s="7"/>
      <c r="E32" s="7"/>
      <c r="F32" s="7"/>
      <c r="G32" s="7"/>
      <c r="H32" s="7"/>
      <c r="I32" s="45"/>
      <c r="J32" s="45"/>
      <c r="K32" s="45"/>
      <c r="L32" s="45"/>
      <c r="M32" s="45"/>
      <c r="N32" s="45"/>
      <c r="O32" s="45"/>
      <c r="P32" s="45"/>
      <c r="R32" s="47"/>
      <c r="S32" s="47"/>
      <c r="T32" s="47"/>
      <c r="U32" s="47"/>
      <c r="V32" s="47"/>
      <c r="W32" s="47"/>
      <c r="X32" s="47"/>
      <c r="Y32" s="47"/>
      <c r="AA32" s="47"/>
      <c r="AB32" s="47"/>
      <c r="AC32" s="47"/>
      <c r="AD32" s="47"/>
      <c r="AE32" s="47"/>
      <c r="AF32" s="47"/>
      <c r="AG32" s="47"/>
      <c r="AH32" s="47"/>
      <c r="AJ32" s="47"/>
      <c r="AK32" s="47"/>
      <c r="AL32" s="47"/>
      <c r="AM32" s="47"/>
      <c r="AN32" s="47"/>
      <c r="AO32" s="47"/>
      <c r="AP32" s="47"/>
      <c r="AQ32" s="47"/>
      <c r="AS32" s="47"/>
      <c r="AT32" s="47"/>
      <c r="AU32" s="47"/>
      <c r="AV32" s="47"/>
      <c r="AW32" s="47"/>
      <c r="AX32" s="47"/>
      <c r="AY32" s="47"/>
      <c r="AZ32" s="47"/>
      <c r="BB32" s="374"/>
      <c r="BC32" s="47"/>
      <c r="BD32" s="47"/>
      <c r="BE32" s="47"/>
      <c r="BF32" s="47"/>
      <c r="BG32" s="47"/>
      <c r="BH32" s="47"/>
      <c r="BI32" s="47"/>
    </row>
    <row r="33" spans="2:61" x14ac:dyDescent="0.25">
      <c r="B33" s="7"/>
      <c r="C33" s="7"/>
      <c r="D33" s="7"/>
      <c r="E33" s="7"/>
      <c r="F33" s="7"/>
      <c r="G33" s="7"/>
      <c r="H33" s="7"/>
      <c r="I33" s="45"/>
      <c r="J33" s="45"/>
      <c r="K33" s="45"/>
      <c r="L33" s="45"/>
      <c r="M33" s="45"/>
      <c r="N33" s="45"/>
      <c r="O33" s="45"/>
      <c r="P33" s="45"/>
      <c r="R33" s="47"/>
      <c r="S33" s="47"/>
      <c r="T33" s="47"/>
      <c r="U33" s="47"/>
      <c r="V33" s="47"/>
      <c r="W33" s="47"/>
      <c r="X33" s="47"/>
      <c r="Y33" s="47"/>
      <c r="AA33" s="47"/>
      <c r="AB33" s="47"/>
      <c r="AC33" s="47"/>
      <c r="AD33" s="47"/>
      <c r="AE33" s="47"/>
      <c r="AF33" s="47"/>
      <c r="AG33" s="47"/>
      <c r="AH33" s="47"/>
      <c r="AJ33" s="47"/>
      <c r="AK33" s="47"/>
      <c r="AL33" s="47"/>
      <c r="AM33" s="47"/>
      <c r="AN33" s="47"/>
      <c r="AO33" s="47"/>
      <c r="AP33" s="47"/>
      <c r="AQ33" s="47"/>
      <c r="AS33" s="47"/>
      <c r="AT33" s="47"/>
      <c r="AU33" s="47"/>
      <c r="AV33" s="47"/>
      <c r="AW33" s="47"/>
      <c r="AX33" s="47"/>
      <c r="AY33" s="47"/>
      <c r="AZ33" s="47"/>
      <c r="BB33" s="374"/>
      <c r="BC33" s="47"/>
      <c r="BD33" s="47"/>
      <c r="BE33" s="47"/>
      <c r="BF33" s="47"/>
      <c r="BG33" s="47"/>
      <c r="BH33" s="47"/>
      <c r="BI33" s="47"/>
    </row>
    <row r="34" spans="2:61" x14ac:dyDescent="0.25">
      <c r="B34" s="7"/>
      <c r="C34" s="7"/>
      <c r="D34" s="7"/>
      <c r="E34" s="7"/>
      <c r="F34" s="7"/>
      <c r="G34" s="7"/>
      <c r="H34" s="7"/>
      <c r="I34" s="45"/>
      <c r="J34" s="45"/>
      <c r="K34" s="45"/>
      <c r="L34" s="45"/>
      <c r="M34" s="45"/>
      <c r="N34" s="45"/>
      <c r="O34" s="45"/>
      <c r="P34" s="45"/>
      <c r="R34" s="47"/>
      <c r="S34" s="47"/>
      <c r="T34" s="47"/>
      <c r="U34" s="47"/>
      <c r="V34" s="47"/>
      <c r="W34" s="47"/>
      <c r="X34" s="47"/>
      <c r="Y34" s="47"/>
      <c r="AA34" s="47"/>
      <c r="AB34" s="47"/>
      <c r="AC34" s="47"/>
      <c r="AD34" s="47"/>
      <c r="AE34" s="47"/>
      <c r="AF34" s="47"/>
      <c r="AG34" s="47"/>
      <c r="AH34" s="47"/>
      <c r="AJ34" s="47"/>
      <c r="AK34" s="47"/>
      <c r="AL34" s="47"/>
      <c r="AM34" s="47"/>
      <c r="AN34" s="47"/>
      <c r="AO34" s="47"/>
      <c r="AP34" s="47"/>
      <c r="AQ34" s="47"/>
      <c r="AS34" s="47"/>
      <c r="AT34" s="47"/>
      <c r="AU34" s="47"/>
      <c r="AV34" s="47"/>
      <c r="AW34" s="47"/>
      <c r="AX34" s="47"/>
      <c r="AY34" s="47"/>
      <c r="AZ34" s="47"/>
      <c r="BB34" s="374"/>
      <c r="BC34" s="47"/>
      <c r="BD34" s="47"/>
      <c r="BE34" s="47"/>
      <c r="BF34" s="47"/>
      <c r="BG34" s="47"/>
      <c r="BH34" s="47"/>
      <c r="BI34" s="47"/>
    </row>
    <row r="35" spans="2:61" x14ac:dyDescent="0.25">
      <c r="B35" s="7"/>
      <c r="C35" s="7"/>
      <c r="D35" s="7"/>
      <c r="E35" s="7"/>
      <c r="F35" s="7"/>
      <c r="G35" s="7"/>
      <c r="H35" s="7"/>
      <c r="I35" s="45"/>
      <c r="J35" s="45"/>
      <c r="K35" s="45"/>
      <c r="L35" s="45"/>
      <c r="M35" s="45"/>
      <c r="N35" s="45"/>
      <c r="O35" s="45"/>
      <c r="P35" s="45"/>
      <c r="R35" s="47"/>
      <c r="S35" s="47"/>
      <c r="T35" s="47"/>
      <c r="U35" s="47"/>
      <c r="V35" s="47"/>
      <c r="W35" s="47"/>
      <c r="X35" s="47"/>
      <c r="Y35" s="47"/>
      <c r="AA35" s="47"/>
      <c r="AB35" s="47"/>
      <c r="AC35" s="47"/>
      <c r="AD35" s="47"/>
      <c r="AE35" s="47"/>
      <c r="AF35" s="47"/>
      <c r="AG35" s="47"/>
      <c r="AH35" s="47"/>
      <c r="AJ35" s="47"/>
      <c r="AK35" s="47"/>
      <c r="AL35" s="47"/>
      <c r="AM35" s="47"/>
      <c r="AN35" s="47"/>
      <c r="AO35" s="47"/>
      <c r="AP35" s="47"/>
      <c r="AQ35" s="47"/>
      <c r="AS35" s="47"/>
      <c r="AT35" s="47"/>
      <c r="AU35" s="47"/>
      <c r="AV35" s="47"/>
      <c r="AW35" s="47"/>
      <c r="AX35" s="47"/>
      <c r="AY35" s="47"/>
      <c r="AZ35" s="47"/>
      <c r="BB35" s="374"/>
      <c r="BC35" s="47"/>
      <c r="BD35" s="47"/>
      <c r="BE35" s="47"/>
      <c r="BF35" s="47"/>
      <c r="BG35" s="47"/>
      <c r="BH35" s="47"/>
      <c r="BI35" s="47"/>
    </row>
    <row r="36" spans="2:61" x14ac:dyDescent="0.25">
      <c r="B36" s="7"/>
      <c r="C36" s="7"/>
      <c r="D36" s="7"/>
      <c r="E36" s="7"/>
      <c r="F36" s="7"/>
      <c r="G36" s="7"/>
      <c r="H36" s="7"/>
      <c r="I36" s="45"/>
      <c r="J36" s="45"/>
      <c r="K36" s="45"/>
      <c r="L36" s="45"/>
      <c r="M36" s="45"/>
      <c r="N36" s="45"/>
      <c r="O36" s="45"/>
      <c r="P36" s="45"/>
      <c r="R36" s="47"/>
      <c r="S36" s="47"/>
      <c r="T36" s="47"/>
      <c r="U36" s="47"/>
      <c r="V36" s="47"/>
      <c r="W36" s="47"/>
      <c r="X36" s="47"/>
      <c r="Y36" s="47"/>
      <c r="AA36" s="47"/>
      <c r="AB36" s="47"/>
      <c r="AC36" s="47"/>
      <c r="AD36" s="47"/>
      <c r="AE36" s="47"/>
      <c r="AF36" s="47"/>
      <c r="AG36" s="47"/>
      <c r="AH36" s="47"/>
      <c r="AJ36" s="47"/>
      <c r="AK36" s="47"/>
      <c r="AL36" s="47"/>
      <c r="AM36" s="47"/>
      <c r="AN36" s="47"/>
      <c r="AO36" s="47"/>
      <c r="AP36" s="47"/>
      <c r="AQ36" s="47"/>
      <c r="AS36" s="47"/>
      <c r="AT36" s="47"/>
      <c r="AU36" s="47"/>
      <c r="AV36" s="47"/>
      <c r="AW36" s="47"/>
      <c r="AX36" s="47"/>
      <c r="AY36" s="47"/>
      <c r="AZ36" s="47"/>
      <c r="BB36" s="374"/>
      <c r="BC36" s="47"/>
      <c r="BD36" s="47"/>
      <c r="BE36" s="47"/>
      <c r="BF36" s="47"/>
      <c r="BG36" s="47"/>
      <c r="BH36" s="47"/>
      <c r="BI36" s="47"/>
    </row>
    <row r="37" spans="2:61" x14ac:dyDescent="0.25">
      <c r="I37" s="49">
        <f t="shared" ref="I37:P37" si="102">SUM(I6:I36)</f>
        <v>0</v>
      </c>
      <c r="J37" s="49">
        <f t="shared" si="102"/>
        <v>0</v>
      </c>
      <c r="K37" s="764">
        <f t="shared" si="102"/>
        <v>3952.2885985658063</v>
      </c>
      <c r="L37" s="764">
        <f t="shared" si="102"/>
        <v>9032.1434211405649</v>
      </c>
      <c r="M37" s="764">
        <f t="shared" si="102"/>
        <v>6455.2708921118883</v>
      </c>
      <c r="N37" s="764">
        <f t="shared" si="102"/>
        <v>5656.7275744648286</v>
      </c>
      <c r="O37" s="764">
        <f t="shared" si="102"/>
        <v>9261.6762555572659</v>
      </c>
      <c r="P37" s="764">
        <f t="shared" si="102"/>
        <v>14448.731461098145</v>
      </c>
      <c r="Q37" s="129"/>
      <c r="R37" s="764">
        <f t="shared" ref="R37:Y37" si="103">SUM(R6:R36)</f>
        <v>0</v>
      </c>
      <c r="S37" s="764">
        <f t="shared" si="103"/>
        <v>0</v>
      </c>
      <c r="T37" s="764">
        <f t="shared" si="103"/>
        <v>31.476091400520101</v>
      </c>
      <c r="U37" s="764">
        <f t="shared" si="103"/>
        <v>113.71582136095847</v>
      </c>
      <c r="V37" s="764">
        <f t="shared" si="103"/>
        <v>113.42008676571588</v>
      </c>
      <c r="W37" s="764">
        <f t="shared" si="103"/>
        <v>113.36809889097813</v>
      </c>
      <c r="X37" s="764">
        <f t="shared" si="103"/>
        <v>113.94188500043535</v>
      </c>
      <c r="Y37" s="764">
        <f t="shared" si="103"/>
        <v>114.98552114261638</v>
      </c>
      <c r="Z37" s="129"/>
      <c r="AA37" s="764">
        <f t="shared" ref="AA37:AH37" si="104">SUM(AA6:AA36)</f>
        <v>0</v>
      </c>
      <c r="AB37" s="764">
        <f t="shared" si="104"/>
        <v>0</v>
      </c>
      <c r="AC37" s="764">
        <f t="shared" si="104"/>
        <v>1041.2628195557686</v>
      </c>
      <c r="AD37" s="764">
        <f t="shared" si="104"/>
        <v>2460.1673084024187</v>
      </c>
      <c r="AE37" s="764">
        <f t="shared" si="104"/>
        <v>2266.3415887284386</v>
      </c>
      <c r="AF37" s="764">
        <f t="shared" si="104"/>
        <v>2242.5753314536178</v>
      </c>
      <c r="AG37" s="764">
        <f t="shared" si="104"/>
        <v>3073.7866536625002</v>
      </c>
      <c r="AH37" s="764">
        <f t="shared" si="104"/>
        <v>2922.846768713137</v>
      </c>
      <c r="AI37" s="129"/>
      <c r="AJ37" s="764">
        <f t="shared" ref="AJ37:AQ37" si="105">SUM(AJ6:AJ36)</f>
        <v>0</v>
      </c>
      <c r="AK37" s="764">
        <f t="shared" si="105"/>
        <v>0</v>
      </c>
      <c r="AL37" s="764">
        <f t="shared" si="105"/>
        <v>1355.8553145818905</v>
      </c>
      <c r="AM37" s="764">
        <f t="shared" si="105"/>
        <v>2796.4865246736213</v>
      </c>
      <c r="AN37" s="764">
        <f t="shared" si="105"/>
        <v>1946.0825205818469</v>
      </c>
      <c r="AO37" s="764">
        <f t="shared" si="105"/>
        <v>1088.2451315141097</v>
      </c>
      <c r="AP37" s="764">
        <f t="shared" si="105"/>
        <v>2208.844615464066</v>
      </c>
      <c r="AQ37" s="764">
        <f t="shared" si="105"/>
        <v>3477.759180889545</v>
      </c>
      <c r="AR37" s="129"/>
      <c r="AS37" s="764">
        <f t="shared" ref="AS37:AZ37" si="106">SUM(AS6:AS36)</f>
        <v>0</v>
      </c>
      <c r="AT37" s="764">
        <f t="shared" si="106"/>
        <v>0</v>
      </c>
      <c r="AU37" s="764">
        <f t="shared" si="106"/>
        <v>1524.1789105364701</v>
      </c>
      <c r="AV37" s="764">
        <f t="shared" si="106"/>
        <v>3663.7908881625563</v>
      </c>
      <c r="AW37" s="764">
        <f t="shared" si="106"/>
        <v>2131.1596065471376</v>
      </c>
      <c r="AX37" s="764">
        <f t="shared" si="106"/>
        <v>2214.1899879306229</v>
      </c>
      <c r="AY37" s="764">
        <f t="shared" si="106"/>
        <v>3867.1733092865006</v>
      </c>
      <c r="AZ37" s="764">
        <f t="shared" si="106"/>
        <v>7936.3431753542063</v>
      </c>
      <c r="BA37" s="129"/>
      <c r="BB37" s="764">
        <f t="shared" ref="BB37:BI37" si="107">SUM(BB6:BB36)</f>
        <v>0</v>
      </c>
      <c r="BC37" s="764">
        <f t="shared" ref="BC37" si="108">SUM(BC6:BC36)</f>
        <v>0</v>
      </c>
      <c r="BD37" s="764">
        <f t="shared" si="107"/>
        <v>3952.7731360746493</v>
      </c>
      <c r="BE37" s="764">
        <f t="shared" si="107"/>
        <v>9034.1605425995549</v>
      </c>
      <c r="BF37" s="764">
        <f t="shared" si="107"/>
        <v>6457.0038026231396</v>
      </c>
      <c r="BG37" s="764">
        <f t="shared" si="107"/>
        <v>5658.3785497893277</v>
      </c>
      <c r="BH37" s="764">
        <f t="shared" si="107"/>
        <v>9263.7464634135013</v>
      </c>
      <c r="BI37" s="764">
        <f t="shared" si="107"/>
        <v>14451.934646099504</v>
      </c>
    </row>
    <row r="38" spans="2:61" x14ac:dyDescent="0.25">
      <c r="BB38" s="84">
        <f t="shared" ref="BB38:BI38" si="109">IF(ISERROR((BB37-I37)/I37),0,(BB37-I37)/I37)</f>
        <v>0</v>
      </c>
      <c r="BC38" s="84">
        <f t="shared" si="109"/>
        <v>0</v>
      </c>
      <c r="BD38" s="84">
        <f t="shared" si="109"/>
        <v>1.2259669220988367E-4</v>
      </c>
      <c r="BE38" s="84">
        <f t="shared" si="109"/>
        <v>2.2332699614454148E-4</v>
      </c>
      <c r="BF38" s="84">
        <f t="shared" si="109"/>
        <v>2.6844892185218797E-4</v>
      </c>
      <c r="BG38" s="84">
        <f t="shared" si="109"/>
        <v>2.918604975696185E-4</v>
      </c>
      <c r="BH38" s="84">
        <f t="shared" si="109"/>
        <v>2.2352410072562981E-4</v>
      </c>
      <c r="BI38" s="84">
        <f t="shared" si="109"/>
        <v>2.2169316455104477E-4</v>
      </c>
    </row>
    <row r="39" spans="2:61" x14ac:dyDescent="0.25">
      <c r="C39" s="41"/>
      <c r="D39" s="440"/>
      <c r="E39" s="41"/>
      <c r="F39" s="41"/>
      <c r="G39" s="41"/>
      <c r="H39" s="41"/>
      <c r="I39" s="50"/>
      <c r="J39" s="50"/>
      <c r="K39" s="50"/>
      <c r="L39" s="50">
        <f>L7</f>
        <v>1228</v>
      </c>
      <c r="M39" s="50"/>
      <c r="N39" s="50"/>
      <c r="O39" s="50"/>
      <c r="P39" s="50"/>
      <c r="Q39" s="41"/>
      <c r="R39" s="41"/>
      <c r="S39" s="41"/>
    </row>
    <row r="40" spans="2:61" x14ac:dyDescent="0.25">
      <c r="C40" s="41"/>
      <c r="D40" s="440"/>
      <c r="E40" s="41"/>
      <c r="F40" s="41"/>
      <c r="G40" s="41"/>
      <c r="H40" s="41"/>
      <c r="I40" s="41"/>
      <c r="J40" s="41"/>
      <c r="K40" s="41"/>
      <c r="L40" s="441">
        <f>BE7</f>
        <v>1228.9206753973681</v>
      </c>
      <c r="M40" s="441"/>
      <c r="N40" s="441"/>
      <c r="O40" s="441"/>
      <c r="P40" s="441"/>
      <c r="Q40" s="41"/>
      <c r="R40" s="41"/>
      <c r="S40" s="41"/>
    </row>
    <row r="41" spans="2:61" x14ac:dyDescent="0.25">
      <c r="C41" s="41"/>
      <c r="D41" s="41"/>
      <c r="E41" s="41"/>
      <c r="F41" s="41"/>
      <c r="G41" s="41"/>
      <c r="H41" s="41"/>
      <c r="I41" s="41"/>
      <c r="J41" s="41"/>
      <c r="K41" s="112"/>
      <c r="L41" s="112"/>
      <c r="M41" s="112"/>
      <c r="N41" s="112"/>
      <c r="O41" s="112"/>
      <c r="P41" s="112"/>
      <c r="Q41" s="41"/>
      <c r="R41" s="41"/>
      <c r="S41" s="41"/>
    </row>
  </sheetData>
  <autoFilter ref="B5:H14"/>
  <mergeCells count="13">
    <mergeCell ref="L1:M1"/>
    <mergeCell ref="I4:P4"/>
    <mergeCell ref="BB4:BI4"/>
    <mergeCell ref="AS4:AZ4"/>
    <mergeCell ref="AJ4:AQ4"/>
    <mergeCell ref="AA4:AH4"/>
    <mergeCell ref="R4:Y4"/>
    <mergeCell ref="I3:P3"/>
    <mergeCell ref="R3:Y3"/>
    <mergeCell ref="AA3:AH3"/>
    <mergeCell ref="AJ3:AQ3"/>
    <mergeCell ref="BB3:BI3"/>
    <mergeCell ref="AS3:AZ3"/>
  </mergeCells>
  <hyperlinks>
    <hyperlink ref="B2" location="Contents!A1" display="Table of Contents"/>
  </hyperlink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4">
        <x14:dataValidation type="list" errorStyle="warning" showInputMessage="1" showErrorMessage="1" error="Invalid data entered" prompt="Select from drop down list">
          <x14:formula1>
            <xm:f>Lookups!$C$16:$C$27</xm:f>
          </x14:formula1>
          <xm:sqref>F6:F36</xm:sqref>
        </x14:dataValidation>
        <x14:dataValidation type="list" allowBlank="1" showInputMessage="1" showErrorMessage="1" prompt="Select from drop down list">
          <x14:formula1>
            <xm:f>Lookups!$I$15:$I$26</xm:f>
          </x14:formula1>
          <xm:sqref>H6:H36</xm:sqref>
        </x14:dataValidation>
        <x14:dataValidation type="list" errorStyle="warning" showInputMessage="1" showErrorMessage="1" error="Invalid data entered" prompt="Select from drop down list">
          <x14:formula1>
            <xm:f>Lookups!$C$5:$C$13</xm:f>
          </x14:formula1>
          <xm:sqref>E6:E36</xm:sqref>
        </x14:dataValidation>
        <x14:dataValidation type="list" allowBlank="1" showInputMessage="1" showErrorMessage="1" prompt="Select from drop down list">
          <x14:formula1>
            <xm:f>Lab_Mat!$C$25:$C$28</xm:f>
          </x14:formula1>
          <xm:sqref>G6:G36</xm:sqref>
        </x14:dataValidation>
      </x14:dataValidations>
    </ex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AK59"/>
  <sheetViews>
    <sheetView zoomScale="80" zoomScaleNormal="80" workbookViewId="0">
      <pane xSplit="2" topLeftCell="K1" activePane="topRight" state="frozen"/>
      <selection activeCell="V33" sqref="V33"/>
      <selection pane="topRight" activeCell="X40" sqref="X40"/>
    </sheetView>
  </sheetViews>
  <sheetFormatPr defaultColWidth="9.140625" defaultRowHeight="15" outlineLevelRow="1" x14ac:dyDescent="0.25"/>
  <cols>
    <col min="1" max="1" width="6.140625" style="1" customWidth="1"/>
    <col min="2" max="2" width="33.85546875" style="1" bestFit="1" customWidth="1"/>
    <col min="3" max="3" width="8.28515625" style="1" customWidth="1"/>
    <col min="4" max="10" width="9.140625" style="1"/>
    <col min="11" max="11" width="10.140625" style="1" customWidth="1"/>
    <col min="12" max="12" width="8.7109375" style="1" customWidth="1"/>
    <col min="13" max="19" width="9.140625" style="1"/>
    <col min="20" max="20" width="8.85546875" style="1" customWidth="1"/>
    <col min="21" max="21" width="8" style="1" customWidth="1"/>
    <col min="22" max="28" width="9.140625" style="1"/>
    <col min="29" max="29" width="5.85546875" style="1" customWidth="1"/>
    <col min="30" max="30" width="8.7109375" style="1" customWidth="1"/>
    <col min="31" max="16384" width="9.140625" style="1"/>
  </cols>
  <sheetData>
    <row r="1" spans="2:37" ht="18.75" x14ac:dyDescent="0.3">
      <c r="B1" s="10" t="s">
        <v>613</v>
      </c>
      <c r="C1" s="10"/>
      <c r="H1" s="825" t="s">
        <v>749</v>
      </c>
      <c r="I1" s="825"/>
      <c r="J1" s="232"/>
      <c r="K1" s="232"/>
      <c r="L1" s="232"/>
      <c r="M1" s="232"/>
      <c r="N1" s="232"/>
      <c r="O1" s="232"/>
      <c r="P1" s="232"/>
      <c r="Q1" s="232"/>
      <c r="R1" s="232"/>
      <c r="S1" s="232"/>
    </row>
    <row r="2" spans="2:37" x14ac:dyDescent="0.25">
      <c r="B2" s="25" t="s">
        <v>6</v>
      </c>
      <c r="C2" s="25"/>
      <c r="L2" s="223">
        <f>CP_Yr_4</f>
        <v>43800</v>
      </c>
      <c r="M2" s="223">
        <f>CP_Yr_5</f>
        <v>44166</v>
      </c>
      <c r="N2" s="223">
        <f>Stub</f>
        <v>44377</v>
      </c>
      <c r="O2" s="223">
        <f>Yr_1</f>
        <v>44742</v>
      </c>
      <c r="P2" s="223">
        <f>Yr_2</f>
        <v>45107</v>
      </c>
      <c r="Q2" s="223">
        <f>Yr_3</f>
        <v>45473</v>
      </c>
      <c r="R2" s="223">
        <f>Yr_4</f>
        <v>45838</v>
      </c>
      <c r="S2" s="223">
        <f>Yr_5</f>
        <v>46203</v>
      </c>
      <c r="W2" s="625" t="b">
        <f>N3/M3-1=W3</f>
        <v>1</v>
      </c>
    </row>
    <row r="3" spans="2:37" x14ac:dyDescent="0.25">
      <c r="K3" s="78" t="s">
        <v>394</v>
      </c>
      <c r="L3" s="578">
        <v>1.0381</v>
      </c>
      <c r="M3" s="578">
        <v>1.0640524999999998</v>
      </c>
      <c r="N3" s="578">
        <v>1.0772710503049618</v>
      </c>
      <c r="O3" s="578">
        <v>1.1042028265625858</v>
      </c>
      <c r="P3" s="578">
        <v>1.1318078972266503</v>
      </c>
      <c r="Q3" s="578">
        <v>1.1567076709656365</v>
      </c>
      <c r="R3" s="578">
        <v>1.1856253627397773</v>
      </c>
      <c r="S3" s="578">
        <v>1.2152659968082715</v>
      </c>
      <c r="V3" s="579">
        <f>M3/L3-1</f>
        <v>2.4999999999999911E-2</v>
      </c>
      <c r="W3" s="624">
        <f>(1+X3)^0.5-1</f>
        <v>1.2422836565829209E-2</v>
      </c>
      <c r="X3" s="579">
        <f t="shared" ref="X3" si="0">O3/N3-1</f>
        <v>2.4999999999999911E-2</v>
      </c>
      <c r="Y3" s="579">
        <f t="shared" ref="Y3" si="1">P3/O3-1</f>
        <v>2.4999999999999911E-2</v>
      </c>
      <c r="Z3" s="579">
        <f t="shared" ref="Z3" si="2">Q3/P3-1</f>
        <v>2.200000000000002E-2</v>
      </c>
      <c r="AA3" s="579">
        <f t="shared" ref="AA3" si="3">R3/Q3-1</f>
        <v>2.4999999999999911E-2</v>
      </c>
      <c r="AB3" s="579">
        <f t="shared" ref="AB3" si="4">S3/R3-1</f>
        <v>2.4999999999999911E-2</v>
      </c>
    </row>
    <row r="4" spans="2:37" x14ac:dyDescent="0.25">
      <c r="B4" s="126" t="s">
        <v>351</v>
      </c>
      <c r="C4" s="126"/>
      <c r="K4" s="78" t="s">
        <v>389</v>
      </c>
      <c r="L4" s="528">
        <f>Escalators!N14</f>
        <v>1.0207768744354111</v>
      </c>
      <c r="M4" s="528">
        <f>Escalators!O14</f>
        <v>1.0370370370370372</v>
      </c>
      <c r="N4" s="528">
        <f>Escalators!P14</f>
        <v>1.0620720947761066</v>
      </c>
      <c r="O4" s="528">
        <f>Escalators!Q14</f>
        <v>1.0872889646986659</v>
      </c>
      <c r="P4" s="528">
        <f>Escalators!R14</f>
        <v>1.1131045609523462</v>
      </c>
      <c r="Q4" s="528">
        <f>Escalators!S14</f>
        <v>1.1395330991483903</v>
      </c>
      <c r="R4" s="528">
        <f>Escalators!T14</f>
        <v>1.1665891324205322</v>
      </c>
      <c r="S4" s="528">
        <f>Escalators!U14</f>
        <v>1.1942875594388236</v>
      </c>
      <c r="V4" s="580">
        <f>M4/L4-1</f>
        <v>1.5929203539823078E-2</v>
      </c>
      <c r="W4" s="580">
        <f t="shared" ref="W4:AB4" si="5">N4/M4-1</f>
        <v>2.4140948534102646E-2</v>
      </c>
      <c r="X4" s="580">
        <f t="shared" si="5"/>
        <v>2.3743086789108414E-2</v>
      </c>
      <c r="Y4" s="580">
        <f t="shared" si="5"/>
        <v>2.3743086789108414E-2</v>
      </c>
      <c r="Z4" s="580">
        <f t="shared" si="5"/>
        <v>2.3743086789108414E-2</v>
      </c>
      <c r="AA4" s="580">
        <f t="shared" si="5"/>
        <v>2.3743086789108414E-2</v>
      </c>
      <c r="AB4" s="580">
        <f t="shared" si="5"/>
        <v>2.3743086789108414E-2</v>
      </c>
    </row>
    <row r="5" spans="2:37" x14ac:dyDescent="0.25">
      <c r="B5" s="300"/>
      <c r="K5" s="78" t="s">
        <v>323</v>
      </c>
      <c r="L5" s="528">
        <f>L3/L4</f>
        <v>1.0169705309734514</v>
      </c>
      <c r="M5" s="528">
        <f>M3/M4</f>
        <v>1.0260506249999997</v>
      </c>
      <c r="N5" s="528">
        <f>N3/N4</f>
        <v>1.0143106627164131</v>
      </c>
      <c r="O5" s="528">
        <f>O3/O4</f>
        <v>1.0155559951522248</v>
      </c>
      <c r="P5" s="528">
        <f t="shared" ref="P5:S5" si="6">P3/P4</f>
        <v>1.0168028565603056</v>
      </c>
      <c r="Q5" s="528">
        <f t="shared" si="6"/>
        <v>1.0150715866262081</v>
      </c>
      <c r="R5" s="528">
        <f t="shared" si="6"/>
        <v>1.016317853295742</v>
      </c>
      <c r="S5" s="528">
        <f t="shared" si="6"/>
        <v>1.017565650084562</v>
      </c>
    </row>
    <row r="6" spans="2:37" x14ac:dyDescent="0.25">
      <c r="M6" s="108"/>
    </row>
    <row r="7" spans="2:37" x14ac:dyDescent="0.25">
      <c r="C7" s="2" t="s">
        <v>400</v>
      </c>
      <c r="L7" s="2" t="s">
        <v>391</v>
      </c>
      <c r="U7" s="2" t="s">
        <v>392</v>
      </c>
      <c r="AD7" s="2" t="s">
        <v>393</v>
      </c>
    </row>
    <row r="8" spans="2:37" ht="5.25" customHeight="1" x14ac:dyDescent="0.25"/>
    <row r="9" spans="2:37" ht="12.75" customHeight="1" x14ac:dyDescent="0.25">
      <c r="B9" s="2" t="s">
        <v>347</v>
      </c>
      <c r="C9" s="223">
        <f>CP_Yr_4</f>
        <v>43800</v>
      </c>
      <c r="D9" s="223">
        <f>CP_Yr_5</f>
        <v>44166</v>
      </c>
      <c r="E9" s="223">
        <f>Stub</f>
        <v>44377</v>
      </c>
      <c r="F9" s="223">
        <f>Yr_1</f>
        <v>44742</v>
      </c>
      <c r="G9" s="223">
        <f>Yr_2</f>
        <v>45107</v>
      </c>
      <c r="H9" s="223">
        <f>Yr_3</f>
        <v>45473</v>
      </c>
      <c r="I9" s="223">
        <f>Yr_4</f>
        <v>45838</v>
      </c>
      <c r="J9" s="223">
        <f>Yr_5</f>
        <v>46203</v>
      </c>
      <c r="L9" s="223">
        <f>CP_Yr_4</f>
        <v>43800</v>
      </c>
      <c r="M9" s="223">
        <f>CP_Yr_5</f>
        <v>44166</v>
      </c>
      <c r="N9" s="223">
        <f>Stub</f>
        <v>44377</v>
      </c>
      <c r="O9" s="223">
        <f>Yr_1</f>
        <v>44742</v>
      </c>
      <c r="P9" s="223">
        <f>Yr_2</f>
        <v>45107</v>
      </c>
      <c r="Q9" s="223">
        <f>Yr_3</f>
        <v>45473</v>
      </c>
      <c r="R9" s="223">
        <f>Yr_4</f>
        <v>45838</v>
      </c>
      <c r="S9" s="223">
        <f>Yr_5</f>
        <v>46203</v>
      </c>
      <c r="U9" s="223">
        <f>CP_Yr_4</f>
        <v>43800</v>
      </c>
      <c r="V9" s="223">
        <f>CP_Yr_5</f>
        <v>44166</v>
      </c>
      <c r="W9" s="223">
        <f>Stub</f>
        <v>44377</v>
      </c>
      <c r="X9" s="223">
        <f>Yr_1</f>
        <v>44742</v>
      </c>
      <c r="Y9" s="223">
        <f>Yr_2</f>
        <v>45107</v>
      </c>
      <c r="Z9" s="223">
        <f>Yr_3</f>
        <v>45473</v>
      </c>
      <c r="AA9" s="223">
        <f>Yr_4</f>
        <v>45838</v>
      </c>
      <c r="AB9" s="223">
        <f>Yr_5</f>
        <v>46203</v>
      </c>
      <c r="AD9" s="223">
        <f>CP_Yr_4</f>
        <v>43800</v>
      </c>
      <c r="AE9" s="223">
        <f>CP_Yr_5</f>
        <v>44166</v>
      </c>
      <c r="AF9" s="223">
        <f>Stub</f>
        <v>44377</v>
      </c>
      <c r="AG9" s="223">
        <f>Yr_1</f>
        <v>44742</v>
      </c>
      <c r="AH9" s="223">
        <f>Yr_2</f>
        <v>45107</v>
      </c>
      <c r="AI9" s="223">
        <f>Yr_3</f>
        <v>45473</v>
      </c>
      <c r="AJ9" s="223">
        <f>Yr_4</f>
        <v>45838</v>
      </c>
      <c r="AK9" s="223">
        <f>Yr_5</f>
        <v>46203</v>
      </c>
    </row>
    <row r="10" spans="2:37" ht="5.25" customHeight="1" x14ac:dyDescent="0.25">
      <c r="B10" s="2"/>
    </row>
    <row r="11" spans="2:37" ht="12.75" customHeight="1" x14ac:dyDescent="0.25">
      <c r="B11" s="1" t="s">
        <v>150</v>
      </c>
      <c r="C11" s="515"/>
      <c r="D11" s="515"/>
      <c r="E11" s="515"/>
      <c r="F11" s="515"/>
      <c r="G11" s="515"/>
      <c r="H11" s="515"/>
      <c r="I11" s="515"/>
      <c r="J11" s="515"/>
      <c r="K11" s="54"/>
      <c r="L11" s="577"/>
      <c r="M11" s="515"/>
      <c r="N11" s="515"/>
      <c r="O11" s="515"/>
      <c r="P11" s="515"/>
      <c r="Q11" s="515"/>
      <c r="R11" s="515"/>
      <c r="S11" s="515"/>
      <c r="U11" s="241"/>
      <c r="V11" s="515"/>
      <c r="W11" s="515"/>
      <c r="X11" s="515"/>
      <c r="Y11" s="515"/>
      <c r="Z11" s="515"/>
      <c r="AA11" s="515"/>
      <c r="AB11" s="515"/>
      <c r="AD11" s="515"/>
      <c r="AE11" s="515"/>
      <c r="AF11" s="515"/>
      <c r="AG11" s="515"/>
      <c r="AH11" s="515"/>
      <c r="AI11" s="515"/>
      <c r="AJ11" s="515"/>
      <c r="AK11" s="515"/>
    </row>
    <row r="12" spans="2:37" ht="12.75" customHeight="1" x14ac:dyDescent="0.25">
      <c r="B12" s="1" t="s">
        <v>32</v>
      </c>
      <c r="C12" s="241"/>
      <c r="D12" s="515"/>
      <c r="E12" s="515"/>
      <c r="F12" s="515"/>
      <c r="G12" s="515"/>
      <c r="H12" s="515"/>
      <c r="I12" s="515"/>
      <c r="J12" s="515"/>
      <c r="K12" s="54"/>
      <c r="L12" s="241"/>
      <c r="M12" s="626"/>
      <c r="N12" s="626"/>
      <c r="O12" s="626"/>
      <c r="P12" s="626"/>
      <c r="Q12" s="626"/>
      <c r="R12" s="626"/>
      <c r="S12" s="626"/>
      <c r="U12" s="629"/>
      <c r="V12" s="515"/>
      <c r="W12" s="515"/>
      <c r="X12" s="757"/>
      <c r="Y12" s="757"/>
      <c r="Z12" s="515"/>
      <c r="AA12" s="515"/>
      <c r="AB12" s="515"/>
      <c r="AD12" s="515"/>
      <c r="AE12" s="515"/>
      <c r="AF12" s="515"/>
      <c r="AG12" s="515"/>
      <c r="AH12" s="515"/>
      <c r="AI12" s="515"/>
      <c r="AJ12" s="515"/>
      <c r="AK12" s="515"/>
    </row>
    <row r="13" spans="2:37" ht="12.75" customHeight="1" x14ac:dyDescent="0.25">
      <c r="B13" s="1" t="s">
        <v>10</v>
      </c>
      <c r="C13" s="241"/>
      <c r="D13" s="515"/>
      <c r="E13" s="515"/>
      <c r="F13" s="515"/>
      <c r="G13" s="515"/>
      <c r="H13" s="515"/>
      <c r="I13" s="515"/>
      <c r="J13" s="515"/>
      <c r="K13" s="54"/>
      <c r="L13" s="577"/>
      <c r="M13" s="515"/>
      <c r="N13" s="515"/>
      <c r="O13" s="515"/>
      <c r="P13" s="515"/>
      <c r="Q13" s="515"/>
      <c r="R13" s="515"/>
      <c r="S13" s="515"/>
      <c r="U13" s="241"/>
      <c r="V13" s="515"/>
      <c r="W13" s="515"/>
      <c r="X13" s="515"/>
      <c r="Y13" s="515"/>
      <c r="Z13" s="515"/>
      <c r="AA13" s="515"/>
      <c r="AB13" s="515"/>
      <c r="AD13" s="515"/>
      <c r="AE13" s="515"/>
      <c r="AF13" s="515"/>
      <c r="AG13" s="515"/>
      <c r="AH13" s="515"/>
      <c r="AI13" s="515"/>
      <c r="AJ13" s="515"/>
      <c r="AK13" s="515"/>
    </row>
    <row r="14" spans="2:37" ht="12.75" customHeight="1" x14ac:dyDescent="0.25">
      <c r="B14" s="1" t="s">
        <v>34</v>
      </c>
      <c r="C14" s="516"/>
      <c r="D14" s="517"/>
      <c r="E14" s="517"/>
      <c r="F14" s="517"/>
      <c r="G14" s="517"/>
      <c r="H14" s="517"/>
      <c r="I14" s="517"/>
      <c r="J14" s="517"/>
      <c r="K14" s="54"/>
      <c r="L14" s="516"/>
      <c r="M14" s="516"/>
      <c r="N14" s="516"/>
      <c r="O14" s="516"/>
      <c r="P14" s="516"/>
      <c r="Q14" s="516"/>
      <c r="R14" s="516"/>
      <c r="S14" s="516"/>
      <c r="U14" s="516"/>
      <c r="V14" s="516"/>
      <c r="W14" s="516"/>
      <c r="X14" s="516"/>
      <c r="Y14" s="516"/>
      <c r="Z14" s="516"/>
      <c r="AA14" s="516"/>
      <c r="AB14" s="516"/>
      <c r="AD14" s="516"/>
      <c r="AE14" s="516"/>
      <c r="AF14" s="516"/>
      <c r="AG14" s="516"/>
      <c r="AH14" s="516"/>
      <c r="AI14" s="516"/>
      <c r="AJ14" s="516"/>
      <c r="AK14" s="516"/>
    </row>
    <row r="15" spans="2:37" ht="12.75" customHeight="1" x14ac:dyDescent="0.25">
      <c r="C15" s="515"/>
      <c r="D15" s="515"/>
      <c r="E15" s="515"/>
      <c r="F15" s="515"/>
      <c r="G15" s="515"/>
      <c r="H15" s="515"/>
      <c r="I15" s="515"/>
      <c r="J15" s="515"/>
      <c r="K15" s="54"/>
      <c r="L15" s="515"/>
      <c r="M15" s="515"/>
      <c r="N15" s="515"/>
      <c r="O15" s="515"/>
      <c r="P15" s="515"/>
      <c r="Q15" s="515"/>
      <c r="R15" s="515"/>
      <c r="S15" s="515"/>
      <c r="U15" s="515"/>
      <c r="V15" s="515"/>
      <c r="W15" s="515"/>
      <c r="X15" s="515"/>
      <c r="Y15" s="515"/>
      <c r="Z15" s="515"/>
      <c r="AA15" s="515"/>
      <c r="AB15" s="515"/>
      <c r="AD15" s="515"/>
      <c r="AE15" s="515"/>
      <c r="AF15" s="515"/>
      <c r="AG15" s="515"/>
      <c r="AH15" s="515"/>
      <c r="AI15" s="515"/>
      <c r="AJ15" s="515"/>
      <c r="AK15" s="515"/>
    </row>
    <row r="16" spans="2:37" ht="12.75" customHeight="1" x14ac:dyDescent="0.25">
      <c r="K16" s="54"/>
    </row>
    <row r="17" spans="2:37" x14ac:dyDescent="0.25">
      <c r="B17" s="2" t="s">
        <v>144</v>
      </c>
      <c r="C17" s="223">
        <f>CP_Yr_4</f>
        <v>43800</v>
      </c>
      <c r="D17" s="223">
        <f>CP_Yr_5</f>
        <v>44166</v>
      </c>
      <c r="E17" s="223">
        <f>Stub</f>
        <v>44377</v>
      </c>
      <c r="F17" s="223">
        <f>Yr_1</f>
        <v>44742</v>
      </c>
      <c r="G17" s="223">
        <f>Yr_2</f>
        <v>45107</v>
      </c>
      <c r="H17" s="223">
        <f>Yr_3</f>
        <v>45473</v>
      </c>
      <c r="I17" s="223">
        <f>Yr_4</f>
        <v>45838</v>
      </c>
      <c r="J17" s="223">
        <f>Yr_5</f>
        <v>46203</v>
      </c>
      <c r="K17" s="54"/>
      <c r="L17" s="223">
        <f>CP_Yr_4</f>
        <v>43800</v>
      </c>
      <c r="M17" s="223">
        <f>CP_Yr_5</f>
        <v>44166</v>
      </c>
      <c r="N17" s="223">
        <f>Stub</f>
        <v>44377</v>
      </c>
      <c r="O17" s="223">
        <f>Yr_1</f>
        <v>44742</v>
      </c>
      <c r="P17" s="223">
        <f>Yr_2</f>
        <v>45107</v>
      </c>
      <c r="Q17" s="223">
        <f>Yr_3</f>
        <v>45473</v>
      </c>
      <c r="R17" s="223">
        <f>Yr_4</f>
        <v>45838</v>
      </c>
      <c r="S17" s="223">
        <f>Yr_5</f>
        <v>46203</v>
      </c>
      <c r="U17" s="223">
        <f>CP_Yr_4</f>
        <v>43800</v>
      </c>
      <c r="V17" s="223">
        <f>CP_Yr_5</f>
        <v>44166</v>
      </c>
      <c r="W17" s="223">
        <f>Stub</f>
        <v>44377</v>
      </c>
      <c r="X17" s="223">
        <f>Yr_1</f>
        <v>44742</v>
      </c>
      <c r="Y17" s="223">
        <f>Yr_2</f>
        <v>45107</v>
      </c>
      <c r="Z17" s="223">
        <f>Yr_3</f>
        <v>45473</v>
      </c>
      <c r="AA17" s="223">
        <f>Yr_4</f>
        <v>45838</v>
      </c>
      <c r="AB17" s="223">
        <f>Yr_5</f>
        <v>46203</v>
      </c>
      <c r="AD17" s="223">
        <f>CP_Yr_4</f>
        <v>43800</v>
      </c>
      <c r="AE17" s="223">
        <f>CP_Yr_5</f>
        <v>44166</v>
      </c>
      <c r="AF17" s="223">
        <f>Stub</f>
        <v>44377</v>
      </c>
      <c r="AG17" s="223">
        <f>Yr_1</f>
        <v>44742</v>
      </c>
      <c r="AH17" s="223">
        <f>Yr_2</f>
        <v>45107</v>
      </c>
      <c r="AI17" s="223">
        <f>Yr_3</f>
        <v>45473</v>
      </c>
      <c r="AJ17" s="223">
        <f>Yr_4</f>
        <v>45838</v>
      </c>
      <c r="AK17" s="223">
        <f>Yr_5</f>
        <v>46203</v>
      </c>
    </row>
    <row r="18" spans="2:37" ht="6" customHeight="1" x14ac:dyDescent="0.25">
      <c r="K18" s="54"/>
    </row>
    <row r="19" spans="2:37" x14ac:dyDescent="0.25">
      <c r="B19" s="1" t="s">
        <v>44</v>
      </c>
      <c r="C19" s="515"/>
      <c r="D19" s="515"/>
      <c r="E19" s="515"/>
      <c r="F19" s="515"/>
      <c r="G19" s="515"/>
      <c r="H19" s="515"/>
      <c r="I19" s="515"/>
      <c r="J19" s="515"/>
      <c r="K19" s="524"/>
      <c r="L19" s="515"/>
      <c r="M19" s="515"/>
      <c r="N19" s="515"/>
      <c r="O19" s="515"/>
      <c r="P19" s="515"/>
      <c r="Q19" s="515"/>
      <c r="R19" s="515"/>
      <c r="S19" s="515"/>
      <c r="U19" s="642"/>
      <c r="V19" s="642"/>
      <c r="W19" s="642"/>
      <c r="X19" s="642"/>
      <c r="Y19" s="642"/>
      <c r="Z19" s="642"/>
      <c r="AA19" s="642"/>
      <c r="AB19" s="642"/>
      <c r="AD19" s="515"/>
      <c r="AE19" s="515"/>
      <c r="AF19" s="515"/>
      <c r="AG19" s="515"/>
      <c r="AH19" s="515"/>
      <c r="AI19" s="515"/>
      <c r="AJ19" s="515"/>
      <c r="AK19" s="515"/>
    </row>
    <row r="20" spans="2:37" x14ac:dyDescent="0.25">
      <c r="B20" s="1" t="s">
        <v>45</v>
      </c>
      <c r="C20" s="515"/>
      <c r="D20" s="515"/>
      <c r="E20" s="515"/>
      <c r="F20" s="515"/>
      <c r="G20" s="515"/>
      <c r="H20" s="515"/>
      <c r="I20" s="515"/>
      <c r="J20" s="515"/>
      <c r="K20" s="524"/>
      <c r="L20" s="515"/>
      <c r="M20" s="515"/>
      <c r="N20" s="515"/>
      <c r="O20" s="515"/>
      <c r="P20" s="515"/>
      <c r="Q20" s="515"/>
      <c r="R20" s="515"/>
      <c r="S20" s="515"/>
      <c r="U20" s="515"/>
      <c r="V20" s="515"/>
      <c r="W20" s="515"/>
      <c r="X20" s="515"/>
      <c r="Y20" s="515"/>
      <c r="Z20" s="515"/>
      <c r="AA20" s="515"/>
      <c r="AB20" s="515"/>
      <c r="AD20" s="515"/>
      <c r="AE20" s="515"/>
      <c r="AF20" s="515"/>
      <c r="AG20" s="515"/>
      <c r="AH20" s="515"/>
      <c r="AI20" s="515"/>
      <c r="AJ20" s="515"/>
      <c r="AK20" s="515"/>
    </row>
    <row r="21" spans="2:37" x14ac:dyDescent="0.25">
      <c r="B21" s="1" t="s">
        <v>46</v>
      </c>
      <c r="C21" s="241"/>
      <c r="D21" s="515"/>
      <c r="E21" s="515"/>
      <c r="F21" s="515"/>
      <c r="G21" s="515"/>
      <c r="H21" s="515"/>
      <c r="I21" s="515"/>
      <c r="J21" s="515"/>
      <c r="K21" s="524"/>
      <c r="L21" s="515"/>
      <c r="M21" s="515"/>
      <c r="N21" s="515"/>
      <c r="O21" s="515"/>
      <c r="P21" s="515"/>
      <c r="Q21" s="515"/>
      <c r="R21" s="515"/>
      <c r="S21" s="515"/>
      <c r="U21" s="241"/>
      <c r="V21" s="515"/>
      <c r="W21" s="515"/>
      <c r="X21" s="515"/>
      <c r="Y21" s="515"/>
      <c r="Z21" s="515"/>
      <c r="AA21" s="515"/>
      <c r="AB21" s="515"/>
      <c r="AD21" s="515"/>
      <c r="AE21" s="515"/>
      <c r="AF21" s="515"/>
      <c r="AG21" s="515"/>
      <c r="AH21" s="515"/>
      <c r="AI21" s="515"/>
      <c r="AJ21" s="515"/>
      <c r="AK21" s="515"/>
    </row>
    <row r="22" spans="2:37" x14ac:dyDescent="0.25">
      <c r="B22" s="1" t="s">
        <v>47</v>
      </c>
      <c r="C22" s="241"/>
      <c r="D22" s="515"/>
      <c r="E22" s="515"/>
      <c r="F22" s="515"/>
      <c r="G22" s="515"/>
      <c r="H22" s="515"/>
      <c r="I22" s="515"/>
      <c r="J22" s="515"/>
      <c r="K22" s="524"/>
      <c r="L22" s="515"/>
      <c r="M22" s="515"/>
      <c r="N22" s="515"/>
      <c r="O22" s="515"/>
      <c r="P22" s="515"/>
      <c r="Q22" s="515"/>
      <c r="R22" s="515"/>
      <c r="S22" s="515"/>
      <c r="U22" s="241"/>
      <c r="V22" s="515"/>
      <c r="W22" s="515"/>
      <c r="X22" s="515"/>
      <c r="Y22" s="515"/>
      <c r="Z22" s="515"/>
      <c r="AA22" s="515"/>
      <c r="AB22" s="515"/>
      <c r="AD22" s="515"/>
      <c r="AE22" s="515"/>
      <c r="AF22" s="515"/>
      <c r="AG22" s="515"/>
      <c r="AH22" s="515"/>
      <c r="AI22" s="515"/>
      <c r="AJ22" s="515"/>
      <c r="AK22" s="515"/>
    </row>
    <row r="23" spans="2:37" x14ac:dyDescent="0.25">
      <c r="B23" s="1" t="s">
        <v>48</v>
      </c>
      <c r="C23" s="241"/>
      <c r="D23" s="515"/>
      <c r="E23" s="515"/>
      <c r="F23" s="515"/>
      <c r="G23" s="515"/>
      <c r="H23" s="515"/>
      <c r="I23" s="515"/>
      <c r="J23" s="515"/>
      <c r="K23" s="524"/>
      <c r="L23" s="515"/>
      <c r="M23" s="515"/>
      <c r="N23" s="515"/>
      <c r="O23" s="515"/>
      <c r="P23" s="515"/>
      <c r="Q23" s="515"/>
      <c r="R23" s="515"/>
      <c r="S23" s="515"/>
      <c r="U23" s="241"/>
      <c r="V23" s="515"/>
      <c r="W23" s="515"/>
      <c r="X23" s="515"/>
      <c r="Y23" s="515"/>
      <c r="Z23" s="515"/>
      <c r="AA23" s="515"/>
      <c r="AB23" s="515"/>
      <c r="AD23" s="515"/>
      <c r="AE23" s="515"/>
      <c r="AF23" s="515"/>
      <c r="AG23" s="515"/>
      <c r="AH23" s="515"/>
      <c r="AI23" s="515"/>
      <c r="AJ23" s="515"/>
      <c r="AK23" s="515"/>
    </row>
    <row r="24" spans="2:37" x14ac:dyDescent="0.25">
      <c r="B24" s="1" t="s">
        <v>49</v>
      </c>
      <c r="C24" s="241"/>
      <c r="D24" s="515"/>
      <c r="E24" s="515"/>
      <c r="F24" s="515"/>
      <c r="G24" s="515"/>
      <c r="H24" s="515"/>
      <c r="I24" s="515"/>
      <c r="J24" s="515"/>
      <c r="K24" s="524"/>
      <c r="L24" s="515"/>
      <c r="M24" s="515"/>
      <c r="N24" s="515"/>
      <c r="O24" s="515"/>
      <c r="P24" s="515"/>
      <c r="Q24" s="515"/>
      <c r="R24" s="515"/>
      <c r="S24" s="515"/>
      <c r="U24" s="241"/>
      <c r="V24" s="515"/>
      <c r="W24" s="515"/>
      <c r="X24" s="515"/>
      <c r="Y24" s="515"/>
      <c r="Z24" s="515"/>
      <c r="AA24" s="515"/>
      <c r="AB24" s="515"/>
      <c r="AD24" s="515"/>
      <c r="AE24" s="515"/>
      <c r="AF24" s="515"/>
      <c r="AG24" s="515"/>
      <c r="AH24" s="515"/>
      <c r="AI24" s="515"/>
      <c r="AJ24" s="515"/>
      <c r="AK24" s="515"/>
    </row>
    <row r="25" spans="2:37" s="41" customFormat="1" x14ac:dyDescent="0.25">
      <c r="B25" s="41" t="s">
        <v>50</v>
      </c>
      <c r="C25" s="518"/>
      <c r="D25" s="242"/>
      <c r="E25" s="242"/>
      <c r="F25" s="242"/>
      <c r="G25" s="242"/>
      <c r="H25" s="242"/>
      <c r="I25" s="242"/>
      <c r="J25" s="242"/>
      <c r="K25" s="526"/>
      <c r="L25" s="242"/>
      <c r="M25" s="242"/>
      <c r="N25" s="242"/>
      <c r="O25" s="242"/>
      <c r="P25" s="242"/>
      <c r="Q25" s="242"/>
      <c r="R25" s="242"/>
      <c r="S25" s="242"/>
      <c r="U25" s="518"/>
      <c r="V25" s="242"/>
      <c r="W25" s="242"/>
      <c r="X25" s="242"/>
      <c r="Y25" s="242"/>
      <c r="Z25" s="242"/>
      <c r="AA25" s="242"/>
      <c r="AB25" s="242"/>
      <c r="AD25" s="242"/>
      <c r="AE25" s="242"/>
      <c r="AF25" s="242"/>
      <c r="AG25" s="242"/>
      <c r="AH25" s="242"/>
      <c r="AI25" s="242"/>
      <c r="AJ25" s="242"/>
      <c r="AK25" s="242"/>
    </row>
    <row r="26" spans="2:37" x14ac:dyDescent="0.25">
      <c r="B26" s="1" t="s">
        <v>399</v>
      </c>
      <c r="C26" s="516"/>
      <c r="D26" s="517"/>
      <c r="E26" s="517"/>
      <c r="F26" s="517"/>
      <c r="G26" s="517"/>
      <c r="H26" s="517"/>
      <c r="I26" s="517"/>
      <c r="J26" s="517"/>
      <c r="K26" s="524"/>
      <c r="L26" s="517"/>
      <c r="M26" s="517"/>
      <c r="N26" s="517"/>
      <c r="O26" s="517"/>
      <c r="P26" s="517"/>
      <c r="Q26" s="517"/>
      <c r="R26" s="517"/>
      <c r="S26" s="517"/>
      <c r="U26" s="516"/>
      <c r="V26" s="517"/>
      <c r="W26" s="517"/>
      <c r="X26" s="517"/>
      <c r="Y26" s="517"/>
      <c r="Z26" s="517"/>
      <c r="AA26" s="517"/>
      <c r="AB26" s="517"/>
      <c r="AD26" s="517"/>
      <c r="AE26" s="517"/>
      <c r="AF26" s="517"/>
      <c r="AG26" s="517"/>
      <c r="AH26" s="517"/>
      <c r="AI26" s="517"/>
      <c r="AJ26" s="517"/>
      <c r="AK26" s="517"/>
    </row>
    <row r="27" spans="2:37" x14ac:dyDescent="0.25">
      <c r="B27" s="56" t="s">
        <v>293</v>
      </c>
      <c r="C27" s="515"/>
      <c r="D27" s="515"/>
      <c r="E27" s="515"/>
      <c r="F27" s="515"/>
      <c r="G27" s="515"/>
      <c r="H27" s="515"/>
      <c r="I27" s="515"/>
      <c r="J27" s="515"/>
      <c r="K27" s="524"/>
      <c r="L27" s="515"/>
      <c r="M27" s="515"/>
      <c r="N27" s="515"/>
      <c r="O27" s="515"/>
      <c r="P27" s="515"/>
      <c r="Q27" s="515"/>
      <c r="R27" s="515"/>
      <c r="S27" s="515"/>
      <c r="T27" s="34"/>
      <c r="U27" s="515"/>
      <c r="V27" s="515"/>
      <c r="W27" s="515"/>
      <c r="X27" s="515"/>
      <c r="Y27" s="515"/>
      <c r="Z27" s="515"/>
      <c r="AA27" s="515"/>
      <c r="AB27" s="515"/>
      <c r="AD27" s="515"/>
      <c r="AE27" s="515"/>
      <c r="AF27" s="515"/>
      <c r="AG27" s="515"/>
      <c r="AH27" s="515"/>
      <c r="AI27" s="515"/>
      <c r="AJ27" s="515"/>
      <c r="AK27" s="515"/>
    </row>
    <row r="28" spans="2:37" x14ac:dyDescent="0.25">
      <c r="D28" s="39"/>
      <c r="E28" s="39"/>
      <c r="F28" s="39"/>
      <c r="G28" s="39"/>
      <c r="H28" s="39"/>
      <c r="I28" s="39"/>
      <c r="J28" s="39"/>
      <c r="K28" s="524"/>
    </row>
    <row r="29" spans="2:37" outlineLevel="1" x14ac:dyDescent="0.25">
      <c r="D29" s="39"/>
      <c r="E29" s="39"/>
      <c r="F29" s="39"/>
      <c r="G29" s="39"/>
      <c r="H29" s="39"/>
      <c r="I29" s="39"/>
      <c r="J29" s="39"/>
      <c r="K29" s="524"/>
      <c r="M29" s="39"/>
      <c r="N29" s="39"/>
      <c r="O29" s="39"/>
      <c r="P29" s="39"/>
      <c r="Q29" s="39"/>
      <c r="R29" s="39"/>
      <c r="S29" s="39"/>
      <c r="V29" s="39"/>
      <c r="W29" s="39"/>
      <c r="X29" s="39"/>
      <c r="Y29" s="39"/>
      <c r="Z29" s="39"/>
      <c r="AA29" s="39"/>
      <c r="AB29" s="39"/>
    </row>
    <row r="30" spans="2:37" outlineLevel="1" x14ac:dyDescent="0.25">
      <c r="B30" s="2" t="s">
        <v>148</v>
      </c>
      <c r="C30" s="223">
        <f>CP_Yr_4</f>
        <v>43800</v>
      </c>
      <c r="D30" s="223">
        <f>CP_Yr_5</f>
        <v>44166</v>
      </c>
      <c r="E30" s="223">
        <f>Stub</f>
        <v>44377</v>
      </c>
      <c r="F30" s="223">
        <f>Yr_1</f>
        <v>44742</v>
      </c>
      <c r="G30" s="223">
        <f>Yr_2</f>
        <v>45107</v>
      </c>
      <c r="H30" s="223">
        <f>Yr_3</f>
        <v>45473</v>
      </c>
      <c r="I30" s="223">
        <f>Yr_4</f>
        <v>45838</v>
      </c>
      <c r="J30" s="223">
        <f>Yr_5</f>
        <v>46203</v>
      </c>
      <c r="K30" s="525"/>
      <c r="L30" s="223">
        <f>CP_Yr_4</f>
        <v>43800</v>
      </c>
      <c r="M30" s="223">
        <f>CP_Yr_5</f>
        <v>44166</v>
      </c>
      <c r="N30" s="223">
        <f>Stub</f>
        <v>44377</v>
      </c>
      <c r="O30" s="223">
        <f>Yr_1</f>
        <v>44742</v>
      </c>
      <c r="P30" s="223">
        <f>Yr_2</f>
        <v>45107</v>
      </c>
      <c r="Q30" s="223">
        <f>Yr_3</f>
        <v>45473</v>
      </c>
      <c r="R30" s="223">
        <f>Yr_4</f>
        <v>45838</v>
      </c>
      <c r="S30" s="223">
        <f>Yr_5</f>
        <v>46203</v>
      </c>
      <c r="T30" s="336"/>
      <c r="U30" s="223">
        <f>CP_Yr_4</f>
        <v>43800</v>
      </c>
      <c r="V30" s="223">
        <f>CP_Yr_5</f>
        <v>44166</v>
      </c>
      <c r="W30" s="223">
        <f>Stub</f>
        <v>44377</v>
      </c>
      <c r="X30" s="223">
        <f>Yr_1</f>
        <v>44742</v>
      </c>
      <c r="Y30" s="223">
        <f>Yr_2</f>
        <v>45107</v>
      </c>
      <c r="Z30" s="223">
        <f>Yr_3</f>
        <v>45473</v>
      </c>
      <c r="AA30" s="223">
        <f>Yr_4</f>
        <v>45838</v>
      </c>
      <c r="AB30" s="223">
        <f>Yr_5</f>
        <v>46203</v>
      </c>
      <c r="AC30" s="336"/>
      <c r="AD30" s="223">
        <f>CP_Yr_4</f>
        <v>43800</v>
      </c>
      <c r="AE30" s="223">
        <f>CP_Yr_5</f>
        <v>44166</v>
      </c>
      <c r="AF30" s="223">
        <f>Stub</f>
        <v>44377</v>
      </c>
      <c r="AG30" s="223">
        <f>Yr_1</f>
        <v>44742</v>
      </c>
      <c r="AH30" s="223">
        <f>Yr_2</f>
        <v>45107</v>
      </c>
      <c r="AI30" s="223">
        <f>Yr_3</f>
        <v>45473</v>
      </c>
      <c r="AJ30" s="223">
        <f>Yr_4</f>
        <v>45838</v>
      </c>
      <c r="AK30" s="223">
        <f>Yr_5</f>
        <v>46203</v>
      </c>
    </row>
    <row r="31" spans="2:37" ht="6.75" customHeight="1" outlineLevel="1" x14ac:dyDescent="0.25">
      <c r="D31" s="39"/>
      <c r="E31" s="39"/>
      <c r="F31" s="39"/>
      <c r="G31" s="39"/>
      <c r="H31" s="39"/>
      <c r="I31" s="39"/>
      <c r="J31" s="39"/>
      <c r="K31" s="524"/>
      <c r="M31" s="39"/>
      <c r="N31" s="39"/>
      <c r="O31" s="39"/>
      <c r="P31" s="39"/>
      <c r="Q31" s="39"/>
      <c r="R31" s="39"/>
      <c r="S31" s="39"/>
      <c r="V31" s="39"/>
      <c r="W31" s="39"/>
      <c r="X31" s="39"/>
      <c r="Y31" s="39"/>
      <c r="Z31" s="39"/>
      <c r="AA31" s="39"/>
      <c r="AB31" s="39"/>
    </row>
    <row r="32" spans="2:37" outlineLevel="1" x14ac:dyDescent="0.25">
      <c r="B32" s="1" t="s">
        <v>51</v>
      </c>
      <c r="C32" s="241"/>
      <c r="D32" s="515"/>
      <c r="E32" s="515"/>
      <c r="F32" s="515"/>
      <c r="G32" s="515"/>
      <c r="H32" s="515"/>
      <c r="I32" s="515"/>
      <c r="J32" s="515"/>
      <c r="K32" s="524"/>
      <c r="L32" s="515"/>
      <c r="M32" s="515"/>
      <c r="N32" s="515"/>
      <c r="O32" s="515"/>
      <c r="P32" s="515"/>
      <c r="Q32" s="515"/>
      <c r="R32" s="515"/>
      <c r="S32" s="515"/>
      <c r="U32" s="515"/>
      <c r="V32" s="515"/>
      <c r="W32" s="515"/>
      <c r="X32" s="515"/>
      <c r="Y32" s="515"/>
      <c r="Z32" s="515"/>
      <c r="AA32" s="515"/>
      <c r="AB32" s="515"/>
      <c r="AD32" s="515"/>
      <c r="AE32" s="515"/>
      <c r="AF32" s="515"/>
      <c r="AG32" s="515"/>
      <c r="AH32" s="515"/>
      <c r="AI32" s="515"/>
      <c r="AJ32" s="515"/>
      <c r="AK32" s="515"/>
    </row>
    <row r="33" spans="2:37" outlineLevel="1" x14ac:dyDescent="0.25">
      <c r="B33" s="1" t="s">
        <v>52</v>
      </c>
      <c r="C33" s="241"/>
      <c r="D33" s="515"/>
      <c r="E33" s="515"/>
      <c r="F33" s="515"/>
      <c r="G33" s="515"/>
      <c r="H33" s="515"/>
      <c r="I33" s="515"/>
      <c r="J33" s="515"/>
      <c r="K33" s="524"/>
      <c r="L33" s="515"/>
      <c r="M33" s="515"/>
      <c r="N33" s="515"/>
      <c r="O33" s="515"/>
      <c r="P33" s="515"/>
      <c r="Q33" s="515"/>
      <c r="R33" s="515"/>
      <c r="S33" s="515"/>
      <c r="U33" s="241"/>
      <c r="V33" s="515"/>
      <c r="W33" s="515"/>
      <c r="X33" s="515"/>
      <c r="Y33" s="515"/>
      <c r="Z33" s="515"/>
      <c r="AA33" s="515"/>
      <c r="AB33" s="515"/>
      <c r="AD33" s="515"/>
      <c r="AE33" s="515"/>
      <c r="AF33" s="515"/>
      <c r="AG33" s="515"/>
      <c r="AH33" s="515"/>
      <c r="AI33" s="515"/>
      <c r="AJ33" s="515"/>
      <c r="AK33" s="515"/>
    </row>
    <row r="34" spans="2:37" outlineLevel="1" x14ac:dyDescent="0.25">
      <c r="B34" s="1" t="s">
        <v>53</v>
      </c>
      <c r="C34" s="241"/>
      <c r="D34" s="515"/>
      <c r="E34" s="515"/>
      <c r="F34" s="515"/>
      <c r="G34" s="515"/>
      <c r="H34" s="515"/>
      <c r="I34" s="515"/>
      <c r="J34" s="515"/>
      <c r="K34" s="524"/>
      <c r="L34" s="241"/>
      <c r="M34" s="515"/>
      <c r="N34" s="515"/>
      <c r="O34" s="515"/>
      <c r="P34" s="515"/>
      <c r="Q34" s="515"/>
      <c r="R34" s="515"/>
      <c r="S34" s="515"/>
      <c r="U34" s="241"/>
      <c r="V34" s="515"/>
      <c r="W34" s="515"/>
      <c r="X34" s="515"/>
      <c r="Y34" s="515"/>
      <c r="Z34" s="515"/>
      <c r="AA34" s="515"/>
      <c r="AB34" s="515"/>
      <c r="AD34" s="515"/>
      <c r="AE34" s="515"/>
      <c r="AF34" s="515"/>
      <c r="AG34" s="515"/>
      <c r="AH34" s="515"/>
      <c r="AI34" s="515"/>
      <c r="AJ34" s="515"/>
      <c r="AK34" s="515"/>
    </row>
    <row r="35" spans="2:37" outlineLevel="1" x14ac:dyDescent="0.25">
      <c r="B35" s="1" t="s">
        <v>54</v>
      </c>
      <c r="C35" s="241"/>
      <c r="D35" s="515"/>
      <c r="E35" s="515"/>
      <c r="F35" s="515"/>
      <c r="G35" s="515"/>
      <c r="H35" s="515"/>
      <c r="I35" s="515"/>
      <c r="J35" s="515"/>
      <c r="K35" s="524"/>
      <c r="L35" s="241"/>
      <c r="M35" s="515"/>
      <c r="N35" s="515"/>
      <c r="O35" s="515"/>
      <c r="P35" s="515"/>
      <c r="Q35" s="515"/>
      <c r="R35" s="515"/>
      <c r="S35" s="515"/>
      <c r="U35" s="241"/>
      <c r="V35" s="515"/>
      <c r="W35" s="515"/>
      <c r="X35" s="515"/>
      <c r="Y35" s="515"/>
      <c r="Z35" s="515"/>
      <c r="AA35" s="515"/>
      <c r="AB35" s="515"/>
      <c r="AD35" s="515"/>
      <c r="AE35" s="515"/>
      <c r="AF35" s="515"/>
      <c r="AG35" s="515"/>
      <c r="AH35" s="515"/>
      <c r="AI35" s="515"/>
      <c r="AJ35" s="515"/>
      <c r="AK35" s="515"/>
    </row>
    <row r="36" spans="2:37" outlineLevel="1" x14ac:dyDescent="0.25">
      <c r="B36" s="1" t="s">
        <v>55</v>
      </c>
      <c r="C36" s="241"/>
      <c r="D36" s="515"/>
      <c r="E36" s="515"/>
      <c r="F36" s="515"/>
      <c r="G36" s="515"/>
      <c r="H36" s="515"/>
      <c r="I36" s="515"/>
      <c r="J36" s="515"/>
      <c r="K36" s="524"/>
      <c r="L36" s="515"/>
      <c r="M36" s="515"/>
      <c r="N36" s="515"/>
      <c r="O36" s="515"/>
      <c r="P36" s="515"/>
      <c r="Q36" s="515"/>
      <c r="R36" s="515"/>
      <c r="S36" s="515"/>
      <c r="U36" s="241"/>
      <c r="V36" s="515"/>
      <c r="W36" s="515"/>
      <c r="X36" s="515"/>
      <c r="Y36" s="515"/>
      <c r="Z36" s="515"/>
      <c r="AA36" s="515"/>
      <c r="AB36" s="515"/>
      <c r="AD36" s="515"/>
      <c r="AE36" s="515"/>
      <c r="AF36" s="515"/>
      <c r="AG36" s="515"/>
      <c r="AH36" s="515"/>
      <c r="AI36" s="515"/>
      <c r="AJ36" s="515"/>
      <c r="AK36" s="515"/>
    </row>
    <row r="37" spans="2:37" outlineLevel="1" x14ac:dyDescent="0.25">
      <c r="B37" s="1" t="s">
        <v>56</v>
      </c>
      <c r="C37" s="241"/>
      <c r="D37" s="515"/>
      <c r="E37" s="515"/>
      <c r="F37" s="515"/>
      <c r="G37" s="515"/>
      <c r="H37" s="515"/>
      <c r="I37" s="515"/>
      <c r="J37" s="515"/>
      <c r="K37" s="524"/>
      <c r="L37" s="241"/>
      <c r="M37" s="515"/>
      <c r="N37" s="515"/>
      <c r="O37" s="515"/>
      <c r="P37" s="515"/>
      <c r="Q37" s="515"/>
      <c r="R37" s="515"/>
      <c r="S37" s="515"/>
      <c r="U37" s="241"/>
      <c r="V37" s="515"/>
      <c r="W37" s="515"/>
      <c r="X37" s="515"/>
      <c r="Y37" s="515"/>
      <c r="Z37" s="515"/>
      <c r="AA37" s="515"/>
      <c r="AB37" s="515"/>
      <c r="AD37" s="515"/>
      <c r="AE37" s="515"/>
      <c r="AF37" s="515"/>
      <c r="AG37" s="515"/>
      <c r="AH37" s="515"/>
      <c r="AI37" s="515"/>
      <c r="AJ37" s="515"/>
      <c r="AK37" s="515"/>
    </row>
    <row r="38" spans="2:37" outlineLevel="1" x14ac:dyDescent="0.25">
      <c r="B38" s="1" t="s">
        <v>57</v>
      </c>
      <c r="C38" s="241"/>
      <c r="D38" s="515"/>
      <c r="E38" s="515"/>
      <c r="F38" s="515"/>
      <c r="G38" s="515"/>
      <c r="H38" s="515"/>
      <c r="I38" s="515"/>
      <c r="J38" s="515"/>
      <c r="K38" s="524"/>
      <c r="L38" s="241"/>
      <c r="M38" s="515"/>
      <c r="N38" s="515"/>
      <c r="O38" s="515"/>
      <c r="P38" s="515"/>
      <c r="Q38" s="515"/>
      <c r="R38" s="515"/>
      <c r="S38" s="515"/>
      <c r="U38" s="241"/>
      <c r="V38" s="515"/>
      <c r="W38" s="515"/>
      <c r="X38" s="515"/>
      <c r="Y38" s="515"/>
      <c r="Z38" s="515"/>
      <c r="AA38" s="515"/>
      <c r="AB38" s="515"/>
      <c r="AD38" s="515"/>
      <c r="AE38" s="515"/>
      <c r="AF38" s="515"/>
      <c r="AG38" s="515"/>
      <c r="AH38" s="515"/>
      <c r="AI38" s="515"/>
      <c r="AJ38" s="515"/>
      <c r="AK38" s="515"/>
    </row>
    <row r="39" spans="2:37" outlineLevel="1" x14ac:dyDescent="0.25">
      <c r="B39" s="1" t="s">
        <v>48</v>
      </c>
      <c r="C39" s="241"/>
      <c r="D39" s="515"/>
      <c r="E39" s="515"/>
      <c r="F39" s="515"/>
      <c r="G39" s="515"/>
      <c r="H39" s="515"/>
      <c r="I39" s="515"/>
      <c r="J39" s="515"/>
      <c r="K39" s="524"/>
      <c r="L39" s="241"/>
      <c r="M39" s="515"/>
      <c r="N39" s="515"/>
      <c r="O39" s="515"/>
      <c r="P39" s="515"/>
      <c r="Q39" s="515"/>
      <c r="R39" s="515"/>
      <c r="S39" s="515"/>
      <c r="U39" s="241"/>
      <c r="V39" s="515"/>
      <c r="W39" s="515"/>
      <c r="X39" s="515"/>
      <c r="Y39" s="515"/>
      <c r="Z39" s="515"/>
      <c r="AA39" s="515"/>
      <c r="AB39" s="515"/>
      <c r="AD39" s="515"/>
      <c r="AE39" s="515"/>
      <c r="AF39" s="515"/>
      <c r="AG39" s="515"/>
      <c r="AH39" s="515"/>
      <c r="AI39" s="515"/>
      <c r="AJ39" s="515"/>
      <c r="AK39" s="515"/>
    </row>
    <row r="40" spans="2:37" outlineLevel="1" x14ac:dyDescent="0.25">
      <c r="B40" s="1" t="s">
        <v>49</v>
      </c>
      <c r="C40" s="241"/>
      <c r="D40" s="515"/>
      <c r="E40" s="515"/>
      <c r="F40" s="515"/>
      <c r="G40" s="515"/>
      <c r="H40" s="515"/>
      <c r="I40" s="515"/>
      <c r="J40" s="515"/>
      <c r="K40" s="524"/>
      <c r="L40" s="241"/>
      <c r="M40" s="515"/>
      <c r="N40" s="515"/>
      <c r="O40" s="515"/>
      <c r="P40" s="515"/>
      <c r="Q40" s="515"/>
      <c r="R40" s="515"/>
      <c r="S40" s="515"/>
      <c r="U40" s="241"/>
      <c r="V40" s="515"/>
      <c r="W40" s="515"/>
      <c r="X40" s="515"/>
      <c r="Y40" s="515"/>
      <c r="Z40" s="515"/>
      <c r="AA40" s="515"/>
      <c r="AB40" s="515"/>
      <c r="AD40" s="515"/>
      <c r="AE40" s="515"/>
      <c r="AF40" s="515"/>
      <c r="AG40" s="515"/>
      <c r="AH40" s="515"/>
      <c r="AI40" s="515"/>
      <c r="AJ40" s="515"/>
      <c r="AK40" s="515"/>
    </row>
    <row r="41" spans="2:37" outlineLevel="1" x14ac:dyDescent="0.25">
      <c r="B41" s="1" t="s">
        <v>50</v>
      </c>
      <c r="C41" s="516"/>
      <c r="D41" s="517"/>
      <c r="E41" s="517"/>
      <c r="F41" s="517"/>
      <c r="G41" s="517"/>
      <c r="H41" s="517"/>
      <c r="I41" s="517"/>
      <c r="J41" s="517"/>
      <c r="K41" s="524"/>
      <c r="L41" s="516"/>
      <c r="M41" s="517"/>
      <c r="N41" s="517"/>
      <c r="O41" s="517"/>
      <c r="P41" s="517"/>
      <c r="Q41" s="517"/>
      <c r="R41" s="517"/>
      <c r="S41" s="517"/>
      <c r="U41" s="516"/>
      <c r="V41" s="517"/>
      <c r="W41" s="517"/>
      <c r="X41" s="517"/>
      <c r="Y41" s="517"/>
      <c r="Z41" s="517"/>
      <c r="AA41" s="517"/>
      <c r="AB41" s="517"/>
      <c r="AD41" s="517"/>
      <c r="AE41" s="517"/>
      <c r="AF41" s="517"/>
      <c r="AG41" s="517"/>
      <c r="AH41" s="517"/>
      <c r="AI41" s="517"/>
      <c r="AJ41" s="517"/>
      <c r="AK41" s="517"/>
    </row>
    <row r="42" spans="2:37" outlineLevel="1" x14ac:dyDescent="0.25">
      <c r="B42" s="56" t="s">
        <v>293</v>
      </c>
      <c r="C42" s="515"/>
      <c r="D42" s="515"/>
      <c r="E42" s="515"/>
      <c r="F42" s="515"/>
      <c r="G42" s="515"/>
      <c r="H42" s="515"/>
      <c r="I42" s="515"/>
      <c r="J42" s="515"/>
      <c r="K42" s="54"/>
      <c r="L42" s="515"/>
      <c r="M42" s="515"/>
      <c r="N42" s="515"/>
      <c r="O42" s="515"/>
      <c r="P42" s="515"/>
      <c r="Q42" s="515"/>
      <c r="R42" s="515"/>
      <c r="S42" s="515"/>
      <c r="T42" s="34"/>
      <c r="U42" s="515"/>
      <c r="V42" s="515"/>
      <c r="W42" s="515"/>
      <c r="X42" s="515"/>
      <c r="Y42" s="515"/>
      <c r="Z42" s="515"/>
      <c r="AA42" s="515"/>
      <c r="AB42" s="515"/>
      <c r="AD42" s="515"/>
      <c r="AE42" s="515"/>
      <c r="AF42" s="515"/>
      <c r="AG42" s="515"/>
      <c r="AH42" s="515"/>
      <c r="AI42" s="515"/>
      <c r="AJ42" s="515"/>
      <c r="AK42" s="515"/>
    </row>
    <row r="43" spans="2:37" outlineLevel="1" x14ac:dyDescent="0.25">
      <c r="K43" s="54"/>
    </row>
    <row r="44" spans="2:37" x14ac:dyDescent="0.25">
      <c r="B44" s="2" t="s">
        <v>345</v>
      </c>
      <c r="C44" s="223">
        <f>CP_Yr_4</f>
        <v>43800</v>
      </c>
      <c r="D44" s="223">
        <f>CP_Yr_5</f>
        <v>44166</v>
      </c>
      <c r="E44" s="223">
        <f>Stub</f>
        <v>44377</v>
      </c>
      <c r="F44" s="223">
        <f>Yr_1</f>
        <v>44742</v>
      </c>
      <c r="G44" s="223">
        <f>Yr_2</f>
        <v>45107</v>
      </c>
      <c r="H44" s="223">
        <f>Yr_3</f>
        <v>45473</v>
      </c>
      <c r="I44" s="223">
        <f>Yr_4</f>
        <v>45838</v>
      </c>
      <c r="J44" s="223">
        <f>Yr_5</f>
        <v>46203</v>
      </c>
      <c r="K44" s="525"/>
      <c r="L44" s="223">
        <f>CP_Yr_4</f>
        <v>43800</v>
      </c>
      <c r="M44" s="223">
        <f>CP_Yr_5</f>
        <v>44166</v>
      </c>
      <c r="N44" s="223">
        <f>Stub</f>
        <v>44377</v>
      </c>
      <c r="O44" s="223">
        <f>Yr_1</f>
        <v>44742</v>
      </c>
      <c r="P44" s="223">
        <f>Yr_2</f>
        <v>45107</v>
      </c>
      <c r="Q44" s="223">
        <f>Yr_3</f>
        <v>45473</v>
      </c>
      <c r="R44" s="223">
        <f>Yr_4</f>
        <v>45838</v>
      </c>
      <c r="S44" s="223">
        <f>Yr_5</f>
        <v>46203</v>
      </c>
      <c r="T44" s="336"/>
      <c r="U44" s="223">
        <f>CP_Yr_4</f>
        <v>43800</v>
      </c>
      <c r="V44" s="223">
        <f>CP_Yr_5</f>
        <v>44166</v>
      </c>
      <c r="W44" s="223">
        <f>Stub</f>
        <v>44377</v>
      </c>
      <c r="X44" s="223">
        <f>Yr_1</f>
        <v>44742</v>
      </c>
      <c r="Y44" s="223">
        <f>Yr_2</f>
        <v>45107</v>
      </c>
      <c r="Z44" s="223">
        <f>Yr_3</f>
        <v>45473</v>
      </c>
      <c r="AA44" s="223">
        <f>Yr_4</f>
        <v>45838</v>
      </c>
      <c r="AB44" s="223">
        <f>Yr_5</f>
        <v>46203</v>
      </c>
      <c r="AC44" s="336"/>
      <c r="AD44" s="223">
        <f>CP_Yr_4</f>
        <v>43800</v>
      </c>
      <c r="AE44" s="223">
        <f>CP_Yr_5</f>
        <v>44166</v>
      </c>
      <c r="AF44" s="223">
        <f>Stub</f>
        <v>44377</v>
      </c>
      <c r="AG44" s="223">
        <f>Yr_1</f>
        <v>44742</v>
      </c>
      <c r="AH44" s="223">
        <f>Yr_2</f>
        <v>45107</v>
      </c>
      <c r="AI44" s="223">
        <f>Yr_3</f>
        <v>45473</v>
      </c>
      <c r="AJ44" s="223">
        <f>Yr_4</f>
        <v>45838</v>
      </c>
      <c r="AK44" s="223">
        <f>Yr_5</f>
        <v>46203</v>
      </c>
    </row>
    <row r="45" spans="2:37" x14ac:dyDescent="0.25">
      <c r="B45" s="102" t="s">
        <v>167</v>
      </c>
      <c r="C45" s="516"/>
      <c r="D45" s="521"/>
      <c r="E45" s="521"/>
      <c r="F45" s="521"/>
      <c r="G45" s="521"/>
      <c r="H45" s="521"/>
      <c r="I45" s="521"/>
      <c r="J45" s="521"/>
      <c r="K45" s="527"/>
      <c r="L45" s="516"/>
      <c r="M45" s="522"/>
      <c r="N45" s="522"/>
      <c r="O45" s="522"/>
      <c r="P45" s="522"/>
      <c r="Q45" s="522"/>
      <c r="R45" s="522"/>
      <c r="S45" s="522"/>
      <c r="U45" s="517"/>
      <c r="V45" s="517"/>
      <c r="W45" s="517"/>
      <c r="X45" s="517"/>
      <c r="Y45" s="517"/>
      <c r="Z45" s="517"/>
      <c r="AA45" s="517"/>
      <c r="AB45" s="517"/>
      <c r="AD45" s="517"/>
      <c r="AE45" s="517"/>
      <c r="AF45" s="517"/>
      <c r="AG45" s="517"/>
      <c r="AH45" s="517"/>
      <c r="AI45" s="517"/>
      <c r="AJ45" s="517"/>
      <c r="AK45" s="517"/>
    </row>
    <row r="46" spans="2:37" x14ac:dyDescent="0.25">
      <c r="B46" s="1" t="s">
        <v>228</v>
      </c>
      <c r="C46" s="515"/>
      <c r="D46" s="515"/>
      <c r="E46" s="515"/>
      <c r="F46" s="515"/>
      <c r="G46" s="515"/>
      <c r="H46" s="515"/>
      <c r="I46" s="515"/>
      <c r="J46" s="515"/>
      <c r="K46" s="54"/>
      <c r="L46" s="515"/>
      <c r="M46" s="515"/>
      <c r="N46" s="515"/>
      <c r="O46" s="515"/>
      <c r="P46" s="515"/>
      <c r="Q46" s="515"/>
      <c r="R46" s="515"/>
      <c r="S46" s="515"/>
      <c r="U46" s="241"/>
      <c r="V46" s="515"/>
      <c r="W46" s="515"/>
      <c r="X46" s="515"/>
      <c r="Y46" s="515"/>
      <c r="Z46" s="515"/>
      <c r="AA46" s="515"/>
      <c r="AB46" s="515"/>
      <c r="AD46" s="515"/>
      <c r="AE46" s="515"/>
      <c r="AF46" s="515"/>
      <c r="AG46" s="515"/>
      <c r="AH46" s="515"/>
      <c r="AI46" s="515"/>
      <c r="AJ46" s="515"/>
      <c r="AK46" s="515"/>
    </row>
    <row r="47" spans="2:37" x14ac:dyDescent="0.25">
      <c r="B47" s="1" t="s">
        <v>229</v>
      </c>
      <c r="C47" s="515"/>
      <c r="D47" s="515"/>
      <c r="E47" s="515"/>
      <c r="F47" s="515"/>
      <c r="G47" s="515"/>
      <c r="H47" s="515"/>
      <c r="I47" s="515"/>
      <c r="J47" s="515"/>
      <c r="K47" s="54"/>
      <c r="L47" s="515"/>
      <c r="M47" s="515"/>
      <c r="N47" s="515"/>
      <c r="O47" s="515"/>
      <c r="P47" s="515"/>
      <c r="Q47" s="515"/>
      <c r="R47" s="515"/>
      <c r="S47" s="515"/>
      <c r="U47" s="241"/>
      <c r="V47" s="515"/>
      <c r="W47" s="515"/>
      <c r="X47" s="515"/>
      <c r="Y47" s="515"/>
      <c r="Z47" s="515"/>
      <c r="AA47" s="515"/>
      <c r="AB47" s="515"/>
      <c r="AD47" s="515"/>
      <c r="AE47" s="515"/>
      <c r="AF47" s="515"/>
      <c r="AG47" s="515"/>
      <c r="AH47" s="515"/>
      <c r="AI47" s="515"/>
      <c r="AJ47" s="515"/>
      <c r="AK47" s="515"/>
    </row>
    <row r="48" spans="2:37" x14ac:dyDescent="0.25">
      <c r="B48" s="1" t="s">
        <v>230</v>
      </c>
      <c r="C48" s="515"/>
      <c r="D48" s="515"/>
      <c r="E48" s="515"/>
      <c r="F48" s="515"/>
      <c r="G48" s="515"/>
      <c r="H48" s="515"/>
      <c r="I48" s="515"/>
      <c r="J48" s="515"/>
      <c r="K48" s="54"/>
      <c r="L48" s="515"/>
      <c r="M48" s="515"/>
      <c r="N48" s="515"/>
      <c r="O48" s="515"/>
      <c r="P48" s="515"/>
      <c r="Q48" s="515"/>
      <c r="R48" s="515"/>
      <c r="S48" s="515"/>
      <c r="U48" s="241"/>
      <c r="V48" s="515"/>
      <c r="W48" s="515"/>
      <c r="X48" s="515"/>
      <c r="Y48" s="515"/>
      <c r="Z48" s="515"/>
      <c r="AA48" s="515"/>
      <c r="AB48" s="515"/>
      <c r="AD48" s="515"/>
      <c r="AE48" s="515"/>
      <c r="AF48" s="515"/>
      <c r="AG48" s="515"/>
      <c r="AH48" s="515"/>
      <c r="AI48" s="515"/>
      <c r="AJ48" s="515"/>
      <c r="AK48" s="515"/>
    </row>
    <row r="49" spans="2:37" x14ac:dyDescent="0.25">
      <c r="B49" s="1" t="s">
        <v>231</v>
      </c>
      <c r="C49" s="515"/>
      <c r="D49" s="515"/>
      <c r="E49" s="515"/>
      <c r="F49" s="515"/>
      <c r="G49" s="515"/>
      <c r="H49" s="515"/>
      <c r="I49" s="515"/>
      <c r="J49" s="515"/>
      <c r="K49" s="54"/>
      <c r="L49" s="515"/>
      <c r="M49" s="515"/>
      <c r="N49" s="515"/>
      <c r="O49" s="515"/>
      <c r="P49" s="515"/>
      <c r="Q49" s="515"/>
      <c r="R49" s="515"/>
      <c r="S49" s="515"/>
      <c r="U49" s="241"/>
      <c r="V49" s="515"/>
      <c r="W49" s="515"/>
      <c r="X49" s="515"/>
      <c r="Y49" s="515"/>
      <c r="Z49" s="515"/>
      <c r="AA49" s="515"/>
      <c r="AB49" s="515"/>
      <c r="AD49" s="515"/>
      <c r="AE49" s="515"/>
      <c r="AF49" s="515"/>
      <c r="AG49" s="515"/>
      <c r="AH49" s="515"/>
      <c r="AI49" s="515"/>
      <c r="AJ49" s="515"/>
      <c r="AK49" s="515"/>
    </row>
    <row r="50" spans="2:37" x14ac:dyDescent="0.25">
      <c r="B50" s="1" t="s">
        <v>232</v>
      </c>
      <c r="C50" s="515"/>
      <c r="D50" s="515"/>
      <c r="E50" s="515"/>
      <c r="F50" s="515"/>
      <c r="G50" s="515"/>
      <c r="H50" s="515"/>
      <c r="I50" s="515"/>
      <c r="J50" s="515"/>
      <c r="K50" s="54"/>
      <c r="L50" s="515"/>
      <c r="M50" s="515"/>
      <c r="N50" s="515"/>
      <c r="O50" s="515"/>
      <c r="P50" s="515"/>
      <c r="Q50" s="515"/>
      <c r="R50" s="515"/>
      <c r="S50" s="515"/>
      <c r="U50" s="241"/>
      <c r="V50" s="515"/>
      <c r="W50" s="515"/>
      <c r="X50" s="515"/>
      <c r="Y50" s="515"/>
      <c r="Z50" s="515"/>
      <c r="AA50" s="515"/>
      <c r="AB50" s="515"/>
      <c r="AD50" s="515"/>
      <c r="AE50" s="515"/>
      <c r="AF50" s="515"/>
      <c r="AG50" s="515"/>
      <c r="AH50" s="515"/>
      <c r="AI50" s="515"/>
      <c r="AJ50" s="515"/>
      <c r="AK50" s="515"/>
    </row>
    <row r="51" spans="2:37" x14ac:dyDescent="0.25">
      <c r="B51" s="1" t="s">
        <v>233</v>
      </c>
      <c r="C51" s="515"/>
      <c r="D51" s="515"/>
      <c r="E51" s="515"/>
      <c r="F51" s="515"/>
      <c r="G51" s="515"/>
      <c r="H51" s="515"/>
      <c r="I51" s="515"/>
      <c r="J51" s="515"/>
      <c r="K51" s="54"/>
      <c r="L51" s="515"/>
      <c r="M51" s="515"/>
      <c r="N51" s="515"/>
      <c r="O51" s="515"/>
      <c r="P51" s="515"/>
      <c r="Q51" s="515"/>
      <c r="R51" s="515"/>
      <c r="S51" s="515"/>
      <c r="U51" s="241"/>
      <c r="V51" s="515"/>
      <c r="W51" s="515"/>
      <c r="X51" s="515"/>
      <c r="Y51" s="515"/>
      <c r="Z51" s="515"/>
      <c r="AA51" s="515"/>
      <c r="AB51" s="515"/>
      <c r="AD51" s="515"/>
      <c r="AE51" s="515"/>
      <c r="AF51" s="515"/>
      <c r="AG51" s="515"/>
      <c r="AH51" s="515"/>
      <c r="AI51" s="515"/>
      <c r="AJ51" s="515"/>
      <c r="AK51" s="515"/>
    </row>
    <row r="52" spans="2:37" x14ac:dyDescent="0.25">
      <c r="B52" s="1" t="s">
        <v>234</v>
      </c>
      <c r="C52" s="515"/>
      <c r="D52" s="515"/>
      <c r="E52" s="515"/>
      <c r="F52" s="515"/>
      <c r="G52" s="515"/>
      <c r="H52" s="515"/>
      <c r="I52" s="515"/>
      <c r="J52" s="515"/>
      <c r="K52" s="54"/>
      <c r="L52" s="515"/>
      <c r="M52" s="515"/>
      <c r="N52" s="515"/>
      <c r="O52" s="515"/>
      <c r="P52" s="515"/>
      <c r="Q52" s="515"/>
      <c r="R52" s="515"/>
      <c r="S52" s="515"/>
      <c r="U52" s="241"/>
      <c r="V52" s="515"/>
      <c r="W52" s="515"/>
      <c r="X52" s="515"/>
      <c r="Y52" s="515"/>
      <c r="Z52" s="515"/>
      <c r="AA52" s="515"/>
      <c r="AB52" s="515"/>
      <c r="AD52" s="515"/>
      <c r="AE52" s="515"/>
      <c r="AF52" s="515"/>
      <c r="AG52" s="515"/>
      <c r="AH52" s="515"/>
      <c r="AI52" s="515"/>
      <c r="AJ52" s="515"/>
      <c r="AK52" s="515"/>
    </row>
    <row r="53" spans="2:37" x14ac:dyDescent="0.25">
      <c r="B53" s="1" t="s">
        <v>176</v>
      </c>
      <c r="C53" s="515"/>
      <c r="D53" s="515"/>
      <c r="E53" s="515"/>
      <c r="F53" s="515"/>
      <c r="G53" s="515"/>
      <c r="H53" s="515"/>
      <c r="I53" s="515"/>
      <c r="J53" s="515"/>
      <c r="K53" s="54"/>
      <c r="L53" s="515"/>
      <c r="M53" s="515"/>
      <c r="N53" s="515"/>
      <c r="O53" s="515"/>
      <c r="P53" s="515"/>
      <c r="Q53" s="515"/>
      <c r="R53" s="515"/>
      <c r="S53" s="515"/>
      <c r="U53" s="241"/>
      <c r="V53" s="515"/>
      <c r="W53" s="515"/>
      <c r="X53" s="515"/>
      <c r="Y53" s="515"/>
      <c r="Z53" s="515"/>
      <c r="AA53" s="515"/>
      <c r="AB53" s="515"/>
      <c r="AD53" s="515"/>
      <c r="AE53" s="515"/>
      <c r="AF53" s="515"/>
      <c r="AG53" s="515"/>
      <c r="AH53" s="515"/>
      <c r="AI53" s="515"/>
      <c r="AJ53" s="515"/>
      <c r="AK53" s="515"/>
    </row>
    <row r="54" spans="2:37" x14ac:dyDescent="0.25">
      <c r="B54" s="1" t="s">
        <v>235</v>
      </c>
      <c r="C54" s="515"/>
      <c r="D54" s="515"/>
      <c r="E54" s="515"/>
      <c r="F54" s="515"/>
      <c r="G54" s="515"/>
      <c r="H54" s="515"/>
      <c r="I54" s="515"/>
      <c r="J54" s="515"/>
      <c r="K54" s="54"/>
      <c r="L54" s="515"/>
      <c r="M54" s="515"/>
      <c r="N54" s="515"/>
      <c r="O54" s="515"/>
      <c r="P54" s="515"/>
      <c r="Q54" s="515"/>
      <c r="R54" s="515"/>
      <c r="S54" s="515"/>
      <c r="U54" s="241"/>
      <c r="V54" s="515"/>
      <c r="W54" s="515"/>
      <c r="X54" s="515"/>
      <c r="Y54" s="515"/>
      <c r="Z54" s="515"/>
      <c r="AA54" s="515"/>
      <c r="AB54" s="515"/>
      <c r="AD54" s="515"/>
      <c r="AE54" s="515"/>
      <c r="AF54" s="515"/>
      <c r="AG54" s="515"/>
      <c r="AH54" s="515"/>
      <c r="AI54" s="515"/>
      <c r="AJ54" s="515"/>
      <c r="AK54" s="515"/>
    </row>
    <row r="55" spans="2:37" x14ac:dyDescent="0.25">
      <c r="B55" s="1" t="s">
        <v>325</v>
      </c>
      <c r="C55" s="515"/>
      <c r="D55" s="515"/>
      <c r="E55" s="515"/>
      <c r="F55" s="515"/>
      <c r="G55" s="515"/>
      <c r="H55" s="515"/>
      <c r="I55" s="515"/>
      <c r="J55" s="515"/>
      <c r="K55" s="54"/>
      <c r="L55" s="515"/>
      <c r="M55" s="515"/>
      <c r="N55" s="515"/>
      <c r="O55" s="515"/>
      <c r="P55" s="515"/>
      <c r="Q55" s="515"/>
      <c r="R55" s="515"/>
      <c r="S55" s="515"/>
      <c r="U55" s="241"/>
      <c r="V55" s="515"/>
      <c r="W55" s="515"/>
      <c r="X55" s="515"/>
      <c r="Y55" s="515"/>
      <c r="Z55" s="515"/>
      <c r="AA55" s="515"/>
      <c r="AB55" s="515"/>
      <c r="AD55" s="515"/>
      <c r="AE55" s="515"/>
      <c r="AF55" s="515"/>
      <c r="AG55" s="515"/>
      <c r="AH55" s="515"/>
      <c r="AI55" s="515"/>
      <c r="AJ55" s="515"/>
      <c r="AK55" s="515"/>
    </row>
    <row r="56" spans="2:37" x14ac:dyDescent="0.25">
      <c r="B56" s="1" t="s">
        <v>236</v>
      </c>
      <c r="C56" s="517"/>
      <c r="D56" s="517"/>
      <c r="E56" s="517"/>
      <c r="F56" s="517"/>
      <c r="G56" s="517"/>
      <c r="H56" s="517"/>
      <c r="I56" s="517"/>
      <c r="J56" s="517"/>
      <c r="K56" s="54"/>
      <c r="L56" s="517"/>
      <c r="M56" s="517"/>
      <c r="N56" s="517"/>
      <c r="O56" s="517"/>
      <c r="P56" s="517"/>
      <c r="Q56" s="517"/>
      <c r="R56" s="517"/>
      <c r="S56" s="517"/>
      <c r="U56" s="516"/>
      <c r="V56" s="517"/>
      <c r="W56" s="517"/>
      <c r="X56" s="517"/>
      <c r="Y56" s="517"/>
      <c r="Z56" s="517"/>
      <c r="AA56" s="517"/>
      <c r="AB56" s="517"/>
      <c r="AD56" s="517"/>
      <c r="AE56" s="517"/>
      <c r="AF56" s="517"/>
      <c r="AG56" s="517"/>
      <c r="AH56" s="517"/>
      <c r="AI56" s="517"/>
      <c r="AJ56" s="517"/>
      <c r="AK56" s="517"/>
    </row>
    <row r="57" spans="2:37" x14ac:dyDescent="0.25">
      <c r="B57" s="56" t="s">
        <v>346</v>
      </c>
      <c r="C57" s="515"/>
      <c r="D57" s="515"/>
      <c r="E57" s="515"/>
      <c r="F57" s="515"/>
      <c r="G57" s="515"/>
      <c r="H57" s="515"/>
      <c r="I57" s="515"/>
      <c r="J57" s="515"/>
      <c r="K57" s="54"/>
      <c r="L57" s="515"/>
      <c r="M57" s="515"/>
      <c r="N57" s="515"/>
      <c r="O57" s="515"/>
      <c r="P57" s="515"/>
      <c r="Q57" s="515"/>
      <c r="R57" s="515"/>
      <c r="S57" s="515"/>
      <c r="U57" s="515"/>
      <c r="V57" s="515"/>
      <c r="W57" s="515"/>
      <c r="X57" s="515"/>
      <c r="Y57" s="515"/>
      <c r="Z57" s="515"/>
      <c r="AA57" s="515"/>
      <c r="AB57" s="515"/>
      <c r="AD57" s="515"/>
      <c r="AE57" s="515"/>
      <c r="AF57" s="515"/>
      <c r="AG57" s="515"/>
      <c r="AH57" s="515"/>
      <c r="AI57" s="515"/>
      <c r="AJ57" s="515"/>
      <c r="AK57" s="515"/>
    </row>
    <row r="58" spans="2:37" x14ac:dyDescent="0.25">
      <c r="C58" s="520"/>
      <c r="D58" s="241"/>
      <c r="E58" s="241"/>
      <c r="F58" s="241"/>
      <c r="G58" s="241"/>
      <c r="H58" s="241"/>
      <c r="I58" s="241"/>
      <c r="J58" s="241"/>
      <c r="K58" s="54"/>
      <c r="L58" s="520"/>
      <c r="M58" s="520"/>
      <c r="N58" s="520"/>
      <c r="O58" s="520"/>
      <c r="P58" s="520"/>
      <c r="Q58" s="520"/>
      <c r="R58" s="520"/>
      <c r="S58" s="520"/>
      <c r="U58" s="520"/>
      <c r="V58" s="520"/>
      <c r="W58" s="520"/>
      <c r="X58" s="520"/>
      <c r="Y58" s="520"/>
      <c r="Z58" s="520"/>
      <c r="AA58" s="520"/>
      <c r="AB58" s="520"/>
      <c r="AD58" s="520"/>
      <c r="AE58" s="520"/>
      <c r="AF58" s="520"/>
      <c r="AG58" s="520"/>
      <c r="AH58" s="520"/>
      <c r="AI58" s="520"/>
      <c r="AJ58" s="520"/>
      <c r="AK58" s="520"/>
    </row>
    <row r="59" spans="2:37" x14ac:dyDescent="0.25">
      <c r="K59" s="54"/>
      <c r="M59" s="39"/>
      <c r="N59" s="39"/>
      <c r="O59" s="39"/>
      <c r="P59" s="39"/>
      <c r="Q59" s="39"/>
      <c r="R59" s="39"/>
      <c r="S59" s="39"/>
    </row>
  </sheetData>
  <mergeCells count="1">
    <mergeCell ref="H1:I1"/>
  </mergeCells>
  <hyperlinks>
    <hyperlink ref="B2" location="Contents!A1" display="Table of Contents"/>
  </hyperlink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tint="-0.499984740745262"/>
  </sheetPr>
  <dimension ref="C3:C4"/>
  <sheetViews>
    <sheetView zoomScale="85" zoomScaleNormal="85" zoomScalePageLayoutView="125" workbookViewId="0">
      <selection activeCell="V33" sqref="V33"/>
    </sheetView>
  </sheetViews>
  <sheetFormatPr defaultColWidth="8.85546875" defaultRowHeight="15" x14ac:dyDescent="0.25"/>
  <cols>
    <col min="1" max="16384" width="8.85546875" style="22"/>
  </cols>
  <sheetData>
    <row r="3" spans="3:3" ht="18.75" x14ac:dyDescent="0.3">
      <c r="C3" s="21" t="s">
        <v>296</v>
      </c>
    </row>
    <row r="4" spans="3:3" x14ac:dyDescent="0.25">
      <c r="C4" s="26" t="s">
        <v>6</v>
      </c>
    </row>
  </sheetData>
  <hyperlinks>
    <hyperlink ref="C4" location="Contents!A1" display="Table of Contents"/>
  </hyperlink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AD61"/>
  <sheetViews>
    <sheetView zoomScale="85" zoomScaleNormal="85" zoomScalePageLayoutView="125" workbookViewId="0">
      <pane ySplit="5" topLeftCell="A9" activePane="bottomLeft" state="frozen"/>
      <selection activeCell="V33" sqref="V33"/>
      <selection pane="bottomLeft" activeCell="P40" sqref="P40"/>
    </sheetView>
  </sheetViews>
  <sheetFormatPr defaultColWidth="8.85546875" defaultRowHeight="15" outlineLevelCol="1" x14ac:dyDescent="0.25"/>
  <cols>
    <col min="1" max="2" width="4.42578125" style="1" customWidth="1"/>
    <col min="3" max="3" width="4.7109375" style="1" customWidth="1"/>
    <col min="4" max="4" width="35.42578125" style="1" customWidth="1"/>
    <col min="5" max="7" width="8.140625" style="1" customWidth="1" outlineLevel="1"/>
    <col min="8" max="12" width="9.42578125" style="1" customWidth="1"/>
    <col min="13" max="13" width="3.7109375" style="1" customWidth="1"/>
    <col min="14" max="14" width="5" style="1" customWidth="1"/>
    <col min="15" max="15" width="4.140625" style="1" customWidth="1"/>
    <col min="16" max="16" width="35.28515625" style="1" customWidth="1"/>
    <col min="17" max="19" width="8.42578125" style="1" customWidth="1" outlineLevel="1"/>
    <col min="20" max="24" width="8.85546875" style="1"/>
    <col min="25" max="25" width="6" style="1" customWidth="1"/>
    <col min="26" max="16384" width="8.85546875" style="1"/>
  </cols>
  <sheetData>
    <row r="1" spans="2:30" ht="18.75" x14ac:dyDescent="0.3">
      <c r="B1" s="10" t="s">
        <v>149</v>
      </c>
      <c r="I1" s="825" t="s">
        <v>749</v>
      </c>
      <c r="J1" s="825"/>
    </row>
    <row r="2" spans="2:30" x14ac:dyDescent="0.25">
      <c r="B2" s="25" t="s">
        <v>6</v>
      </c>
      <c r="O2" s="2"/>
    </row>
    <row r="4" spans="2:30" x14ac:dyDescent="0.25">
      <c r="C4" s="2" t="s">
        <v>616</v>
      </c>
      <c r="O4" s="2" t="s">
        <v>616</v>
      </c>
    </row>
    <row r="5" spans="2:30" x14ac:dyDescent="0.25">
      <c r="C5" s="95" t="s">
        <v>145</v>
      </c>
      <c r="D5" s="94"/>
      <c r="E5" s="337">
        <f>CP_Yr_4</f>
        <v>43800</v>
      </c>
      <c r="F5" s="337">
        <f>CP_Yr_5</f>
        <v>44166</v>
      </c>
      <c r="G5" s="337">
        <f>Stub</f>
        <v>44377</v>
      </c>
      <c r="H5" s="338">
        <f>Yr_1</f>
        <v>44742</v>
      </c>
      <c r="I5" s="337">
        <f>Yr_2</f>
        <v>45107</v>
      </c>
      <c r="J5" s="337">
        <f>Yr_3</f>
        <v>45473</v>
      </c>
      <c r="K5" s="337">
        <f>Yr_4</f>
        <v>45838</v>
      </c>
      <c r="L5" s="337">
        <f>Yr_5</f>
        <v>46203</v>
      </c>
      <c r="O5" s="97" t="s">
        <v>304</v>
      </c>
      <c r="P5" s="98"/>
      <c r="Q5" s="337">
        <f>CP_Yr_4</f>
        <v>43800</v>
      </c>
      <c r="R5" s="337">
        <f>CP_Yr_5</f>
        <v>44166</v>
      </c>
      <c r="S5" s="337">
        <f>Stub</f>
        <v>44377</v>
      </c>
      <c r="T5" s="338">
        <f>Yr_1</f>
        <v>44742</v>
      </c>
      <c r="U5" s="337">
        <f>Yr_2</f>
        <v>45107</v>
      </c>
      <c r="V5" s="337">
        <f>Yr_3</f>
        <v>45473</v>
      </c>
      <c r="W5" s="337">
        <f>Yr_4</f>
        <v>45838</v>
      </c>
      <c r="X5" s="337">
        <f>Yr_5</f>
        <v>46203</v>
      </c>
    </row>
    <row r="6" spans="2:30" ht="6" customHeight="1" x14ac:dyDescent="0.25">
      <c r="F6" s="36"/>
      <c r="G6" s="334"/>
      <c r="H6" s="44"/>
      <c r="I6" s="36"/>
      <c r="J6" s="36"/>
      <c r="K6" s="36"/>
      <c r="L6" s="36"/>
      <c r="R6" s="36"/>
      <c r="S6" s="334"/>
      <c r="T6" s="44"/>
      <c r="U6" s="36"/>
      <c r="V6" s="36"/>
      <c r="W6" s="36"/>
      <c r="X6" s="36"/>
    </row>
    <row r="7" spans="2:30" x14ac:dyDescent="0.25">
      <c r="C7" s="42" t="s">
        <v>25</v>
      </c>
      <c r="D7" s="42"/>
      <c r="E7" s="40">
        <f>SUM(E8:E9)</f>
        <v>0</v>
      </c>
      <c r="F7" s="517"/>
      <c r="G7" s="517"/>
      <c r="H7" s="543"/>
      <c r="I7" s="517"/>
      <c r="J7" s="517"/>
      <c r="K7" s="517"/>
      <c r="L7" s="517"/>
      <c r="O7" s="42" t="s">
        <v>25</v>
      </c>
      <c r="P7" s="42"/>
      <c r="Q7" s="40">
        <f>SUM(Q8:Q9)</f>
        <v>0</v>
      </c>
      <c r="R7" s="517"/>
      <c r="S7" s="517"/>
      <c r="T7" s="543"/>
      <c r="U7" s="517"/>
      <c r="V7" s="517"/>
      <c r="W7" s="517"/>
      <c r="X7" s="517"/>
      <c r="Z7" s="84">
        <f>IF(ISERROR((T7-H7)/H7),0,(T7-H7)/H7)</f>
        <v>0</v>
      </c>
      <c r="AA7" s="84">
        <f>IF(ISERROR((U7-I7)/I7),0,(U7-I7)/I7)</f>
        <v>0</v>
      </c>
      <c r="AB7" s="84">
        <f>IF(ISERROR((V7-J7)/J7),0,(V7-J7)/J7)</f>
        <v>0</v>
      </c>
      <c r="AC7" s="84">
        <f>IF(ISERROR((W7-K7)/K7),0,(W7-K7)/K7)</f>
        <v>0</v>
      </c>
      <c r="AD7" s="84">
        <f>IF(ISERROR((X7-L7)/L7),0,(X7-L7)/L7)</f>
        <v>0</v>
      </c>
    </row>
    <row r="8" spans="2:30" x14ac:dyDescent="0.25">
      <c r="D8" s="1" t="s">
        <v>401</v>
      </c>
      <c r="E8" s="39">
        <f>INDEX(Augmentation!$J$37:$Q$37,1,MATCH(E$5,Augmentation!$J$5:$Q$5,0))-E9</f>
        <v>0</v>
      </c>
      <c r="F8" s="515"/>
      <c r="G8" s="515"/>
      <c r="H8" s="544"/>
      <c r="I8" s="515"/>
      <c r="J8" s="515"/>
      <c r="K8" s="515"/>
      <c r="L8" s="515"/>
      <c r="P8" s="1" t="str">
        <f>D8</f>
        <v>Demand driven Augmentation</v>
      </c>
      <c r="Q8" s="160">
        <f>INDEX(Augmentation!$CQ$37:$CX$37,1,MATCH(Q$5,Augmentation!$J$5:$Q$5,0))-Q9</f>
        <v>0</v>
      </c>
      <c r="R8" s="515"/>
      <c r="S8" s="515"/>
      <c r="T8" s="544"/>
      <c r="U8" s="515"/>
      <c r="V8" s="515"/>
      <c r="W8" s="515"/>
      <c r="X8" s="515"/>
      <c r="Z8" s="84">
        <f t="shared" ref="Z8:Z9" si="0">IF(ISERROR((T8-H8)/H8),0,(T8-H8)/H8)</f>
        <v>0</v>
      </c>
      <c r="AA8" s="84">
        <f t="shared" ref="AA8:AA9" si="1">IF(ISERROR((U8-I8)/I8),0,(U8-I8)/I8)</f>
        <v>0</v>
      </c>
      <c r="AB8" s="84">
        <f t="shared" ref="AB8:AB9" si="2">IF(ISERROR((V8-J8)/J8),0,(V8-J8)/J8)</f>
        <v>0</v>
      </c>
      <c r="AC8" s="84">
        <f t="shared" ref="AC8:AC9" si="3">IF(ISERROR((W8-K8)/K8),0,(W8-K8)/K8)</f>
        <v>0</v>
      </c>
      <c r="AD8" s="84">
        <f t="shared" ref="AD8:AD9" si="4">IF(ISERROR((X8-L8)/L8),0,(X8-L8)/L8)</f>
        <v>0</v>
      </c>
    </row>
    <row r="9" spans="2:30" x14ac:dyDescent="0.25">
      <c r="D9" s="1" t="s">
        <v>581</v>
      </c>
      <c r="E9" s="1">
        <f>SUMIFS(Augmentation!J$6:J$36,Augmentation!$C$6:$C$36,"=REFCL*")</f>
        <v>0</v>
      </c>
      <c r="F9" s="515"/>
      <c r="G9" s="515"/>
      <c r="H9" s="544"/>
      <c r="I9" s="515"/>
      <c r="J9" s="515"/>
      <c r="K9" s="515"/>
      <c r="L9" s="515"/>
      <c r="P9" s="1" t="str">
        <f>D9</f>
        <v>REFCL driven Augmentation</v>
      </c>
      <c r="Q9" s="1">
        <f>SUMIFS(Augmentation!CQ$6:CQ$36,Augmentation!$C$6:$C$36,"=REFCL*")</f>
        <v>0</v>
      </c>
      <c r="R9" s="515"/>
      <c r="S9" s="515"/>
      <c r="T9" s="544"/>
      <c r="U9" s="515"/>
      <c r="V9" s="515"/>
      <c r="W9" s="515"/>
      <c r="X9" s="515"/>
      <c r="Z9" s="84">
        <f t="shared" si="0"/>
        <v>0</v>
      </c>
      <c r="AA9" s="84">
        <f t="shared" si="1"/>
        <v>0</v>
      </c>
      <c r="AB9" s="84">
        <f t="shared" si="2"/>
        <v>0</v>
      </c>
      <c r="AC9" s="84">
        <f t="shared" si="3"/>
        <v>0</v>
      </c>
      <c r="AD9" s="84">
        <f t="shared" si="4"/>
        <v>0</v>
      </c>
    </row>
    <row r="10" spans="2:30" x14ac:dyDescent="0.25">
      <c r="F10" s="515"/>
      <c r="G10" s="515"/>
      <c r="H10" s="544"/>
      <c r="I10" s="515"/>
      <c r="J10" s="515"/>
      <c r="K10" s="515"/>
      <c r="L10" s="515"/>
      <c r="R10" s="515"/>
      <c r="S10" s="515"/>
      <c r="T10" s="544"/>
      <c r="U10" s="515"/>
      <c r="V10" s="515"/>
      <c r="W10" s="515"/>
      <c r="X10" s="515"/>
    </row>
    <row r="11" spans="2:30" x14ac:dyDescent="0.25">
      <c r="C11" s="582" t="s">
        <v>138</v>
      </c>
      <c r="D11" s="42"/>
      <c r="E11" s="40">
        <f t="shared" ref="E11" si="5">SUM(E12:E13)</f>
        <v>0</v>
      </c>
      <c r="F11" s="517"/>
      <c r="G11" s="517"/>
      <c r="H11" s="543"/>
      <c r="I11" s="517"/>
      <c r="J11" s="517"/>
      <c r="K11" s="517"/>
      <c r="L11" s="517"/>
      <c r="O11" s="42" t="s">
        <v>138</v>
      </c>
      <c r="P11" s="42"/>
      <c r="Q11" s="40">
        <f t="shared" ref="Q11" si="6">SUM(Q12:Q13)</f>
        <v>0</v>
      </c>
      <c r="R11" s="517"/>
      <c r="S11" s="517"/>
      <c r="T11" s="543"/>
      <c r="U11" s="517"/>
      <c r="V11" s="517"/>
      <c r="W11" s="517"/>
      <c r="X11" s="517"/>
    </row>
    <row r="12" spans="2:30" x14ac:dyDescent="0.25">
      <c r="D12" s="581" t="s">
        <v>88</v>
      </c>
      <c r="E12" s="39"/>
      <c r="F12" s="515"/>
      <c r="G12" s="515"/>
      <c r="H12" s="640"/>
      <c r="I12" s="641"/>
      <c r="J12" s="641"/>
      <c r="K12" s="641"/>
      <c r="L12" s="641"/>
      <c r="P12" s="1" t="str">
        <f>D12</f>
        <v>Customer Capex (Gross)</v>
      </c>
      <c r="Q12" s="39"/>
      <c r="R12" s="515"/>
      <c r="S12" s="515"/>
      <c r="T12" s="640"/>
      <c r="U12" s="641"/>
      <c r="V12" s="641"/>
      <c r="W12" s="641"/>
      <c r="X12" s="641"/>
      <c r="Y12" s="52"/>
      <c r="Z12" s="84">
        <f>IF(ISERROR((T12-H12)/H12),0,(T12-H12)/H12)</f>
        <v>0</v>
      </c>
      <c r="AA12" s="84">
        <f>IF(ISERROR((U12-I12)/I12),0,(U12-I12)/I12)</f>
        <v>0</v>
      </c>
      <c r="AB12" s="84">
        <f>IF(ISERROR((V12-J12)/J12),0,(V12-J12)/J12)</f>
        <v>0</v>
      </c>
      <c r="AC12" s="84">
        <f>IF(ISERROR((W12-K12)/K12),0,(W12-K12)/K12)</f>
        <v>0</v>
      </c>
      <c r="AD12" s="84">
        <f>IF(ISERROR((X12-L12)/L12),0,(X12-L12)/L12)</f>
        <v>0</v>
      </c>
    </row>
    <row r="13" spans="2:30" x14ac:dyDescent="0.25">
      <c r="D13" s="581" t="s">
        <v>89</v>
      </c>
      <c r="E13" s="50"/>
      <c r="F13" s="242"/>
      <c r="G13" s="242"/>
      <c r="H13" s="613"/>
      <c r="I13" s="639"/>
      <c r="J13" s="639"/>
      <c r="K13" s="639"/>
      <c r="L13" s="639"/>
      <c r="P13" s="1" t="str">
        <f>D13</f>
        <v>Contributions</v>
      </c>
      <c r="Q13" s="50"/>
      <c r="R13" s="242"/>
      <c r="S13" s="242"/>
      <c r="T13" s="613"/>
      <c r="U13" s="639"/>
      <c r="V13" s="639"/>
      <c r="W13" s="639"/>
      <c r="X13" s="639"/>
      <c r="Y13" s="52"/>
    </row>
    <row r="14" spans="2:30" x14ac:dyDescent="0.25">
      <c r="F14" s="515"/>
      <c r="G14" s="515"/>
      <c r="H14" s="544"/>
      <c r="I14" s="515"/>
      <c r="J14" s="515"/>
      <c r="K14" s="515"/>
      <c r="L14" s="515"/>
      <c r="R14" s="515"/>
      <c r="S14" s="515"/>
      <c r="T14" s="544"/>
      <c r="U14" s="515"/>
      <c r="V14" s="515"/>
      <c r="W14" s="515"/>
      <c r="X14" s="515"/>
    </row>
    <row r="15" spans="2:30" x14ac:dyDescent="0.25">
      <c r="C15" s="42" t="s">
        <v>80</v>
      </c>
      <c r="D15" s="42"/>
      <c r="E15" s="40">
        <f t="shared" ref="E15" si="7">SUM(E16:E20)</f>
        <v>0</v>
      </c>
      <c r="F15" s="517"/>
      <c r="G15" s="517"/>
      <c r="H15" s="543"/>
      <c r="I15" s="517"/>
      <c r="J15" s="517"/>
      <c r="K15" s="517"/>
      <c r="L15" s="517"/>
      <c r="O15" s="42" t="s">
        <v>80</v>
      </c>
      <c r="P15" s="42"/>
      <c r="Q15" s="40">
        <f t="shared" ref="Q15" si="8">SUM(Q16:Q20)</f>
        <v>0</v>
      </c>
      <c r="R15" s="517"/>
      <c r="S15" s="517"/>
      <c r="T15" s="543"/>
      <c r="U15" s="517"/>
      <c r="V15" s="517"/>
      <c r="W15" s="517"/>
      <c r="X15" s="517"/>
      <c r="Z15" s="84">
        <f t="shared" ref="Z15:AD20" si="9">IF(ISERROR((T15-H15)/H15),0,(T15-H15)/H15)</f>
        <v>0</v>
      </c>
      <c r="AA15" s="84">
        <f t="shared" si="9"/>
        <v>0</v>
      </c>
      <c r="AB15" s="84">
        <f t="shared" si="9"/>
        <v>0</v>
      </c>
      <c r="AC15" s="84">
        <f t="shared" si="9"/>
        <v>0</v>
      </c>
      <c r="AD15" s="84">
        <f t="shared" si="9"/>
        <v>0</v>
      </c>
    </row>
    <row r="16" spans="2:30" x14ac:dyDescent="0.25">
      <c r="D16" s="1" t="s">
        <v>11</v>
      </c>
      <c r="E16" s="39">
        <f>INDEX(Major_Rebuilds!$J$37:$Q$37,1,MATCH(E$5,Major_Rebuilds!$J$5:$Q$5,0))</f>
        <v>0</v>
      </c>
      <c r="F16" s="515"/>
      <c r="G16" s="515"/>
      <c r="H16" s="544"/>
      <c r="I16" s="515"/>
      <c r="J16" s="515"/>
      <c r="K16" s="515"/>
      <c r="L16" s="515"/>
      <c r="P16" s="1" t="str">
        <f>D16</f>
        <v>Major Rebuilds</v>
      </c>
      <c r="Q16" s="39">
        <f>INDEX(Major_Rebuilds!$CQ$37:$CX$37,1,MATCH(Q$5,Major_Rebuilds!$J$5:$Q$5,0))</f>
        <v>0</v>
      </c>
      <c r="R16" s="515"/>
      <c r="S16" s="515"/>
      <c r="T16" s="544"/>
      <c r="U16" s="515"/>
      <c r="V16" s="515"/>
      <c r="W16" s="515"/>
      <c r="X16" s="515"/>
      <c r="Z16" s="84">
        <f t="shared" si="9"/>
        <v>0</v>
      </c>
      <c r="AA16" s="84">
        <f t="shared" si="9"/>
        <v>0</v>
      </c>
      <c r="AB16" s="84">
        <f t="shared" si="9"/>
        <v>0</v>
      </c>
      <c r="AC16" s="84">
        <f t="shared" si="9"/>
        <v>0</v>
      </c>
      <c r="AD16" s="84">
        <f t="shared" si="9"/>
        <v>0</v>
      </c>
    </row>
    <row r="17" spans="3:30" x14ac:dyDescent="0.25">
      <c r="D17" s="1" t="s">
        <v>1</v>
      </c>
      <c r="E17" s="39">
        <f>INDEX(Stations!$T$39:$AA$39,1,MATCH(E$5,Stations!$T$6:$AA$6,0))</f>
        <v>0</v>
      </c>
      <c r="F17" s="515"/>
      <c r="G17" s="515"/>
      <c r="H17" s="544"/>
      <c r="I17" s="515"/>
      <c r="J17" s="515"/>
      <c r="K17" s="515"/>
      <c r="L17" s="515"/>
      <c r="P17" s="1" t="str">
        <f>D17</f>
        <v>Stations</v>
      </c>
      <c r="Q17" s="39">
        <f>INDEX(Stations!$DF$39:$DM$39,1,MATCH(Q$5,Stations!$DF$6:$DM$6,0))</f>
        <v>0</v>
      </c>
      <c r="R17" s="515"/>
      <c r="S17" s="515"/>
      <c r="T17" s="544"/>
      <c r="U17" s="515"/>
      <c r="V17" s="515"/>
      <c r="W17" s="515"/>
      <c r="X17" s="515"/>
      <c r="Z17" s="84">
        <f t="shared" si="9"/>
        <v>0</v>
      </c>
      <c r="AA17" s="84">
        <f t="shared" si="9"/>
        <v>0</v>
      </c>
      <c r="AB17" s="84">
        <f t="shared" si="9"/>
        <v>0</v>
      </c>
      <c r="AC17" s="84">
        <f t="shared" si="9"/>
        <v>0</v>
      </c>
      <c r="AD17" s="84">
        <f t="shared" si="9"/>
        <v>0</v>
      </c>
    </row>
    <row r="18" spans="3:30" x14ac:dyDescent="0.25">
      <c r="D18" s="1" t="s">
        <v>2</v>
      </c>
      <c r="E18" s="39">
        <f>INDEX(Lines!$T$38:$AA$38,1,MATCH(E$5,Lines!$T$6:$AA$6,0))</f>
        <v>0</v>
      </c>
      <c r="F18" s="515"/>
      <c r="G18" s="515"/>
      <c r="H18" s="544"/>
      <c r="I18" s="515"/>
      <c r="J18" s="515"/>
      <c r="K18" s="515"/>
      <c r="L18" s="515"/>
      <c r="P18" s="1" t="str">
        <f>D18</f>
        <v>Lines</v>
      </c>
      <c r="Q18" s="39">
        <f>INDEX(Lines!$DF$38:$DM$38,1,MATCH(Q$5,Lines!$DF$6:$DM$6,0))</f>
        <v>0</v>
      </c>
      <c r="R18" s="515"/>
      <c r="S18" s="515"/>
      <c r="T18" s="544"/>
      <c r="U18" s="515"/>
      <c r="V18" s="515"/>
      <c r="W18" s="515"/>
      <c r="X18" s="515"/>
      <c r="Z18" s="84">
        <f t="shared" si="9"/>
        <v>0</v>
      </c>
      <c r="AA18" s="84">
        <f t="shared" si="9"/>
        <v>0</v>
      </c>
      <c r="AB18" s="84">
        <f t="shared" si="9"/>
        <v>0</v>
      </c>
      <c r="AC18" s="84">
        <f t="shared" si="9"/>
        <v>0</v>
      </c>
      <c r="AD18" s="84">
        <f t="shared" si="9"/>
        <v>0</v>
      </c>
    </row>
    <row r="19" spans="3:30" x14ac:dyDescent="0.25">
      <c r="D19" s="1" t="s">
        <v>3</v>
      </c>
      <c r="E19" s="39">
        <f>INDEX('PC&amp;A'!$J$37:$Q$37,1,MATCH(E$5,'PC&amp;A'!$J$5:$Q$5,0))</f>
        <v>0</v>
      </c>
      <c r="F19" s="515"/>
      <c r="G19" s="515"/>
      <c r="H19" s="544"/>
      <c r="I19" s="515"/>
      <c r="J19" s="515"/>
      <c r="K19" s="515"/>
      <c r="L19" s="515"/>
      <c r="P19" s="1" t="str">
        <f>D19</f>
        <v>Protection, Control &amp; Automation</v>
      </c>
      <c r="Q19" s="39">
        <f>INDEX('PC&amp;A'!$CQ$37:$CX$37,1,MATCH(Q$5,'PC&amp;A'!$J$5:$Q$5,0))</f>
        <v>0</v>
      </c>
      <c r="R19" s="515"/>
      <c r="S19" s="515"/>
      <c r="T19" s="544"/>
      <c r="U19" s="515"/>
      <c r="V19" s="515"/>
      <c r="W19" s="515"/>
      <c r="X19" s="515"/>
      <c r="Z19" s="84">
        <f t="shared" si="9"/>
        <v>0</v>
      </c>
      <c r="AA19" s="84">
        <f t="shared" si="9"/>
        <v>0</v>
      </c>
      <c r="AB19" s="84">
        <f t="shared" si="9"/>
        <v>0</v>
      </c>
      <c r="AC19" s="84">
        <f t="shared" si="9"/>
        <v>0</v>
      </c>
      <c r="AD19" s="84">
        <f t="shared" si="9"/>
        <v>0</v>
      </c>
    </row>
    <row r="20" spans="3:30" x14ac:dyDescent="0.25">
      <c r="D20" s="1" t="s">
        <v>358</v>
      </c>
      <c r="F20" s="242"/>
      <c r="G20" s="242"/>
      <c r="H20" s="544"/>
      <c r="I20" s="242"/>
      <c r="J20" s="242"/>
      <c r="K20" s="242"/>
      <c r="L20" s="242"/>
      <c r="P20" s="1" t="str">
        <f>D20</f>
        <v>Other &lt;spare&gt;</v>
      </c>
      <c r="R20" s="242"/>
      <c r="S20" s="242"/>
      <c r="T20" s="544"/>
      <c r="U20" s="242"/>
      <c r="V20" s="242"/>
      <c r="W20" s="242"/>
      <c r="X20" s="242"/>
      <c r="Z20" s="84">
        <f t="shared" si="9"/>
        <v>0</v>
      </c>
      <c r="AA20" s="84">
        <f t="shared" si="9"/>
        <v>0</v>
      </c>
      <c r="AB20" s="84">
        <f t="shared" si="9"/>
        <v>0</v>
      </c>
      <c r="AC20" s="84">
        <f t="shared" si="9"/>
        <v>0</v>
      </c>
      <c r="AD20" s="84">
        <f t="shared" si="9"/>
        <v>0</v>
      </c>
    </row>
    <row r="21" spans="3:30" x14ac:dyDescent="0.25">
      <c r="F21" s="515"/>
      <c r="G21" s="515"/>
      <c r="H21" s="544"/>
      <c r="I21" s="515"/>
      <c r="J21" s="515"/>
      <c r="K21" s="515"/>
      <c r="L21" s="515"/>
      <c r="R21" s="515"/>
      <c r="S21" s="515"/>
      <c r="T21" s="544"/>
      <c r="U21" s="515"/>
      <c r="V21" s="515"/>
      <c r="W21" s="515"/>
      <c r="X21" s="515"/>
    </row>
    <row r="22" spans="3:30" x14ac:dyDescent="0.25">
      <c r="C22" s="42" t="s">
        <v>142</v>
      </c>
      <c r="D22" s="42"/>
      <c r="E22" s="40">
        <f t="shared" ref="E22" si="10">SUM(E23:E26)</f>
        <v>0</v>
      </c>
      <c r="F22" s="517"/>
      <c r="G22" s="517"/>
      <c r="H22" s="543"/>
      <c r="I22" s="517"/>
      <c r="J22" s="517"/>
      <c r="K22" s="517"/>
      <c r="L22" s="517"/>
      <c r="O22" s="42" t="s">
        <v>142</v>
      </c>
      <c r="P22" s="42"/>
      <c r="Q22" s="40">
        <f t="shared" ref="Q22" si="11">SUM(Q23:Q26)</f>
        <v>0</v>
      </c>
      <c r="R22" s="517"/>
      <c r="S22" s="517"/>
      <c r="T22" s="543"/>
      <c r="U22" s="517"/>
      <c r="V22" s="517"/>
      <c r="W22" s="517"/>
      <c r="X22" s="517"/>
    </row>
    <row r="23" spans="3:30" x14ac:dyDescent="0.25">
      <c r="D23" s="1" t="s">
        <v>13</v>
      </c>
      <c r="E23" s="39">
        <f>INDEX(ESL_1!$T$38:$AA$38,1,MATCH(E$5,ESL_1!$T$6:$AA$6,0))+INDEX(ESL_2!$J$37:$Q$37,1,MATCH(E$5,ESL_2!$J$5:$Q$5,0))</f>
        <v>0</v>
      </c>
      <c r="F23" s="515"/>
      <c r="G23" s="515"/>
      <c r="H23" s="544"/>
      <c r="I23" s="515"/>
      <c r="J23" s="515"/>
      <c r="K23" s="515"/>
      <c r="L23" s="515"/>
      <c r="P23" s="1" t="str">
        <f>D23</f>
        <v>Enviro, Safety &amp; Legal Capex</v>
      </c>
      <c r="Q23" s="39">
        <f>INDEX(ESL_1!$DF$38:$DM$38,1,MATCH(Q$5,ESL_1!$DF$6:$DM$6,0))+INDEX(ESL_2!$CQ$37:$CX$37,1,MATCH(Q$5,ESL_2!$CQ$5:$CX$5,0))</f>
        <v>0</v>
      </c>
      <c r="R23" s="515"/>
      <c r="S23" s="515"/>
      <c r="T23" s="544"/>
      <c r="U23" s="515"/>
      <c r="V23" s="515"/>
      <c r="W23" s="515"/>
      <c r="X23" s="515"/>
      <c r="Z23" s="84">
        <f t="shared" ref="Z23:AD26" si="12">IF(ISERROR((T23-H23)/H23),0,(T23-H23)/H23)</f>
        <v>0</v>
      </c>
      <c r="AA23" s="84">
        <f t="shared" si="12"/>
        <v>0</v>
      </c>
      <c r="AB23" s="84">
        <f t="shared" si="12"/>
        <v>0</v>
      </c>
      <c r="AC23" s="84">
        <f t="shared" si="12"/>
        <v>0</v>
      </c>
      <c r="AD23" s="84">
        <f t="shared" si="12"/>
        <v>0</v>
      </c>
    </row>
    <row r="24" spans="3:30" x14ac:dyDescent="0.25">
      <c r="D24" s="54" t="s">
        <v>590</v>
      </c>
      <c r="E24" s="39">
        <f>INDEX(REFCL!$J$37:$Q$37,1,MATCH(E$5,REFCL!$J$5:$Q$5,0))</f>
        <v>0</v>
      </c>
      <c r="F24" s="515"/>
      <c r="G24" s="515"/>
      <c r="H24" s="544"/>
      <c r="I24" s="515"/>
      <c r="J24" s="515"/>
      <c r="K24" s="515"/>
      <c r="L24" s="515"/>
      <c r="P24" s="54" t="str">
        <f>D24</f>
        <v>REFCL Contingent projects (T1 / T2 / T3)</v>
      </c>
      <c r="Q24" s="39">
        <f>INDEX(REFCL!$CQ$37:$CX$37,1,MATCH(E$5,REFCL!$CQ$5:$CX$5,0))</f>
        <v>0</v>
      </c>
      <c r="R24" s="515"/>
      <c r="S24" s="515"/>
      <c r="T24" s="544"/>
      <c r="U24" s="515"/>
      <c r="V24" s="515"/>
      <c r="W24" s="515"/>
      <c r="X24" s="515"/>
      <c r="Z24" s="84">
        <f t="shared" si="12"/>
        <v>0</v>
      </c>
      <c r="AA24" s="84">
        <f t="shared" si="12"/>
        <v>0</v>
      </c>
      <c r="AB24" s="84">
        <f t="shared" si="12"/>
        <v>0</v>
      </c>
      <c r="AC24" s="84">
        <f t="shared" si="12"/>
        <v>0</v>
      </c>
      <c r="AD24" s="84">
        <f t="shared" si="12"/>
        <v>0</v>
      </c>
    </row>
    <row r="25" spans="3:30" x14ac:dyDescent="0.25">
      <c r="D25" s="54" t="s">
        <v>129</v>
      </c>
      <c r="E25" s="39">
        <f>ESL_2!J45</f>
        <v>0</v>
      </c>
      <c r="F25" s="515"/>
      <c r="G25" s="515"/>
      <c r="H25" s="544"/>
      <c r="I25" s="515"/>
      <c r="J25" s="515"/>
      <c r="K25" s="515"/>
      <c r="L25" s="515"/>
      <c r="P25" s="54" t="str">
        <f>D25</f>
        <v>Govt. Funded Programs</v>
      </c>
      <c r="Q25" s="39">
        <f>ESL_2!CQ45</f>
        <v>0</v>
      </c>
      <c r="R25" s="515"/>
      <c r="S25" s="515"/>
      <c r="T25" s="544"/>
      <c r="U25" s="515"/>
      <c r="V25" s="515"/>
      <c r="W25" s="515"/>
      <c r="X25" s="515"/>
      <c r="Y25" s="52"/>
      <c r="Z25" s="84">
        <f t="shared" si="12"/>
        <v>0</v>
      </c>
      <c r="AA25" s="84">
        <f t="shared" si="12"/>
        <v>0</v>
      </c>
      <c r="AB25" s="84">
        <f t="shared" si="12"/>
        <v>0</v>
      </c>
      <c r="AC25" s="84">
        <f t="shared" si="12"/>
        <v>0</v>
      </c>
      <c r="AD25" s="84">
        <f t="shared" si="12"/>
        <v>0</v>
      </c>
    </row>
    <row r="26" spans="3:30" x14ac:dyDescent="0.25">
      <c r="D26" s="54" t="s">
        <v>141</v>
      </c>
      <c r="E26" s="39"/>
      <c r="F26" s="515"/>
      <c r="G26" s="515"/>
      <c r="H26" s="544"/>
      <c r="I26" s="515"/>
      <c r="J26" s="515"/>
      <c r="K26" s="515"/>
      <c r="L26" s="515"/>
      <c r="P26" s="54" t="str">
        <f>D26</f>
        <v>Govt. Contribution</v>
      </c>
      <c r="Q26" s="39"/>
      <c r="R26" s="515"/>
      <c r="S26" s="515"/>
      <c r="T26" s="544"/>
      <c r="U26" s="515"/>
      <c r="V26" s="515"/>
      <c r="W26" s="515"/>
      <c r="X26" s="515"/>
      <c r="Y26" s="52"/>
      <c r="Z26" s="84">
        <f t="shared" si="12"/>
        <v>0</v>
      </c>
      <c r="AA26" s="84">
        <f t="shared" si="12"/>
        <v>0</v>
      </c>
      <c r="AB26" s="84">
        <f t="shared" si="12"/>
        <v>0</v>
      </c>
      <c r="AC26" s="84">
        <f t="shared" si="12"/>
        <v>0</v>
      </c>
      <c r="AD26" s="84">
        <f t="shared" si="12"/>
        <v>0</v>
      </c>
    </row>
    <row r="27" spans="3:30" x14ac:dyDescent="0.25">
      <c r="F27" s="515"/>
      <c r="G27" s="515"/>
      <c r="H27" s="544"/>
      <c r="I27" s="515"/>
      <c r="J27" s="515"/>
      <c r="K27" s="515"/>
      <c r="L27" s="515"/>
      <c r="R27" s="515"/>
      <c r="S27" s="515"/>
      <c r="T27" s="544"/>
      <c r="U27" s="515"/>
      <c r="V27" s="515"/>
      <c r="W27" s="515"/>
      <c r="X27" s="515"/>
    </row>
    <row r="28" spans="3:30" x14ac:dyDescent="0.25">
      <c r="C28" s="42" t="s">
        <v>524</v>
      </c>
      <c r="D28" s="42"/>
      <c r="E28" s="40">
        <f t="shared" ref="E28" si="13">SUM(E29:E30)</f>
        <v>0</v>
      </c>
      <c r="F28" s="517"/>
      <c r="G28" s="517"/>
      <c r="H28" s="543"/>
      <c r="I28" s="517"/>
      <c r="J28" s="517"/>
      <c r="K28" s="517"/>
      <c r="L28" s="517"/>
      <c r="O28" s="42" t="s">
        <v>524</v>
      </c>
      <c r="P28" s="42"/>
      <c r="Q28" s="40">
        <f t="shared" ref="Q28" si="14">SUM(Q29:Q30)</f>
        <v>0</v>
      </c>
      <c r="R28" s="517"/>
      <c r="S28" s="517"/>
      <c r="T28" s="543"/>
      <c r="U28" s="517"/>
      <c r="V28" s="517"/>
      <c r="W28" s="517"/>
      <c r="X28" s="517"/>
      <c r="Z28" s="84">
        <f t="shared" ref="Z28:AD30" si="15">IF(ISERROR((T28-H28)/H28),0,(T28-H28)/H28)</f>
        <v>0</v>
      </c>
      <c r="AA28" s="84">
        <f t="shared" si="15"/>
        <v>0</v>
      </c>
      <c r="AB28" s="84">
        <f t="shared" si="15"/>
        <v>0</v>
      </c>
      <c r="AC28" s="84">
        <f t="shared" si="15"/>
        <v>0</v>
      </c>
      <c r="AD28" s="84">
        <f t="shared" si="15"/>
        <v>0</v>
      </c>
    </row>
    <row r="29" spans="3:30" x14ac:dyDescent="0.25">
      <c r="D29" s="1" t="s">
        <v>12</v>
      </c>
      <c r="E29" s="1">
        <f>INDEX('SCADA&amp;Comms'!$J$37:$Q$37,1,MATCH(Base_Forecast!E$5,'SCADA&amp;Comms'!$J$5:$Q$5,0))</f>
        <v>0</v>
      </c>
      <c r="F29" s="515"/>
      <c r="G29" s="515"/>
      <c r="H29" s="544"/>
      <c r="I29" s="515"/>
      <c r="J29" s="515"/>
      <c r="K29" s="515"/>
      <c r="L29" s="515"/>
      <c r="P29" s="1" t="str">
        <f>D29</f>
        <v>SCADA &amp; Comms</v>
      </c>
      <c r="Q29" s="1">
        <f>INDEX('SCADA&amp;Comms'!$CQ$37:$CX$37,1,MATCH(Base_Forecast!E$5,'SCADA&amp;Comms'!$CQ$5:$CX$5,0))</f>
        <v>0</v>
      </c>
      <c r="R29" s="515"/>
      <c r="S29" s="515"/>
      <c r="T29" s="544"/>
      <c r="U29" s="515"/>
      <c r="V29" s="515"/>
      <c r="W29" s="515"/>
      <c r="X29" s="515"/>
      <c r="Z29" s="84">
        <f t="shared" si="15"/>
        <v>0</v>
      </c>
      <c r="AA29" s="84">
        <f t="shared" si="15"/>
        <v>0</v>
      </c>
      <c r="AB29" s="84">
        <f t="shared" si="15"/>
        <v>0</v>
      </c>
      <c r="AC29" s="84">
        <f t="shared" si="15"/>
        <v>0</v>
      </c>
      <c r="AD29" s="84">
        <f t="shared" si="15"/>
        <v>0</v>
      </c>
    </row>
    <row r="30" spans="3:30" x14ac:dyDescent="0.25">
      <c r="D30" s="1" t="s">
        <v>522</v>
      </c>
      <c r="E30" s="1">
        <f>SUMIFS(Metering_SCS!J$6:J$36,Metering_SCS!$G$6:$G$36,"Replacement",Metering_SCS!$E$6:$E$36,$C$28)</f>
        <v>0</v>
      </c>
      <c r="F30" s="515"/>
      <c r="G30" s="515"/>
      <c r="H30" s="544"/>
      <c r="I30" s="515"/>
      <c r="J30" s="515"/>
      <c r="K30" s="515"/>
      <c r="L30" s="515"/>
      <c r="P30" s="1" t="str">
        <f>D30</f>
        <v>SCADA &amp; Comms - Metering</v>
      </c>
      <c r="Q30" s="1">
        <f>SUMIFS(Metering_SCS!BC$6:BC$36,Metering_SCS!$G$6:$G$36,"Replacement",Metering_SCS!$E$6:$E$36,$O$28)</f>
        <v>0</v>
      </c>
      <c r="R30" s="515"/>
      <c r="S30" s="515"/>
      <c r="T30" s="544"/>
      <c r="U30" s="515"/>
      <c r="V30" s="515"/>
      <c r="W30" s="515"/>
      <c r="X30" s="515"/>
      <c r="Z30" s="84">
        <f t="shared" si="15"/>
        <v>0</v>
      </c>
      <c r="AA30" s="84">
        <f t="shared" si="15"/>
        <v>0</v>
      </c>
      <c r="AB30" s="84">
        <f t="shared" si="15"/>
        <v>0</v>
      </c>
      <c r="AC30" s="84">
        <f t="shared" si="15"/>
        <v>0</v>
      </c>
      <c r="AD30" s="84">
        <f t="shared" si="15"/>
        <v>0</v>
      </c>
    </row>
    <row r="31" spans="3:30" x14ac:dyDescent="0.25">
      <c r="F31" s="515"/>
      <c r="G31" s="515"/>
      <c r="H31" s="544"/>
      <c r="I31" s="515"/>
      <c r="J31" s="515"/>
      <c r="K31" s="515"/>
      <c r="L31" s="515"/>
      <c r="R31" s="515"/>
      <c r="S31" s="515"/>
      <c r="T31" s="544"/>
      <c r="U31" s="515"/>
      <c r="V31" s="515"/>
      <c r="W31" s="515"/>
      <c r="X31" s="515"/>
    </row>
    <row r="32" spans="3:30" x14ac:dyDescent="0.25">
      <c r="C32" s="2" t="s">
        <v>109</v>
      </c>
      <c r="D32" s="2"/>
      <c r="E32" s="51">
        <f t="shared" ref="E32" si="16">E7+E12+E15+E22-E26+E28</f>
        <v>0</v>
      </c>
      <c r="F32" s="545"/>
      <c r="G32" s="545"/>
      <c r="H32" s="546"/>
      <c r="I32" s="545"/>
      <c r="J32" s="545"/>
      <c r="K32" s="545"/>
      <c r="L32" s="545"/>
      <c r="O32" s="2" t="s">
        <v>109</v>
      </c>
      <c r="P32" s="2"/>
      <c r="Q32" s="51">
        <f t="shared" ref="Q32" si="17">Q7+Q12+Q15+Q22-Q26+Q28</f>
        <v>0</v>
      </c>
      <c r="R32" s="545"/>
      <c r="S32" s="545"/>
      <c r="T32" s="546"/>
      <c r="U32" s="545"/>
      <c r="V32" s="545"/>
      <c r="W32" s="545"/>
      <c r="X32" s="545"/>
    </row>
    <row r="33" spans="3:30" x14ac:dyDescent="0.25">
      <c r="C33" s="2" t="s">
        <v>110</v>
      </c>
      <c r="D33" s="2"/>
      <c r="E33" s="51">
        <f t="shared" ref="E33" si="18">E32+E13+E26</f>
        <v>0</v>
      </c>
      <c r="F33" s="545"/>
      <c r="G33" s="545"/>
      <c r="H33" s="546"/>
      <c r="I33" s="545"/>
      <c r="J33" s="545"/>
      <c r="K33" s="545"/>
      <c r="L33" s="545"/>
      <c r="O33" s="2" t="s">
        <v>110</v>
      </c>
      <c r="P33" s="2"/>
      <c r="Q33" s="51">
        <f t="shared" ref="Q33" si="19">Q32+Q13+Q26</f>
        <v>0</v>
      </c>
      <c r="R33" s="545"/>
      <c r="S33" s="545"/>
      <c r="T33" s="546"/>
      <c r="U33" s="545"/>
      <c r="V33" s="545"/>
      <c r="W33" s="545"/>
      <c r="X33" s="545"/>
    </row>
    <row r="34" spans="3:30" x14ac:dyDescent="0.25">
      <c r="F34" s="515"/>
      <c r="G34" s="515"/>
      <c r="H34" s="544"/>
      <c r="I34" s="515"/>
      <c r="J34" s="515"/>
      <c r="K34" s="515"/>
      <c r="L34" s="515"/>
      <c r="R34" s="515"/>
      <c r="S34" s="515"/>
      <c r="T34" s="544"/>
      <c r="U34" s="515"/>
      <c r="V34" s="515"/>
      <c r="W34" s="515"/>
      <c r="X34" s="515"/>
    </row>
    <row r="35" spans="3:30" x14ac:dyDescent="0.25">
      <c r="C35" s="42" t="s">
        <v>81</v>
      </c>
      <c r="D35" s="42"/>
      <c r="E35" s="40">
        <f t="shared" ref="E35" si="20">SUM(E36:E40)</f>
        <v>0</v>
      </c>
      <c r="F35" s="517"/>
      <c r="G35" s="517"/>
      <c r="H35" s="543"/>
      <c r="I35" s="517"/>
      <c r="J35" s="517"/>
      <c r="K35" s="517"/>
      <c r="L35" s="517"/>
      <c r="O35" s="42" t="s">
        <v>81</v>
      </c>
      <c r="P35" s="42"/>
      <c r="Q35" s="40">
        <f t="shared" ref="Q35" si="21">SUM(Q36:Q40)</f>
        <v>0</v>
      </c>
      <c r="R35" s="517"/>
      <c r="S35" s="517"/>
      <c r="T35" s="543"/>
      <c r="U35" s="517"/>
      <c r="V35" s="517"/>
      <c r="W35" s="517"/>
      <c r="X35" s="517"/>
    </row>
    <row r="36" spans="3:30" x14ac:dyDescent="0.25">
      <c r="D36" s="1" t="s">
        <v>4</v>
      </c>
      <c r="E36" s="39">
        <f>ICT!J$37</f>
        <v>0</v>
      </c>
      <c r="F36" s="515"/>
      <c r="G36" s="515"/>
      <c r="H36" s="544"/>
      <c r="I36" s="515"/>
      <c r="J36" s="515"/>
      <c r="K36" s="515"/>
      <c r="L36" s="515"/>
      <c r="P36" s="1" t="str">
        <f>D36</f>
        <v>ICT Infrastructure Capex</v>
      </c>
      <c r="Q36" s="39">
        <f>ICT!BC37</f>
        <v>0</v>
      </c>
      <c r="R36" s="515"/>
      <c r="S36" s="515"/>
      <c r="T36" s="544"/>
      <c r="U36" s="515"/>
      <c r="V36" s="515"/>
      <c r="W36" s="515"/>
      <c r="X36" s="515"/>
      <c r="Y36" s="52"/>
      <c r="Z36" s="84">
        <f>IF(ISERROR((T36-H36)/H36),0,(T36-H36)/H36)</f>
        <v>0</v>
      </c>
      <c r="AA36" s="84">
        <f>IF(ISERROR((U36-I36)/I36),0,(U36-I36)/I36)</f>
        <v>0</v>
      </c>
      <c r="AB36" s="84">
        <f>IF(ISERROR((V36-J36)/J36),0,(V36-J36)/J36)</f>
        <v>0</v>
      </c>
      <c r="AC36" s="84">
        <f>IF(ISERROR((W36-K36)/K36),0,(W36-K36)/K36)</f>
        <v>0</v>
      </c>
      <c r="AD36" s="84">
        <f>IF(ISERROR((X36-L36)/L36),0,(X36-L36)/L36)</f>
        <v>0</v>
      </c>
    </row>
    <row r="37" spans="3:30" x14ac:dyDescent="0.25">
      <c r="D37" s="1" t="s">
        <v>523</v>
      </c>
      <c r="E37" s="39">
        <f>SUMIFS(Metering_SCS!J$6:J$36,Metering_SCS!$E$6:$E$36,Lookups!$C$10)</f>
        <v>0</v>
      </c>
      <c r="F37" s="515"/>
      <c r="G37" s="515"/>
      <c r="H37" s="544"/>
      <c r="I37" s="515"/>
      <c r="J37" s="515"/>
      <c r="K37" s="515"/>
      <c r="L37" s="515"/>
      <c r="P37" s="1" t="str">
        <f>D37</f>
        <v>Metering related IT systems</v>
      </c>
      <c r="Q37" s="39">
        <f>SUMIFS(Metering_SCS!BC$6:BC$36,Metering_SCS!$E$6:$E$36,Lookups!$C$10)</f>
        <v>0</v>
      </c>
      <c r="R37" s="515"/>
      <c r="S37" s="515"/>
      <c r="T37" s="544"/>
      <c r="U37" s="515"/>
      <c r="V37" s="515"/>
      <c r="W37" s="515"/>
      <c r="X37" s="515"/>
      <c r="Y37" s="52"/>
      <c r="Z37" s="84">
        <f t="shared" ref="Z37" si="22">IF(ISERROR((T37-H37)/H37),0,(T37-H37)/H37)</f>
        <v>0</v>
      </c>
      <c r="AA37" s="84">
        <f t="shared" ref="AA37" si="23">IF(ISERROR((U37-I37)/I37),0,(U37-I37)/I37)</f>
        <v>0</v>
      </c>
      <c r="AB37" s="84">
        <f t="shared" ref="AB37" si="24">IF(ISERROR((V37-J37)/J37),0,(V37-J37)/J37)</f>
        <v>0</v>
      </c>
      <c r="AC37" s="84">
        <f t="shared" ref="AC37" si="25">IF(ISERROR((W37-K37)/K37),0,(W37-K37)/K37)</f>
        <v>0</v>
      </c>
      <c r="AD37" s="84">
        <f t="shared" ref="AD37" si="26">IF(ISERROR((X37-L37)/L37),0,(X37-L37)/L37)</f>
        <v>0</v>
      </c>
    </row>
    <row r="38" spans="3:30" x14ac:dyDescent="0.25">
      <c r="D38" s="1" t="s">
        <v>14</v>
      </c>
      <c r="E38" s="39">
        <f>Other_NN!I$37-E40-E39</f>
        <v>0</v>
      </c>
      <c r="F38" s="242"/>
      <c r="G38" s="242"/>
      <c r="H38" s="544"/>
      <c r="I38" s="242"/>
      <c r="J38" s="242"/>
      <c r="K38" s="242"/>
      <c r="L38" s="242"/>
      <c r="P38" s="1" t="str">
        <f>D38</f>
        <v>Other Non Network</v>
      </c>
      <c r="Q38" s="50">
        <f>Other_NN!BB37-Q40-Q39</f>
        <v>0</v>
      </c>
      <c r="R38" s="242"/>
      <c r="S38" s="242"/>
      <c r="T38" s="544"/>
      <c r="U38" s="242"/>
      <c r="V38" s="242"/>
      <c r="W38" s="242"/>
      <c r="X38" s="242"/>
      <c r="Y38" s="52"/>
      <c r="Z38" s="84">
        <f>IF(ISERROR((T38-H38)/H38),0,(T38-H38)/H38)</f>
        <v>0</v>
      </c>
      <c r="AA38" s="84">
        <f>IF(ISERROR((U38-I38)/I38),0,(U38-I38)/I38)</f>
        <v>0</v>
      </c>
      <c r="AB38" s="84">
        <f>IF(ISERROR((V38-J38)/J38),0,(V38-J38)/J38)</f>
        <v>0</v>
      </c>
      <c r="AC38" s="84">
        <f>IF(ISERROR((W38-K38)/K38),0,(W38-K38)/K38)</f>
        <v>0</v>
      </c>
      <c r="AD38" s="84">
        <f>IF(ISERROR((X38-L38)/L38),0,(X38-L38)/L38)</f>
        <v>0</v>
      </c>
    </row>
    <row r="39" spans="3:30" x14ac:dyDescent="0.25">
      <c r="D39" s="1" t="s">
        <v>593</v>
      </c>
      <c r="E39" s="39">
        <f>Other_NN!I14</f>
        <v>0</v>
      </c>
      <c r="F39" s="242"/>
      <c r="G39" s="242"/>
      <c r="H39" s="544"/>
      <c r="I39" s="242"/>
      <c r="J39" s="242"/>
      <c r="K39" s="242"/>
      <c r="L39" s="242"/>
      <c r="P39" s="1" t="str">
        <f>D39</f>
        <v>Capitalised Leases</v>
      </c>
      <c r="Q39" s="50">
        <f>Other_NN!BB14</f>
        <v>0</v>
      </c>
      <c r="R39" s="242"/>
      <c r="S39" s="242"/>
      <c r="T39" s="544"/>
      <c r="U39" s="242"/>
      <c r="V39" s="242"/>
      <c r="W39" s="242"/>
      <c r="X39" s="242"/>
      <c r="Y39" s="52"/>
      <c r="Z39" s="84"/>
      <c r="AA39" s="84"/>
      <c r="AB39" s="84"/>
      <c r="AC39" s="84"/>
      <c r="AD39" s="84"/>
    </row>
    <row r="40" spans="3:30" x14ac:dyDescent="0.25">
      <c r="D40" s="1" t="s">
        <v>457</v>
      </c>
      <c r="E40" s="1">
        <f>Other_NN!I12</f>
        <v>0</v>
      </c>
      <c r="F40" s="242"/>
      <c r="G40" s="242"/>
      <c r="H40" s="544"/>
      <c r="I40" s="242"/>
      <c r="J40" s="242"/>
      <c r="K40" s="242"/>
      <c r="L40" s="242"/>
      <c r="P40" s="1" t="str">
        <f>D40</f>
        <v>Innovation</v>
      </c>
      <c r="Q40" s="50">
        <f>Other_NN!BB12</f>
        <v>0</v>
      </c>
      <c r="R40" s="242"/>
      <c r="S40" s="242"/>
      <c r="T40" s="544"/>
      <c r="U40" s="242"/>
      <c r="V40" s="242"/>
      <c r="W40" s="242"/>
      <c r="X40" s="242"/>
      <c r="Y40" s="52"/>
      <c r="Z40" s="84">
        <f t="shared" ref="Z40" si="27">IF(ISERROR((T40-H40)/H40),0,(T40-H40)/H40)</f>
        <v>0</v>
      </c>
      <c r="AA40" s="84">
        <f t="shared" ref="AA40" si="28">IF(ISERROR((U40-I40)/I40),0,(U40-I40)/I40)</f>
        <v>0</v>
      </c>
      <c r="AB40" s="84">
        <f t="shared" ref="AB40" si="29">IF(ISERROR((V40-J40)/J40),0,(V40-J40)/J40)</f>
        <v>0</v>
      </c>
      <c r="AC40" s="84">
        <f t="shared" ref="AC40" si="30">IF(ISERROR((W40-K40)/K40),0,(W40-K40)/K40)</f>
        <v>0</v>
      </c>
      <c r="AD40" s="84">
        <f t="shared" ref="AD40" si="31">IF(ISERROR((X40-L40)/L40),0,(X40-L40)/L40)</f>
        <v>0</v>
      </c>
    </row>
    <row r="41" spans="3:30" x14ac:dyDescent="0.25">
      <c r="F41" s="515"/>
      <c r="G41" s="515"/>
      <c r="H41" s="544"/>
      <c r="I41" s="515"/>
      <c r="J41" s="515"/>
      <c r="K41" s="515"/>
      <c r="L41" s="515"/>
      <c r="R41" s="515"/>
      <c r="S41" s="515"/>
      <c r="T41" s="544"/>
      <c r="U41" s="515"/>
      <c r="V41" s="515"/>
      <c r="W41" s="515"/>
      <c r="X41" s="515"/>
    </row>
    <row r="42" spans="3:30" x14ac:dyDescent="0.25">
      <c r="C42" s="2" t="s">
        <v>406</v>
      </c>
      <c r="D42" s="2"/>
      <c r="E42" s="51">
        <f t="shared" ref="E42" si="32">E32+E35</f>
        <v>0</v>
      </c>
      <c r="F42" s="545"/>
      <c r="G42" s="545"/>
      <c r="H42" s="546"/>
      <c r="I42" s="545"/>
      <c r="J42" s="545"/>
      <c r="K42" s="545"/>
      <c r="L42" s="545"/>
      <c r="O42" s="2" t="s">
        <v>406</v>
      </c>
      <c r="P42" s="2"/>
      <c r="Q42" s="51">
        <f t="shared" ref="Q42" si="33">Q32+Q35</f>
        <v>0</v>
      </c>
      <c r="R42" s="545"/>
      <c r="S42" s="545"/>
      <c r="T42" s="546"/>
      <c r="U42" s="545"/>
      <c r="V42" s="545"/>
      <c r="W42" s="545"/>
      <c r="X42" s="545"/>
    </row>
    <row r="43" spans="3:30" x14ac:dyDescent="0.25">
      <c r="C43" s="2" t="s">
        <v>111</v>
      </c>
      <c r="D43" s="2"/>
      <c r="E43" s="51">
        <f t="shared" ref="E43" si="34">E33+E35</f>
        <v>0</v>
      </c>
      <c r="F43" s="545"/>
      <c r="G43" s="545"/>
      <c r="H43" s="546"/>
      <c r="I43" s="545"/>
      <c r="J43" s="545"/>
      <c r="K43" s="545"/>
      <c r="L43" s="545"/>
      <c r="O43" s="2" t="s">
        <v>111</v>
      </c>
      <c r="P43" s="2"/>
      <c r="Q43" s="51">
        <f t="shared" ref="Q43" si="35">Q33+Q35</f>
        <v>0</v>
      </c>
      <c r="R43" s="545"/>
      <c r="S43" s="545"/>
      <c r="T43" s="546"/>
      <c r="U43" s="545"/>
      <c r="V43" s="545"/>
      <c r="W43" s="545"/>
      <c r="X43" s="545"/>
    </row>
    <row r="45" spans="3:30" x14ac:dyDescent="0.25">
      <c r="D45" s="597"/>
      <c r="G45" s="39"/>
      <c r="H45" s="39"/>
      <c r="I45" s="39"/>
      <c r="J45" s="39"/>
      <c r="K45" s="39"/>
      <c r="L45" s="39"/>
      <c r="U45" s="598"/>
    </row>
    <row r="46" spans="3:30" x14ac:dyDescent="0.25">
      <c r="D46" s="597"/>
      <c r="E46" s="39"/>
      <c r="F46" s="39"/>
      <c r="G46" s="39"/>
      <c r="H46" s="39"/>
      <c r="I46" s="39"/>
      <c r="J46" s="39"/>
      <c r="K46" s="39"/>
      <c r="L46" s="39"/>
    </row>
    <row r="47" spans="3:30" x14ac:dyDescent="0.25">
      <c r="D47" s="597"/>
      <c r="E47" s="39"/>
      <c r="F47" s="39"/>
      <c r="G47" s="39"/>
      <c r="H47" s="612"/>
      <c r="I47" s="612"/>
      <c r="J47" s="612"/>
      <c r="K47" s="612"/>
      <c r="L47" s="612"/>
    </row>
    <row r="48" spans="3:30" x14ac:dyDescent="0.25">
      <c r="H48" s="612"/>
      <c r="I48" s="612"/>
      <c r="J48" s="612"/>
      <c r="K48" s="612"/>
      <c r="L48" s="612"/>
    </row>
    <row r="49" spans="8:12" x14ac:dyDescent="0.25">
      <c r="H49" s="39"/>
      <c r="I49" s="39"/>
      <c r="J49" s="39"/>
      <c r="K49" s="39"/>
      <c r="L49" s="39"/>
    </row>
    <row r="50" spans="8:12" ht="6.75" customHeight="1" x14ac:dyDescent="0.25">
      <c r="H50" s="39"/>
      <c r="I50" s="39"/>
      <c r="J50" s="39"/>
      <c r="K50" s="39"/>
      <c r="L50" s="39"/>
    </row>
    <row r="51" spans="8:12" x14ac:dyDescent="0.25">
      <c r="H51" s="39"/>
      <c r="I51" s="39"/>
      <c r="J51" s="39"/>
      <c r="K51" s="39"/>
      <c r="L51" s="39"/>
    </row>
    <row r="52" spans="8:12" x14ac:dyDescent="0.25">
      <c r="H52" s="39"/>
      <c r="I52" s="39"/>
      <c r="J52" s="39"/>
      <c r="K52" s="39"/>
      <c r="L52" s="39"/>
    </row>
    <row r="61" spans="8:12" ht="13.9" customHeight="1" x14ac:dyDescent="0.25"/>
  </sheetData>
  <mergeCells count="1">
    <mergeCell ref="I1:J1"/>
  </mergeCells>
  <hyperlinks>
    <hyperlink ref="B2" location="Contents!A1" display="Table of Contents"/>
  </hyperlinks>
  <pageMargins left="0.25" right="0.25" top="0.75" bottom="0.75" header="0.3" footer="0.3"/>
  <pageSetup paperSize="9" orientation="portrait"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T49"/>
  <sheetViews>
    <sheetView topLeftCell="A10" zoomScale="85" zoomScaleNormal="85" workbookViewId="0">
      <pane xSplit="3" topLeftCell="D1" activePane="topRight" state="frozen"/>
      <selection activeCell="V33" sqref="V33"/>
      <selection pane="topRight" activeCell="D35" sqref="D35"/>
    </sheetView>
  </sheetViews>
  <sheetFormatPr defaultColWidth="9.140625" defaultRowHeight="15" outlineLevelCol="1" x14ac:dyDescent="0.25"/>
  <cols>
    <col min="1" max="2" width="3.5703125" style="1" customWidth="1"/>
    <col min="3" max="3" width="40.85546875" style="1" customWidth="1"/>
    <col min="4" max="4" width="10" style="1" customWidth="1"/>
    <col min="5" max="6" width="9.28515625" style="1" customWidth="1" outlineLevel="1"/>
    <col min="7" max="11" width="9.5703125" style="1" customWidth="1"/>
    <col min="12" max="12" width="10.85546875" style="1" customWidth="1"/>
    <col min="13" max="13" width="5" style="1" customWidth="1"/>
    <col min="14" max="14" width="9.7109375" style="1" customWidth="1" outlineLevel="1"/>
    <col min="15" max="16" width="9" style="1" customWidth="1" outlineLevel="1"/>
    <col min="17" max="21" width="9.28515625" style="1" bestFit="1" customWidth="1"/>
    <col min="22" max="22" width="10.85546875" style="1" customWidth="1"/>
    <col min="23" max="23" width="5.28515625" style="1" customWidth="1"/>
    <col min="24" max="26" width="9.7109375" style="1" customWidth="1" outlineLevel="1"/>
    <col min="27" max="27" width="8.85546875" style="1" customWidth="1"/>
    <col min="28" max="28" width="9.28515625" style="1" customWidth="1"/>
    <col min="29" max="29" width="9" style="1" customWidth="1"/>
    <col min="30" max="32" width="9.5703125" style="1" bestFit="1" customWidth="1"/>
    <col min="33" max="33" width="5.140625" style="1" customWidth="1"/>
    <col min="34" max="36" width="8.7109375" style="1" hidden="1" customWidth="1" outlineLevel="1"/>
    <col min="37" max="37" width="8.7109375" style="1" customWidth="1" collapsed="1"/>
    <col min="38" max="41" width="8.7109375" style="1" customWidth="1"/>
    <col min="42" max="42" width="9.7109375" style="1" customWidth="1"/>
    <col min="43" max="43" width="5.140625" style="1" customWidth="1"/>
    <col min="44" max="46" width="9.28515625" style="1" customWidth="1" outlineLevel="1"/>
    <col min="47" max="47" width="10.5703125" style="1" bestFit="1" customWidth="1"/>
    <col min="48" max="51" width="9.5703125" style="1" bestFit="1" customWidth="1"/>
    <col min="52" max="52" width="10.7109375" style="1" customWidth="1"/>
    <col min="53" max="53" width="6.140625" style="1" customWidth="1"/>
    <col min="54" max="54" width="9.7109375" style="1" customWidth="1" outlineLevel="1"/>
    <col min="55" max="56" width="9.5703125" style="1" customWidth="1" outlineLevel="1"/>
    <col min="57" max="59" width="9.5703125" style="1" bestFit="1" customWidth="1"/>
    <col min="60" max="60" width="10.7109375" style="1" customWidth="1"/>
    <col min="61" max="61" width="9.5703125" style="1" bestFit="1" customWidth="1"/>
    <col min="62" max="62" width="9.140625" style="1"/>
    <col min="63" max="63" width="5" style="1" customWidth="1"/>
    <col min="64" max="66" width="9.140625" style="1" customWidth="1" outlineLevel="1"/>
    <col min="67" max="71" width="9.140625" style="1"/>
    <col min="72" max="72" width="11" style="1" customWidth="1"/>
    <col min="73" max="16384" width="9.140625" style="1"/>
  </cols>
  <sheetData>
    <row r="1" spans="2:72" ht="18.75" x14ac:dyDescent="0.3">
      <c r="B1" s="10" t="s">
        <v>514</v>
      </c>
      <c r="T1" s="825" t="s">
        <v>749</v>
      </c>
      <c r="U1" s="825"/>
    </row>
    <row r="2" spans="2:72" x14ac:dyDescent="0.25">
      <c r="B2" s="25" t="s">
        <v>6</v>
      </c>
      <c r="D2" s="1" t="s">
        <v>679</v>
      </c>
      <c r="M2" s="1" t="s">
        <v>679</v>
      </c>
    </row>
    <row r="3" spans="2:72" x14ac:dyDescent="0.25">
      <c r="D3" s="2" t="s">
        <v>506</v>
      </c>
      <c r="L3" s="266" t="s">
        <v>137</v>
      </c>
      <c r="M3" s="2" t="s">
        <v>505</v>
      </c>
      <c r="V3" s="266" t="s">
        <v>137</v>
      </c>
      <c r="W3" s="2" t="s">
        <v>501</v>
      </c>
      <c r="AF3" s="266" t="s">
        <v>137</v>
      </c>
      <c r="AG3" s="2" t="s">
        <v>614</v>
      </c>
      <c r="AP3" s="363" t="s">
        <v>137</v>
      </c>
      <c r="AQ3" s="2" t="s">
        <v>502</v>
      </c>
      <c r="AZ3" s="266" t="s">
        <v>137</v>
      </c>
      <c r="BA3" s="2" t="s">
        <v>491</v>
      </c>
      <c r="BJ3" s="266" t="s">
        <v>137</v>
      </c>
      <c r="BK3" s="2" t="s">
        <v>492</v>
      </c>
      <c r="BT3" s="266" t="s">
        <v>137</v>
      </c>
    </row>
    <row r="4" spans="2:72" x14ac:dyDescent="0.25">
      <c r="D4" s="223">
        <f>CP_Yr_4</f>
        <v>43800</v>
      </c>
      <c r="E4" s="223">
        <f>CP_Yr_5</f>
        <v>44166</v>
      </c>
      <c r="F4" s="223">
        <f>Stub</f>
        <v>44377</v>
      </c>
      <c r="G4" s="339">
        <f>Yr_1</f>
        <v>44742</v>
      </c>
      <c r="H4" s="223">
        <f>Yr_2</f>
        <v>45107</v>
      </c>
      <c r="I4" s="223">
        <f>Yr_3</f>
        <v>45473</v>
      </c>
      <c r="J4" s="223">
        <f>Yr_4</f>
        <v>45838</v>
      </c>
      <c r="K4" s="223">
        <f>Yr_5</f>
        <v>46203</v>
      </c>
      <c r="L4" s="266" t="str">
        <f>NReg_Period</f>
        <v>2022-26</v>
      </c>
      <c r="N4" s="223">
        <f>CP_Yr_4</f>
        <v>43800</v>
      </c>
      <c r="O4" s="223">
        <f>CP_Yr_5</f>
        <v>44166</v>
      </c>
      <c r="P4" s="223">
        <f>Stub</f>
        <v>44377</v>
      </c>
      <c r="Q4" s="339">
        <f>Yr_1</f>
        <v>44742</v>
      </c>
      <c r="R4" s="223">
        <f>Yr_2</f>
        <v>45107</v>
      </c>
      <c r="S4" s="223">
        <f>Yr_3</f>
        <v>45473</v>
      </c>
      <c r="T4" s="223">
        <f>Yr_4</f>
        <v>45838</v>
      </c>
      <c r="U4" s="223">
        <f>Yr_5</f>
        <v>46203</v>
      </c>
      <c r="V4" s="266" t="str">
        <f>NReg_Period</f>
        <v>2022-26</v>
      </c>
      <c r="W4" s="266"/>
      <c r="X4" s="223">
        <f>CP_Yr_4</f>
        <v>43800</v>
      </c>
      <c r="Y4" s="223">
        <f>CP_Yr_5</f>
        <v>44166</v>
      </c>
      <c r="Z4" s="223">
        <f>Stub</f>
        <v>44377</v>
      </c>
      <c r="AA4" s="339">
        <f>Yr_1</f>
        <v>44742</v>
      </c>
      <c r="AB4" s="340">
        <f>Yr_2</f>
        <v>45107</v>
      </c>
      <c r="AC4" s="223">
        <f>Yr_3</f>
        <v>45473</v>
      </c>
      <c r="AD4" s="223">
        <f>Yr_4</f>
        <v>45838</v>
      </c>
      <c r="AE4" s="223">
        <f>Yr_5</f>
        <v>46203</v>
      </c>
      <c r="AF4" s="266" t="str">
        <f>NReg_Period</f>
        <v>2022-26</v>
      </c>
      <c r="AH4" s="223">
        <f>CP_Yr_4</f>
        <v>43800</v>
      </c>
      <c r="AI4" s="223">
        <f>CP_Yr_5</f>
        <v>44166</v>
      </c>
      <c r="AJ4" s="223">
        <f>Stub</f>
        <v>44377</v>
      </c>
      <c r="AK4" s="339">
        <f>Yr_1</f>
        <v>44742</v>
      </c>
      <c r="AL4" s="223">
        <f>Yr_2</f>
        <v>45107</v>
      </c>
      <c r="AM4" s="223">
        <f>Yr_3</f>
        <v>45473</v>
      </c>
      <c r="AN4" s="223">
        <f>Yr_4</f>
        <v>45838</v>
      </c>
      <c r="AO4" s="223">
        <f>Yr_5</f>
        <v>46203</v>
      </c>
      <c r="AP4" s="363" t="str">
        <f>NReg_Period</f>
        <v>2022-26</v>
      </c>
      <c r="AR4" s="223">
        <f>CP_Yr_4</f>
        <v>43800</v>
      </c>
      <c r="AS4" s="223">
        <f>CP_Yr_5</f>
        <v>44166</v>
      </c>
      <c r="AT4" s="223">
        <f>Stub</f>
        <v>44377</v>
      </c>
      <c r="AU4" s="339">
        <f>Yr_1</f>
        <v>44742</v>
      </c>
      <c r="AV4" s="223">
        <f>Yr_2</f>
        <v>45107</v>
      </c>
      <c r="AW4" s="223">
        <f>Yr_3</f>
        <v>45473</v>
      </c>
      <c r="AX4" s="223">
        <f>Yr_4</f>
        <v>45838</v>
      </c>
      <c r="AY4" s="223">
        <f>Yr_5</f>
        <v>46203</v>
      </c>
      <c r="AZ4" s="266" t="str">
        <f>NReg_Period</f>
        <v>2022-26</v>
      </c>
      <c r="BB4" s="223">
        <f>CP_Yr_4</f>
        <v>43800</v>
      </c>
      <c r="BC4" s="223">
        <f>CP_Yr_5</f>
        <v>44166</v>
      </c>
      <c r="BD4" s="223">
        <f>Stub</f>
        <v>44377</v>
      </c>
      <c r="BE4" s="339">
        <f>Yr_1</f>
        <v>44742</v>
      </c>
      <c r="BF4" s="223">
        <f>Yr_2</f>
        <v>45107</v>
      </c>
      <c r="BG4" s="223">
        <f>Yr_3</f>
        <v>45473</v>
      </c>
      <c r="BH4" s="223">
        <f>Yr_4</f>
        <v>45838</v>
      </c>
      <c r="BI4" s="223">
        <f>Yr_5</f>
        <v>46203</v>
      </c>
      <c r="BJ4" s="266" t="str">
        <f>NReg_Period</f>
        <v>2022-26</v>
      </c>
      <c r="BL4" s="223">
        <f>CP_Yr_4</f>
        <v>43800</v>
      </c>
      <c r="BM4" s="223">
        <f>CP_Yr_5</f>
        <v>44166</v>
      </c>
      <c r="BN4" s="223">
        <f>Stub</f>
        <v>44377</v>
      </c>
      <c r="BO4" s="339">
        <f>Yr_1</f>
        <v>44742</v>
      </c>
      <c r="BP4" s="223">
        <f>Yr_2</f>
        <v>45107</v>
      </c>
      <c r="BQ4" s="223">
        <f>Yr_3</f>
        <v>45473</v>
      </c>
      <c r="BR4" s="223">
        <f>Yr_4</f>
        <v>45838</v>
      </c>
      <c r="BS4" s="223">
        <f>Yr_5</f>
        <v>46203</v>
      </c>
      <c r="BT4" s="266" t="str">
        <f>NReg_Period</f>
        <v>2022-26</v>
      </c>
    </row>
    <row r="5" spans="2:72" x14ac:dyDescent="0.25">
      <c r="B5" s="1" t="s">
        <v>44</v>
      </c>
      <c r="G5" s="38"/>
      <c r="Q5" s="38"/>
      <c r="AA5" s="38"/>
      <c r="AB5" s="41"/>
      <c r="AK5" s="38"/>
      <c r="AU5" s="38"/>
      <c r="BE5" s="38"/>
      <c r="BO5" s="38"/>
    </row>
    <row r="6" spans="2:72" x14ac:dyDescent="0.25">
      <c r="C6" s="1" t="s">
        <v>10</v>
      </c>
      <c r="D6" s="366">
        <f>SUMIFS(Augmentation!CQ$6:CQ$36,Augmentation!$G$6:$G$36,$C6,Augmentation!$E$6:$E$36,$B$5)+SUMIFS(Major_Rebuilds!CQ$6:CQ$36,Major_Rebuilds!$G$6:$G$36,$C6,Major_Rebuilds!$E$6:$E$36,$B$5)+SUMIFS(Stations!DF$7:DF$38,Stations!$G$7:$G$38,$C6,Stations!$E$7:$E$38,$B$5)+SUMIFS(Lines!DF$7:DF$37,Lines!$G$7:$G$37,$C6,Lines!$E$7:$E$37,$B$5)+SUMIFS('PC&amp;A'!CQ$6:CQ$36,'PC&amp;A'!$G$6:$G$36,$C6,'PC&amp;A'!$E$6:$E$36,$B$5)+SUMIFS('SCADA&amp;Comms'!CQ$6:CQ$36,'SCADA&amp;Comms'!$G$6:$G$36,$C6,'SCADA&amp;Comms'!$E$6:$E$36,$B$5)+SUMIFS(REFCL!CQ$6:CQ$36,REFCL!$G$6:$G$36,$C6,REFCL!$E$6:$E$36,$B$5)+SUMIFS(ESL_1!DF$7:DF$37,ESL_1!$G$7:$G$37,$C6,ESL_1!$E$7:$E$37,$B$5)+SUMIFS(ESL_2!CQ$6:CQ$36,ESL_2!$G$6:$G$36,$C6,ESL_2!$E$6:$E$36,$B$5)+SUMIFS(ESL_2!CQ$42:CQ$44,ESL_2!$G$42:$G$44,$C6,ESL_2!$E$42:$E$44,$B$5)</f>
        <v>0</v>
      </c>
      <c r="E6" s="529"/>
      <c r="F6" s="529"/>
      <c r="G6" s="530"/>
      <c r="H6" s="529"/>
      <c r="I6" s="529"/>
      <c r="J6" s="529"/>
      <c r="K6" s="529"/>
      <c r="L6" s="537"/>
      <c r="N6" s="157"/>
      <c r="O6" s="529"/>
      <c r="P6" s="529"/>
      <c r="Q6" s="530"/>
      <c r="R6" s="529"/>
      <c r="S6" s="529"/>
      <c r="T6" s="529"/>
      <c r="U6" s="529"/>
      <c r="V6" s="537"/>
      <c r="X6" s="158">
        <f>D6-N6</f>
        <v>0</v>
      </c>
      <c r="Y6" s="537"/>
      <c r="Z6" s="537"/>
      <c r="AA6" s="538"/>
      <c r="AB6" s="547"/>
      <c r="AC6" s="537"/>
      <c r="AD6" s="537"/>
      <c r="AE6" s="537"/>
      <c r="AF6" s="537"/>
      <c r="AH6" s="158"/>
      <c r="AI6" s="158"/>
      <c r="AJ6" s="158"/>
      <c r="AK6" s="689"/>
      <c r="AL6" s="676"/>
      <c r="AM6" s="676"/>
      <c r="AN6" s="676"/>
      <c r="AO6" s="676"/>
      <c r="AP6" s="537"/>
      <c r="AR6" s="158">
        <v>0</v>
      </c>
      <c r="AS6" s="158">
        <v>0</v>
      </c>
      <c r="AT6" s="158">
        <v>0</v>
      </c>
      <c r="AU6" s="268">
        <v>15764.64944425887</v>
      </c>
      <c r="AV6" s="158">
        <v>17173.856839239979</v>
      </c>
      <c r="AW6" s="158">
        <v>17921.851993301785</v>
      </c>
      <c r="AX6" s="158">
        <v>22634.44909136702</v>
      </c>
      <c r="AY6" s="158">
        <v>24229.883648975621</v>
      </c>
      <c r="AZ6" s="158">
        <v>97724.691017143268</v>
      </c>
      <c r="BB6" s="158">
        <v>0</v>
      </c>
      <c r="BC6" s="158">
        <v>0</v>
      </c>
      <c r="BD6" s="158">
        <v>0</v>
      </c>
      <c r="BE6" s="268">
        <v>1876.1899835650781</v>
      </c>
      <c r="BF6" s="158">
        <v>1895.9069857387515</v>
      </c>
      <c r="BG6" s="158">
        <v>2044.5435087376165</v>
      </c>
      <c r="BH6" s="158">
        <v>2709.7402886393106</v>
      </c>
      <c r="BI6" s="158">
        <v>2987.0075484124663</v>
      </c>
      <c r="BJ6" s="158">
        <v>11513.388315093223</v>
      </c>
      <c r="BL6" s="158">
        <f>AR6+BB6</f>
        <v>0</v>
      </c>
      <c r="BM6" s="158">
        <f t="shared" ref="BM6:BN8" si="0">AS6+BC6</f>
        <v>0</v>
      </c>
      <c r="BN6" s="158">
        <f t="shared" si="0"/>
        <v>0</v>
      </c>
      <c r="BO6" s="268">
        <f t="shared" ref="BO6:BO8" si="1">AU6+BE6</f>
        <v>17640.839427823947</v>
      </c>
      <c r="BP6" s="158">
        <f t="shared" ref="BP6:BP8" si="2">AV6+BF6</f>
        <v>19069.763824978731</v>
      </c>
      <c r="BQ6" s="158">
        <f t="shared" ref="BQ6:BQ8" si="3">AW6+BG6</f>
        <v>19966.395502039402</v>
      </c>
      <c r="BR6" s="158">
        <f t="shared" ref="BR6:BR8" si="4">AX6+BH6</f>
        <v>25344.18938000633</v>
      </c>
      <c r="BS6" s="158">
        <f t="shared" ref="BS6:BS8" si="5">AY6+BI6</f>
        <v>27216.891197388089</v>
      </c>
      <c r="BT6" s="158">
        <f>SUM(BO6:BS6)</f>
        <v>109238.07933223649</v>
      </c>
    </row>
    <row r="7" spans="2:72" x14ac:dyDescent="0.25">
      <c r="C7" s="1" t="s">
        <v>150</v>
      </c>
      <c r="D7" s="366">
        <f>SUMIFS(Augmentation!CQ$6:CQ$36,Augmentation!$G$6:$G$36,$C7,Augmentation!$E$6:$E$36,$B$5)+SUMIFS(Major_Rebuilds!CQ$6:CQ$36,Major_Rebuilds!$G$6:$G$36,$C7,Major_Rebuilds!$E$6:$E$36,$B$5)+SUMIFS(Stations!DF$7:DF$38,Stations!$G$7:$G$38,$C7,Stations!$E$7:$E$38,$B$5)+SUMIFS(Lines!DF$7:DF$37,Lines!$G$7:$G$37,$C7,Lines!$E$7:$E$37,$B$5)+SUMIFS('PC&amp;A'!CQ$6:CQ$36,'PC&amp;A'!$G$6:$G$36,$C7,'PC&amp;A'!$E$6:$E$36,$B$5)+SUMIFS('SCADA&amp;Comms'!CQ$6:CQ$36,'SCADA&amp;Comms'!$G$6:$G$36,$C7,'SCADA&amp;Comms'!$E$6:$E$36,$B$5)+SUMIFS(REFCL!CQ$6:CQ$36,REFCL!$G$6:$G$36,$C7,REFCL!$E$6:$E$36,$B$5)+SUMIFS(ESL_1!DF$7:DF$37,ESL_1!$G$7:$G$37,$C7,ESL_1!$E$7:$E$37,$B$5)+SUMIFS(ESL_2!CQ$6:CQ$36,ESL_2!$G$6:$G$36,$C7,ESL_2!$E$6:$E$36,$B$5)+SUMIFS(ESL_2!CQ$42:CQ$44,ESL_2!$G$42:$G$44,$C7,ESL_2!$E$42:$E$44,$B$5)</f>
        <v>0</v>
      </c>
      <c r="E7" s="529"/>
      <c r="F7" s="529"/>
      <c r="G7" s="530"/>
      <c r="H7" s="529"/>
      <c r="I7" s="529"/>
      <c r="J7" s="529"/>
      <c r="K7" s="529"/>
      <c r="L7" s="537"/>
      <c r="N7" s="157"/>
      <c r="O7" s="529"/>
      <c r="P7" s="529"/>
      <c r="Q7" s="530"/>
      <c r="R7" s="529"/>
      <c r="S7" s="529"/>
      <c r="T7" s="529"/>
      <c r="U7" s="529"/>
      <c r="V7" s="537"/>
      <c r="X7" s="158">
        <f t="shared" ref="X7:X8" si="6">D7-N7</f>
        <v>0</v>
      </c>
      <c r="Y7" s="537"/>
      <c r="Z7" s="537"/>
      <c r="AA7" s="538"/>
      <c r="AB7" s="547"/>
      <c r="AC7" s="537"/>
      <c r="AD7" s="537"/>
      <c r="AE7" s="537"/>
      <c r="AF7" s="537"/>
      <c r="AH7" s="158"/>
      <c r="AI7" s="158"/>
      <c r="AJ7" s="158"/>
      <c r="AK7" s="538"/>
      <c r="AL7" s="537"/>
      <c r="AM7" s="537"/>
      <c r="AN7" s="537"/>
      <c r="AO7" s="537"/>
      <c r="AP7" s="537"/>
      <c r="AR7" s="158">
        <v>0</v>
      </c>
      <c r="AS7" s="158">
        <v>1071.917853869244</v>
      </c>
      <c r="AT7" s="158">
        <v>2542.9701905619449</v>
      </c>
      <c r="AU7" s="268">
        <v>22328.303249091157</v>
      </c>
      <c r="AV7" s="158">
        <v>30985.464032513923</v>
      </c>
      <c r="AW7" s="158">
        <v>31145.989346869486</v>
      </c>
      <c r="AX7" s="158">
        <v>16094.214087723227</v>
      </c>
      <c r="AY7" s="158">
        <v>5224.2262106265389</v>
      </c>
      <c r="AZ7" s="158">
        <v>105778.19692682434</v>
      </c>
      <c r="BB7" s="158">
        <v>0</v>
      </c>
      <c r="BC7" s="158">
        <v>88.46651477784819</v>
      </c>
      <c r="BD7" s="158">
        <v>220.6760854610981</v>
      </c>
      <c r="BE7" s="268">
        <v>2657.3466827836501</v>
      </c>
      <c r="BF7" s="158">
        <v>3420.6386058473586</v>
      </c>
      <c r="BG7" s="158">
        <v>3553.1668471624944</v>
      </c>
      <c r="BH7" s="158">
        <v>1926.7595226836634</v>
      </c>
      <c r="BI7" s="158">
        <v>644.03128598661101</v>
      </c>
      <c r="BJ7" s="158">
        <v>12201.942944463779</v>
      </c>
      <c r="BL7" s="158">
        <f t="shared" ref="BL7:BL8" si="7">AR7+BB7</f>
        <v>0</v>
      </c>
      <c r="BM7" s="158">
        <f t="shared" si="0"/>
        <v>1160.3843686470923</v>
      </c>
      <c r="BN7" s="158">
        <f t="shared" si="0"/>
        <v>2763.6462760230429</v>
      </c>
      <c r="BO7" s="268">
        <f t="shared" si="1"/>
        <v>24985.649931874806</v>
      </c>
      <c r="BP7" s="158">
        <f t="shared" si="2"/>
        <v>34406.102638361284</v>
      </c>
      <c r="BQ7" s="158">
        <f t="shared" si="3"/>
        <v>34699.156194031981</v>
      </c>
      <c r="BR7" s="158">
        <f t="shared" si="4"/>
        <v>18020.973610406891</v>
      </c>
      <c r="BS7" s="158">
        <f t="shared" si="5"/>
        <v>5868.2574966131497</v>
      </c>
      <c r="BT7" s="158">
        <f>SUM(BO7:BS7)</f>
        <v>117980.13987128811</v>
      </c>
    </row>
    <row r="8" spans="2:72" x14ac:dyDescent="0.25">
      <c r="C8" s="581" t="s">
        <v>32</v>
      </c>
      <c r="D8" s="220"/>
      <c r="E8" s="535"/>
      <c r="F8" s="535"/>
      <c r="G8" s="636"/>
      <c r="H8" s="637"/>
      <c r="I8" s="637"/>
      <c r="J8" s="637"/>
      <c r="K8" s="637"/>
      <c r="L8" s="583"/>
      <c r="N8" s="220"/>
      <c r="O8" s="535"/>
      <c r="P8" s="535"/>
      <c r="Q8" s="636"/>
      <c r="R8" s="637"/>
      <c r="S8" s="637"/>
      <c r="T8" s="637"/>
      <c r="U8" s="637"/>
      <c r="V8" s="583"/>
      <c r="X8" s="271">
        <f t="shared" si="6"/>
        <v>0</v>
      </c>
      <c r="Y8" s="548"/>
      <c r="Z8" s="548"/>
      <c r="AA8" s="549"/>
      <c r="AB8" s="548"/>
      <c r="AC8" s="548"/>
      <c r="AD8" s="548"/>
      <c r="AE8" s="548"/>
      <c r="AF8" s="548"/>
      <c r="AH8" s="271"/>
      <c r="AI8" s="271"/>
      <c r="AJ8" s="271"/>
      <c r="AK8" s="549"/>
      <c r="AL8" s="548"/>
      <c r="AM8" s="548"/>
      <c r="AN8" s="548"/>
      <c r="AO8" s="548"/>
      <c r="AP8" s="548"/>
      <c r="AR8" s="271">
        <v>0</v>
      </c>
      <c r="AS8" s="271">
        <v>0</v>
      </c>
      <c r="AT8" s="271">
        <v>0</v>
      </c>
      <c r="AU8" s="272">
        <v>8447.5334896133809</v>
      </c>
      <c r="AV8" s="271">
        <v>12508.672511500261</v>
      </c>
      <c r="AW8" s="271">
        <v>10437.965749121195</v>
      </c>
      <c r="AX8" s="271">
        <v>10446.522122412818</v>
      </c>
      <c r="AY8" s="271">
        <v>10468.945615195204</v>
      </c>
      <c r="AZ8" s="271">
        <v>52309.639487842855</v>
      </c>
      <c r="BB8" s="291"/>
      <c r="BC8" s="291"/>
      <c r="BD8" s="291"/>
      <c r="BE8" s="292">
        <v>909.98201631455572</v>
      </c>
      <c r="BF8" s="291">
        <v>1167.6170828811646</v>
      </c>
      <c r="BG8" s="291">
        <v>1000.863513987367</v>
      </c>
      <c r="BH8" s="291">
        <v>1038.3899270191728</v>
      </c>
      <c r="BI8" s="291">
        <v>1062.656295615765</v>
      </c>
      <c r="BJ8" s="271">
        <v>5179.5088358180255</v>
      </c>
      <c r="BL8" s="271">
        <f t="shared" si="7"/>
        <v>0</v>
      </c>
      <c r="BM8" s="271">
        <f t="shared" si="0"/>
        <v>0</v>
      </c>
      <c r="BN8" s="271">
        <f t="shared" si="0"/>
        <v>0</v>
      </c>
      <c r="BO8" s="272">
        <f t="shared" si="1"/>
        <v>9357.5155059279368</v>
      </c>
      <c r="BP8" s="271">
        <f t="shared" si="2"/>
        <v>13676.289594381426</v>
      </c>
      <c r="BQ8" s="271">
        <f t="shared" si="3"/>
        <v>11438.829263108562</v>
      </c>
      <c r="BR8" s="271">
        <f t="shared" si="4"/>
        <v>11484.91204943199</v>
      </c>
      <c r="BS8" s="271">
        <f t="shared" si="5"/>
        <v>11531.601910810969</v>
      </c>
      <c r="BT8" s="271">
        <f>SUM(BO8:BS8)</f>
        <v>57489.148323660884</v>
      </c>
    </row>
    <row r="9" spans="2:72" x14ac:dyDescent="0.25">
      <c r="C9" s="1" t="s">
        <v>483</v>
      </c>
      <c r="D9" s="158">
        <f t="shared" ref="D9" si="8">SUM(D6:D8)</f>
        <v>0</v>
      </c>
      <c r="E9" s="537"/>
      <c r="F9" s="537"/>
      <c r="G9" s="538"/>
      <c r="H9" s="537"/>
      <c r="I9" s="537"/>
      <c r="J9" s="537"/>
      <c r="K9" s="537"/>
      <c r="L9" s="537"/>
      <c r="N9" s="158"/>
      <c r="O9" s="537"/>
      <c r="P9" s="537"/>
      <c r="Q9" s="538"/>
      <c r="R9" s="537"/>
      <c r="S9" s="537"/>
      <c r="T9" s="537"/>
      <c r="U9" s="537"/>
      <c r="V9" s="537"/>
      <c r="X9" s="158">
        <f t="shared" ref="X9" si="9">SUM(X6:X8)</f>
        <v>0</v>
      </c>
      <c r="Y9" s="537"/>
      <c r="Z9" s="537"/>
      <c r="AA9" s="538"/>
      <c r="AB9" s="547"/>
      <c r="AC9" s="537"/>
      <c r="AD9" s="537"/>
      <c r="AE9" s="537"/>
      <c r="AF9" s="537"/>
      <c r="AH9" s="158"/>
      <c r="AI9" s="158"/>
      <c r="AJ9" s="158"/>
      <c r="AK9" s="538"/>
      <c r="AL9" s="537"/>
      <c r="AM9" s="537"/>
      <c r="AN9" s="537"/>
      <c r="AO9" s="537"/>
      <c r="AP9" s="537"/>
      <c r="AR9" s="158">
        <v>0</v>
      </c>
      <c r="AS9" s="158">
        <v>1071.917853869244</v>
      </c>
      <c r="AT9" s="158">
        <v>2542.9701905619449</v>
      </c>
      <c r="AU9" s="268">
        <v>46540.48618296341</v>
      </c>
      <c r="AV9" s="269">
        <v>60667.993383254165</v>
      </c>
      <c r="AW9" s="158">
        <v>59505.807089292473</v>
      </c>
      <c r="AX9" s="158">
        <v>49175.185301503065</v>
      </c>
      <c r="AY9" s="158">
        <v>39923.055474797366</v>
      </c>
      <c r="AZ9" s="158">
        <v>255812.52743181045</v>
      </c>
      <c r="BB9" s="158">
        <v>0</v>
      </c>
      <c r="BC9" s="158">
        <v>88.46651477784819</v>
      </c>
      <c r="BD9" s="158">
        <v>220.6760854610981</v>
      </c>
      <c r="BE9" s="268">
        <v>5443.5186826632844</v>
      </c>
      <c r="BF9" s="158">
        <v>6484.1626744672749</v>
      </c>
      <c r="BG9" s="158">
        <v>6598.5738698874775</v>
      </c>
      <c r="BH9" s="158">
        <v>5674.8897383421463</v>
      </c>
      <c r="BI9" s="158">
        <v>4693.6951300148421</v>
      </c>
      <c r="BJ9" s="158">
        <v>28894.840095375028</v>
      </c>
      <c r="BL9" s="158">
        <f t="shared" ref="BL9:BT9" si="10">SUM(BL6:BL8)</f>
        <v>0</v>
      </c>
      <c r="BM9" s="158">
        <f t="shared" si="10"/>
        <v>1160.3843686470923</v>
      </c>
      <c r="BN9" s="158">
        <f t="shared" ref="BN9" si="11">SUM(BN6:BN8)</f>
        <v>2763.6462760230429</v>
      </c>
      <c r="BO9" s="268">
        <f t="shared" si="10"/>
        <v>51984.004865626688</v>
      </c>
      <c r="BP9" s="158">
        <f t="shared" si="10"/>
        <v>67152.15605772144</v>
      </c>
      <c r="BQ9" s="158">
        <f t="shared" si="10"/>
        <v>66104.380959179951</v>
      </c>
      <c r="BR9" s="158">
        <f t="shared" si="10"/>
        <v>54850.075039845207</v>
      </c>
      <c r="BS9" s="158">
        <f t="shared" si="10"/>
        <v>44616.750604812209</v>
      </c>
      <c r="BT9" s="158">
        <f t="shared" si="10"/>
        <v>284707.36752718547</v>
      </c>
    </row>
    <row r="10" spans="2:72" x14ac:dyDescent="0.25">
      <c r="B10" s="1" t="s">
        <v>45</v>
      </c>
      <c r="E10" s="241"/>
      <c r="F10" s="241"/>
      <c r="G10" s="550"/>
      <c r="H10" s="241"/>
      <c r="I10" s="241"/>
      <c r="J10" s="241"/>
      <c r="K10" s="241"/>
      <c r="L10" s="241"/>
      <c r="O10" s="241"/>
      <c r="P10" s="241"/>
      <c r="Q10" s="550"/>
      <c r="R10" s="241"/>
      <c r="S10" s="241"/>
      <c r="T10" s="241"/>
      <c r="U10" s="241"/>
      <c r="V10" s="241"/>
      <c r="Y10" s="241"/>
      <c r="Z10" s="241"/>
      <c r="AA10" s="550"/>
      <c r="AB10" s="518"/>
      <c r="AC10" s="241"/>
      <c r="AD10" s="241"/>
      <c r="AE10" s="241"/>
      <c r="AF10" s="241"/>
      <c r="AK10" s="550"/>
      <c r="AL10" s="241"/>
      <c r="AM10" s="241"/>
      <c r="AN10" s="241"/>
      <c r="AO10" s="241"/>
      <c r="AP10" s="241"/>
      <c r="AU10" s="38"/>
      <c r="BB10" s="158"/>
      <c r="BC10" s="158"/>
      <c r="BD10" s="158"/>
      <c r="BE10" s="268"/>
      <c r="BF10" s="158"/>
      <c r="BG10" s="158"/>
      <c r="BH10" s="158"/>
      <c r="BI10" s="158"/>
      <c r="BO10" s="38"/>
    </row>
    <row r="11" spans="2:72" x14ac:dyDescent="0.25">
      <c r="C11" s="1" t="s">
        <v>10</v>
      </c>
      <c r="D11" s="157">
        <f>SUMIFS(Augmentation!CQ$6:CQ$36,Augmentation!$G$6:$G$36,$C11,Augmentation!$E$6:$E$36,$B$10)+SUMIFS(Major_Rebuilds!CQ$6:CQ$36,Major_Rebuilds!$G$6:$G$36,$C11,Major_Rebuilds!$E$6:$E$36,$B$10)+SUMIFS(Stations!DF$7:DF$38,Stations!$G$7:$G$38,$C11,Stations!$E$7:$E$38,$B$10)+SUMIFS(Lines!DF$7:DF$37,Lines!$G$7:$G$37,$C11,Lines!$E$7:$E$37,$B$10)+SUMIFS('PC&amp;A'!CQ$6:CQ$36,'PC&amp;A'!$G$6:$G$36,$C11,'PC&amp;A'!$E$6:$E$36,$B$10)+SUMIFS('SCADA&amp;Comms'!CQ$6:CQ$36,'SCADA&amp;Comms'!$G$6:$G$36,$C11,'SCADA&amp;Comms'!$E$6:$E$36,$B$10)+SUMIFS(REFCL!CQ$6:CQ$36,REFCL!$G$6:$G$36,$C11,REFCL!$E$6:$E$36,$B$10)+SUMIFS(ESL_1!DF$7:DF$37,ESL_1!$G$7:$G$37,$C11,ESL_1!$E$7:$E$37,$B$10)+SUMIFS(ESL_2!CQ$6:CQ$36,ESL_2!$G$6:$G$36,$C11,ESL_2!$E$6:$E$36,$B$10)+SUMIFS(ESL_2!CQ$42:CQ$44,ESL_2!$G$42:$G$44,$C11,ESL_2!$E$42:$E$44,$B$10)</f>
        <v>0</v>
      </c>
      <c r="E11" s="529"/>
      <c r="F11" s="529"/>
      <c r="G11" s="530"/>
      <c r="H11" s="529"/>
      <c r="I11" s="529"/>
      <c r="J11" s="529"/>
      <c r="K11" s="529"/>
      <c r="L11" s="537"/>
      <c r="N11" s="157"/>
      <c r="O11" s="529"/>
      <c r="P11" s="529"/>
      <c r="Q11" s="530"/>
      <c r="R11" s="529"/>
      <c r="S11" s="529"/>
      <c r="T11" s="529"/>
      <c r="U11" s="529"/>
      <c r="V11" s="537"/>
      <c r="X11" s="158">
        <f t="shared" ref="X11:X13" si="12">D11-N11</f>
        <v>0</v>
      </c>
      <c r="Y11" s="537"/>
      <c r="Z11" s="537"/>
      <c r="AA11" s="538"/>
      <c r="AB11" s="547"/>
      <c r="AC11" s="537"/>
      <c r="AD11" s="537"/>
      <c r="AE11" s="537"/>
      <c r="AF11" s="537"/>
      <c r="AH11" s="158"/>
      <c r="AI11" s="158"/>
      <c r="AJ11" s="158"/>
      <c r="AK11" s="689"/>
      <c r="AL11" s="676"/>
      <c r="AM11" s="676"/>
      <c r="AN11" s="676"/>
      <c r="AO11" s="676"/>
      <c r="AP11" s="537"/>
      <c r="AR11" s="158">
        <v>0</v>
      </c>
      <c r="AS11" s="158">
        <v>0</v>
      </c>
      <c r="AT11" s="158">
        <v>0</v>
      </c>
      <c r="AU11" s="268">
        <v>19420.998565049624</v>
      </c>
      <c r="AV11" s="158">
        <v>17246.327646840913</v>
      </c>
      <c r="AW11" s="158">
        <v>13799.173559159843</v>
      </c>
      <c r="AX11" s="158">
        <v>12344.096628746371</v>
      </c>
      <c r="AY11" s="158">
        <v>12318.053685852752</v>
      </c>
      <c r="AZ11" s="158">
        <v>75128.650085649497</v>
      </c>
      <c r="BB11" s="158">
        <v>0</v>
      </c>
      <c r="BC11" s="158">
        <v>0</v>
      </c>
      <c r="BD11" s="158">
        <v>0</v>
      </c>
      <c r="BE11" s="268">
        <v>2311.3411501736609</v>
      </c>
      <c r="BF11" s="158">
        <v>1903.9073965770906</v>
      </c>
      <c r="BG11" s="158">
        <v>1574.2240666237228</v>
      </c>
      <c r="BH11" s="158">
        <v>1477.8047314846551</v>
      </c>
      <c r="BI11" s="158">
        <v>1518.5429643178554</v>
      </c>
      <c r="BJ11" s="158">
        <v>8785.8203091769847</v>
      </c>
      <c r="BL11" s="158">
        <f>AR11+BB11</f>
        <v>0</v>
      </c>
      <c r="BM11" s="158">
        <f t="shared" ref="BM11:BN13" si="13">AS11+BC11</f>
        <v>0</v>
      </c>
      <c r="BN11" s="158">
        <f t="shared" si="13"/>
        <v>0</v>
      </c>
      <c r="BO11" s="268">
        <f t="shared" ref="BO11:BO13" si="14">AU11+BE11</f>
        <v>21732.339715223286</v>
      </c>
      <c r="BP11" s="158">
        <f t="shared" ref="BP11:BP13" si="15">AV11+BF11</f>
        <v>19150.235043418004</v>
      </c>
      <c r="BQ11" s="158">
        <f t="shared" ref="BQ11:BQ13" si="16">AW11+BG11</f>
        <v>15373.397625783566</v>
      </c>
      <c r="BR11" s="158">
        <f t="shared" ref="BR11:BR13" si="17">AX11+BH11</f>
        <v>13821.901360231026</v>
      </c>
      <c r="BS11" s="158">
        <f t="shared" ref="BS11:BS13" si="18">AY11+BI11</f>
        <v>13836.596650170608</v>
      </c>
      <c r="BT11" s="158">
        <f>SUM(BO11:BS11)</f>
        <v>83914.470394826494</v>
      </c>
    </row>
    <row r="12" spans="2:72" x14ac:dyDescent="0.25">
      <c r="C12" s="1" t="s">
        <v>150</v>
      </c>
      <c r="D12" s="157">
        <f>SUMIFS(Augmentation!CQ$6:CQ$36,Augmentation!$G$6:$G$36,$C12,Augmentation!$E$6:$E$36,$B$10)+SUMIFS(Major_Rebuilds!CQ$6:CQ$36,Major_Rebuilds!$G$6:$G$36,$C12,Major_Rebuilds!$E$6:$E$36,$B$10)+SUMIFS(Stations!DF$7:DF$38,Stations!$G$7:$G$38,$C12,Stations!$E$7:$E$38,$B$10)+SUMIFS(Lines!DF$7:DF$37,Lines!$G$7:$G$37,$C12,Lines!$E$7:$E$37,$B$10)+SUMIFS('PC&amp;A'!CQ$6:CQ$36,'PC&amp;A'!$G$6:$G$36,$C12,'PC&amp;A'!$E$6:$E$36,$B$10)+SUMIFS('SCADA&amp;Comms'!CQ$6:CQ$36,'SCADA&amp;Comms'!$G$6:$G$36,$C12,'SCADA&amp;Comms'!$E$6:$E$36,$B$10)+SUMIFS(REFCL!CQ$6:CQ$36,REFCL!$G$6:$G$36,$C12,REFCL!$E$6:$E$36,$B$10)+SUMIFS(ESL_1!DF$7:DF$37,ESL_1!$G$7:$G$37,$C12,ESL_1!$E$7:$E$37,$B$10)+SUMIFS(ESL_2!CQ$6:CQ$36,ESL_2!$G$6:$G$36,$C12,ESL_2!$E$6:$E$36,$B$10)+SUMIFS(ESL_2!CQ$42:CQ$44,ESL_2!$G$42:$G$44,$C12,ESL_2!$E$42:$E$44,$B$10)</f>
        <v>0</v>
      </c>
      <c r="E12" s="529"/>
      <c r="F12" s="529"/>
      <c r="G12" s="530"/>
      <c r="H12" s="529"/>
      <c r="I12" s="529"/>
      <c r="J12" s="529"/>
      <c r="K12" s="529"/>
      <c r="L12" s="537"/>
      <c r="N12" s="157"/>
      <c r="O12" s="529"/>
      <c r="P12" s="529"/>
      <c r="Q12" s="530"/>
      <c r="R12" s="529"/>
      <c r="S12" s="529"/>
      <c r="T12" s="529"/>
      <c r="U12" s="529"/>
      <c r="V12" s="537"/>
      <c r="X12" s="158">
        <f t="shared" si="12"/>
        <v>0</v>
      </c>
      <c r="Y12" s="537"/>
      <c r="Z12" s="537"/>
      <c r="AA12" s="538"/>
      <c r="AB12" s="547"/>
      <c r="AC12" s="537"/>
      <c r="AD12" s="537"/>
      <c r="AE12" s="537"/>
      <c r="AF12" s="537"/>
      <c r="AH12" s="158"/>
      <c r="AI12" s="158"/>
      <c r="AJ12" s="158"/>
      <c r="AK12" s="538"/>
      <c r="AL12" s="537"/>
      <c r="AM12" s="537"/>
      <c r="AN12" s="537"/>
      <c r="AO12" s="537"/>
      <c r="AP12" s="537"/>
      <c r="AR12" s="158">
        <v>0</v>
      </c>
      <c r="AS12" s="158">
        <v>0</v>
      </c>
      <c r="AT12" s="158">
        <v>0</v>
      </c>
      <c r="AU12" s="268">
        <v>91687.199022498709</v>
      </c>
      <c r="AV12" s="158">
        <v>89005.988071772415</v>
      </c>
      <c r="AW12" s="158">
        <v>86366.765775583568</v>
      </c>
      <c r="AX12" s="158">
        <v>86827.557310013086</v>
      </c>
      <c r="AY12" s="158">
        <v>93187.313841843817</v>
      </c>
      <c r="AZ12" s="158">
        <v>447074.8240217116</v>
      </c>
      <c r="BB12" s="158">
        <v>0</v>
      </c>
      <c r="BC12" s="158">
        <v>0</v>
      </c>
      <c r="BD12" s="158">
        <v>0</v>
      </c>
      <c r="BE12" s="268">
        <v>10911.920689095732</v>
      </c>
      <c r="BF12" s="158">
        <v>9825.8111813467949</v>
      </c>
      <c r="BG12" s="158">
        <v>9852.8104351675138</v>
      </c>
      <c r="BH12" s="158">
        <v>10394.780507241021</v>
      </c>
      <c r="BI12" s="158">
        <v>11487.930107069953</v>
      </c>
      <c r="BJ12" s="158">
        <v>52473.252919921011</v>
      </c>
      <c r="BL12" s="158">
        <f t="shared" ref="BL12:BL13" si="19">AR12+BB12</f>
        <v>0</v>
      </c>
      <c r="BM12" s="158">
        <f t="shared" si="13"/>
        <v>0</v>
      </c>
      <c r="BN12" s="158">
        <f t="shared" si="13"/>
        <v>0</v>
      </c>
      <c r="BO12" s="268">
        <f t="shared" si="14"/>
        <v>102599.11971159444</v>
      </c>
      <c r="BP12" s="158">
        <f t="shared" si="15"/>
        <v>98831.799253119214</v>
      </c>
      <c r="BQ12" s="158">
        <f t="shared" si="16"/>
        <v>96219.576210751082</v>
      </c>
      <c r="BR12" s="158">
        <f t="shared" si="17"/>
        <v>97222.337817254112</v>
      </c>
      <c r="BS12" s="158">
        <f t="shared" si="18"/>
        <v>104675.24394891378</v>
      </c>
      <c r="BT12" s="158">
        <f>SUM(BO12:BS12)</f>
        <v>499548.07694163261</v>
      </c>
    </row>
    <row r="13" spans="2:72" x14ac:dyDescent="0.25">
      <c r="C13" s="581" t="s">
        <v>32</v>
      </c>
      <c r="D13" s="220"/>
      <c r="E13" s="535"/>
      <c r="F13" s="535"/>
      <c r="G13" s="636"/>
      <c r="H13" s="637"/>
      <c r="I13" s="637"/>
      <c r="J13" s="637"/>
      <c r="K13" s="637"/>
      <c r="L13" s="583"/>
      <c r="N13" s="220"/>
      <c r="O13" s="535"/>
      <c r="P13" s="535"/>
      <c r="Q13" s="636"/>
      <c r="R13" s="637"/>
      <c r="S13" s="637"/>
      <c r="T13" s="637"/>
      <c r="U13" s="637"/>
      <c r="V13" s="583"/>
      <c r="X13" s="271">
        <f t="shared" si="12"/>
        <v>0</v>
      </c>
      <c r="Y13" s="548"/>
      <c r="Z13" s="548"/>
      <c r="AA13" s="549"/>
      <c r="AB13" s="548"/>
      <c r="AC13" s="548"/>
      <c r="AD13" s="548"/>
      <c r="AE13" s="548"/>
      <c r="AF13" s="548"/>
      <c r="AH13" s="271"/>
      <c r="AI13" s="271"/>
      <c r="AJ13" s="271"/>
      <c r="AK13" s="549"/>
      <c r="AL13" s="548"/>
      <c r="AM13" s="548"/>
      <c r="AN13" s="548"/>
      <c r="AO13" s="548"/>
      <c r="AP13" s="548"/>
      <c r="AR13" s="271">
        <v>0</v>
      </c>
      <c r="AS13" s="271">
        <v>0</v>
      </c>
      <c r="AT13" s="271">
        <v>0</v>
      </c>
      <c r="AU13" s="272">
        <v>48728.60619928957</v>
      </c>
      <c r="AV13" s="271">
        <v>84064.252204678036</v>
      </c>
      <c r="AW13" s="271">
        <v>84106.277114172553</v>
      </c>
      <c r="AX13" s="271">
        <v>84630.675730978764</v>
      </c>
      <c r="AY13" s="271">
        <v>85177.939611886643</v>
      </c>
      <c r="AZ13" s="271">
        <v>386707.75086100557</v>
      </c>
      <c r="BB13" s="291"/>
      <c r="BC13" s="291"/>
      <c r="BD13" s="291"/>
      <c r="BE13" s="292">
        <v>3313.0447009449449</v>
      </c>
      <c r="BF13" s="291">
        <v>4949.9540635915782</v>
      </c>
      <c r="BG13" s="291">
        <v>5073.3002959905389</v>
      </c>
      <c r="BH13" s="291">
        <v>5276.2713223837309</v>
      </c>
      <c r="BI13" s="291">
        <v>5417.3683331652082</v>
      </c>
      <c r="BJ13" s="271">
        <v>24029.938716076002</v>
      </c>
      <c r="BL13" s="271">
        <f t="shared" si="19"/>
        <v>0</v>
      </c>
      <c r="BM13" s="271">
        <f t="shared" si="13"/>
        <v>0</v>
      </c>
      <c r="BN13" s="271">
        <f t="shared" si="13"/>
        <v>0</v>
      </c>
      <c r="BO13" s="272">
        <f t="shared" si="14"/>
        <v>52041.650900234512</v>
      </c>
      <c r="BP13" s="271">
        <f t="shared" si="15"/>
        <v>89014.206268269612</v>
      </c>
      <c r="BQ13" s="271">
        <f t="shared" si="16"/>
        <v>89179.577410163096</v>
      </c>
      <c r="BR13" s="271">
        <f t="shared" si="17"/>
        <v>89906.947053362499</v>
      </c>
      <c r="BS13" s="271">
        <f t="shared" si="18"/>
        <v>90595.307945051856</v>
      </c>
      <c r="BT13" s="271">
        <f>SUM(BO13:BS13)</f>
        <v>410737.68957708159</v>
      </c>
    </row>
    <row r="14" spans="2:72" x14ac:dyDescent="0.25">
      <c r="C14" s="1" t="s">
        <v>483</v>
      </c>
      <c r="D14" s="158">
        <f t="shared" ref="D14" si="20">SUM(D11:D13)</f>
        <v>0</v>
      </c>
      <c r="E14" s="537"/>
      <c r="F14" s="537"/>
      <c r="G14" s="538"/>
      <c r="H14" s="537"/>
      <c r="I14" s="537"/>
      <c r="J14" s="537"/>
      <c r="K14" s="537"/>
      <c r="L14" s="537"/>
      <c r="N14" s="157"/>
      <c r="O14" s="529"/>
      <c r="P14" s="529"/>
      <c r="Q14" s="530"/>
      <c r="R14" s="529"/>
      <c r="S14" s="529"/>
      <c r="T14" s="529"/>
      <c r="U14" s="529"/>
      <c r="V14" s="529"/>
      <c r="X14" s="158">
        <f t="shared" ref="X14" si="21">SUM(X11:X13)</f>
        <v>0</v>
      </c>
      <c r="Y14" s="537"/>
      <c r="Z14" s="537"/>
      <c r="AA14" s="538"/>
      <c r="AB14" s="547"/>
      <c r="AC14" s="537"/>
      <c r="AD14" s="537"/>
      <c r="AE14" s="537"/>
      <c r="AF14" s="537"/>
      <c r="AH14" s="158"/>
      <c r="AI14" s="158"/>
      <c r="AJ14" s="158"/>
      <c r="AK14" s="538"/>
      <c r="AL14" s="537"/>
      <c r="AM14" s="537"/>
      <c r="AN14" s="537"/>
      <c r="AO14" s="537"/>
      <c r="AP14" s="537"/>
      <c r="AR14" s="158">
        <v>0</v>
      </c>
      <c r="AS14" s="158">
        <v>0</v>
      </c>
      <c r="AT14" s="158">
        <v>0</v>
      </c>
      <c r="AU14" s="268">
        <v>159836.8037868379</v>
      </c>
      <c r="AV14" s="269">
        <v>190316.56792329135</v>
      </c>
      <c r="AW14" s="158">
        <v>184272.21644891595</v>
      </c>
      <c r="AX14" s="158">
        <v>183802.32966973822</v>
      </c>
      <c r="AY14" s="158">
        <v>190683.30713958322</v>
      </c>
      <c r="AZ14" s="158">
        <v>908911.22496836667</v>
      </c>
      <c r="BB14" s="158">
        <v>0</v>
      </c>
      <c r="BC14" s="158">
        <v>0</v>
      </c>
      <c r="BD14" s="158">
        <v>0</v>
      </c>
      <c r="BE14" s="268">
        <v>16536.306540214337</v>
      </c>
      <c r="BF14" s="158">
        <v>16679.672641515463</v>
      </c>
      <c r="BG14" s="158">
        <v>16500.334797781776</v>
      </c>
      <c r="BH14" s="158">
        <v>17148.856561109409</v>
      </c>
      <c r="BI14" s="158">
        <v>18423.841404553015</v>
      </c>
      <c r="BJ14" s="158">
        <v>85289.011945173988</v>
      </c>
      <c r="BL14" s="158">
        <f t="shared" ref="BL14:BS14" si="22">SUM(BL11:BL13)</f>
        <v>0</v>
      </c>
      <c r="BM14" s="158">
        <f t="shared" si="22"/>
        <v>0</v>
      </c>
      <c r="BN14" s="158">
        <f t="shared" ref="BN14" si="23">SUM(BN11:BN13)</f>
        <v>0</v>
      </c>
      <c r="BO14" s="268">
        <f t="shared" si="22"/>
        <v>176373.11032705224</v>
      </c>
      <c r="BP14" s="158">
        <f t="shared" si="22"/>
        <v>206996.24056480685</v>
      </c>
      <c r="BQ14" s="158">
        <f t="shared" si="22"/>
        <v>200772.55124669772</v>
      </c>
      <c r="BR14" s="158">
        <f t="shared" si="22"/>
        <v>200951.18623084764</v>
      </c>
      <c r="BS14" s="158">
        <f t="shared" si="22"/>
        <v>209107.14854413626</v>
      </c>
      <c r="BT14" s="158">
        <f t="shared" ref="BT14" si="24">SUM(BT11:BT13)</f>
        <v>994200.23691354075</v>
      </c>
    </row>
    <row r="15" spans="2:72" x14ac:dyDescent="0.25">
      <c r="B15" s="1" t="s">
        <v>48</v>
      </c>
      <c r="E15" s="241"/>
      <c r="F15" s="241"/>
      <c r="G15" s="550"/>
      <c r="H15" s="241"/>
      <c r="I15" s="241"/>
      <c r="J15" s="241"/>
      <c r="K15" s="241"/>
      <c r="L15" s="241"/>
      <c r="O15" s="241"/>
      <c r="P15" s="241"/>
      <c r="Q15" s="550"/>
      <c r="R15" s="241"/>
      <c r="S15" s="241"/>
      <c r="T15" s="241"/>
      <c r="U15" s="241"/>
      <c r="V15" s="241"/>
      <c r="Y15" s="241"/>
      <c r="Z15" s="241"/>
      <c r="AA15" s="550"/>
      <c r="AB15" s="518"/>
      <c r="AC15" s="241"/>
      <c r="AD15" s="241"/>
      <c r="AE15" s="241"/>
      <c r="AF15" s="241"/>
      <c r="AK15" s="550"/>
      <c r="AL15" s="241"/>
      <c r="AM15" s="241"/>
      <c r="AN15" s="241"/>
      <c r="AO15" s="241"/>
      <c r="AP15" s="241"/>
      <c r="AU15" s="38"/>
      <c r="BB15" s="158"/>
      <c r="BC15" s="158"/>
      <c r="BD15" s="158"/>
      <c r="BE15" s="268"/>
      <c r="BF15" s="158"/>
      <c r="BG15" s="158"/>
      <c r="BH15" s="158"/>
      <c r="BI15" s="158"/>
      <c r="BO15" s="38"/>
    </row>
    <row r="16" spans="2:72" x14ac:dyDescent="0.25">
      <c r="C16" s="1" t="s">
        <v>10</v>
      </c>
      <c r="D16" s="366">
        <f>SUMIFS(Augmentation!CQ$6:CQ$36,Augmentation!$G$6:$G$36,$C16,Augmentation!$E$6:$E$36,$B$15)+SUMIFS(Major_Rebuilds!CQ$6:CQ$36,Major_Rebuilds!$G$6:$G$36,$C16,Major_Rebuilds!$E$6:$E$36,$B$15)+SUMIFS(Stations!DF$7:DF$38,Stations!$G$7:$G$38,$C16,Stations!$E$7:$E$38,$B$15)+SUMIFS(Lines!DF$7:DF$37,Lines!$G$7:$G$37,$C16,Lines!$E$7:$E$37,$B$15)+SUMIFS('PC&amp;A'!CQ$6:CQ$36,'PC&amp;A'!$G$6:$G$36,$C16,'PC&amp;A'!$E$6:$E$36,$B$15)+SUMIFS('SCADA&amp;Comms'!CQ$6:CQ$36,'SCADA&amp;Comms'!$G$6:$G$36,$C16,'SCADA&amp;Comms'!$E$6:$E$36,$B$15)+SUMIFS(REFCL!CQ$6:CQ$36,REFCL!$G$6:$G$36,$C16,REFCL!$E$6:$E$36,$B$15)+SUMIFS(ESL_1!DF$7:DF$37,ESL_1!$G$7:$G$37,$C16,ESL_1!$E$7:$E$37,$B$15)+SUMIFS(ESL_2!CQ$6:CQ$36,ESL_2!$G$6:$G$36,$C16,ESL_2!$E$6:$E$36,$B$15)+SUMIFS(ESL_2!CQ$42:CQ$44,ESL_2!$G$42:$G$44,$C16,ESL_2!$E$42:$E$44,$B$15)+SUMIFS(Metering_SCS!BC$6:BC$36,Metering_SCS!$G$6:$G$36,$C16,Metering_SCS!$E$6:$E$36,$B$15)</f>
        <v>0</v>
      </c>
      <c r="E16" s="529"/>
      <c r="F16" s="529"/>
      <c r="G16" s="530"/>
      <c r="H16" s="529"/>
      <c r="I16" s="529"/>
      <c r="J16" s="529"/>
      <c r="K16" s="529"/>
      <c r="L16" s="537"/>
      <c r="N16" s="157"/>
      <c r="O16" s="529"/>
      <c r="P16" s="529"/>
      <c r="Q16" s="530"/>
      <c r="R16" s="529"/>
      <c r="S16" s="529"/>
      <c r="T16" s="529"/>
      <c r="U16" s="529"/>
      <c r="V16" s="537"/>
      <c r="X16" s="158">
        <f t="shared" ref="X16:X18" si="25">D16-N16</f>
        <v>0</v>
      </c>
      <c r="Y16" s="537"/>
      <c r="Z16" s="537"/>
      <c r="AA16" s="538"/>
      <c r="AB16" s="547"/>
      <c r="AC16" s="537"/>
      <c r="AD16" s="537"/>
      <c r="AE16" s="537"/>
      <c r="AF16" s="537"/>
      <c r="AH16" s="158"/>
      <c r="AI16" s="158"/>
      <c r="AJ16" s="158"/>
      <c r="AK16" s="538"/>
      <c r="AL16" s="537"/>
      <c r="AM16" s="537"/>
      <c r="AN16" s="537"/>
      <c r="AO16" s="537"/>
      <c r="AP16" s="537"/>
      <c r="AR16" s="158">
        <v>0</v>
      </c>
      <c r="AS16" s="158">
        <v>0</v>
      </c>
      <c r="AT16" s="158">
        <v>0</v>
      </c>
      <c r="AU16" s="268">
        <v>5348.9621617400353</v>
      </c>
      <c r="AV16" s="158">
        <v>3782.1108416038496</v>
      </c>
      <c r="AW16" s="158">
        <v>4212.8383195859251</v>
      </c>
      <c r="AX16" s="158">
        <v>6024.121147267595</v>
      </c>
      <c r="AY16" s="158">
        <v>6582.5570411065009</v>
      </c>
      <c r="AZ16" s="158">
        <v>25950.589511303904</v>
      </c>
      <c r="BB16" s="158">
        <v>0</v>
      </c>
      <c r="BC16" s="158">
        <v>0</v>
      </c>
      <c r="BD16" s="158">
        <v>0</v>
      </c>
      <c r="BE16" s="268">
        <v>636.59323766187686</v>
      </c>
      <c r="BF16" s="158">
        <v>417.52591934103577</v>
      </c>
      <c r="BG16" s="158">
        <v>480.6049755845371</v>
      </c>
      <c r="BH16" s="158">
        <v>721.19289099998957</v>
      </c>
      <c r="BI16" s="158">
        <v>811.48336717134896</v>
      </c>
      <c r="BJ16" s="158">
        <v>3067.4003907587885</v>
      </c>
      <c r="BL16" s="158">
        <f>AR16+BB16</f>
        <v>0</v>
      </c>
      <c r="BM16" s="158">
        <f t="shared" ref="BM16:BN18" si="26">AS16+BC16</f>
        <v>0</v>
      </c>
      <c r="BN16" s="158">
        <f t="shared" si="26"/>
        <v>0</v>
      </c>
      <c r="BO16" s="268">
        <f t="shared" ref="BO16:BO18" si="27">AU16+BE16</f>
        <v>5985.5553994019119</v>
      </c>
      <c r="BP16" s="158">
        <f t="shared" ref="BP16:BP18" si="28">AV16+BF16</f>
        <v>4199.6367609448853</v>
      </c>
      <c r="BQ16" s="158">
        <f t="shared" ref="BQ16:BQ18" si="29">AW16+BG16</f>
        <v>4693.4432951704621</v>
      </c>
      <c r="BR16" s="158">
        <f t="shared" ref="BR16:BR18" si="30">AX16+BH16</f>
        <v>6745.3140382675847</v>
      </c>
      <c r="BS16" s="158">
        <f t="shared" ref="BS16:BS18" si="31">AY16+BI16</f>
        <v>7394.0404082778496</v>
      </c>
      <c r="BT16" s="158">
        <f>SUM(BO16:BS16)</f>
        <v>29017.989902062691</v>
      </c>
    </row>
    <row r="17" spans="2:72" x14ac:dyDescent="0.25">
      <c r="C17" s="1" t="s">
        <v>150</v>
      </c>
      <c r="D17" s="366">
        <f>SUMIFS(Augmentation!CQ$6:CQ$36,Augmentation!$G$6:$G$36,$C17,Augmentation!$E$6:$E$36,$B$15)+SUMIFS(Major_Rebuilds!CQ$6:CQ$36,Major_Rebuilds!$G$6:$G$36,$C17,Major_Rebuilds!$E$6:$E$36,$B$15)+SUMIFS(Stations!DF$7:DF$38,Stations!$G$7:$G$38,$C17,Stations!$E$7:$E$38,$B$15)+SUMIFS(Lines!DF$7:DF$37,Lines!$G$7:$G$37,$C17,Lines!$E$7:$E$37,$B$15)+SUMIFS('PC&amp;A'!CQ$6:CQ$36,'PC&amp;A'!$G$6:$G$36,$C17,'PC&amp;A'!$E$6:$E$36,$B$15)+SUMIFS('SCADA&amp;Comms'!CQ$6:CQ$36,'SCADA&amp;Comms'!$G$6:$G$36,$C17,'SCADA&amp;Comms'!$E$6:$E$36,$B$15)+SUMIFS(REFCL!CQ$6:CQ$36,REFCL!$G$6:$G$36,$C17,REFCL!$E$6:$E$36,$B$15)+SUMIFS(ESL_1!DF$7:DF$37,ESL_1!$G$7:$G$37,$C17,ESL_1!$E$7:$E$37,$B$15)+SUMIFS(ESL_2!CQ$6:CQ$36,ESL_2!$G$6:$G$36,$C17,ESL_2!$E$6:$E$36,$B$15)+SUMIFS(ESL_2!CQ$42:CQ$44,ESL_2!$G$42:$G$44,$C17,ESL_2!$E$42:$E$44,$B$15)+SUMIFS(Metering_SCS!BC$6:BC$36,Metering_SCS!$G$6:$G$36,$C17,Metering_SCS!$E$6:$E$36,$B$15)</f>
        <v>0</v>
      </c>
      <c r="E17" s="529"/>
      <c r="F17" s="529"/>
      <c r="G17" s="530"/>
      <c r="H17" s="529"/>
      <c r="I17" s="529"/>
      <c r="J17" s="529"/>
      <c r="K17" s="529"/>
      <c r="L17" s="537"/>
      <c r="N17" s="157"/>
      <c r="O17" s="529"/>
      <c r="P17" s="529"/>
      <c r="Q17" s="530"/>
      <c r="R17" s="529"/>
      <c r="S17" s="529"/>
      <c r="T17" s="529"/>
      <c r="U17" s="529"/>
      <c r="V17" s="537"/>
      <c r="X17" s="158">
        <f t="shared" si="25"/>
        <v>0</v>
      </c>
      <c r="Y17" s="537"/>
      <c r="Z17" s="537"/>
      <c r="AA17" s="538"/>
      <c r="AB17" s="547"/>
      <c r="AC17" s="537"/>
      <c r="AD17" s="537"/>
      <c r="AE17" s="537"/>
      <c r="AF17" s="537"/>
      <c r="AH17" s="158"/>
      <c r="AI17" s="158"/>
      <c r="AJ17" s="158"/>
      <c r="AK17" s="538"/>
      <c r="AL17" s="537"/>
      <c r="AM17" s="537"/>
      <c r="AN17" s="537"/>
      <c r="AO17" s="537"/>
      <c r="AP17" s="537"/>
      <c r="AR17" s="158">
        <v>0</v>
      </c>
      <c r="AS17" s="158">
        <v>0</v>
      </c>
      <c r="AT17" s="158">
        <v>0</v>
      </c>
      <c r="AU17" s="268">
        <v>17064.441475509073</v>
      </c>
      <c r="AV17" s="158">
        <v>11854.400923964211</v>
      </c>
      <c r="AW17" s="158">
        <v>11102.168305777215</v>
      </c>
      <c r="AX17" s="158">
        <v>10557.4027315946</v>
      </c>
      <c r="AY17" s="158">
        <v>6870.031596961524</v>
      </c>
      <c r="AZ17" s="158">
        <v>57448.445033806624</v>
      </c>
      <c r="BB17" s="158">
        <v>0</v>
      </c>
      <c r="BC17" s="158">
        <v>0</v>
      </c>
      <c r="BD17" s="158">
        <v>0</v>
      </c>
      <c r="BE17" s="268">
        <v>2030.8814531326072</v>
      </c>
      <c r="BF17" s="158">
        <v>1308.6659411379064</v>
      </c>
      <c r="BG17" s="158">
        <v>1266.5469032426399</v>
      </c>
      <c r="BH17" s="158">
        <v>1263.9061551581513</v>
      </c>
      <c r="BI17" s="158">
        <v>846.92260743991619</v>
      </c>
      <c r="BJ17" s="158">
        <v>6716.9230601112213</v>
      </c>
      <c r="BL17" s="158">
        <f t="shared" ref="BL17:BL18" si="32">AR17+BB17</f>
        <v>0</v>
      </c>
      <c r="BM17" s="158">
        <f t="shared" si="26"/>
        <v>0</v>
      </c>
      <c r="BN17" s="158">
        <f t="shared" si="26"/>
        <v>0</v>
      </c>
      <c r="BO17" s="268">
        <f t="shared" si="27"/>
        <v>19095.322928641679</v>
      </c>
      <c r="BP17" s="158">
        <f t="shared" si="28"/>
        <v>13163.066865102117</v>
      </c>
      <c r="BQ17" s="158">
        <f t="shared" si="29"/>
        <v>12368.715209019854</v>
      </c>
      <c r="BR17" s="158">
        <f t="shared" si="30"/>
        <v>11821.308886752751</v>
      </c>
      <c r="BS17" s="158">
        <f t="shared" si="31"/>
        <v>7716.9542044014397</v>
      </c>
      <c r="BT17" s="158">
        <f>SUM(BO17:BS17)</f>
        <v>64165.368093917845</v>
      </c>
    </row>
    <row r="18" spans="2:72" x14ac:dyDescent="0.25">
      <c r="C18" s="1" t="s">
        <v>32</v>
      </c>
      <c r="D18" s="372"/>
      <c r="E18" s="555"/>
      <c r="F18" s="555"/>
      <c r="G18" s="555"/>
      <c r="H18" s="555"/>
      <c r="I18" s="555"/>
      <c r="J18" s="555"/>
      <c r="K18" s="555"/>
      <c r="L18" s="548"/>
      <c r="N18" s="276"/>
      <c r="O18" s="555"/>
      <c r="P18" s="555"/>
      <c r="Q18" s="555"/>
      <c r="R18" s="555"/>
      <c r="S18" s="555"/>
      <c r="T18" s="555"/>
      <c r="U18" s="555"/>
      <c r="V18" s="548"/>
      <c r="X18" s="271">
        <f t="shared" si="25"/>
        <v>0</v>
      </c>
      <c r="Y18" s="548"/>
      <c r="Z18" s="548"/>
      <c r="AA18" s="549"/>
      <c r="AB18" s="548"/>
      <c r="AC18" s="548"/>
      <c r="AD18" s="548"/>
      <c r="AE18" s="548"/>
      <c r="AF18" s="548"/>
      <c r="AH18" s="271"/>
      <c r="AI18" s="271"/>
      <c r="AJ18" s="271"/>
      <c r="AK18" s="549"/>
      <c r="AL18" s="548"/>
      <c r="AM18" s="548"/>
      <c r="AN18" s="548"/>
      <c r="AO18" s="548"/>
      <c r="AP18" s="548"/>
      <c r="AR18" s="271">
        <v>0</v>
      </c>
      <c r="AS18" s="271">
        <v>0</v>
      </c>
      <c r="AT18" s="271">
        <v>0</v>
      </c>
      <c r="AU18" s="272">
        <v>0</v>
      </c>
      <c r="AV18" s="271">
        <v>0</v>
      </c>
      <c r="AW18" s="271">
        <v>0</v>
      </c>
      <c r="AX18" s="271">
        <v>0</v>
      </c>
      <c r="AY18" s="271">
        <v>0</v>
      </c>
      <c r="AZ18" s="271">
        <v>0</v>
      </c>
      <c r="BB18" s="271">
        <v>0</v>
      </c>
      <c r="BC18" s="271">
        <v>0</v>
      </c>
      <c r="BD18" s="271">
        <v>0</v>
      </c>
      <c r="BE18" s="272">
        <v>0</v>
      </c>
      <c r="BF18" s="271">
        <v>0</v>
      </c>
      <c r="BG18" s="271">
        <v>0</v>
      </c>
      <c r="BH18" s="271">
        <v>0</v>
      </c>
      <c r="BI18" s="271">
        <v>0</v>
      </c>
      <c r="BJ18" s="271">
        <v>0</v>
      </c>
      <c r="BL18" s="271">
        <f t="shared" si="32"/>
        <v>0</v>
      </c>
      <c r="BM18" s="271">
        <f t="shared" si="26"/>
        <v>0</v>
      </c>
      <c r="BN18" s="271">
        <f t="shared" si="26"/>
        <v>0</v>
      </c>
      <c r="BO18" s="272">
        <f t="shared" si="27"/>
        <v>0</v>
      </c>
      <c r="BP18" s="271">
        <f t="shared" si="28"/>
        <v>0</v>
      </c>
      <c r="BQ18" s="271">
        <f t="shared" si="29"/>
        <v>0</v>
      </c>
      <c r="BR18" s="271">
        <f t="shared" si="30"/>
        <v>0</v>
      </c>
      <c r="BS18" s="271">
        <f t="shared" si="31"/>
        <v>0</v>
      </c>
      <c r="BT18" s="271">
        <f>SUM(BO18:BS18)</f>
        <v>0</v>
      </c>
    </row>
    <row r="19" spans="2:72" x14ac:dyDescent="0.25">
      <c r="C19" s="1" t="s">
        <v>483</v>
      </c>
      <c r="D19" s="158">
        <f t="shared" ref="D19" si="33">SUM(D16:D18)</f>
        <v>0</v>
      </c>
      <c r="E19" s="537"/>
      <c r="F19" s="537"/>
      <c r="G19" s="538"/>
      <c r="H19" s="537"/>
      <c r="I19" s="537"/>
      <c r="J19" s="537"/>
      <c r="K19" s="537"/>
      <c r="L19" s="537"/>
      <c r="N19" s="158"/>
      <c r="O19" s="537"/>
      <c r="P19" s="537"/>
      <c r="Q19" s="538"/>
      <c r="R19" s="537"/>
      <c r="S19" s="537"/>
      <c r="T19" s="537"/>
      <c r="U19" s="537"/>
      <c r="V19" s="537"/>
      <c r="X19" s="158">
        <f t="shared" ref="X19" si="34">SUM(X16:X18)</f>
        <v>0</v>
      </c>
      <c r="Y19" s="537"/>
      <c r="Z19" s="537"/>
      <c r="AA19" s="538"/>
      <c r="AB19" s="547"/>
      <c r="AC19" s="537"/>
      <c r="AD19" s="537"/>
      <c r="AE19" s="537"/>
      <c r="AF19" s="537"/>
      <c r="AH19" s="158"/>
      <c r="AI19" s="158"/>
      <c r="AJ19" s="158"/>
      <c r="AK19" s="538"/>
      <c r="AL19" s="537"/>
      <c r="AM19" s="537"/>
      <c r="AN19" s="537"/>
      <c r="AO19" s="537"/>
      <c r="AP19" s="537"/>
      <c r="AR19" s="158">
        <v>0</v>
      </c>
      <c r="AS19" s="158">
        <v>0</v>
      </c>
      <c r="AT19" s="158">
        <v>0</v>
      </c>
      <c r="AU19" s="268">
        <v>22413.40363724911</v>
      </c>
      <c r="AV19" s="269">
        <v>15636.511765568061</v>
      </c>
      <c r="AW19" s="158">
        <v>15315.006625363141</v>
      </c>
      <c r="AX19" s="158">
        <v>16581.523878862194</v>
      </c>
      <c r="AY19" s="158">
        <v>13452.588638068024</v>
      </c>
      <c r="AZ19" s="158">
        <v>83399.034545110524</v>
      </c>
      <c r="BB19" s="158">
        <v>0</v>
      </c>
      <c r="BC19" s="158">
        <v>0</v>
      </c>
      <c r="BD19" s="158">
        <v>0</v>
      </c>
      <c r="BE19" s="268">
        <v>2667.4746907944841</v>
      </c>
      <c r="BF19" s="158">
        <v>1726.1918604789421</v>
      </c>
      <c r="BG19" s="158">
        <v>1747.1518788271769</v>
      </c>
      <c r="BH19" s="158">
        <v>1985.0990461581409</v>
      </c>
      <c r="BI19" s="158">
        <v>1658.4059746112653</v>
      </c>
      <c r="BJ19" s="158">
        <v>9784.3234508700098</v>
      </c>
      <c r="BL19" s="158">
        <f t="shared" ref="BL19:BT19" si="35">SUM(BL16:BL18)</f>
        <v>0</v>
      </c>
      <c r="BM19" s="158">
        <f t="shared" si="35"/>
        <v>0</v>
      </c>
      <c r="BN19" s="158">
        <f t="shared" ref="BN19" si="36">SUM(BN16:BN18)</f>
        <v>0</v>
      </c>
      <c r="BO19" s="268">
        <f t="shared" si="35"/>
        <v>25080.878328043589</v>
      </c>
      <c r="BP19" s="158">
        <f t="shared" si="35"/>
        <v>17362.703626047001</v>
      </c>
      <c r="BQ19" s="158">
        <f t="shared" si="35"/>
        <v>17062.158504190316</v>
      </c>
      <c r="BR19" s="158">
        <f t="shared" si="35"/>
        <v>18566.622925020336</v>
      </c>
      <c r="BS19" s="158">
        <f t="shared" si="35"/>
        <v>15110.994612679289</v>
      </c>
      <c r="BT19" s="158">
        <f t="shared" si="35"/>
        <v>93183.357995980536</v>
      </c>
    </row>
    <row r="20" spans="2:72" x14ac:dyDescent="0.25">
      <c r="B20" s="1" t="s">
        <v>484</v>
      </c>
      <c r="E20" s="241"/>
      <c r="F20" s="241"/>
      <c r="G20" s="550"/>
      <c r="H20" s="241"/>
      <c r="I20" s="241"/>
      <c r="J20" s="241"/>
      <c r="K20" s="241"/>
      <c r="L20" s="241"/>
      <c r="O20" s="241"/>
      <c r="P20" s="241"/>
      <c r="Q20" s="550"/>
      <c r="R20" s="241"/>
      <c r="S20" s="241"/>
      <c r="T20" s="241"/>
      <c r="U20" s="241"/>
      <c r="V20" s="241"/>
      <c r="Y20" s="241"/>
      <c r="Z20" s="241"/>
      <c r="AA20" s="550"/>
      <c r="AB20" s="518"/>
      <c r="AC20" s="241"/>
      <c r="AD20" s="241"/>
      <c r="AE20" s="241"/>
      <c r="AF20" s="241"/>
      <c r="AK20" s="550"/>
      <c r="AL20" s="241"/>
      <c r="AM20" s="241"/>
      <c r="AN20" s="241"/>
      <c r="AO20" s="241"/>
      <c r="AP20" s="241"/>
      <c r="AU20" s="38"/>
      <c r="BB20" s="158"/>
      <c r="BC20" s="158"/>
      <c r="BD20" s="158"/>
      <c r="BE20" s="268"/>
      <c r="BF20" s="158"/>
      <c r="BG20" s="158"/>
      <c r="BH20" s="158"/>
      <c r="BI20" s="158"/>
      <c r="BO20" s="38"/>
    </row>
    <row r="21" spans="2:72" x14ac:dyDescent="0.25">
      <c r="C21" s="1" t="s">
        <v>49</v>
      </c>
      <c r="D21" s="158">
        <f>SUMIFS(Augmentation!CQ$6:CQ$36,Augmentation!$E$6:$E$36,$C21)+SUMIFS(Connections!CS$7:CS$37,Connections!$E$7:$E$37,$C21)+SUMIFS(Major_Rebuilds!CQ$6:CQ$36,Major_Rebuilds!$E$6:$E$36,$C21)+SUMIFS(Stations!DF$7:DF$38,Stations!$E$7:$E$38,$C21)+SUMIFS(Lines!DF$7:DF$37,Lines!$E$7:$E$37,$C21)+SUMIFS('PC&amp;A'!CQ$6:CQ$36,'PC&amp;A'!$E$6:$E$36,$C21)+SUMIFS('SCADA&amp;Comms'!CQ$6:CQ$36,'SCADA&amp;Comms'!$E$6:$E$36,$C21)+SUMIFS(REFCL!CQ$6:CQ$36,REFCL!$E$6:$E$36,$C21)+SUMIFS(ESL_1!DF$7:DF$37,ESL_1!$E$7:$E$37,$C21)+SUMIFS(ESL_2!CQ$6:CQ$36,ESL_2!$E$6:$E$36,$C21)+SUMIFS(ESL_2!CQ$42:CQ$44,ESL_2!$E$42:$E$44,$C21)+SUMIFS(ICT!BC$6:BC$36,ICT!$E$6:$E$36,$C21)+SUMIFS(Metering_SCS!BC$6:BC$36,Metering_SCS!$E$6:$E$36,$C21)+SUMIFS(Other_NN!BB$6:BB$36,Other_NN!$E$6:$E$36,$C21)</f>
        <v>0</v>
      </c>
      <c r="E21" s="537"/>
      <c r="F21" s="537"/>
      <c r="G21" s="538"/>
      <c r="H21" s="537"/>
      <c r="I21" s="537"/>
      <c r="J21" s="537"/>
      <c r="K21" s="537"/>
      <c r="L21" s="537"/>
      <c r="N21" s="158"/>
      <c r="O21" s="537"/>
      <c r="P21" s="537"/>
      <c r="Q21" s="538"/>
      <c r="R21" s="537"/>
      <c r="S21" s="537"/>
      <c r="T21" s="537"/>
      <c r="U21" s="537"/>
      <c r="V21" s="537"/>
      <c r="X21" s="158">
        <f t="shared" ref="X21:X25" si="37">D21-N21</f>
        <v>0</v>
      </c>
      <c r="Y21" s="537"/>
      <c r="Z21" s="537"/>
      <c r="AA21" s="538"/>
      <c r="AB21" s="547"/>
      <c r="AC21" s="537"/>
      <c r="AD21" s="537"/>
      <c r="AE21" s="537"/>
      <c r="AF21" s="537"/>
      <c r="AH21" s="158"/>
      <c r="AI21" s="158"/>
      <c r="AJ21" s="158"/>
      <c r="AK21" s="538"/>
      <c r="AL21" s="537"/>
      <c r="AM21" s="537"/>
      <c r="AN21" s="537"/>
      <c r="AO21" s="537"/>
      <c r="AP21" s="537"/>
      <c r="AR21" s="158">
        <v>0</v>
      </c>
      <c r="AS21" s="158">
        <v>0</v>
      </c>
      <c r="AT21" s="364">
        <v>0</v>
      </c>
      <c r="AU21" s="268">
        <v>33573.102185936288</v>
      </c>
      <c r="AV21" s="158">
        <v>25484.735470727195</v>
      </c>
      <c r="AW21" s="158">
        <v>32553.027842935371</v>
      </c>
      <c r="AX21" s="158">
        <v>25054.753385133903</v>
      </c>
      <c r="AY21" s="158">
        <v>23811.651784504877</v>
      </c>
      <c r="AZ21" s="158">
        <v>140477.27066923762</v>
      </c>
      <c r="BB21" s="158">
        <v>0</v>
      </c>
      <c r="BC21" s="158">
        <v>0</v>
      </c>
      <c r="BD21" s="158">
        <v>0</v>
      </c>
      <c r="BE21" s="268">
        <v>2043.511889745304</v>
      </c>
      <c r="BF21" s="158">
        <v>2241.9240290666462</v>
      </c>
      <c r="BG21" s="158">
        <v>2429.4064283376883</v>
      </c>
      <c r="BH21" s="158">
        <v>2471.6678863511834</v>
      </c>
      <c r="BI21" s="158">
        <v>2407.253989693193</v>
      </c>
      <c r="BJ21" s="158">
        <v>11593.764223194015</v>
      </c>
      <c r="BL21" s="158">
        <f>AR21+BB21</f>
        <v>0</v>
      </c>
      <c r="BM21" s="158">
        <f t="shared" ref="BM21:BN25" si="38">AS21+BC21</f>
        <v>0</v>
      </c>
      <c r="BN21" s="158">
        <f t="shared" si="38"/>
        <v>0</v>
      </c>
      <c r="BO21" s="268">
        <f t="shared" ref="BO21:BO25" si="39">AU21+BE21</f>
        <v>35616.614075681595</v>
      </c>
      <c r="BP21" s="158">
        <f t="shared" ref="BP21:BP25" si="40">AV21+BF21</f>
        <v>27726.659499793841</v>
      </c>
      <c r="BQ21" s="158">
        <f t="shared" ref="BQ21:BQ25" si="41">AW21+BG21</f>
        <v>34982.434271273058</v>
      </c>
      <c r="BR21" s="158">
        <f t="shared" ref="BR21:BR25" si="42">AX21+BH21</f>
        <v>27526.421271485087</v>
      </c>
      <c r="BS21" s="158">
        <f t="shared" ref="BS21:BS25" si="43">AY21+BI21</f>
        <v>26218.905774198069</v>
      </c>
      <c r="BT21" s="158">
        <f>SUM(BO21:BS21)</f>
        <v>152071.03489243166</v>
      </c>
    </row>
    <row r="22" spans="2:72" x14ac:dyDescent="0.25">
      <c r="C22" s="1" t="s">
        <v>521</v>
      </c>
      <c r="D22" s="158">
        <f>SUMIFS(Augmentation!CQ$6:CQ$36,Augmentation!$E$6:$E$36,$C22)+SUMIFS(Connections!CS$7:CS$37,Connections!$E$7:$E$37,$C22)+SUMIFS(Major_Rebuilds!CQ$6:CQ$36,Major_Rebuilds!$E$6:$E$36,$C22)+SUMIFS(Stations!DF$7:DF$38,Stations!$E$7:$E$38,$C22)+SUMIFS(Lines!DF$7:DF$37,Lines!$E$7:$E$37,$C22)+SUMIFS('PC&amp;A'!CQ$6:CQ$36,'PC&amp;A'!$E$6:$E$36,$C22)+SUMIFS('SCADA&amp;Comms'!CQ$6:CQ$36,'SCADA&amp;Comms'!$E$6:$E$36,$C22)+SUMIFS(REFCL!CQ$6:CQ$36,REFCL!$E$6:$E$36,$C22)+SUMIFS(ESL_1!DF$7:DF$37,ESL_1!$E$7:$E$37,$C22)+SUMIFS(ESL_2!CQ$6:CQ$36,ESL_2!$E$6:$E$36,$C22)+SUMIFS(ESL_2!CQ$42:CQ$44,ESL_2!$E$42:$E$44,$C22)+SUMIFS(ICT!BC$6:BC$36,ICT!$E$6:$E$36,$C22)+SUMIFS(Metering_SCS!BC$6:BC$36,Metering_SCS!$E$6:$E$36,$C22)+SUMIFS(Other_NN!BB$6:BB$36,Other_NN!$E$6:$E$36,$C22)</f>
        <v>0</v>
      </c>
      <c r="E22" s="537"/>
      <c r="F22" s="537"/>
      <c r="G22" s="538"/>
      <c r="H22" s="537"/>
      <c r="I22" s="537"/>
      <c r="J22" s="537"/>
      <c r="K22" s="537"/>
      <c r="L22" s="537"/>
      <c r="N22" s="158"/>
      <c r="O22" s="537"/>
      <c r="P22" s="537"/>
      <c r="Q22" s="538"/>
      <c r="R22" s="537"/>
      <c r="S22" s="537"/>
      <c r="T22" s="537"/>
      <c r="U22" s="537"/>
      <c r="V22" s="537"/>
      <c r="X22" s="157">
        <f t="shared" ref="X22" si="44">D22-N22</f>
        <v>0</v>
      </c>
      <c r="Y22" s="529"/>
      <c r="Z22" s="529"/>
      <c r="AA22" s="530"/>
      <c r="AB22" s="551"/>
      <c r="AC22" s="529"/>
      <c r="AD22" s="529"/>
      <c r="AE22" s="529"/>
      <c r="AF22" s="537"/>
      <c r="AH22" s="157"/>
      <c r="AI22" s="157"/>
      <c r="AJ22" s="157"/>
      <c r="AK22" s="530"/>
      <c r="AL22" s="529"/>
      <c r="AM22" s="529"/>
      <c r="AN22" s="529"/>
      <c r="AO22" s="529"/>
      <c r="AP22" s="537"/>
      <c r="AR22" s="158">
        <v>0</v>
      </c>
      <c r="AS22" s="158">
        <v>0</v>
      </c>
      <c r="AT22" s="364">
        <v>0</v>
      </c>
      <c r="AU22" s="268">
        <v>7725.1120788532126</v>
      </c>
      <c r="AV22" s="158">
        <v>2386.6689550769738</v>
      </c>
      <c r="AW22" s="158">
        <v>611.62801604963397</v>
      </c>
      <c r="AX22" s="158">
        <v>0</v>
      </c>
      <c r="AY22" s="158">
        <v>613.15679721980405</v>
      </c>
      <c r="AZ22" s="158">
        <v>11336.565847199625</v>
      </c>
      <c r="BB22" s="158">
        <v>0</v>
      </c>
      <c r="BC22" s="158">
        <v>0</v>
      </c>
      <c r="BD22" s="158">
        <v>0</v>
      </c>
      <c r="BE22" s="268">
        <v>470.20851082878119</v>
      </c>
      <c r="BF22" s="158">
        <v>209.95825073250293</v>
      </c>
      <c r="BG22" s="158">
        <v>45.645309588763027</v>
      </c>
      <c r="BH22" s="158">
        <v>0</v>
      </c>
      <c r="BI22" s="158">
        <v>61.987474022082623</v>
      </c>
      <c r="BJ22" s="158">
        <v>787.7995451721298</v>
      </c>
      <c r="BL22" s="158">
        <f t="shared" ref="BL22" si="45">AR22+BB22</f>
        <v>0</v>
      </c>
      <c r="BM22" s="158">
        <f t="shared" ref="BM22:BN22" si="46">AS22+BC22</f>
        <v>0</v>
      </c>
      <c r="BN22" s="158">
        <f t="shared" si="46"/>
        <v>0</v>
      </c>
      <c r="BO22" s="268">
        <f t="shared" ref="BO22" si="47">AU22+BE22</f>
        <v>8195.3205896819945</v>
      </c>
      <c r="BP22" s="158">
        <f t="shared" ref="BP22" si="48">AV22+BF22</f>
        <v>2596.6272058094769</v>
      </c>
      <c r="BQ22" s="158">
        <f t="shared" ref="BQ22" si="49">AW22+BG22</f>
        <v>657.27332563839695</v>
      </c>
      <c r="BR22" s="158">
        <f t="shared" ref="BR22" si="50">AX22+BH22</f>
        <v>0</v>
      </c>
      <c r="BS22" s="158">
        <f t="shared" ref="BS22" si="51">AY22+BI22</f>
        <v>675.14427124188671</v>
      </c>
      <c r="BT22" s="158">
        <f>SUM(BO22:BS22)</f>
        <v>12124.365392371754</v>
      </c>
    </row>
    <row r="23" spans="2:72" x14ac:dyDescent="0.25">
      <c r="C23" s="1" t="s">
        <v>50</v>
      </c>
      <c r="D23" s="158">
        <f>SUMIFS(Augmentation!CQ$6:CQ$36,Augmentation!$E$6:$E$36,$C23)+SUMIFS(Connections!CS$7:CS$37,Connections!$E$7:$E$37,$C23)+SUMIFS(Major_Rebuilds!CQ$6:CQ$36,Major_Rebuilds!$E$6:$E$36,$C23)+SUMIFS(Stations!DF$7:DF$38,Stations!$E$7:$E$38,$C23)+SUMIFS(Lines!DF$7:DF$37,Lines!$E$7:$E$37,$C23)+SUMIFS('PC&amp;A'!CQ$6:CQ$36,'PC&amp;A'!$E$6:$E$36,$C23)+SUMIFS('SCADA&amp;Comms'!CQ$6:CQ$36,'SCADA&amp;Comms'!$E$6:$E$36,$C23)+SUMIFS(REFCL!CQ$6:CQ$36,REFCL!$E$6:$E$36,$C23)+SUMIFS(ESL_1!DF$7:DF$37,ESL_1!$E$7:$E$37,$C23)+SUMIFS(ESL_2!CQ$6:CQ$36,ESL_2!$E$6:$E$36,$C23)+SUMIFS(ESL_2!CQ$42:CQ$44,ESL_2!$E$42:$E$44,$C23)+SUMIFS(ICT!BC$6:BC$36,ICT!$E$6:$E$36,$C23)+SUMIFS(Metering_SCS!BC$6:BC$36,Metering_SCS!$E$6:$E$36,$C23)+SUMIFS(Other_NN!BB$6:BB$36,Other_NN!$E$6:$E$36,$C23)</f>
        <v>0</v>
      </c>
      <c r="E23" s="537"/>
      <c r="F23" s="537"/>
      <c r="G23" s="538"/>
      <c r="H23" s="537"/>
      <c r="I23" s="537"/>
      <c r="J23" s="537"/>
      <c r="K23" s="537"/>
      <c r="L23" s="537"/>
      <c r="N23" s="158"/>
      <c r="O23" s="537"/>
      <c r="P23" s="537"/>
      <c r="Q23" s="538"/>
      <c r="R23" s="537"/>
      <c r="S23" s="537"/>
      <c r="T23" s="537"/>
      <c r="U23" s="537"/>
      <c r="V23" s="537"/>
      <c r="X23" s="157">
        <f t="shared" si="37"/>
        <v>0</v>
      </c>
      <c r="Y23" s="529"/>
      <c r="Z23" s="529"/>
      <c r="AA23" s="530"/>
      <c r="AB23" s="551"/>
      <c r="AC23" s="529"/>
      <c r="AD23" s="529"/>
      <c r="AE23" s="529"/>
      <c r="AF23" s="537"/>
      <c r="AH23" s="157"/>
      <c r="AI23" s="157"/>
      <c r="AJ23" s="157"/>
      <c r="AK23" s="530"/>
      <c r="AL23" s="529"/>
      <c r="AM23" s="529"/>
      <c r="AN23" s="529"/>
      <c r="AO23" s="529"/>
      <c r="AP23" s="537"/>
      <c r="AR23" s="158">
        <v>0</v>
      </c>
      <c r="AS23" s="158">
        <v>0</v>
      </c>
      <c r="AT23" s="158">
        <v>3800.5552375088432</v>
      </c>
      <c r="AU23" s="268">
        <v>7794.0326791170955</v>
      </c>
      <c r="AV23" s="158">
        <v>6457.0038026231396</v>
      </c>
      <c r="AW23" s="158">
        <v>5658.3785497893277</v>
      </c>
      <c r="AX23" s="158">
        <v>9263.7464634135013</v>
      </c>
      <c r="AY23" s="158">
        <v>9850.2852956006427</v>
      </c>
      <c r="AZ23" s="158">
        <v>39023.446790543705</v>
      </c>
      <c r="BB23" s="163"/>
      <c r="BC23" s="163"/>
      <c r="BD23" s="163"/>
      <c r="BE23" s="288"/>
      <c r="BF23" s="163"/>
      <c r="BG23" s="163"/>
      <c r="BH23" s="163"/>
      <c r="BI23" s="163"/>
      <c r="BJ23" s="158">
        <v>0</v>
      </c>
      <c r="BL23" s="158">
        <f t="shared" ref="BL23:BL25" si="52">AR23+BB23</f>
        <v>0</v>
      </c>
      <c r="BM23" s="158">
        <f t="shared" si="38"/>
        <v>0</v>
      </c>
      <c r="BN23" s="158">
        <f t="shared" si="38"/>
        <v>3800.5552375088432</v>
      </c>
      <c r="BO23" s="268">
        <f t="shared" si="39"/>
        <v>7794.0326791170955</v>
      </c>
      <c r="BP23" s="158">
        <f t="shared" si="40"/>
        <v>6457.0038026231396</v>
      </c>
      <c r="BQ23" s="158">
        <f t="shared" si="41"/>
        <v>5658.3785497893277</v>
      </c>
      <c r="BR23" s="158">
        <f t="shared" si="42"/>
        <v>9263.7464634135013</v>
      </c>
      <c r="BS23" s="158">
        <f t="shared" si="43"/>
        <v>9850.2852956006427</v>
      </c>
      <c r="BT23" s="158">
        <f>SUM(BO23:BS23)</f>
        <v>39023.446790543705</v>
      </c>
    </row>
    <row r="24" spans="2:72" x14ac:dyDescent="0.25">
      <c r="C24" s="1" t="s">
        <v>591</v>
      </c>
      <c r="D24" s="158">
        <f>SUMIFS(Augmentation!CQ$6:CQ$36,Augmentation!$E$6:$E$36,$C24)+SUMIFS(Connections!CS$7:CS$37,Connections!$E$7:$E$37,$C24)+SUMIFS(Major_Rebuilds!CQ$6:CQ$36,Major_Rebuilds!$E$6:$E$36,$C24)+SUMIFS(Stations!DF$7:DF$38,Stations!$E$7:$E$38,$C24)+SUMIFS(Lines!DF$7:DF$37,Lines!$E$7:$E$37,$C24)+SUMIFS('PC&amp;A'!CQ$6:CQ$36,'PC&amp;A'!$E$6:$E$36,$C24)+SUMIFS('SCADA&amp;Comms'!CQ$6:CQ$36,'SCADA&amp;Comms'!$E$6:$E$36,$C24)+SUMIFS(REFCL!CQ$6:CQ$36,REFCL!$E$6:$E$36,$C24)+SUMIFS(ESL_1!DF$7:DF$37,ESL_1!$E$7:$E$37,$C24)+SUMIFS(ESL_2!CQ$6:CQ$36,ESL_2!$E$6:$E$36,$C24)+SUMIFS(ESL_2!CQ$42:CQ$44,ESL_2!$E$42:$E$44,$C24)+SUMIFS(ICT!BC$6:BC$36,ICT!$E$6:$E$36,$C24)+SUMIFS(Metering_SCS!BC$6:BC$36,Metering_SCS!$E$6:$E$36,$C24)+SUMIFS(Other_NN!BB$6:BB$36,Other_NN!$E$6:$E$36,$C24)</f>
        <v>0</v>
      </c>
      <c r="E24" s="537"/>
      <c r="F24" s="537"/>
      <c r="G24" s="538"/>
      <c r="H24" s="537"/>
      <c r="I24" s="537"/>
      <c r="J24" s="537"/>
      <c r="K24" s="537"/>
      <c r="L24" s="537"/>
      <c r="N24" s="158"/>
      <c r="O24" s="537"/>
      <c r="P24" s="537"/>
      <c r="Q24" s="538"/>
      <c r="R24" s="537"/>
      <c r="S24" s="537"/>
      <c r="T24" s="537"/>
      <c r="U24" s="537"/>
      <c r="V24" s="537"/>
      <c r="X24" s="157">
        <f t="shared" ref="X24" si="53">D24-N24</f>
        <v>0</v>
      </c>
      <c r="Y24" s="529"/>
      <c r="Z24" s="529"/>
      <c r="AA24" s="530"/>
      <c r="AB24" s="551"/>
      <c r="AC24" s="529"/>
      <c r="AD24" s="529"/>
      <c r="AE24" s="529"/>
      <c r="AF24" s="537"/>
      <c r="AH24" s="157"/>
      <c r="AI24" s="157"/>
      <c r="AJ24" s="157"/>
      <c r="AK24" s="530"/>
      <c r="AL24" s="529"/>
      <c r="AM24" s="529"/>
      <c r="AN24" s="529"/>
      <c r="AO24" s="529"/>
      <c r="AP24" s="537"/>
      <c r="AR24" s="158">
        <v>0</v>
      </c>
      <c r="AS24" s="158">
        <v>0</v>
      </c>
      <c r="AT24" s="158">
        <v>152.21789856580605</v>
      </c>
      <c r="AU24" s="268">
        <v>1240.1278634824585</v>
      </c>
      <c r="AV24" s="158">
        <v>0</v>
      </c>
      <c r="AW24" s="158">
        <v>0</v>
      </c>
      <c r="AX24" s="158">
        <v>0</v>
      </c>
      <c r="AY24" s="158">
        <v>4601.6493504988621</v>
      </c>
      <c r="AZ24" s="158">
        <v>5841.7772139813205</v>
      </c>
      <c r="BB24" s="163"/>
      <c r="BC24" s="163"/>
      <c r="BD24" s="163"/>
      <c r="BE24" s="288"/>
      <c r="BF24" s="163"/>
      <c r="BG24" s="163"/>
      <c r="BH24" s="163"/>
      <c r="BI24" s="163"/>
      <c r="BJ24" s="158">
        <v>0</v>
      </c>
      <c r="BL24" s="158">
        <f t="shared" ref="BL24" si="54">AR24+BB24</f>
        <v>0</v>
      </c>
      <c r="BM24" s="158">
        <f t="shared" ref="BM24" si="55">AS24+BC24</f>
        <v>0</v>
      </c>
      <c r="BN24" s="158">
        <f t="shared" ref="BN24" si="56">AT24+BD24</f>
        <v>152.21789856580605</v>
      </c>
      <c r="BO24" s="268">
        <f t="shared" ref="BO24" si="57">AU24+BE24</f>
        <v>1240.1278634824585</v>
      </c>
      <c r="BP24" s="158">
        <f t="shared" ref="BP24" si="58">AV24+BF24</f>
        <v>0</v>
      </c>
      <c r="BQ24" s="158">
        <f t="shared" ref="BQ24" si="59">AW24+BG24</f>
        <v>0</v>
      </c>
      <c r="BR24" s="158">
        <f t="shared" ref="BR24" si="60">AX24+BH24</f>
        <v>0</v>
      </c>
      <c r="BS24" s="158">
        <f t="shared" ref="BS24" si="61">AY24+BI24</f>
        <v>4601.6493504988621</v>
      </c>
      <c r="BT24" s="158">
        <f>SUM(BO24:BS24)</f>
        <v>5841.7772139813205</v>
      </c>
    </row>
    <row r="25" spans="2:72" x14ac:dyDescent="0.25">
      <c r="C25" s="1" t="s">
        <v>399</v>
      </c>
      <c r="D25" s="271">
        <f>SUMIFS(Augmentation!CQ$6:CQ$36,Augmentation!$E$6:$E$36,$C25)+SUMIFS(Connections!CS$7:CS$37,Connections!$E$7:$E$37,$C25)+SUMIFS(Major_Rebuilds!CQ$6:CQ$36,Major_Rebuilds!$E$6:$E$36,$C25)+SUMIFS(Stations!DF$7:DF$38,Stations!$E$7:$E$38,$C25)+SUMIFS(Lines!DF$7:DF$37,Lines!$E$7:$E$37,$C25)+SUMIFS('PC&amp;A'!CQ$6:CQ$36,'PC&amp;A'!$E$6:$E$36,$C25)+SUMIFS('SCADA&amp;Comms'!CQ$6:CQ$36,'SCADA&amp;Comms'!$E$6:$E$36,$C25)+SUMIFS(REFCL!CQ$6:CQ$36,REFCL!$E$6:$E$36,$C25)+SUMIFS(ESL_1!DF$7:DF$37,ESL_1!$E$7:$E$37,$C25)+SUMIFS(ESL_2!CQ$6:CQ$36,ESL_2!$E$6:$E$36,$C25)+SUMIFS(ESL_2!CQ$42:CQ$44,ESL_2!$E$42:$E$44,$C25)+SUMIFS(ICT!BC$6:BC$36,ICT!$E$6:$E$36,$C25)+SUMIFS(Metering_SCS!BC$6:BC$36,Metering_SCS!$E$6:$E$36,$C25)+SUMIFS(Other_NN!BB$6:BB$36,Other_NN!$E$6:$E$36,$C25)</f>
        <v>0</v>
      </c>
      <c r="E25" s="548"/>
      <c r="F25" s="548"/>
      <c r="G25" s="549"/>
      <c r="H25" s="548"/>
      <c r="I25" s="548"/>
      <c r="J25" s="548"/>
      <c r="K25" s="548"/>
      <c r="L25" s="548"/>
      <c r="N25" s="271"/>
      <c r="O25" s="548"/>
      <c r="P25" s="548"/>
      <c r="Q25" s="549"/>
      <c r="R25" s="548"/>
      <c r="S25" s="548"/>
      <c r="T25" s="548"/>
      <c r="U25" s="548"/>
      <c r="V25" s="548"/>
      <c r="X25" s="274">
        <f t="shared" si="37"/>
        <v>0</v>
      </c>
      <c r="Y25" s="552"/>
      <c r="Z25" s="552"/>
      <c r="AA25" s="553"/>
      <c r="AB25" s="552"/>
      <c r="AC25" s="552"/>
      <c r="AD25" s="552"/>
      <c r="AE25" s="552"/>
      <c r="AF25" s="548"/>
      <c r="AH25" s="274"/>
      <c r="AI25" s="274"/>
      <c r="AJ25" s="274"/>
      <c r="AK25" s="553"/>
      <c r="AL25" s="552"/>
      <c r="AM25" s="552"/>
      <c r="AN25" s="552"/>
      <c r="AO25" s="552"/>
      <c r="AP25" s="548"/>
      <c r="AR25" s="404">
        <v>0</v>
      </c>
      <c r="AS25" s="404">
        <v>0</v>
      </c>
      <c r="AT25" s="271">
        <v>0</v>
      </c>
      <c r="AU25" s="272">
        <v>32.44958944316118</v>
      </c>
      <c r="AV25" s="271">
        <v>338.56299484529262</v>
      </c>
      <c r="AW25" s="271">
        <v>585.65537359020254</v>
      </c>
      <c r="AX25" s="271">
        <v>846.43389302940091</v>
      </c>
      <c r="AY25" s="271">
        <v>915.08612736578038</v>
      </c>
      <c r="AZ25" s="271">
        <v>2718.1879782738379</v>
      </c>
      <c r="BB25" s="164"/>
      <c r="BC25" s="164"/>
      <c r="BD25" s="164"/>
      <c r="BE25" s="290"/>
      <c r="BF25" s="164"/>
      <c r="BG25" s="164"/>
      <c r="BH25" s="164"/>
      <c r="BI25" s="164"/>
      <c r="BJ25" s="271">
        <v>0</v>
      </c>
      <c r="BL25" s="271">
        <f t="shared" si="52"/>
        <v>0</v>
      </c>
      <c r="BM25" s="271">
        <f t="shared" si="38"/>
        <v>0</v>
      </c>
      <c r="BN25" s="271">
        <f t="shared" si="38"/>
        <v>0</v>
      </c>
      <c r="BO25" s="272">
        <f t="shared" si="39"/>
        <v>32.44958944316118</v>
      </c>
      <c r="BP25" s="271">
        <f t="shared" si="40"/>
        <v>338.56299484529262</v>
      </c>
      <c r="BQ25" s="271">
        <f t="shared" si="41"/>
        <v>585.65537359020254</v>
      </c>
      <c r="BR25" s="271">
        <f t="shared" si="42"/>
        <v>846.43389302940091</v>
      </c>
      <c r="BS25" s="271">
        <f t="shared" si="43"/>
        <v>915.08612736578038</v>
      </c>
      <c r="BT25" s="271">
        <f>SUM(BO25:BS25)</f>
        <v>2718.1879782738379</v>
      </c>
    </row>
    <row r="26" spans="2:72" x14ac:dyDescent="0.25">
      <c r="C26" s="1" t="s">
        <v>483</v>
      </c>
      <c r="D26" s="158">
        <f t="shared" ref="D26" si="62">SUM(D21:D25)</f>
        <v>0</v>
      </c>
      <c r="E26" s="537"/>
      <c r="F26" s="537"/>
      <c r="G26" s="538"/>
      <c r="H26" s="537"/>
      <c r="I26" s="537"/>
      <c r="J26" s="537"/>
      <c r="K26" s="537"/>
      <c r="L26" s="537"/>
      <c r="N26" s="158"/>
      <c r="O26" s="537"/>
      <c r="P26" s="537"/>
      <c r="Q26" s="538"/>
      <c r="R26" s="537"/>
      <c r="S26" s="537"/>
      <c r="T26" s="537"/>
      <c r="U26" s="537"/>
      <c r="V26" s="537"/>
      <c r="X26" s="158">
        <f t="shared" ref="X26" si="63">SUM(X21:X25)</f>
        <v>0</v>
      </c>
      <c r="Y26" s="537"/>
      <c r="Z26" s="537"/>
      <c r="AA26" s="538"/>
      <c r="AB26" s="547"/>
      <c r="AC26" s="537"/>
      <c r="AD26" s="537"/>
      <c r="AE26" s="537"/>
      <c r="AF26" s="537"/>
      <c r="AH26" s="158"/>
      <c r="AI26" s="158"/>
      <c r="AJ26" s="158"/>
      <c r="AK26" s="538"/>
      <c r="AL26" s="537"/>
      <c r="AM26" s="537"/>
      <c r="AN26" s="537"/>
      <c r="AO26" s="537"/>
      <c r="AP26" s="537"/>
      <c r="AR26" s="158">
        <v>0</v>
      </c>
      <c r="AS26" s="158">
        <v>0</v>
      </c>
      <c r="AT26" s="158">
        <v>3952.7731360746493</v>
      </c>
      <c r="AU26" s="268">
        <v>50364.824396832213</v>
      </c>
      <c r="AV26" s="269">
        <v>34666.971223272601</v>
      </c>
      <c r="AW26" s="158">
        <v>39408.689782364534</v>
      </c>
      <c r="AX26" s="158">
        <v>35164.93374157681</v>
      </c>
      <c r="AY26" s="158">
        <v>39791.829355189962</v>
      </c>
      <c r="AZ26" s="158">
        <v>199397.2484992361</v>
      </c>
      <c r="BB26" s="157">
        <v>0</v>
      </c>
      <c r="BC26" s="157">
        <v>0</v>
      </c>
      <c r="BD26" s="157">
        <v>0</v>
      </c>
      <c r="BE26" s="267">
        <v>2513.720400574085</v>
      </c>
      <c r="BF26" s="157">
        <v>2451.8822797991493</v>
      </c>
      <c r="BG26" s="157">
        <v>2475.0517379264516</v>
      </c>
      <c r="BH26" s="157">
        <v>2471.6678863511834</v>
      </c>
      <c r="BI26" s="157">
        <v>2469.2414637152756</v>
      </c>
      <c r="BJ26" s="158">
        <v>12381.563768366144</v>
      </c>
      <c r="BL26" s="158">
        <f t="shared" ref="BL26:BT26" si="64">SUM(BL21:BL25)</f>
        <v>0</v>
      </c>
      <c r="BM26" s="158">
        <f t="shared" si="64"/>
        <v>0</v>
      </c>
      <c r="BN26" s="158">
        <f t="shared" ref="BN26" si="65">SUM(BN21:BN25)</f>
        <v>3952.7731360746493</v>
      </c>
      <c r="BO26" s="268">
        <f t="shared" si="64"/>
        <v>52878.544797406299</v>
      </c>
      <c r="BP26" s="158">
        <f t="shared" si="64"/>
        <v>37118.853503071747</v>
      </c>
      <c r="BQ26" s="158">
        <f t="shared" si="64"/>
        <v>41883.741520290983</v>
      </c>
      <c r="BR26" s="158">
        <f t="shared" si="64"/>
        <v>37636.601627927994</v>
      </c>
      <c r="BS26" s="158">
        <f t="shared" si="64"/>
        <v>42261.070818905238</v>
      </c>
      <c r="BT26" s="158">
        <f t="shared" si="64"/>
        <v>211778.81226760228</v>
      </c>
    </row>
    <row r="27" spans="2:72" x14ac:dyDescent="0.25">
      <c r="G27" s="38"/>
      <c r="Q27" s="38"/>
      <c r="AA27" s="38"/>
      <c r="AB27" s="41"/>
      <c r="AK27" s="38"/>
      <c r="AU27" s="38"/>
      <c r="BE27" s="38"/>
      <c r="BO27" s="38"/>
    </row>
    <row r="28" spans="2:72" x14ac:dyDescent="0.25">
      <c r="B28" s="1" t="s">
        <v>146</v>
      </c>
      <c r="D28" s="158">
        <f t="shared" ref="D28" si="66">D9+D14+D19+D26</f>
        <v>0</v>
      </c>
      <c r="E28" s="537"/>
      <c r="F28" s="537"/>
      <c r="G28" s="538"/>
      <c r="H28" s="537"/>
      <c r="I28" s="537"/>
      <c r="J28" s="537"/>
      <c r="K28" s="537"/>
      <c r="L28" s="537"/>
      <c r="N28" s="157"/>
      <c r="O28" s="529"/>
      <c r="P28" s="529"/>
      <c r="Q28" s="530"/>
      <c r="R28" s="529"/>
      <c r="S28" s="529"/>
      <c r="T28" s="529"/>
      <c r="U28" s="529"/>
      <c r="V28" s="529"/>
      <c r="X28" s="158">
        <f t="shared" ref="X28" si="67">X9+X14+X19+X26</f>
        <v>0</v>
      </c>
      <c r="Y28" s="537"/>
      <c r="Z28" s="537"/>
      <c r="AA28" s="538"/>
      <c r="AB28" s="547"/>
      <c r="AC28" s="537"/>
      <c r="AD28" s="537"/>
      <c r="AE28" s="537"/>
      <c r="AF28" s="537"/>
      <c r="AH28" s="158"/>
      <c r="AI28" s="158"/>
      <c r="AJ28" s="158"/>
      <c r="AK28" s="538"/>
      <c r="AL28" s="537"/>
      <c r="AM28" s="537"/>
      <c r="AN28" s="537"/>
      <c r="AO28" s="537"/>
      <c r="AP28" s="537"/>
      <c r="AR28" s="158">
        <v>0</v>
      </c>
      <c r="AS28" s="158">
        <v>1071.917853869244</v>
      </c>
      <c r="AT28" s="158">
        <v>6495.7433266365942</v>
      </c>
      <c r="AU28" s="268">
        <v>279155.51800388267</v>
      </c>
      <c r="AV28" s="269">
        <v>301288.04429538618</v>
      </c>
      <c r="AW28" s="158">
        <v>298501.71994593611</v>
      </c>
      <c r="AX28" s="158">
        <v>284723.9725916803</v>
      </c>
      <c r="AY28" s="158">
        <v>283850.78060763859</v>
      </c>
      <c r="AZ28" s="158">
        <v>1447520.0354445239</v>
      </c>
      <c r="BB28" s="158">
        <v>0</v>
      </c>
      <c r="BC28" s="158">
        <v>88.46651477784819</v>
      </c>
      <c r="BD28" s="364">
        <v>220.6760854610981</v>
      </c>
      <c r="BE28" s="268">
        <v>27161.020314246191</v>
      </c>
      <c r="BF28" s="269">
        <v>27341.90945626083</v>
      </c>
      <c r="BG28" s="158">
        <v>27321.112284422885</v>
      </c>
      <c r="BH28" s="158">
        <v>27280.513231960882</v>
      </c>
      <c r="BI28" s="158">
        <v>27245.1839728944</v>
      </c>
      <c r="BJ28" s="158">
        <v>136349.73925978519</v>
      </c>
      <c r="BL28" s="158">
        <f t="shared" ref="BL28:BS28" si="68">BL9+BL14+BL19+BL26</f>
        <v>0</v>
      </c>
      <c r="BM28" s="158">
        <f t="shared" si="68"/>
        <v>1160.3843686470923</v>
      </c>
      <c r="BN28" s="158">
        <f t="shared" ref="BN28" si="69">BN9+BN14+BN19+BN26</f>
        <v>6716.4194120976917</v>
      </c>
      <c r="BO28" s="268">
        <f t="shared" si="68"/>
        <v>306316.53831812879</v>
      </c>
      <c r="BP28" s="269">
        <f t="shared" si="68"/>
        <v>328629.95375164709</v>
      </c>
      <c r="BQ28" s="158">
        <f t="shared" si="68"/>
        <v>325822.83223035897</v>
      </c>
      <c r="BR28" s="158">
        <f t="shared" si="68"/>
        <v>312004.48582364118</v>
      </c>
      <c r="BS28" s="158">
        <f t="shared" si="68"/>
        <v>311095.96458053298</v>
      </c>
      <c r="BT28" s="158">
        <f>SUM(BO28:BS28)</f>
        <v>1583869.7747043092</v>
      </c>
    </row>
    <row r="29" spans="2:72" x14ac:dyDescent="0.25">
      <c r="D29" s="158" t="b">
        <f>D28=Base_Forecast!Q42</f>
        <v>1</v>
      </c>
      <c r="E29" s="158"/>
      <c r="F29" s="158"/>
      <c r="G29" s="158"/>
      <c r="H29" s="158"/>
      <c r="I29" s="158"/>
      <c r="J29" s="158"/>
      <c r="K29" s="158"/>
      <c r="L29" s="158"/>
      <c r="N29" s="158"/>
      <c r="O29" s="158"/>
      <c r="P29" s="158"/>
      <c r="Q29" s="268"/>
      <c r="R29" s="158"/>
      <c r="S29" s="158"/>
      <c r="T29" s="158"/>
      <c r="U29" s="158"/>
      <c r="V29" s="158"/>
      <c r="X29" s="1" t="b">
        <f>ROUND(X28,2)=ROUND(D28-N28,2)</f>
        <v>1</v>
      </c>
      <c r="AA29" s="38"/>
      <c r="AK29" s="38"/>
      <c r="AR29" s="158" t="b">
        <v>0</v>
      </c>
      <c r="AS29" s="158" t="b">
        <v>0</v>
      </c>
      <c r="AT29" s="158" t="b">
        <v>0</v>
      </c>
      <c r="AU29" s="268" t="b">
        <v>1</v>
      </c>
      <c r="AV29" s="158" t="b">
        <v>1</v>
      </c>
      <c r="AW29" s="158" t="b">
        <v>1</v>
      </c>
      <c r="AX29" s="158" t="b">
        <v>1</v>
      </c>
      <c r="AY29" s="158" t="b">
        <v>1</v>
      </c>
      <c r="AZ29" s="158" t="b">
        <v>1</v>
      </c>
      <c r="BB29" s="1" t="b">
        <v>0</v>
      </c>
      <c r="BC29" s="1" t="b">
        <v>0</v>
      </c>
      <c r="BD29" s="1" t="b">
        <v>0</v>
      </c>
      <c r="BE29" s="38" t="b">
        <v>1</v>
      </c>
      <c r="BF29" s="1" t="b">
        <v>1</v>
      </c>
      <c r="BG29" s="1" t="b">
        <v>1</v>
      </c>
      <c r="BH29" s="1" t="b">
        <v>1</v>
      </c>
      <c r="BI29" s="1" t="b">
        <v>1</v>
      </c>
    </row>
    <row r="30" spans="2:72" x14ac:dyDescent="0.25">
      <c r="B30" s="1" t="s">
        <v>485</v>
      </c>
      <c r="X30" s="158"/>
    </row>
    <row r="31" spans="2:72" x14ac:dyDescent="0.25">
      <c r="C31" s="1" t="s">
        <v>10</v>
      </c>
      <c r="D31" s="364">
        <f t="shared" ref="D31:D33" si="70">D6+D11+D16</f>
        <v>0</v>
      </c>
      <c r="E31" s="537"/>
      <c r="F31" s="537"/>
      <c r="G31" s="538"/>
      <c r="H31" s="537"/>
      <c r="I31" s="537"/>
      <c r="J31" s="537"/>
      <c r="K31" s="537"/>
      <c r="L31" s="537"/>
      <c r="M31" s="158"/>
      <c r="N31" s="158"/>
      <c r="O31" s="537"/>
      <c r="P31" s="537"/>
      <c r="Q31" s="538"/>
      <c r="R31" s="537"/>
      <c r="S31" s="537"/>
      <c r="T31" s="537"/>
      <c r="U31" s="537"/>
      <c r="V31" s="537"/>
      <c r="W31" s="158"/>
      <c r="X31" s="158">
        <f t="shared" ref="X31:X33" si="71">X6+X11+X16</f>
        <v>0</v>
      </c>
      <c r="Y31" s="537"/>
      <c r="Z31" s="537"/>
      <c r="AA31" s="538"/>
      <c r="AB31" s="537"/>
      <c r="AC31" s="537"/>
      <c r="AD31" s="537"/>
      <c r="AE31" s="537"/>
      <c r="AF31" s="537"/>
      <c r="AH31" s="158"/>
      <c r="AI31" s="158"/>
      <c r="AJ31" s="158"/>
      <c r="AK31" s="538"/>
      <c r="AL31" s="537"/>
      <c r="AM31" s="537"/>
      <c r="AN31" s="537"/>
      <c r="AO31" s="537"/>
      <c r="AP31" s="537"/>
      <c r="AR31" s="158">
        <v>0</v>
      </c>
      <c r="AS31" s="158">
        <v>0</v>
      </c>
      <c r="AT31" s="158">
        <v>0</v>
      </c>
      <c r="AU31" s="268">
        <v>40534.610171048531</v>
      </c>
      <c r="AV31" s="158">
        <v>38202.29532768474</v>
      </c>
      <c r="AW31" s="158">
        <v>35933.863872047557</v>
      </c>
      <c r="AX31" s="158">
        <v>41002.666867380984</v>
      </c>
      <c r="AY31" s="158">
        <v>43130.494375934868</v>
      </c>
      <c r="AZ31" s="158">
        <v>198803.93061409669</v>
      </c>
      <c r="BB31" s="158">
        <v>0</v>
      </c>
      <c r="BC31" s="158">
        <v>0</v>
      </c>
      <c r="BD31" s="158">
        <v>0</v>
      </c>
      <c r="BE31" s="268">
        <v>4824.1243714006159</v>
      </c>
      <c r="BF31" s="158">
        <v>4217.3403016568782</v>
      </c>
      <c r="BG31" s="158">
        <v>4099.3725509458764</v>
      </c>
      <c r="BH31" s="158">
        <v>4908.7379111239552</v>
      </c>
      <c r="BI31" s="158">
        <v>5317.0338799016708</v>
      </c>
      <c r="BJ31" s="158">
        <v>23366.609015028997</v>
      </c>
      <c r="BL31" s="158">
        <f t="shared" ref="BL31:BM33" si="72">BL6+BL11+BL16</f>
        <v>0</v>
      </c>
      <c r="BM31" s="158">
        <f t="shared" si="72"/>
        <v>0</v>
      </c>
      <c r="BN31" s="158">
        <f t="shared" ref="BN31" si="73">BN6+BN11+BN16</f>
        <v>0</v>
      </c>
      <c r="BO31" s="268">
        <f t="shared" ref="BO31:BS33" si="74">BO6+BO11+BO16</f>
        <v>45358.73454244915</v>
      </c>
      <c r="BP31" s="158">
        <f t="shared" si="74"/>
        <v>42419.635629341625</v>
      </c>
      <c r="BQ31" s="158">
        <f t="shared" si="74"/>
        <v>40033.236422993432</v>
      </c>
      <c r="BR31" s="158">
        <f t="shared" si="74"/>
        <v>45911.404778504941</v>
      </c>
      <c r="BS31" s="158">
        <f t="shared" si="74"/>
        <v>48447.528255836543</v>
      </c>
      <c r="BT31" s="158">
        <f>SUM(BO31:BS31)</f>
        <v>222170.53962912568</v>
      </c>
    </row>
    <row r="32" spans="2:72" x14ac:dyDescent="0.25">
      <c r="C32" s="1" t="s">
        <v>150</v>
      </c>
      <c r="D32" s="364">
        <f t="shared" si="70"/>
        <v>0</v>
      </c>
      <c r="E32" s="537"/>
      <c r="F32" s="537"/>
      <c r="G32" s="538"/>
      <c r="H32" s="537"/>
      <c r="I32" s="537"/>
      <c r="J32" s="537"/>
      <c r="K32" s="537"/>
      <c r="L32" s="537"/>
      <c r="M32" s="158"/>
      <c r="N32" s="158"/>
      <c r="O32" s="537"/>
      <c r="P32" s="537"/>
      <c r="Q32" s="538"/>
      <c r="R32" s="537"/>
      <c r="S32" s="537"/>
      <c r="T32" s="537"/>
      <c r="U32" s="537"/>
      <c r="V32" s="537"/>
      <c r="W32" s="157"/>
      <c r="X32" s="158">
        <f t="shared" si="71"/>
        <v>0</v>
      </c>
      <c r="Y32" s="537"/>
      <c r="Z32" s="537"/>
      <c r="AA32" s="538"/>
      <c r="AB32" s="537"/>
      <c r="AC32" s="537"/>
      <c r="AD32" s="537"/>
      <c r="AE32" s="537"/>
      <c r="AF32" s="537"/>
      <c r="AH32" s="158"/>
      <c r="AI32" s="158"/>
      <c r="AJ32" s="158"/>
      <c r="AK32" s="538"/>
      <c r="AL32" s="537"/>
      <c r="AM32" s="537"/>
      <c r="AN32" s="537"/>
      <c r="AO32" s="537"/>
      <c r="AP32" s="537"/>
      <c r="AR32" s="158">
        <v>0</v>
      </c>
      <c r="AS32" s="158">
        <v>1071.917853869244</v>
      </c>
      <c r="AT32" s="158">
        <v>2542.9701905619449</v>
      </c>
      <c r="AU32" s="268">
        <v>131079.94374709894</v>
      </c>
      <c r="AV32" s="158">
        <v>131845.85302825054</v>
      </c>
      <c r="AW32" s="158">
        <v>128614.92342823028</v>
      </c>
      <c r="AX32" s="158">
        <v>113479.17412933092</v>
      </c>
      <c r="AY32" s="158">
        <v>105281.57164943188</v>
      </c>
      <c r="AZ32" s="158">
        <v>610301.46598234249</v>
      </c>
      <c r="BB32" s="158">
        <v>0</v>
      </c>
      <c r="BC32" s="158">
        <v>88.46651477784819</v>
      </c>
      <c r="BD32" s="158">
        <v>220.6760854610981</v>
      </c>
      <c r="BE32" s="268">
        <v>15600.148825011989</v>
      </c>
      <c r="BF32" s="158">
        <v>14555.115728332059</v>
      </c>
      <c r="BG32" s="158">
        <v>14672.524185572649</v>
      </c>
      <c r="BH32" s="158">
        <v>13585.446185082836</v>
      </c>
      <c r="BI32" s="158">
        <v>12978.88400049648</v>
      </c>
      <c r="BJ32" s="158">
        <v>71392.118924496026</v>
      </c>
      <c r="BL32" s="158">
        <f t="shared" si="72"/>
        <v>0</v>
      </c>
      <c r="BM32" s="158">
        <f t="shared" si="72"/>
        <v>1160.3843686470923</v>
      </c>
      <c r="BN32" s="158">
        <f t="shared" ref="BN32" si="75">BN7+BN12+BN17</f>
        <v>2763.6462760230429</v>
      </c>
      <c r="BO32" s="268">
        <f t="shared" si="74"/>
        <v>146680.09257211094</v>
      </c>
      <c r="BP32" s="158">
        <f t="shared" si="74"/>
        <v>146400.96875658262</v>
      </c>
      <c r="BQ32" s="158">
        <f t="shared" si="74"/>
        <v>143287.44761380291</v>
      </c>
      <c r="BR32" s="158">
        <f t="shared" si="74"/>
        <v>127064.62031441375</v>
      </c>
      <c r="BS32" s="158">
        <f t="shared" si="74"/>
        <v>118260.45564992836</v>
      </c>
      <c r="BT32" s="158">
        <f>SUM(BO32:BS32)</f>
        <v>681693.5849068386</v>
      </c>
    </row>
    <row r="33" spans="2:72" x14ac:dyDescent="0.25">
      <c r="C33" s="1" t="s">
        <v>32</v>
      </c>
      <c r="D33" s="364">
        <f t="shared" si="70"/>
        <v>0</v>
      </c>
      <c r="E33" s="537"/>
      <c r="F33" s="537"/>
      <c r="G33" s="538"/>
      <c r="H33" s="537"/>
      <c r="I33" s="537"/>
      <c r="J33" s="537"/>
      <c r="K33" s="537"/>
      <c r="L33" s="537"/>
      <c r="M33" s="158"/>
      <c r="N33" s="158"/>
      <c r="O33" s="537"/>
      <c r="P33" s="537"/>
      <c r="Q33" s="538"/>
      <c r="R33" s="537"/>
      <c r="S33" s="537"/>
      <c r="T33" s="537"/>
      <c r="U33" s="537"/>
      <c r="V33" s="537"/>
      <c r="W33" s="157"/>
      <c r="X33" s="158">
        <f t="shared" si="71"/>
        <v>0</v>
      </c>
      <c r="Y33" s="537"/>
      <c r="Z33" s="537"/>
      <c r="AA33" s="538"/>
      <c r="AB33" s="537"/>
      <c r="AC33" s="537"/>
      <c r="AD33" s="537"/>
      <c r="AE33" s="537"/>
      <c r="AF33" s="537"/>
      <c r="AH33" s="158"/>
      <c r="AI33" s="158"/>
      <c r="AJ33" s="158"/>
      <c r="AK33" s="538"/>
      <c r="AL33" s="537"/>
      <c r="AM33" s="537"/>
      <c r="AN33" s="537"/>
      <c r="AO33" s="537"/>
      <c r="AP33" s="537"/>
      <c r="AR33" s="158">
        <v>0</v>
      </c>
      <c r="AS33" s="158">
        <v>0</v>
      </c>
      <c r="AT33" s="158">
        <v>0</v>
      </c>
      <c r="AU33" s="268">
        <v>57176.139688902949</v>
      </c>
      <c r="AV33" s="158">
        <v>96572.924716178299</v>
      </c>
      <c r="AW33" s="158">
        <v>94544.242863293752</v>
      </c>
      <c r="AX33" s="158">
        <v>95077.197853391583</v>
      </c>
      <c r="AY33" s="158">
        <v>95646.885227081846</v>
      </c>
      <c r="AZ33" s="158">
        <v>439017.39034884842</v>
      </c>
      <c r="BB33" s="158">
        <v>0</v>
      </c>
      <c r="BC33" s="158">
        <v>0</v>
      </c>
      <c r="BD33" s="158">
        <v>0</v>
      </c>
      <c r="BE33" s="268">
        <v>4223.0267172595004</v>
      </c>
      <c r="BF33" s="158">
        <v>6117.5711464727428</v>
      </c>
      <c r="BG33" s="158">
        <v>6074.1638099779057</v>
      </c>
      <c r="BH33" s="158">
        <v>6314.6612494029032</v>
      </c>
      <c r="BI33" s="158">
        <v>6480.0246287809732</v>
      </c>
      <c r="BJ33" s="158">
        <v>29209.447551894023</v>
      </c>
      <c r="BL33" s="158">
        <f t="shared" si="72"/>
        <v>0</v>
      </c>
      <c r="BM33" s="158">
        <f t="shared" si="72"/>
        <v>0</v>
      </c>
      <c r="BN33" s="158">
        <f t="shared" ref="BN33" si="76">BN8+BN13+BN18</f>
        <v>0</v>
      </c>
      <c r="BO33" s="268">
        <f t="shared" si="74"/>
        <v>61399.166406162447</v>
      </c>
      <c r="BP33" s="158">
        <f t="shared" si="74"/>
        <v>102690.49586265103</v>
      </c>
      <c r="BQ33" s="158">
        <f t="shared" si="74"/>
        <v>100618.40667327166</v>
      </c>
      <c r="BR33" s="158">
        <f t="shared" si="74"/>
        <v>101391.85910279449</v>
      </c>
      <c r="BS33" s="158">
        <f t="shared" si="74"/>
        <v>102126.90985586282</v>
      </c>
      <c r="BT33" s="158">
        <f>SUM(BO33:BS33)</f>
        <v>468226.83790074242</v>
      </c>
    </row>
    <row r="34" spans="2:72" x14ac:dyDescent="0.25">
      <c r="C34" s="1" t="s">
        <v>484</v>
      </c>
      <c r="D34" s="158">
        <f t="shared" ref="D34" si="77">D26</f>
        <v>0</v>
      </c>
      <c r="E34" s="537"/>
      <c r="F34" s="537"/>
      <c r="G34" s="538"/>
      <c r="H34" s="537"/>
      <c r="I34" s="537"/>
      <c r="J34" s="537"/>
      <c r="K34" s="537"/>
      <c r="L34" s="537"/>
      <c r="M34" s="158"/>
      <c r="N34" s="158"/>
      <c r="O34" s="537"/>
      <c r="P34" s="537"/>
      <c r="Q34" s="538"/>
      <c r="R34" s="537"/>
      <c r="S34" s="537"/>
      <c r="T34" s="537"/>
      <c r="U34" s="537"/>
      <c r="V34" s="537"/>
      <c r="W34" s="275"/>
      <c r="X34" s="158">
        <f t="shared" ref="X34" si="78">X26</f>
        <v>0</v>
      </c>
      <c r="Y34" s="537"/>
      <c r="Z34" s="537"/>
      <c r="AA34" s="538"/>
      <c r="AB34" s="537"/>
      <c r="AC34" s="537"/>
      <c r="AD34" s="537"/>
      <c r="AE34" s="537"/>
      <c r="AF34" s="537"/>
      <c r="AH34" s="158"/>
      <c r="AI34" s="158"/>
      <c r="AJ34" s="158"/>
      <c r="AK34" s="538"/>
      <c r="AL34" s="537"/>
      <c r="AM34" s="537"/>
      <c r="AN34" s="537"/>
      <c r="AO34" s="537"/>
      <c r="AP34" s="537"/>
      <c r="AR34" s="158">
        <v>0</v>
      </c>
      <c r="AS34" s="158">
        <v>0</v>
      </c>
      <c r="AT34" s="158">
        <v>3952.7731360746493</v>
      </c>
      <c r="AU34" s="268">
        <v>50364.824396832213</v>
      </c>
      <c r="AV34" s="158">
        <v>34666.971223272601</v>
      </c>
      <c r="AW34" s="158">
        <v>39408.689782364534</v>
      </c>
      <c r="AX34" s="158">
        <v>35164.93374157681</v>
      </c>
      <c r="AY34" s="158">
        <v>39791.829355189962</v>
      </c>
      <c r="AZ34" s="158">
        <v>199397.2484992361</v>
      </c>
      <c r="BB34" s="158">
        <v>0</v>
      </c>
      <c r="BC34" s="158">
        <v>0</v>
      </c>
      <c r="BD34" s="158">
        <v>0</v>
      </c>
      <c r="BE34" s="268">
        <v>2513.720400574085</v>
      </c>
      <c r="BF34" s="158">
        <v>2451.8822797991493</v>
      </c>
      <c r="BG34" s="158">
        <v>2475.0517379264516</v>
      </c>
      <c r="BH34" s="158">
        <v>2471.6678863511834</v>
      </c>
      <c r="BI34" s="158">
        <v>2469.2414637152756</v>
      </c>
      <c r="BJ34" s="158">
        <v>12381.563768366144</v>
      </c>
      <c r="BL34" s="158">
        <f t="shared" ref="BL34:BS34" si="79">BL26</f>
        <v>0</v>
      </c>
      <c r="BM34" s="158">
        <f t="shared" si="79"/>
        <v>0</v>
      </c>
      <c r="BN34" s="158">
        <f t="shared" ref="BN34" si="80">BN26</f>
        <v>3952.7731360746493</v>
      </c>
      <c r="BO34" s="268">
        <f t="shared" si="79"/>
        <v>52878.544797406299</v>
      </c>
      <c r="BP34" s="158">
        <f t="shared" si="79"/>
        <v>37118.853503071747</v>
      </c>
      <c r="BQ34" s="158">
        <f t="shared" si="79"/>
        <v>41883.741520290983</v>
      </c>
      <c r="BR34" s="158">
        <f t="shared" si="79"/>
        <v>37636.601627927994</v>
      </c>
      <c r="BS34" s="158">
        <f t="shared" si="79"/>
        <v>42261.070818905238</v>
      </c>
      <c r="BT34" s="158">
        <f>SUM(BO34:BS34)</f>
        <v>211778.81226760225</v>
      </c>
    </row>
    <row r="35" spans="2:72" x14ac:dyDescent="0.25">
      <c r="D35" s="158"/>
      <c r="E35" s="537"/>
      <c r="F35" s="537"/>
      <c r="G35" s="547"/>
      <c r="H35" s="537"/>
      <c r="I35" s="537"/>
      <c r="J35" s="537"/>
      <c r="K35" s="537"/>
      <c r="L35" s="537"/>
      <c r="M35" s="158"/>
      <c r="N35" s="158"/>
      <c r="O35" s="537"/>
      <c r="P35" s="537"/>
      <c r="Q35" s="537"/>
      <c r="R35" s="537"/>
      <c r="S35" s="537"/>
      <c r="T35" s="537"/>
      <c r="U35" s="537"/>
      <c r="V35" s="537"/>
      <c r="W35" s="158"/>
      <c r="X35" s="158"/>
      <c r="Y35" s="158"/>
      <c r="Z35" s="158"/>
      <c r="AA35" s="269"/>
      <c r="AB35" s="158"/>
      <c r="AC35" s="158"/>
      <c r="AD35" s="158"/>
      <c r="AE35" s="158"/>
      <c r="AF35" s="158"/>
      <c r="AR35" s="158"/>
      <c r="AS35" s="158"/>
      <c r="AT35" s="158"/>
      <c r="AU35" s="269"/>
      <c r="AV35" s="158"/>
      <c r="AW35" s="158"/>
      <c r="AX35" s="158"/>
      <c r="AY35" s="158"/>
      <c r="AZ35" s="158"/>
    </row>
    <row r="36" spans="2:72" x14ac:dyDescent="0.25">
      <c r="B36" s="2"/>
      <c r="C36" s="1" t="s">
        <v>10</v>
      </c>
      <c r="D36" s="158">
        <f>SUMIFS(Augmentation!CQ$6:CQ$36,Augmentation!$G$6:$G$36,$C36)+SUMIFS(Major_Rebuilds!CQ$6:CQ$36,Major_Rebuilds!$G$6:$G$36,$C36)+SUMIFS(Stations!DF$7:DF$38,Stations!$G$7:$G$38,$C36)+SUMIFS(Lines!DF$7:DF$37,Lines!$G$7:$G$37,$C36)+SUMIFS('PC&amp;A'!CQ$6:CQ$36,'PC&amp;A'!$G$6:$G$36,$C36)+SUMIFS('SCADA&amp;Comms'!CQ$6:CQ$36,'SCADA&amp;Comms'!$G$6:$G$36,$C36)+SUMIFS(REFCL!CQ$6:CQ$36,REFCL!$G$6:$G$36,$C36)+SUMIFS(ESL_1!DF$7:DF$37,ESL_1!$G$7:$G$37,$C36)+SUMIFS(ESL_2!CQ$6:CQ$36,ESL_2!$G$6:$G$36,$C36)+SUMIFS(ESL_2!CQ$42:CQ$44,ESL_2!$G$42:$G$44,$C36)+SUMIFS(ICT!BC$6:BC$36,ICT!$G$6:$G$36,$C36)</f>
        <v>0</v>
      </c>
      <c r="E36" s="770">
        <f>SUMIFS(Augmentation!CR$6:CR$36,Augmentation!$G$6:$G$36,$C36)+SUMIFS(Major_Rebuilds!CR$6:CR$36,Major_Rebuilds!$G$6:$G$36,$C36)+SUMIFS(Stations!DG$7:DG$38,Stations!$G$7:$G$38,$C36)+SUMIFS(Lines!DG$7:DG$37,Lines!$G$7:$G$37,$C36)+SUMIFS('PC&amp;A'!CR$6:CR$36,'PC&amp;A'!$G$6:$G$36,$C36)+SUMIFS('SCADA&amp;Comms'!CR$6:CR$36,'SCADA&amp;Comms'!$G$6:$G$36,$C36)+SUMIFS(REFCL!CR$6:CR$36,REFCL!$G$6:$G$36,$C36)+SUMIFS(ESL_1!DG$7:DG$37,ESL_1!$G$7:$G$37,$C36)+SUMIFS(ESL_2!CR$6:CR$36,ESL_2!$G$6:$G$36,$C36)+SUMIFS(ESL_2!CR$42:CR$44,ESL_2!$G$42:$G$44,$C36)+SUMIFS(ICT!BD$6:BD$36,ICT!$G$6:$G$36,$C36)</f>
        <v>0</v>
      </c>
      <c r="F36" s="770">
        <f>SUMIFS(Augmentation!CS$6:CS$36,Augmentation!$G$6:$G$36,$C36)+SUMIFS(Major_Rebuilds!CS$6:CS$36,Major_Rebuilds!$G$6:$G$36,$C36)+SUMIFS(Stations!DH$7:DH$38,Stations!$G$7:$G$38,$C36)+SUMIFS(Lines!DH$7:DH$37,Lines!$G$7:$G$37,$C36)+SUMIFS('PC&amp;A'!CS$6:CS$36,'PC&amp;A'!$G$6:$G$36,$C36)+SUMIFS('SCADA&amp;Comms'!CS$6:CS$36,'SCADA&amp;Comms'!$G$6:$G$36,$C36)+SUMIFS(REFCL!CS$6:CS$36,REFCL!$G$6:$G$36,$C36)+SUMIFS(ESL_1!DH$7:DH$37,ESL_1!$G$7:$G$37,$C36)+SUMIFS(ESL_2!CS$6:CS$36,ESL_2!$G$6:$G$36,$C36)+SUMIFS(ESL_2!CS$42:CS$44,ESL_2!$G$42:$G$44,$C36)+SUMIFS(ICT!BE$6:BE$36,ICT!$G$6:$G$36,$C36)</f>
        <v>0</v>
      </c>
      <c r="G36" s="770">
        <v>40215.378903095545</v>
      </c>
      <c r="H36" s="770">
        <v>37882.672119602241</v>
      </c>
      <c r="I36" s="770">
        <v>35614.784873736717</v>
      </c>
      <c r="J36" s="770">
        <v>40683.196115891573</v>
      </c>
      <c r="K36" s="770">
        <v>42810.631390287082</v>
      </c>
      <c r="L36" s="770">
        <v>197206.66340261317</v>
      </c>
      <c r="M36" s="129"/>
      <c r="N36" s="768">
        <v>0</v>
      </c>
      <c r="O36" s="768">
        <v>0</v>
      </c>
      <c r="P36" s="768">
        <v>0</v>
      </c>
      <c r="Q36" s="218">
        <v>40093.48087732213</v>
      </c>
      <c r="R36" s="218">
        <v>37789.101832577013</v>
      </c>
      <c r="S36" s="218">
        <v>35533.447362067505</v>
      </c>
      <c r="T36" s="218">
        <v>40566.917857756962</v>
      </c>
      <c r="U36" s="218">
        <v>42621.453751497334</v>
      </c>
      <c r="V36" s="770">
        <v>196604.40168122092</v>
      </c>
      <c r="AZ36" s="305" t="s">
        <v>510</v>
      </c>
      <c r="BA36" s="306"/>
      <c r="BB36" s="29">
        <f>CP_Yr_4</f>
        <v>43800</v>
      </c>
      <c r="BC36" s="29">
        <f>CP_Yr_5</f>
        <v>44166</v>
      </c>
      <c r="BD36" s="29">
        <f>Stub</f>
        <v>44377</v>
      </c>
      <c r="BE36" s="29">
        <f>Yr_1</f>
        <v>44742</v>
      </c>
      <c r="BF36" s="29">
        <f>Yr_2</f>
        <v>45107</v>
      </c>
      <c r="BG36" s="29">
        <f>Yr_3</f>
        <v>45473</v>
      </c>
      <c r="BH36" s="29">
        <f>Yr_4</f>
        <v>45838</v>
      </c>
      <c r="BI36" s="29">
        <f>Yr_5</f>
        <v>46203</v>
      </c>
    </row>
    <row r="37" spans="2:72" x14ac:dyDescent="0.25">
      <c r="C37" s="1" t="s">
        <v>150</v>
      </c>
      <c r="D37" s="158">
        <f>SUMIFS(Augmentation!CQ$6:CQ$36,Augmentation!$G$6:$G$36,$C37)+SUMIFS(Major_Rebuilds!CQ$6:CQ$36,Major_Rebuilds!$G$6:$G$36,$C37)+SUMIFS(Stations!DF$7:DF$38,Stations!$G$7:$G$38,$C37)+SUMIFS(Lines!DF$7:DF$37,Lines!$G$7:$G$37,$C37)+SUMIFS('PC&amp;A'!CQ$6:CQ$36,'PC&amp;A'!$G$6:$G$36,$C37)+SUMIFS('SCADA&amp;Comms'!CQ$6:CQ$36,'SCADA&amp;Comms'!$G$6:$G$36,$C37)+SUMIFS(REFCL!CQ$6:CQ$36,REFCL!$G$6:$G$36,$C37)+SUMIFS(ESL_1!DF$7:DF$37,ESL_1!$G$7:$G$37,$C37)+SUMIFS(ESL_2!CQ$6:CQ$36,ESL_2!$G$6:$G$36,$C37)+SUMIFS(ESL_2!CQ$42:CQ$44,ESL_2!$G$42:$G$44,$C37)+SUMIFS(Metering_SCS!BC$6:BC$36,Metering_SCS!$G$6:$G$36,$C37)</f>
        <v>0</v>
      </c>
      <c r="E37" s="770">
        <f>SUMIFS(Augmentation!CR$6:CR$36,Augmentation!$G$6:$G$36,$C37)+SUMIFS(Major_Rebuilds!CR$6:CR$36,Major_Rebuilds!$G$6:$G$36,$C37)+SUMIFS(Stations!DG$7:DG$38,Stations!$G$7:$G$38,$C37)+SUMIFS(Lines!DG$7:DG$37,Lines!$G$7:$G$37,$C37)+SUMIFS('PC&amp;A'!CR$6:CR$36,'PC&amp;A'!$G$6:$G$36,$C37)+SUMIFS('SCADA&amp;Comms'!CR$6:CR$36,'SCADA&amp;Comms'!$G$6:$G$36,$C37)+SUMIFS(REFCL!CR$6:CR$36,REFCL!$G$6:$G$36,$C37)+SUMIFS(ESL_1!DG$7:DG$37,ESL_1!$G$7:$G$37,$C37)+SUMIFS(ESL_2!CR$6:CR$36,ESL_2!$G$6:$G$36,$C37)+SUMIFS(ESL_2!CR$42:CR$44,ESL_2!$G$42:$G$44,$C37)+SUMIFS(Metering_SCS!BD$6:BD$36,Metering_SCS!$G$6:$G$36,$C37)</f>
        <v>1071.917853869244</v>
      </c>
      <c r="F37" s="770">
        <f>SUMIFS(Augmentation!CS$6:CS$36,Augmentation!$G$6:$G$36,$C37)+SUMIFS(Major_Rebuilds!CS$6:CS$36,Major_Rebuilds!$G$6:$G$36,$C37)+SUMIFS(Stations!DH$7:DH$38,Stations!$G$7:$G$38,$C37)+SUMIFS(Lines!DH$7:DH$37,Lines!$G$7:$G$37,$C37)+SUMIFS('PC&amp;A'!CS$6:CS$36,'PC&amp;A'!$G$6:$G$36,$C37)+SUMIFS('SCADA&amp;Comms'!CS$6:CS$36,'SCADA&amp;Comms'!$G$6:$G$36,$C37)+SUMIFS(REFCL!CS$6:CS$36,REFCL!$G$6:$G$36,$C37)+SUMIFS(ESL_1!DH$7:DH$37,ESL_1!$G$7:$G$37,$C37)+SUMIFS(ESL_2!CS$6:CS$36,ESL_2!$G$6:$G$36,$C37)+SUMIFS(ESL_2!CS$42:CS$44,ESL_2!$G$42:$G$44,$C37)+SUMIFS(Metering_SCS!BE$6:BE$36,Metering_SCS!$G$6:$G$36,$C37)</f>
        <v>2542.9701905619449</v>
      </c>
      <c r="G37" s="770">
        <v>125351.9336760391</v>
      </c>
      <c r="H37" s="770">
        <v>126110.81032212498</v>
      </c>
      <c r="I37" s="770">
        <v>122889.64555207526</v>
      </c>
      <c r="J37" s="770">
        <v>107746.86697259622</v>
      </c>
      <c r="K37" s="770">
        <v>99542.226581831506</v>
      </c>
      <c r="L37" s="770">
        <v>581641.48310466704</v>
      </c>
      <c r="M37" s="129"/>
      <c r="N37" s="768">
        <v>0</v>
      </c>
      <c r="O37" s="768">
        <v>1070</v>
      </c>
      <c r="P37" s="768">
        <v>2539.0062499999999</v>
      </c>
      <c r="Q37" s="218">
        <v>125102.55500625118</v>
      </c>
      <c r="R37" s="218">
        <v>125909.1125971689</v>
      </c>
      <c r="S37" s="218">
        <v>122707.93270601208</v>
      </c>
      <c r="T37" s="218">
        <v>107547.39303557013</v>
      </c>
      <c r="U37" s="218">
        <v>99256.900929530384</v>
      </c>
      <c r="V37" s="770">
        <v>580523.89427453268</v>
      </c>
      <c r="AZ37" s="253" t="s">
        <v>10</v>
      </c>
      <c r="BA37" s="302"/>
      <c r="BB37" s="79">
        <v>9.9373740508838515E-2</v>
      </c>
      <c r="BC37" s="79">
        <v>8.253105819491241E-2</v>
      </c>
      <c r="BD37" s="79">
        <v>8.6778872312432864E-2</v>
      </c>
      <c r="BE37" s="79">
        <v>0.1190124772643355</v>
      </c>
      <c r="BF37" s="79">
        <v>0.11039494526394654</v>
      </c>
      <c r="BG37" s="79">
        <v>0.11408103969956654</v>
      </c>
      <c r="BH37" s="79">
        <v>0.11971752781351457</v>
      </c>
      <c r="BI37" s="79">
        <v>0.12327783293085477</v>
      </c>
    </row>
    <row r="38" spans="2:72" x14ac:dyDescent="0.25">
      <c r="C38" s="1" t="s">
        <v>32</v>
      </c>
      <c r="D38" s="158">
        <f>Base_Forecast!Q12</f>
        <v>0</v>
      </c>
      <c r="E38" s="770">
        <f>Base_Forecast!R12</f>
        <v>0</v>
      </c>
      <c r="F38" s="770">
        <f>Base_Forecast!S12</f>
        <v>0</v>
      </c>
      <c r="G38" s="770">
        <v>55921.449562129113</v>
      </c>
      <c r="H38" s="770">
        <v>94404.640374973838</v>
      </c>
      <c r="I38" s="770">
        <v>92379.650373921017</v>
      </c>
      <c r="J38" s="770">
        <v>92909.947758872411</v>
      </c>
      <c r="K38" s="770">
        <v>93476.97426450871</v>
      </c>
      <c r="L38" s="770">
        <v>429092.66233440506</v>
      </c>
      <c r="M38" s="129"/>
      <c r="N38" s="768">
        <v>0</v>
      </c>
      <c r="O38" s="768">
        <v>0</v>
      </c>
      <c r="P38" s="768">
        <v>0</v>
      </c>
      <c r="Q38" s="218">
        <v>55837.276828241185</v>
      </c>
      <c r="R38" s="218">
        <v>94286.926871742558</v>
      </c>
      <c r="S38" s="218">
        <v>92274.309234582863</v>
      </c>
      <c r="T38" s="218">
        <v>92777.606497911096</v>
      </c>
      <c r="U38" s="218">
        <v>93271.270927727513</v>
      </c>
      <c r="V38" s="770">
        <v>428447.3903602052</v>
      </c>
      <c r="AZ38" s="38" t="s">
        <v>150</v>
      </c>
      <c r="BA38" s="250"/>
      <c r="BB38" s="79">
        <v>9.9373740508838515E-2</v>
      </c>
      <c r="BC38" s="79">
        <v>8.253105819491241E-2</v>
      </c>
      <c r="BD38" s="79">
        <v>8.6778872312432864E-2</v>
      </c>
      <c r="BE38" s="79">
        <v>0.1190124772643355</v>
      </c>
      <c r="BF38" s="79">
        <v>0.11039494526394654</v>
      </c>
      <c r="BG38" s="79">
        <v>0.11408103969956654</v>
      </c>
      <c r="BH38" s="79">
        <v>0.11971752781351457</v>
      </c>
      <c r="BI38" s="79">
        <v>0.12327783293085477</v>
      </c>
    </row>
    <row r="39" spans="2:72" x14ac:dyDescent="0.25">
      <c r="C39" s="1" t="s">
        <v>484</v>
      </c>
      <c r="D39" s="158">
        <f>Base_Forecast!Q35+SUMIFS(REFCL!CQ$6:CQ$36,REFCL!$G$6:$G$36,$C39)+SUMIFS(Augmentation!CQ$6:CQ$36,Augmentation!$G$6:$G$36,$C39)</f>
        <v>0</v>
      </c>
      <c r="E39" s="770">
        <f>Base_Forecast!R35+SUMIFS(REFCL!CR$6:CR$36,REFCL!$G$6:$G$36,$C39)+SUMIFS(Augmentation!CR$6:CR$36,Augmentation!$G$6:$G$36,$C39)</f>
        <v>0</v>
      </c>
      <c r="F39" s="770">
        <f>Base_Forecast!S35+SUMIFS(REFCL!CS$6:CS$36,REFCL!$G$6:$G$36,$C39)+SUMIFS(Augmentation!CS$6:CS$36,Augmentation!$G$6:$G$36,$C39)</f>
        <v>0</v>
      </c>
      <c r="G39" s="770">
        <v>50364.824396832213</v>
      </c>
      <c r="H39" s="770">
        <v>34666.971223272594</v>
      </c>
      <c r="I39" s="770">
        <v>39408.689782364534</v>
      </c>
      <c r="J39" s="770">
        <v>35164.933741576802</v>
      </c>
      <c r="K39" s="770">
        <v>39791.82935518997</v>
      </c>
      <c r="L39" s="770">
        <v>199397.24849923613</v>
      </c>
      <c r="M39" s="129"/>
      <c r="N39" s="768">
        <v>0</v>
      </c>
      <c r="O39" s="768">
        <v>0</v>
      </c>
      <c r="P39" s="768">
        <v>3952.2885985658063</v>
      </c>
      <c r="Q39" s="218">
        <v>50228.451455829061</v>
      </c>
      <c r="R39" s="218">
        <v>34586.540972118557</v>
      </c>
      <c r="S39" s="218">
        <v>39317.424433901906</v>
      </c>
      <c r="T39" s="218">
        <v>35076.991112301701</v>
      </c>
      <c r="U39" s="218">
        <v>39658.832947247174</v>
      </c>
      <c r="V39" s="770">
        <v>198868.24092139839</v>
      </c>
      <c r="AZ39" s="303" t="s">
        <v>32</v>
      </c>
      <c r="BA39" s="304"/>
      <c r="BB39" s="79">
        <v>8.6960798438632539E-2</v>
      </c>
      <c r="BC39" s="79">
        <v>7.373403490997682E-2</v>
      </c>
      <c r="BD39" s="79">
        <v>7.6718186965232985E-2</v>
      </c>
      <c r="BE39" s="79">
        <v>0.10772162281847346</v>
      </c>
      <c r="BF39" s="79">
        <v>9.3344604058318514E-2</v>
      </c>
      <c r="BG39" s="79">
        <v>9.5886836385876514E-2</v>
      </c>
      <c r="BH39" s="79">
        <v>9.9400538748807749E-2</v>
      </c>
      <c r="BI39" s="79">
        <v>0.10150557034830396</v>
      </c>
    </row>
    <row r="40" spans="2:72" x14ac:dyDescent="0.25">
      <c r="AZ40" s="303" t="s">
        <v>486</v>
      </c>
      <c r="BA40" s="304"/>
      <c r="BB40" s="79">
        <v>4.8869562961132484E-2</v>
      </c>
      <c r="BC40" s="79">
        <v>4.4606846212935897E-2</v>
      </c>
      <c r="BD40" s="79">
        <v>5.9471621997677276E-2</v>
      </c>
      <c r="BE40" s="79">
        <v>6.0867532539228004E-2</v>
      </c>
      <c r="BF40" s="79">
        <v>8.7971249756224126E-2</v>
      </c>
      <c r="BG40" s="79">
        <v>7.4629200087294373E-2</v>
      </c>
      <c r="BH40" s="79">
        <v>9.8650657157046046E-2</v>
      </c>
      <c r="BI40" s="79">
        <v>0.10109563215012586</v>
      </c>
    </row>
    <row r="41" spans="2:72" ht="15" customHeight="1" x14ac:dyDescent="0.25">
      <c r="C41" s="1" t="s">
        <v>10</v>
      </c>
      <c r="D41" s="158">
        <f>D31-D36</f>
        <v>0</v>
      </c>
      <c r="E41" s="158">
        <f t="shared" ref="E41:L41" si="81">E31-E36</f>
        <v>0</v>
      </c>
      <c r="F41" s="158">
        <f t="shared" ref="F41" si="82">F31-F36</f>
        <v>0</v>
      </c>
      <c r="G41" s="158">
        <f t="shared" si="81"/>
        <v>-40215.378903095545</v>
      </c>
      <c r="H41" s="158">
        <f t="shared" si="81"/>
        <v>-37882.672119602241</v>
      </c>
      <c r="I41" s="158">
        <f t="shared" si="81"/>
        <v>-35614.784873736717</v>
      </c>
      <c r="J41" s="158">
        <f t="shared" si="81"/>
        <v>-40683.196115891573</v>
      </c>
      <c r="K41" s="158">
        <f t="shared" si="81"/>
        <v>-42810.631390287082</v>
      </c>
      <c r="L41" s="158">
        <f t="shared" si="81"/>
        <v>-197206.66340261317</v>
      </c>
      <c r="N41" s="158">
        <f>N31-N36</f>
        <v>0</v>
      </c>
      <c r="O41" s="158">
        <f t="shared" ref="O41:V41" si="83">O31-O36</f>
        <v>0</v>
      </c>
      <c r="P41" s="158">
        <f t="shared" ref="P41" si="84">P31-P36</f>
        <v>0</v>
      </c>
      <c r="Q41" s="158">
        <f t="shared" si="83"/>
        <v>-40093.48087732213</v>
      </c>
      <c r="R41" s="158">
        <f t="shared" si="83"/>
        <v>-37789.101832577013</v>
      </c>
      <c r="S41" s="158">
        <f t="shared" si="83"/>
        <v>-35533.447362067505</v>
      </c>
      <c r="T41" s="158">
        <f t="shared" si="83"/>
        <v>-40566.917857756962</v>
      </c>
      <c r="U41" s="158">
        <f t="shared" si="83"/>
        <v>-42621.453751497334</v>
      </c>
      <c r="V41" s="158">
        <f t="shared" si="83"/>
        <v>-196604.40168122092</v>
      </c>
    </row>
    <row r="42" spans="2:72" ht="15" customHeight="1" x14ac:dyDescent="0.25">
      <c r="C42" s="1" t="s">
        <v>150</v>
      </c>
      <c r="D42" s="158">
        <f t="shared" ref="D42:L42" si="85">D32-D37</f>
        <v>0</v>
      </c>
      <c r="E42" s="158">
        <f t="shared" si="85"/>
        <v>-1071.917853869244</v>
      </c>
      <c r="F42" s="158">
        <f t="shared" ref="F42" si="86">F32-F37</f>
        <v>-2542.9701905619449</v>
      </c>
      <c r="G42" s="158">
        <f t="shared" si="85"/>
        <v>-125351.9336760391</v>
      </c>
      <c r="H42" s="158">
        <f t="shared" si="85"/>
        <v>-126110.81032212498</v>
      </c>
      <c r="I42" s="158">
        <f t="shared" si="85"/>
        <v>-122889.64555207526</v>
      </c>
      <c r="J42" s="158">
        <f t="shared" si="85"/>
        <v>-107746.86697259622</v>
      </c>
      <c r="K42" s="158">
        <f t="shared" si="85"/>
        <v>-99542.226581831506</v>
      </c>
      <c r="L42" s="158">
        <f t="shared" si="85"/>
        <v>-581641.48310466704</v>
      </c>
      <c r="N42" s="158">
        <f t="shared" ref="N42:V42" si="87">N32-N37</f>
        <v>0</v>
      </c>
      <c r="O42" s="158">
        <f t="shared" si="87"/>
        <v>-1070</v>
      </c>
      <c r="P42" s="158">
        <f t="shared" ref="P42" si="88">P32-P37</f>
        <v>-2539.0062499999999</v>
      </c>
      <c r="Q42" s="158">
        <f t="shared" si="87"/>
        <v>-125102.55500625118</v>
      </c>
      <c r="R42" s="158">
        <f t="shared" si="87"/>
        <v>-125909.1125971689</v>
      </c>
      <c r="S42" s="158">
        <f t="shared" si="87"/>
        <v>-122707.93270601208</v>
      </c>
      <c r="T42" s="158">
        <f t="shared" si="87"/>
        <v>-107547.39303557013</v>
      </c>
      <c r="U42" s="158">
        <f t="shared" si="87"/>
        <v>-99256.900929530384</v>
      </c>
      <c r="V42" s="158">
        <f t="shared" si="87"/>
        <v>-580523.89427453268</v>
      </c>
      <c r="BO42" s="158"/>
      <c r="BP42" s="158"/>
      <c r="BQ42" s="158"/>
      <c r="BR42" s="158"/>
      <c r="BS42" s="158"/>
      <c r="BT42" s="158"/>
    </row>
    <row r="43" spans="2:72" ht="15" customHeight="1" x14ac:dyDescent="0.25">
      <c r="C43" s="1" t="s">
        <v>32</v>
      </c>
      <c r="D43" s="158">
        <f t="shared" ref="D43:L43" si="89">D33-D38</f>
        <v>0</v>
      </c>
      <c r="E43" s="158">
        <f t="shared" si="89"/>
        <v>0</v>
      </c>
      <c r="F43" s="158">
        <f t="shared" ref="F43" si="90">F33-F38</f>
        <v>0</v>
      </c>
      <c r="G43" s="158">
        <f t="shared" si="89"/>
        <v>-55921.449562129113</v>
      </c>
      <c r="H43" s="158">
        <f t="shared" si="89"/>
        <v>-94404.640374973838</v>
      </c>
      <c r="I43" s="158">
        <f t="shared" si="89"/>
        <v>-92379.650373921017</v>
      </c>
      <c r="J43" s="158">
        <f t="shared" si="89"/>
        <v>-92909.947758872411</v>
      </c>
      <c r="K43" s="158">
        <f t="shared" si="89"/>
        <v>-93476.97426450871</v>
      </c>
      <c r="L43" s="158">
        <f t="shared" si="89"/>
        <v>-429092.66233440506</v>
      </c>
      <c r="N43" s="158">
        <f t="shared" ref="N43:V43" si="91">N33-N38</f>
        <v>0</v>
      </c>
      <c r="O43" s="158">
        <f t="shared" si="91"/>
        <v>0</v>
      </c>
      <c r="P43" s="158">
        <f t="shared" ref="P43" si="92">P33-P38</f>
        <v>0</v>
      </c>
      <c r="Q43" s="158">
        <f t="shared" si="91"/>
        <v>-55837.276828241185</v>
      </c>
      <c r="R43" s="158">
        <f t="shared" si="91"/>
        <v>-94286.926871742558</v>
      </c>
      <c r="S43" s="158">
        <f t="shared" si="91"/>
        <v>-92274.309234582863</v>
      </c>
      <c r="T43" s="158">
        <f t="shared" si="91"/>
        <v>-92777.606497911096</v>
      </c>
      <c r="U43" s="158">
        <f t="shared" si="91"/>
        <v>-93271.270927727513</v>
      </c>
      <c r="V43" s="158">
        <f t="shared" si="91"/>
        <v>-428447.3903602052</v>
      </c>
    </row>
    <row r="44" spans="2:72" ht="15" customHeight="1" x14ac:dyDescent="0.25">
      <c r="C44" s="1" t="s">
        <v>484</v>
      </c>
      <c r="D44" s="158">
        <f t="shared" ref="D44:L44" si="93">D34-D39</f>
        <v>0</v>
      </c>
      <c r="E44" s="158">
        <f t="shared" si="93"/>
        <v>0</v>
      </c>
      <c r="F44" s="158">
        <f t="shared" ref="F44" si="94">F34-F39</f>
        <v>0</v>
      </c>
      <c r="G44" s="158">
        <f t="shared" si="93"/>
        <v>-50364.824396832213</v>
      </c>
      <c r="H44" s="158">
        <f t="shared" si="93"/>
        <v>-34666.971223272594</v>
      </c>
      <c r="I44" s="158">
        <f t="shared" si="93"/>
        <v>-39408.689782364534</v>
      </c>
      <c r="J44" s="158">
        <f t="shared" si="93"/>
        <v>-35164.933741576802</v>
      </c>
      <c r="K44" s="158">
        <f t="shared" si="93"/>
        <v>-39791.82935518997</v>
      </c>
      <c r="L44" s="158">
        <f t="shared" si="93"/>
        <v>-199397.24849923613</v>
      </c>
      <c r="N44" s="158">
        <f t="shared" ref="N44:V44" si="95">N34-N39</f>
        <v>0</v>
      </c>
      <c r="O44" s="158">
        <f t="shared" si="95"/>
        <v>0</v>
      </c>
      <c r="P44" s="158">
        <f t="shared" ref="P44" si="96">P34-P39</f>
        <v>-3952.2885985658063</v>
      </c>
      <c r="Q44" s="158">
        <f t="shared" si="95"/>
        <v>-50228.451455829061</v>
      </c>
      <c r="R44" s="158">
        <f t="shared" si="95"/>
        <v>-34586.540972118557</v>
      </c>
      <c r="S44" s="158">
        <f t="shared" si="95"/>
        <v>-39317.424433901906</v>
      </c>
      <c r="T44" s="158">
        <f t="shared" si="95"/>
        <v>-35076.991112301701</v>
      </c>
      <c r="U44" s="158">
        <f t="shared" si="95"/>
        <v>-39658.832947247174</v>
      </c>
      <c r="V44" s="158">
        <f t="shared" si="95"/>
        <v>-198868.24092139839</v>
      </c>
    </row>
    <row r="45" spans="2:72" ht="15" customHeight="1" x14ac:dyDescent="0.25"/>
    <row r="48" spans="2:72" x14ac:dyDescent="0.25">
      <c r="AU48" s="158"/>
    </row>
    <row r="49" spans="47:47" x14ac:dyDescent="0.25">
      <c r="AU49" s="754"/>
    </row>
  </sheetData>
  <mergeCells count="1">
    <mergeCell ref="T1:U1"/>
  </mergeCells>
  <hyperlinks>
    <hyperlink ref="B2" location="Contents!A1" display="Table of Contents"/>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55"/>
  <sheetViews>
    <sheetView zoomScale="70" zoomScaleNormal="70" workbookViewId="0">
      <pane xSplit="3" ySplit="4" topLeftCell="AD5" activePane="bottomRight" state="frozen"/>
      <selection activeCell="V33" sqref="V33"/>
      <selection pane="topRight" activeCell="V33" sqref="V33"/>
      <selection pane="bottomLeft" activeCell="V33" sqref="V33"/>
      <selection pane="bottomRight" activeCell="AW20" sqref="AW20"/>
    </sheetView>
  </sheetViews>
  <sheetFormatPr defaultColWidth="9.140625" defaultRowHeight="15" outlineLevelRow="1" outlineLevelCol="1" x14ac:dyDescent="0.25"/>
  <cols>
    <col min="1" max="1" width="4" style="1" customWidth="1"/>
    <col min="2" max="2" width="3.28515625" style="1" customWidth="1"/>
    <col min="3" max="3" width="34.85546875" style="1" customWidth="1"/>
    <col min="4" max="6" width="9.28515625" style="1" customWidth="1" outlineLevel="1"/>
    <col min="7" max="11" width="9.28515625" style="1" customWidth="1"/>
    <col min="12" max="12" width="11.5703125" style="1" customWidth="1"/>
    <col min="13" max="13" width="5" style="1" customWidth="1"/>
    <col min="14" max="16" width="8.28515625" style="1" hidden="1" customWidth="1" outlineLevel="1"/>
    <col min="17" max="17" width="9.85546875" style="1" customWidth="1" collapsed="1"/>
    <col min="18" max="21" width="9.85546875" style="1" customWidth="1"/>
    <col min="22" max="22" width="10.28515625" style="1" customWidth="1"/>
    <col min="23" max="23" width="4" style="1" customWidth="1"/>
    <col min="24" max="26" width="9.28515625" style="1" customWidth="1" outlineLevel="1"/>
    <col min="27" max="32" width="9.28515625" style="1" customWidth="1"/>
    <col min="33" max="33" width="5" style="1" customWidth="1"/>
    <col min="34" max="36" width="9.5703125" style="1" customWidth="1" outlineLevel="1"/>
    <col min="37" max="41" width="9.5703125" style="1" customWidth="1"/>
    <col min="42" max="42" width="11" style="1" customWidth="1"/>
    <col min="43" max="43" width="4" style="1" customWidth="1"/>
    <col min="44" max="46" width="8.42578125" style="1" hidden="1" customWidth="1" outlineLevel="1"/>
    <col min="47" max="47" width="8.42578125" style="1" customWidth="1" collapsed="1"/>
    <col min="48" max="51" width="8.42578125" style="1" customWidth="1"/>
    <col min="52" max="52" width="10.42578125" style="1" customWidth="1"/>
    <col min="53" max="53" width="4.85546875" style="1" customWidth="1"/>
    <col min="54" max="55" width="10" style="1" hidden="1" customWidth="1" outlineLevel="1"/>
    <col min="56" max="56" width="9" style="1" hidden="1" customWidth="1" outlineLevel="1"/>
    <col min="57" max="57" width="10" style="1" customWidth="1" collapsed="1"/>
    <col min="58" max="61" width="10" style="1" customWidth="1"/>
    <col min="62" max="62" width="11.42578125" style="1" customWidth="1"/>
    <col min="63" max="63" width="4.42578125" style="1" customWidth="1"/>
    <col min="64" max="64" width="12" style="1" bestFit="1" customWidth="1"/>
    <col min="65" max="72" width="9.140625" style="1"/>
    <col min="73" max="73" width="15.28515625" style="1" bestFit="1" customWidth="1"/>
    <col min="74" max="16384" width="9.140625" style="1"/>
  </cols>
  <sheetData>
    <row r="1" spans="2:70" ht="18.75" x14ac:dyDescent="0.3">
      <c r="B1" s="10" t="s">
        <v>507</v>
      </c>
      <c r="H1" s="825" t="s">
        <v>749</v>
      </c>
      <c r="I1" s="825"/>
    </row>
    <row r="2" spans="2:70" x14ac:dyDescent="0.25">
      <c r="B2" s="25" t="s">
        <v>6</v>
      </c>
      <c r="G2" s="54" t="s">
        <v>679</v>
      </c>
      <c r="M2" s="249" t="s">
        <v>498</v>
      </c>
      <c r="AR2" s="162"/>
      <c r="AV2" s="162"/>
      <c r="BB2" s="162"/>
      <c r="BF2" s="162"/>
      <c r="BL2" s="100">
        <f>Escalators!$P$14</f>
        <v>1.0620720947761066</v>
      </c>
      <c r="BM2" s="183" t="s">
        <v>589</v>
      </c>
    </row>
    <row r="3" spans="2:70" x14ac:dyDescent="0.25">
      <c r="B3" s="2"/>
      <c r="E3" s="257"/>
      <c r="F3" s="257"/>
      <c r="G3" s="2" t="s">
        <v>494</v>
      </c>
      <c r="H3" s="2"/>
      <c r="I3" s="2"/>
      <c r="J3" s="2"/>
      <c r="K3" s="2"/>
      <c r="L3" s="43" t="s">
        <v>137</v>
      </c>
      <c r="M3" s="2" t="s">
        <v>499</v>
      </c>
      <c r="O3" s="257"/>
      <c r="P3" s="257"/>
      <c r="Q3" s="2"/>
      <c r="R3" s="2"/>
      <c r="S3" s="2"/>
      <c r="T3" s="2"/>
      <c r="U3" s="2"/>
      <c r="V3" s="43" t="s">
        <v>137</v>
      </c>
      <c r="W3" s="2" t="s">
        <v>614</v>
      </c>
      <c r="Y3" s="2"/>
      <c r="Z3" s="2"/>
      <c r="AA3" s="2"/>
      <c r="AB3" s="2"/>
      <c r="AC3" s="2"/>
      <c r="AD3" s="2"/>
      <c r="AE3" s="2"/>
      <c r="AF3" s="43" t="s">
        <v>137</v>
      </c>
      <c r="AG3" s="2" t="s">
        <v>499</v>
      </c>
      <c r="AI3" s="257"/>
      <c r="AJ3" s="257"/>
      <c r="AK3" s="2"/>
      <c r="AL3" s="2"/>
      <c r="AM3" s="2"/>
      <c r="AN3" s="2"/>
      <c r="AO3" s="2"/>
      <c r="AP3" s="43" t="s">
        <v>137</v>
      </c>
      <c r="AQ3" s="2" t="s">
        <v>491</v>
      </c>
      <c r="AS3" s="2"/>
      <c r="AT3" s="2"/>
      <c r="AU3" s="2"/>
      <c r="AV3" s="2"/>
      <c r="AW3" s="2"/>
      <c r="AX3" s="2"/>
      <c r="AY3" s="2"/>
      <c r="AZ3" s="43" t="s">
        <v>137</v>
      </c>
      <c r="BA3" s="2" t="s">
        <v>492</v>
      </c>
      <c r="BC3" s="2"/>
      <c r="BD3" s="2"/>
      <c r="BE3" s="2"/>
      <c r="BF3" s="2"/>
      <c r="BG3" s="2"/>
      <c r="BH3" s="2"/>
      <c r="BI3" s="2"/>
      <c r="BJ3" s="43" t="s">
        <v>137</v>
      </c>
      <c r="BL3" s="834" t="s">
        <v>731</v>
      </c>
      <c r="BM3" s="834"/>
      <c r="BN3" s="834"/>
      <c r="BO3" s="834"/>
      <c r="BP3" s="834"/>
      <c r="BQ3" s="834"/>
    </row>
    <row r="4" spans="2:70" x14ac:dyDescent="0.25">
      <c r="D4" s="337">
        <f>CP_Yr_4</f>
        <v>43800</v>
      </c>
      <c r="E4" s="337">
        <f>CP_Yr_5</f>
        <v>44166</v>
      </c>
      <c r="F4" s="337">
        <f>Stub</f>
        <v>44377</v>
      </c>
      <c r="G4" s="341">
        <f>Yr_1</f>
        <v>44742</v>
      </c>
      <c r="H4" s="337">
        <f>Yr_2</f>
        <v>45107</v>
      </c>
      <c r="I4" s="337">
        <f>Yr_3</f>
        <v>45473</v>
      </c>
      <c r="J4" s="337">
        <f>Yr_4</f>
        <v>45838</v>
      </c>
      <c r="K4" s="337">
        <f>Yr_5</f>
        <v>46203</v>
      </c>
      <c r="L4" s="43" t="str">
        <f>NReg_Period</f>
        <v>2022-26</v>
      </c>
      <c r="M4" s="266"/>
      <c r="N4" s="337">
        <f>CP_Yr_4</f>
        <v>43800</v>
      </c>
      <c r="O4" s="337">
        <f>CP_Yr_5</f>
        <v>44166</v>
      </c>
      <c r="P4" s="337">
        <f>Stub</f>
        <v>44377</v>
      </c>
      <c r="Q4" s="341">
        <f>Yr_1</f>
        <v>44742</v>
      </c>
      <c r="R4" s="337">
        <f>Yr_2</f>
        <v>45107</v>
      </c>
      <c r="S4" s="337">
        <f>Yr_3</f>
        <v>45473</v>
      </c>
      <c r="T4" s="337">
        <f>Yr_4</f>
        <v>45838</v>
      </c>
      <c r="U4" s="337">
        <f>Yr_5</f>
        <v>46203</v>
      </c>
      <c r="V4" s="43" t="str">
        <f>NReg_Period</f>
        <v>2022-26</v>
      </c>
      <c r="W4" s="266"/>
      <c r="X4" s="337">
        <f>CP_Yr_4</f>
        <v>43800</v>
      </c>
      <c r="Y4" s="337">
        <f>CP_Yr_5</f>
        <v>44166</v>
      </c>
      <c r="Z4" s="337">
        <f>Stub</f>
        <v>44377</v>
      </c>
      <c r="AA4" s="341">
        <f>Yr_1</f>
        <v>44742</v>
      </c>
      <c r="AB4" s="337">
        <f>Yr_2</f>
        <v>45107</v>
      </c>
      <c r="AC4" s="337">
        <f>Yr_3</f>
        <v>45473</v>
      </c>
      <c r="AD4" s="337">
        <f>Yr_4</f>
        <v>45838</v>
      </c>
      <c r="AE4" s="337">
        <f>Yr_5</f>
        <v>46203</v>
      </c>
      <c r="AF4" s="43" t="str">
        <f>NReg_Period</f>
        <v>2022-26</v>
      </c>
      <c r="AH4" s="337">
        <f>CP_Yr_4</f>
        <v>43800</v>
      </c>
      <c r="AI4" s="337">
        <f>CP_Yr_5</f>
        <v>44166</v>
      </c>
      <c r="AJ4" s="337">
        <f>Stub</f>
        <v>44377</v>
      </c>
      <c r="AK4" s="341">
        <f>Yr_1</f>
        <v>44742</v>
      </c>
      <c r="AL4" s="337">
        <f>Yr_2</f>
        <v>45107</v>
      </c>
      <c r="AM4" s="337">
        <f>Yr_3</f>
        <v>45473</v>
      </c>
      <c r="AN4" s="337">
        <f>Yr_4</f>
        <v>45838</v>
      </c>
      <c r="AO4" s="337">
        <f>Yr_5</f>
        <v>46203</v>
      </c>
      <c r="AP4" s="43" t="str">
        <f>NReg_Period</f>
        <v>2022-26</v>
      </c>
      <c r="AQ4" s="363"/>
      <c r="AR4" s="337">
        <f>CP_Yr_4</f>
        <v>43800</v>
      </c>
      <c r="AS4" s="337">
        <f>CP_Yr_5</f>
        <v>44166</v>
      </c>
      <c r="AT4" s="337">
        <f>Stub</f>
        <v>44377</v>
      </c>
      <c r="AU4" s="341">
        <v>44742</v>
      </c>
      <c r="AV4" s="337">
        <v>45107</v>
      </c>
      <c r="AW4" s="337">
        <v>45473</v>
      </c>
      <c r="AX4" s="337">
        <v>45838</v>
      </c>
      <c r="AY4" s="337">
        <v>46203</v>
      </c>
      <c r="AZ4" s="43" t="s">
        <v>594</v>
      </c>
      <c r="BB4" s="337">
        <f>CP_Yr_4</f>
        <v>43800</v>
      </c>
      <c r="BC4" s="337">
        <f>CP_Yr_5</f>
        <v>44166</v>
      </c>
      <c r="BD4" s="337">
        <f>Stub</f>
        <v>44377</v>
      </c>
      <c r="BE4" s="341">
        <f>Yr_1</f>
        <v>44742</v>
      </c>
      <c r="BF4" s="337">
        <f>Yr_2</f>
        <v>45107</v>
      </c>
      <c r="BG4" s="337">
        <f>Yr_3</f>
        <v>45473</v>
      </c>
      <c r="BH4" s="337">
        <f>Yr_4</f>
        <v>45838</v>
      </c>
      <c r="BI4" s="337">
        <f>Yr_5</f>
        <v>46203</v>
      </c>
      <c r="BJ4" s="43" t="str">
        <f>NReg_Period</f>
        <v>2022-26</v>
      </c>
      <c r="BL4" s="340">
        <f>Yr_1</f>
        <v>44742</v>
      </c>
      <c r="BM4" s="340">
        <f>Yr_2</f>
        <v>45107</v>
      </c>
      <c r="BN4" s="340">
        <f>Yr_3</f>
        <v>45473</v>
      </c>
      <c r="BO4" s="340">
        <f>Yr_4</f>
        <v>45838</v>
      </c>
      <c r="BP4" s="340">
        <f>Yr_5</f>
        <v>46203</v>
      </c>
      <c r="BQ4" s="360" t="str">
        <f>NReg_Period</f>
        <v>2022-26</v>
      </c>
    </row>
    <row r="5" spans="2:70" x14ac:dyDescent="0.25">
      <c r="B5" s="249" t="s">
        <v>453</v>
      </c>
      <c r="D5" s="157">
        <f>SUBTOTAL(9,D6:D9)</f>
        <v>0</v>
      </c>
      <c r="E5" s="529"/>
      <c r="F5" s="529"/>
      <c r="G5" s="530"/>
      <c r="H5" s="529"/>
      <c r="I5" s="529"/>
      <c r="J5" s="529"/>
      <c r="K5" s="529"/>
      <c r="L5" s="529"/>
      <c r="N5" s="529"/>
      <c r="O5" s="529"/>
      <c r="P5" s="529"/>
      <c r="Q5" s="530"/>
      <c r="R5" s="529"/>
      <c r="S5" s="529"/>
      <c r="T5" s="529"/>
      <c r="U5" s="529"/>
      <c r="V5" s="529"/>
      <c r="X5" s="529"/>
      <c r="Y5" s="529"/>
      <c r="Z5" s="529"/>
      <c r="AA5" s="530"/>
      <c r="AB5" s="529"/>
      <c r="AC5" s="529"/>
      <c r="AD5" s="529"/>
      <c r="AE5" s="529"/>
      <c r="AF5" s="529"/>
      <c r="AH5" s="157">
        <v>0</v>
      </c>
      <c r="AI5" s="157">
        <v>0</v>
      </c>
      <c r="AJ5" s="157">
        <v>0</v>
      </c>
      <c r="AK5" s="267">
        <v>16516.711765044463</v>
      </c>
      <c r="AL5" s="157">
        <v>18428.740258945589</v>
      </c>
      <c r="AM5" s="157">
        <v>16092.602778296245</v>
      </c>
      <c r="AN5" s="157">
        <v>12897.921721631315</v>
      </c>
      <c r="AO5" s="157">
        <v>12589.079926986527</v>
      </c>
      <c r="AP5" s="157">
        <v>76525.056450904129</v>
      </c>
      <c r="AR5" s="157">
        <f t="shared" ref="AR5:AT5" si="0">SUBTOTAL(9,AR6:AR9)</f>
        <v>0</v>
      </c>
      <c r="AS5" s="157">
        <f t="shared" si="0"/>
        <v>0</v>
      </c>
      <c r="AT5" s="157">
        <f t="shared" si="0"/>
        <v>0</v>
      </c>
      <c r="AU5" s="267">
        <v>1965.6947834189368</v>
      </c>
      <c r="AV5" s="157">
        <v>2034.4397721697865</v>
      </c>
      <c r="AW5" s="157">
        <v>1835.8608564201686</v>
      </c>
      <c r="AX5" s="157">
        <v>1544.1073024459306</v>
      </c>
      <c r="AY5" s="157">
        <v>1551.9544919922225</v>
      </c>
      <c r="AZ5" s="157">
        <v>8932.0572064470452</v>
      </c>
      <c r="BB5" s="157">
        <f t="shared" ref="BB5:BI5" si="1">SUBTOTAL(9,BB6:BB9)</f>
        <v>0</v>
      </c>
      <c r="BC5" s="157">
        <f t="shared" si="1"/>
        <v>0</v>
      </c>
      <c r="BD5" s="157">
        <f t="shared" si="1"/>
        <v>0</v>
      </c>
      <c r="BE5" s="373">
        <f t="shared" si="1"/>
        <v>18482.406548463401</v>
      </c>
      <c r="BF5" s="366">
        <f t="shared" si="1"/>
        <v>20463.180031115378</v>
      </c>
      <c r="BG5" s="366">
        <f t="shared" si="1"/>
        <v>17928.463634716412</v>
      </c>
      <c r="BH5" s="366">
        <f t="shared" si="1"/>
        <v>14442.029024077247</v>
      </c>
      <c r="BI5" s="366">
        <f t="shared" si="1"/>
        <v>14141.03441897875</v>
      </c>
      <c r="BJ5" s="157">
        <f t="shared" ref="BJ5:BJ16" si="2">SUM(BE5:BI5)</f>
        <v>85457.113657351205</v>
      </c>
      <c r="BL5" s="677">
        <f t="shared" ref="BL5" si="3">BE5*$BL$2/Thousands</f>
        <v>19.629648239430157</v>
      </c>
      <c r="BM5" s="677">
        <f t="shared" ref="BM5" si="4">BF5*$BL$2/Thousands</f>
        <v>21.733372481427306</v>
      </c>
      <c r="BN5" s="677">
        <f t="shared" ref="BN5" si="5">BG5*$BL$2/Thousands</f>
        <v>19.041320928640509</v>
      </c>
      <c r="BO5" s="677">
        <f t="shared" ref="BO5" si="6">BH5*$BL$2/Thousands</f>
        <v>15.338476018419053</v>
      </c>
      <c r="BP5" s="677">
        <f t="shared" ref="BP5" si="7">BI5*$BL$2/Thousands</f>
        <v>15.018798047665785</v>
      </c>
      <c r="BQ5" s="678">
        <f t="shared" ref="BQ5:BQ40" si="8">SUM(BL5:BP5)</f>
        <v>90.761615715582806</v>
      </c>
    </row>
    <row r="6" spans="2:70" hidden="1" outlineLevel="1" x14ac:dyDescent="0.25">
      <c r="C6" s="1" t="s">
        <v>44</v>
      </c>
      <c r="D6" s="157">
        <f>SUMIFS(Augmentation!CQ$6:CQ$36,Augmentation!$E$6:$E$36,$C6)</f>
        <v>0</v>
      </c>
      <c r="E6" s="529"/>
      <c r="F6" s="529"/>
      <c r="G6" s="530"/>
      <c r="H6" s="529"/>
      <c r="I6" s="529"/>
      <c r="J6" s="529"/>
      <c r="K6" s="529"/>
      <c r="L6" s="529"/>
      <c r="M6" s="157"/>
      <c r="N6" s="554"/>
      <c r="O6" s="554"/>
      <c r="P6" s="554"/>
      <c r="Q6" s="556"/>
      <c r="R6" s="529"/>
      <c r="S6" s="529"/>
      <c r="T6" s="529"/>
      <c r="U6" s="529"/>
      <c r="V6" s="529"/>
      <c r="X6" s="529"/>
      <c r="Y6" s="529"/>
      <c r="Z6" s="529"/>
      <c r="AA6" s="530"/>
      <c r="AB6" s="529"/>
      <c r="AC6" s="529"/>
      <c r="AD6" s="529"/>
      <c r="AE6" s="529"/>
      <c r="AF6" s="529"/>
      <c r="AH6" s="158">
        <v>0</v>
      </c>
      <c r="AI6" s="158">
        <v>0</v>
      </c>
      <c r="AJ6" s="158">
        <v>0</v>
      </c>
      <c r="AK6" s="268">
        <v>1848.1551578499405</v>
      </c>
      <c r="AL6" s="158">
        <v>3372.0846554024174</v>
      </c>
      <c r="AM6" s="158">
        <v>1992.5506131603488</v>
      </c>
      <c r="AN6" s="158">
        <v>258.73951367722475</v>
      </c>
      <c r="AO6" s="158">
        <v>0</v>
      </c>
      <c r="AP6" s="157">
        <v>7471.5299400899312</v>
      </c>
      <c r="AR6" s="157">
        <f>AH6*AusNet_Overheads!H$20</f>
        <v>0</v>
      </c>
      <c r="AS6" s="157">
        <f>AI6*AusNet_Overheads!I$20</f>
        <v>0</v>
      </c>
      <c r="AT6" s="157">
        <f>AJ6*AusNet_Overheads!J$20</f>
        <v>0</v>
      </c>
      <c r="AU6" s="267">
        <v>219.95352370458042</v>
      </c>
      <c r="AV6" s="157">
        <v>372.26110095854392</v>
      </c>
      <c r="AW6" s="157">
        <v>227.31224560334141</v>
      </c>
      <c r="AX6" s="157">
        <v>30.975654925108387</v>
      </c>
      <c r="AY6" s="157">
        <v>0</v>
      </c>
      <c r="AZ6" s="158">
        <v>850.50252519157414</v>
      </c>
      <c r="BB6" s="157">
        <f>AR6+AH6</f>
        <v>0</v>
      </c>
      <c r="BC6" s="157">
        <f t="shared" ref="BC6:BC9" si="9">AS6+AI6</f>
        <v>0</v>
      </c>
      <c r="BD6" s="157">
        <f t="shared" ref="BD6:BD9" si="10">AT6+AJ6</f>
        <v>0</v>
      </c>
      <c r="BE6" s="267">
        <f t="shared" ref="BE6:BE9" si="11">AU6+AK6</f>
        <v>2068.1086815545209</v>
      </c>
      <c r="BF6" s="157">
        <f t="shared" ref="BF6:BF9" si="12">AV6+AL6</f>
        <v>3744.3457563609613</v>
      </c>
      <c r="BG6" s="157">
        <f t="shared" ref="BG6:BG9" si="13">AW6+AM6</f>
        <v>2219.8628587636904</v>
      </c>
      <c r="BH6" s="157">
        <f t="shared" ref="BH6:BH9" si="14">AX6+AN6</f>
        <v>289.71516860233316</v>
      </c>
      <c r="BI6" s="157">
        <f t="shared" ref="BI6:BI9" si="15">AY6+AO6</f>
        <v>0</v>
      </c>
      <c r="BJ6" s="158">
        <f t="shared" si="2"/>
        <v>8322.0324652815052</v>
      </c>
      <c r="BL6" s="285">
        <f t="shared" ref="BL6:BP10" si="16">BE6*$BL$2/Thousands</f>
        <v>2.196480519643262</v>
      </c>
      <c r="BM6" s="285">
        <f t="shared" si="16"/>
        <v>3.9767651410243117</v>
      </c>
      <c r="BN6" s="285">
        <f t="shared" si="16"/>
        <v>2.3576543965228294</v>
      </c>
      <c r="BO6" s="285">
        <f t="shared" si="16"/>
        <v>0.30769839600589288</v>
      </c>
      <c r="BP6" s="285">
        <f t="shared" si="16"/>
        <v>0</v>
      </c>
      <c r="BQ6" s="289">
        <f t="shared" si="8"/>
        <v>8.8385984531962958</v>
      </c>
      <c r="BR6" s="278"/>
    </row>
    <row r="7" spans="2:70" hidden="1" outlineLevel="1" x14ac:dyDescent="0.25">
      <c r="C7" s="1" t="s">
        <v>45</v>
      </c>
      <c r="D7" s="157">
        <f>SUMIFS(Augmentation!CQ$6:CQ$36,Augmentation!$E$6:$E$36,$C7)</f>
        <v>0</v>
      </c>
      <c r="E7" s="529"/>
      <c r="F7" s="529"/>
      <c r="G7" s="530"/>
      <c r="H7" s="529"/>
      <c r="I7" s="529"/>
      <c r="J7" s="529"/>
      <c r="K7" s="529"/>
      <c r="L7" s="529"/>
      <c r="M7" s="157"/>
      <c r="N7" s="554"/>
      <c r="O7" s="554"/>
      <c r="P7" s="554"/>
      <c r="Q7" s="530"/>
      <c r="R7" s="529"/>
      <c r="S7" s="529"/>
      <c r="T7" s="529"/>
      <c r="U7" s="529"/>
      <c r="V7" s="529"/>
      <c r="X7" s="529"/>
      <c r="Y7" s="529"/>
      <c r="Z7" s="529"/>
      <c r="AA7" s="679"/>
      <c r="AB7" s="680"/>
      <c r="AC7" s="680"/>
      <c r="AD7" s="680"/>
      <c r="AE7" s="680"/>
      <c r="AF7" s="529"/>
      <c r="AH7" s="158">
        <v>0</v>
      </c>
      <c r="AI7" s="158">
        <v>0</v>
      </c>
      <c r="AJ7" s="158">
        <v>0</v>
      </c>
      <c r="AK7" s="268">
        <v>14290.702638948263</v>
      </c>
      <c r="AL7" s="158">
        <v>15056.655603543173</v>
      </c>
      <c r="AM7" s="158">
        <v>14100.052165135896</v>
      </c>
      <c r="AN7" s="158">
        <v>12639.182207954091</v>
      </c>
      <c r="AO7" s="158">
        <v>12589.079926986527</v>
      </c>
      <c r="AP7" s="157">
        <v>68675.672542567947</v>
      </c>
      <c r="AR7" s="157">
        <f>AH7*AusNet_Overheads!H$20</f>
        <v>0</v>
      </c>
      <c r="AS7" s="157">
        <f>AI7*AusNet_Overheads!I$20</f>
        <v>0</v>
      </c>
      <c r="AT7" s="157">
        <f>AJ7*AusNet_Overheads!J$20</f>
        <v>0</v>
      </c>
      <c r="AU7" s="267">
        <v>1700.7719229092095</v>
      </c>
      <c r="AV7" s="157">
        <v>1662.1786712112425</v>
      </c>
      <c r="AW7" s="157">
        <v>1608.5486108168272</v>
      </c>
      <c r="AX7" s="157">
        <v>1513.1316475208223</v>
      </c>
      <c r="AY7" s="157">
        <v>1551.9544919922225</v>
      </c>
      <c r="AZ7" s="158">
        <v>8036.5853444503246</v>
      </c>
      <c r="BB7" s="157">
        <f t="shared" ref="BB7:BB9" si="17">AR7+AH7</f>
        <v>0</v>
      </c>
      <c r="BC7" s="157">
        <f t="shared" si="9"/>
        <v>0</v>
      </c>
      <c r="BD7" s="157">
        <f t="shared" si="10"/>
        <v>0</v>
      </c>
      <c r="BE7" s="267">
        <f t="shared" si="11"/>
        <v>15991.474561857473</v>
      </c>
      <c r="BF7" s="157">
        <f t="shared" si="12"/>
        <v>16718.834274754416</v>
      </c>
      <c r="BG7" s="157">
        <f t="shared" si="13"/>
        <v>15708.600775952724</v>
      </c>
      <c r="BH7" s="157">
        <f t="shared" si="14"/>
        <v>14152.313855474913</v>
      </c>
      <c r="BI7" s="157">
        <f t="shared" si="15"/>
        <v>14141.03441897875</v>
      </c>
      <c r="BJ7" s="158">
        <f t="shared" si="2"/>
        <v>76712.257887018292</v>
      </c>
      <c r="BL7" s="285">
        <f t="shared" si="16"/>
        <v>16.984098886470786</v>
      </c>
      <c r="BM7" s="285">
        <f t="shared" si="16"/>
        <v>17.756607340402994</v>
      </c>
      <c r="BN7" s="285">
        <f t="shared" si="16"/>
        <v>16.683666532117684</v>
      </c>
      <c r="BO7" s="285">
        <f t="shared" si="16"/>
        <v>15.03077762241316</v>
      </c>
      <c r="BP7" s="285">
        <f t="shared" si="16"/>
        <v>15.018798047665785</v>
      </c>
      <c r="BQ7" s="289">
        <f t="shared" si="8"/>
        <v>81.473948429070404</v>
      </c>
      <c r="BR7" s="278"/>
    </row>
    <row r="8" spans="2:70" hidden="1" outlineLevel="1" x14ac:dyDescent="0.25">
      <c r="C8" s="1" t="s">
        <v>48</v>
      </c>
      <c r="D8" s="157">
        <f>SUMIFS(Augmentation!CQ$6:CQ$36,Augmentation!$E$6:$E$36,$C8)</f>
        <v>0</v>
      </c>
      <c r="E8" s="529"/>
      <c r="F8" s="529"/>
      <c r="G8" s="530"/>
      <c r="H8" s="529"/>
      <c r="I8" s="529"/>
      <c r="J8" s="529"/>
      <c r="K8" s="529"/>
      <c r="L8" s="529"/>
      <c r="M8" s="157"/>
      <c r="N8" s="554"/>
      <c r="O8" s="554"/>
      <c r="P8" s="554"/>
      <c r="Q8" s="530"/>
      <c r="R8" s="529"/>
      <c r="S8" s="529"/>
      <c r="T8" s="529"/>
      <c r="U8" s="529"/>
      <c r="V8" s="529"/>
      <c r="X8" s="529"/>
      <c r="Y8" s="529"/>
      <c r="Z8" s="529"/>
      <c r="AA8" s="530"/>
      <c r="AB8" s="529"/>
      <c r="AC8" s="529"/>
      <c r="AD8" s="529"/>
      <c r="AE8" s="529"/>
      <c r="AF8" s="529"/>
      <c r="AH8" s="158">
        <v>0</v>
      </c>
      <c r="AI8" s="158">
        <v>0</v>
      </c>
      <c r="AJ8" s="158">
        <v>0</v>
      </c>
      <c r="AK8" s="268">
        <v>377.85396824626014</v>
      </c>
      <c r="AL8" s="158">
        <v>0</v>
      </c>
      <c r="AM8" s="158">
        <v>0</v>
      </c>
      <c r="AN8" s="158">
        <v>0</v>
      </c>
      <c r="AO8" s="158">
        <v>0</v>
      </c>
      <c r="AP8" s="157">
        <v>377.85396824626014</v>
      </c>
      <c r="AR8" s="157">
        <f>AH8*AusNet_Overheads!H$20</f>
        <v>0</v>
      </c>
      <c r="AS8" s="157">
        <f>AI8*AusNet_Overheads!I$20</f>
        <v>0</v>
      </c>
      <c r="AT8" s="157">
        <f>AJ8*AusNet_Overheads!J$20</f>
        <v>0</v>
      </c>
      <c r="AU8" s="267">
        <v>44.96933680514698</v>
      </c>
      <c r="AV8" s="157">
        <v>0</v>
      </c>
      <c r="AW8" s="157">
        <v>0</v>
      </c>
      <c r="AX8" s="157">
        <v>0</v>
      </c>
      <c r="AY8" s="157">
        <v>0</v>
      </c>
      <c r="AZ8" s="158">
        <v>44.96933680514698</v>
      </c>
      <c r="BB8" s="157">
        <f t="shared" si="17"/>
        <v>0</v>
      </c>
      <c r="BC8" s="157">
        <f t="shared" si="9"/>
        <v>0</v>
      </c>
      <c r="BD8" s="157">
        <f t="shared" si="10"/>
        <v>0</v>
      </c>
      <c r="BE8" s="267">
        <f t="shared" si="11"/>
        <v>422.82330505140715</v>
      </c>
      <c r="BF8" s="157">
        <f t="shared" si="12"/>
        <v>0</v>
      </c>
      <c r="BG8" s="157">
        <f t="shared" si="13"/>
        <v>0</v>
      </c>
      <c r="BH8" s="157">
        <f t="shared" si="14"/>
        <v>0</v>
      </c>
      <c r="BI8" s="157">
        <f t="shared" si="15"/>
        <v>0</v>
      </c>
      <c r="BJ8" s="158">
        <f t="shared" si="2"/>
        <v>422.82330505140715</v>
      </c>
      <c r="BL8" s="285">
        <f t="shared" si="16"/>
        <v>0.44906883331610475</v>
      </c>
      <c r="BM8" s="285">
        <f t="shared" si="16"/>
        <v>0</v>
      </c>
      <c r="BN8" s="285">
        <f t="shared" si="16"/>
        <v>0</v>
      </c>
      <c r="BO8" s="285">
        <f t="shared" si="16"/>
        <v>0</v>
      </c>
      <c r="BP8" s="285">
        <f t="shared" si="16"/>
        <v>0</v>
      </c>
      <c r="BQ8" s="289">
        <f t="shared" si="8"/>
        <v>0.44906883331610475</v>
      </c>
      <c r="BR8" s="278"/>
    </row>
    <row r="9" spans="2:70" hidden="1" outlineLevel="1" x14ac:dyDescent="0.25">
      <c r="C9" s="1" t="s">
        <v>399</v>
      </c>
      <c r="D9" s="157">
        <f>SUMIFS(Augmentation!CQ$6:CQ$36,Augmentation!$E$6:$E$36,$C9)</f>
        <v>0</v>
      </c>
      <c r="E9" s="529"/>
      <c r="F9" s="529"/>
      <c r="G9" s="530"/>
      <c r="H9" s="529"/>
      <c r="I9" s="529"/>
      <c r="J9" s="529"/>
      <c r="K9" s="529"/>
      <c r="L9" s="529"/>
      <c r="M9" s="157"/>
      <c r="N9" s="554"/>
      <c r="O9" s="554"/>
      <c r="P9" s="554"/>
      <c r="Q9" s="530"/>
      <c r="R9" s="529"/>
      <c r="S9" s="529"/>
      <c r="T9" s="529"/>
      <c r="U9" s="529"/>
      <c r="V9" s="529"/>
      <c r="X9" s="529"/>
      <c r="Y9" s="529"/>
      <c r="Z9" s="529"/>
      <c r="AA9" s="530"/>
      <c r="AB9" s="529"/>
      <c r="AC9" s="529"/>
      <c r="AD9" s="529"/>
      <c r="AE9" s="529"/>
      <c r="AF9" s="529"/>
      <c r="AH9" s="158">
        <v>0</v>
      </c>
      <c r="AI9" s="158">
        <v>0</v>
      </c>
      <c r="AJ9" s="158">
        <v>0</v>
      </c>
      <c r="AK9" s="268">
        <v>0</v>
      </c>
      <c r="AL9" s="158">
        <v>0</v>
      </c>
      <c r="AM9" s="158">
        <v>0</v>
      </c>
      <c r="AN9" s="158">
        <v>0</v>
      </c>
      <c r="AO9" s="158">
        <v>0</v>
      </c>
      <c r="AP9" s="157">
        <v>0</v>
      </c>
      <c r="AR9" s="163"/>
      <c r="AS9" s="163"/>
      <c r="AT9" s="163"/>
      <c r="AU9" s="288"/>
      <c r="AV9" s="163"/>
      <c r="AW9" s="163"/>
      <c r="AX9" s="163"/>
      <c r="AY9" s="163"/>
      <c r="AZ9" s="158">
        <v>0</v>
      </c>
      <c r="BB9" s="157">
        <f t="shared" si="17"/>
        <v>0</v>
      </c>
      <c r="BC9" s="157">
        <f t="shared" si="9"/>
        <v>0</v>
      </c>
      <c r="BD9" s="157">
        <f t="shared" si="10"/>
        <v>0</v>
      </c>
      <c r="BE9" s="267">
        <f t="shared" si="11"/>
        <v>0</v>
      </c>
      <c r="BF9" s="157">
        <f t="shared" si="12"/>
        <v>0</v>
      </c>
      <c r="BG9" s="157">
        <f t="shared" si="13"/>
        <v>0</v>
      </c>
      <c r="BH9" s="157">
        <f t="shared" si="14"/>
        <v>0</v>
      </c>
      <c r="BI9" s="157">
        <f t="shared" si="15"/>
        <v>0</v>
      </c>
      <c r="BJ9" s="158">
        <f t="shared" ref="BJ9" si="18">SUM(BE9:BI9)</f>
        <v>0</v>
      </c>
      <c r="BL9" s="285">
        <f t="shared" ref="BL9" si="19">BE9*$BL$2/Thousands</f>
        <v>0</v>
      </c>
      <c r="BM9" s="285">
        <f t="shared" ref="BM9" si="20">BF9*$BL$2/Thousands</f>
        <v>0</v>
      </c>
      <c r="BN9" s="285">
        <f t="shared" ref="BN9" si="21">BG9*$BL$2/Thousands</f>
        <v>0</v>
      </c>
      <c r="BO9" s="285">
        <f t="shared" ref="BO9" si="22">BH9*$BL$2/Thousands</f>
        <v>0</v>
      </c>
      <c r="BP9" s="285">
        <f t="shared" ref="BP9" si="23">BI9*$BL$2/Thousands</f>
        <v>0</v>
      </c>
      <c r="BQ9" s="289">
        <f t="shared" si="8"/>
        <v>0</v>
      </c>
      <c r="BR9" s="278"/>
    </row>
    <row r="10" spans="2:70" collapsed="1" x14ac:dyDescent="0.25">
      <c r="B10" s="249" t="s">
        <v>496</v>
      </c>
      <c r="D10" s="157">
        <f>SUBTOTAL(9,D11:D13)</f>
        <v>0</v>
      </c>
      <c r="E10" s="529"/>
      <c r="F10" s="529"/>
      <c r="G10" s="530"/>
      <c r="H10" s="529"/>
      <c r="I10" s="529"/>
      <c r="J10" s="529"/>
      <c r="K10" s="529"/>
      <c r="L10" s="529"/>
      <c r="M10" s="157"/>
      <c r="N10" s="529"/>
      <c r="O10" s="529"/>
      <c r="P10" s="529"/>
      <c r="Q10" s="530"/>
      <c r="R10" s="529"/>
      <c r="S10" s="529"/>
      <c r="T10" s="529"/>
      <c r="U10" s="529"/>
      <c r="V10" s="529"/>
      <c r="X10" s="529"/>
      <c r="Y10" s="529"/>
      <c r="Z10" s="529"/>
      <c r="AA10" s="530"/>
      <c r="AB10" s="529"/>
      <c r="AC10" s="529"/>
      <c r="AD10" s="529"/>
      <c r="AE10" s="529"/>
      <c r="AF10" s="529"/>
      <c r="AH10" s="157">
        <v>0</v>
      </c>
      <c r="AI10" s="157">
        <v>0</v>
      </c>
      <c r="AJ10" s="157">
        <v>0</v>
      </c>
      <c r="AK10" s="267">
        <v>0</v>
      </c>
      <c r="AL10" s="157">
        <v>0</v>
      </c>
      <c r="AM10" s="157">
        <v>0</v>
      </c>
      <c r="AN10" s="157">
        <v>0</v>
      </c>
      <c r="AO10" s="157">
        <v>0</v>
      </c>
      <c r="AP10" s="157">
        <v>0</v>
      </c>
      <c r="AR10" s="157">
        <f>SUBTOTAL(9,AR11:AR13)</f>
        <v>0</v>
      </c>
      <c r="AS10" s="157">
        <f t="shared" ref="AS10:AT10" si="24">SUBTOTAL(9,AS11:AS13)</f>
        <v>0</v>
      </c>
      <c r="AT10" s="157">
        <f t="shared" si="24"/>
        <v>0</v>
      </c>
      <c r="AU10" s="267">
        <v>0</v>
      </c>
      <c r="AV10" s="157">
        <v>0</v>
      </c>
      <c r="AW10" s="157">
        <v>0</v>
      </c>
      <c r="AX10" s="157">
        <v>0</v>
      </c>
      <c r="AY10" s="157">
        <v>0</v>
      </c>
      <c r="AZ10" s="157">
        <v>0</v>
      </c>
      <c r="BB10" s="157">
        <f>SUBTOTAL(9,BB11:BB13)</f>
        <v>0</v>
      </c>
      <c r="BC10" s="157">
        <f t="shared" ref="BC10" si="25">SUBTOTAL(9,BC11:BC13)</f>
        <v>0</v>
      </c>
      <c r="BD10" s="157">
        <f t="shared" ref="BD10" si="26">SUBTOTAL(9,BD11:BD13)</f>
        <v>0</v>
      </c>
      <c r="BE10" s="267">
        <f t="shared" ref="BE10" si="27">SUBTOTAL(9,BE11:BE13)</f>
        <v>0</v>
      </c>
      <c r="BF10" s="157">
        <f t="shared" ref="BF10" si="28">SUBTOTAL(9,BF11:BF13)</f>
        <v>0</v>
      </c>
      <c r="BG10" s="157">
        <f t="shared" ref="BG10" si="29">SUBTOTAL(9,BG11:BG13)</f>
        <v>0</v>
      </c>
      <c r="BH10" s="157">
        <f t="shared" ref="BH10" si="30">SUBTOTAL(9,BH11:BH13)</f>
        <v>0</v>
      </c>
      <c r="BI10" s="157">
        <f t="shared" ref="BI10" si="31">SUBTOTAL(9,BI11:BI13)</f>
        <v>0</v>
      </c>
      <c r="BJ10" s="157">
        <f t="shared" si="2"/>
        <v>0</v>
      </c>
      <c r="BL10" s="285">
        <f t="shared" si="16"/>
        <v>0</v>
      </c>
      <c r="BM10" s="285">
        <f t="shared" si="16"/>
        <v>0</v>
      </c>
      <c r="BN10" s="285">
        <f t="shared" si="16"/>
        <v>0</v>
      </c>
      <c r="BO10" s="285">
        <f t="shared" si="16"/>
        <v>0</v>
      </c>
      <c r="BP10" s="285">
        <f t="shared" si="16"/>
        <v>0</v>
      </c>
      <c r="BQ10" s="289">
        <f t="shared" si="8"/>
        <v>0</v>
      </c>
      <c r="BR10" s="278"/>
    </row>
    <row r="11" spans="2:70" outlineLevel="1" x14ac:dyDescent="0.25">
      <c r="C11" s="1" t="s">
        <v>44</v>
      </c>
      <c r="D11" s="157">
        <f>SUMIFS(Major_Rebuilds!CQ$6:CQ$36,Major_Rebuilds!$G$6:$G$36,"Augmentation",Major_Rebuilds!$E$6:$E$36,$C11)+SUMIFS(Stations!DF$7:DF$38,Stations!$G$7:$G$38,"Augmentation",Stations!$E$7:$E$38,$C11)+SUMIFS(Lines!DF$7:DF$37,Lines!$G$7:$G$37,"Augmentation",Lines!$E$7:$E$37,$C11)+SUMIFS('PC&amp;A'!CQ$6:CQ$36,'PC&amp;A'!$G$6:$G$36,"Augmentation",'PC&amp;A'!$E$6:$E$36,$C11)+SUMIFS('SCADA&amp;Comms'!CQ$6:CQ$36,'SCADA&amp;Comms'!$G$6:$G$36,"Augmentation",'SCADA&amp;Comms'!$E$6:$E$36,$C11)</f>
        <v>0</v>
      </c>
      <c r="E11" s="529"/>
      <c r="F11" s="529"/>
      <c r="G11" s="530"/>
      <c r="H11" s="529"/>
      <c r="I11" s="529"/>
      <c r="J11" s="529"/>
      <c r="K11" s="529"/>
      <c r="L11" s="529"/>
      <c r="M11" s="157"/>
      <c r="N11" s="554"/>
      <c r="O11" s="554"/>
      <c r="P11" s="554"/>
      <c r="Q11" s="556"/>
      <c r="R11" s="554"/>
      <c r="S11" s="554"/>
      <c r="T11" s="554"/>
      <c r="U11" s="554"/>
      <c r="V11" s="529"/>
      <c r="X11" s="529"/>
      <c r="Y11" s="529"/>
      <c r="Z11" s="529"/>
      <c r="AA11" s="530"/>
      <c r="AB11" s="529"/>
      <c r="AC11" s="529"/>
      <c r="AD11" s="529"/>
      <c r="AE11" s="529"/>
      <c r="AF11" s="529"/>
      <c r="AH11" s="158">
        <v>0</v>
      </c>
      <c r="AI11" s="158">
        <v>0</v>
      </c>
      <c r="AJ11" s="158">
        <v>0</v>
      </c>
      <c r="AK11" s="268">
        <v>0</v>
      </c>
      <c r="AL11" s="158">
        <v>0</v>
      </c>
      <c r="AM11" s="158">
        <v>0</v>
      </c>
      <c r="AN11" s="158">
        <v>0</v>
      </c>
      <c r="AO11" s="158">
        <v>0</v>
      </c>
      <c r="AP11" s="157">
        <v>0</v>
      </c>
      <c r="AR11" s="157">
        <f>AH11*AusNet_Overheads!H$20</f>
        <v>0</v>
      </c>
      <c r="AS11" s="157">
        <f>AI11*AusNet_Overheads!I$20</f>
        <v>0</v>
      </c>
      <c r="AT11" s="157">
        <f>AJ11*AusNet_Overheads!J$20</f>
        <v>0</v>
      </c>
      <c r="AU11" s="267">
        <v>0</v>
      </c>
      <c r="AV11" s="157">
        <v>0</v>
      </c>
      <c r="AW11" s="157">
        <v>0</v>
      </c>
      <c r="AX11" s="157">
        <v>0</v>
      </c>
      <c r="AY11" s="157">
        <v>0</v>
      </c>
      <c r="AZ11" s="158">
        <v>0</v>
      </c>
      <c r="BB11" s="157">
        <f t="shared" ref="BB11:BB13" si="32">AR11+AH11</f>
        <v>0</v>
      </c>
      <c r="BC11" s="157">
        <f t="shared" ref="BC11:BC13" si="33">AS11+AI11</f>
        <v>0</v>
      </c>
      <c r="BD11" s="157">
        <f t="shared" ref="BD11:BD13" si="34">AT11+AJ11</f>
        <v>0</v>
      </c>
      <c r="BE11" s="267">
        <f t="shared" ref="BE11:BE13" si="35">AU11+AK11</f>
        <v>0</v>
      </c>
      <c r="BF11" s="157">
        <f t="shared" ref="BF11:BF13" si="36">AV11+AL11</f>
        <v>0</v>
      </c>
      <c r="BG11" s="157">
        <f t="shared" ref="BG11:BG13" si="37">AW11+AM11</f>
        <v>0</v>
      </c>
      <c r="BH11" s="157">
        <f t="shared" ref="BH11:BH13" si="38">AX11+AN11</f>
        <v>0</v>
      </c>
      <c r="BI11" s="157">
        <f t="shared" ref="BI11:BI13" si="39">AY11+AO11</f>
        <v>0</v>
      </c>
      <c r="BJ11" s="158">
        <f t="shared" si="2"/>
        <v>0</v>
      </c>
      <c r="BL11" s="285">
        <f t="shared" ref="BL11:BP14" si="40">BE11*$BL$2/Thousands</f>
        <v>0</v>
      </c>
      <c r="BM11" s="285">
        <f t="shared" si="40"/>
        <v>0</v>
      </c>
      <c r="BN11" s="285">
        <f t="shared" si="40"/>
        <v>0</v>
      </c>
      <c r="BO11" s="285">
        <f t="shared" si="40"/>
        <v>0</v>
      </c>
      <c r="BP11" s="285">
        <f t="shared" si="40"/>
        <v>0</v>
      </c>
      <c r="BQ11" s="289">
        <f t="shared" si="8"/>
        <v>0</v>
      </c>
      <c r="BR11" s="278"/>
    </row>
    <row r="12" spans="2:70" outlineLevel="1" x14ac:dyDescent="0.25">
      <c r="C12" s="1" t="s">
        <v>45</v>
      </c>
      <c r="D12" s="157">
        <f>SUMIFS(Major_Rebuilds!CQ$6:CQ$36,Major_Rebuilds!$G$6:$G$36,"Augmentation",Major_Rebuilds!$E$6:$E$36,$C12)+SUMIFS(Stations!DF$7:DF$38,Stations!$G$7:$G$38,"Augmentation",Stations!$E$7:$E$38,$C12)+SUMIFS(Lines!DF$7:DF$37,Lines!$G$7:$G$37,"Augmentation",Lines!$E$7:$E$37,$C12)+SUMIFS('PC&amp;A'!CQ$6:CQ$36,'PC&amp;A'!$G$6:$G$36,"Augmentation",'PC&amp;A'!$E$6:$E$36,$C12)+SUMIFS('SCADA&amp;Comms'!CQ$6:CQ$36,'SCADA&amp;Comms'!$G$6:$G$36,"Augmentation",'SCADA&amp;Comms'!$E$6:$E$36,$C12)</f>
        <v>0</v>
      </c>
      <c r="E12" s="529"/>
      <c r="F12" s="529"/>
      <c r="G12" s="530"/>
      <c r="H12" s="529"/>
      <c r="I12" s="529"/>
      <c r="J12" s="529"/>
      <c r="K12" s="529"/>
      <c r="L12" s="529"/>
      <c r="M12" s="157"/>
      <c r="N12" s="554"/>
      <c r="O12" s="554"/>
      <c r="P12" s="554"/>
      <c r="Q12" s="556"/>
      <c r="R12" s="554"/>
      <c r="S12" s="554"/>
      <c r="T12" s="554"/>
      <c r="U12" s="554"/>
      <c r="V12" s="529"/>
      <c r="X12" s="529"/>
      <c r="Y12" s="529"/>
      <c r="Z12" s="529"/>
      <c r="AA12" s="530"/>
      <c r="AB12" s="529"/>
      <c r="AC12" s="529"/>
      <c r="AD12" s="529"/>
      <c r="AE12" s="529"/>
      <c r="AF12" s="529"/>
      <c r="AH12" s="158">
        <v>0</v>
      </c>
      <c r="AI12" s="158">
        <v>0</v>
      </c>
      <c r="AJ12" s="158">
        <v>0</v>
      </c>
      <c r="AK12" s="268">
        <v>0</v>
      </c>
      <c r="AL12" s="158">
        <v>0</v>
      </c>
      <c r="AM12" s="158">
        <v>0</v>
      </c>
      <c r="AN12" s="158">
        <v>0</v>
      </c>
      <c r="AO12" s="158">
        <v>0</v>
      </c>
      <c r="AP12" s="157">
        <v>0</v>
      </c>
      <c r="AR12" s="157">
        <f>AH12*AusNet_Overheads!H$20</f>
        <v>0</v>
      </c>
      <c r="AS12" s="157">
        <f>AI12*AusNet_Overheads!I$20</f>
        <v>0</v>
      </c>
      <c r="AT12" s="157">
        <f>AJ12*AusNet_Overheads!J$20</f>
        <v>0</v>
      </c>
      <c r="AU12" s="267">
        <v>0</v>
      </c>
      <c r="AV12" s="157">
        <v>0</v>
      </c>
      <c r="AW12" s="157">
        <v>0</v>
      </c>
      <c r="AX12" s="157">
        <v>0</v>
      </c>
      <c r="AY12" s="157">
        <v>0</v>
      </c>
      <c r="AZ12" s="158">
        <v>0</v>
      </c>
      <c r="BB12" s="157">
        <f t="shared" si="32"/>
        <v>0</v>
      </c>
      <c r="BC12" s="157">
        <f t="shared" si="33"/>
        <v>0</v>
      </c>
      <c r="BD12" s="157">
        <f t="shared" si="34"/>
        <v>0</v>
      </c>
      <c r="BE12" s="267">
        <f t="shared" si="35"/>
        <v>0</v>
      </c>
      <c r="BF12" s="157">
        <f t="shared" si="36"/>
        <v>0</v>
      </c>
      <c r="BG12" s="157">
        <f t="shared" si="37"/>
        <v>0</v>
      </c>
      <c r="BH12" s="157">
        <f t="shared" si="38"/>
        <v>0</v>
      </c>
      <c r="BI12" s="157">
        <f t="shared" si="39"/>
        <v>0</v>
      </c>
      <c r="BJ12" s="158">
        <f t="shared" si="2"/>
        <v>0</v>
      </c>
      <c r="BL12" s="285">
        <f t="shared" si="40"/>
        <v>0</v>
      </c>
      <c r="BM12" s="285">
        <f t="shared" si="40"/>
        <v>0</v>
      </c>
      <c r="BN12" s="285">
        <f t="shared" si="40"/>
        <v>0</v>
      </c>
      <c r="BO12" s="285">
        <f t="shared" si="40"/>
        <v>0</v>
      </c>
      <c r="BP12" s="285">
        <f t="shared" si="40"/>
        <v>0</v>
      </c>
      <c r="BQ12" s="289">
        <f t="shared" si="8"/>
        <v>0</v>
      </c>
      <c r="BR12" s="278"/>
    </row>
    <row r="13" spans="2:70" outlineLevel="1" x14ac:dyDescent="0.25">
      <c r="C13" s="1" t="s">
        <v>48</v>
      </c>
      <c r="D13" s="157">
        <f>SUMIFS(Major_Rebuilds!CQ$6:CQ$36,Major_Rebuilds!$G$6:$G$36,"Augmentation",Major_Rebuilds!$E$6:$E$36,$C13)+SUMIFS(Stations!DF$7:DF$38,Stations!$G$7:$G$38,"Augmentation",Stations!$E$7:$E$38,$C13)+SUMIFS(Lines!DF$7:DF$37,Lines!$G$7:$G$37,"Augmentation",Lines!$E$7:$E$37,$C13)+SUMIFS('PC&amp;A'!CQ$6:CQ$36,'PC&amp;A'!$G$6:$G$36,"Augmentation",'PC&amp;A'!$E$6:$E$36,$C13)+SUMIFS('SCADA&amp;Comms'!CQ$6:CQ$36,'SCADA&amp;Comms'!$G$6:$G$36,"Augmentation",'SCADA&amp;Comms'!$E$6:$E$36,$C13)</f>
        <v>0</v>
      </c>
      <c r="E13" s="529"/>
      <c r="F13" s="529"/>
      <c r="G13" s="530"/>
      <c r="H13" s="529"/>
      <c r="I13" s="529"/>
      <c r="J13" s="529"/>
      <c r="K13" s="529"/>
      <c r="L13" s="529"/>
      <c r="M13" s="157"/>
      <c r="N13" s="554"/>
      <c r="O13" s="554"/>
      <c r="P13" s="554"/>
      <c r="Q13" s="556"/>
      <c r="R13" s="554"/>
      <c r="S13" s="554"/>
      <c r="T13" s="554"/>
      <c r="U13" s="554"/>
      <c r="V13" s="529"/>
      <c r="X13" s="529"/>
      <c r="Y13" s="529"/>
      <c r="Z13" s="529"/>
      <c r="AA13" s="530"/>
      <c r="AB13" s="529"/>
      <c r="AC13" s="529"/>
      <c r="AD13" s="529"/>
      <c r="AE13" s="529"/>
      <c r="AF13" s="529"/>
      <c r="AH13" s="158">
        <v>0</v>
      </c>
      <c r="AI13" s="158">
        <v>0</v>
      </c>
      <c r="AJ13" s="158">
        <v>0</v>
      </c>
      <c r="AK13" s="268">
        <v>0</v>
      </c>
      <c r="AL13" s="158">
        <v>0</v>
      </c>
      <c r="AM13" s="158">
        <v>0</v>
      </c>
      <c r="AN13" s="158">
        <v>0</v>
      </c>
      <c r="AO13" s="158">
        <v>0</v>
      </c>
      <c r="AP13" s="157">
        <v>0</v>
      </c>
      <c r="AR13" s="157">
        <f>AH13*AusNet_Overheads!H$20</f>
        <v>0</v>
      </c>
      <c r="AS13" s="157">
        <f>AI13*AusNet_Overheads!I$20</f>
        <v>0</v>
      </c>
      <c r="AT13" s="157">
        <f>AJ13*AusNet_Overheads!J$20</f>
        <v>0</v>
      </c>
      <c r="AU13" s="267">
        <v>0</v>
      </c>
      <c r="AV13" s="157">
        <v>0</v>
      </c>
      <c r="AW13" s="157">
        <v>0</v>
      </c>
      <c r="AX13" s="157">
        <v>0</v>
      </c>
      <c r="AY13" s="157">
        <v>0</v>
      </c>
      <c r="AZ13" s="158">
        <v>0</v>
      </c>
      <c r="BB13" s="157">
        <f t="shared" si="32"/>
        <v>0</v>
      </c>
      <c r="BC13" s="157">
        <f t="shared" si="33"/>
        <v>0</v>
      </c>
      <c r="BD13" s="157">
        <f t="shared" si="34"/>
        <v>0</v>
      </c>
      <c r="BE13" s="267">
        <f t="shared" si="35"/>
        <v>0</v>
      </c>
      <c r="BF13" s="157">
        <f t="shared" si="36"/>
        <v>0</v>
      </c>
      <c r="BG13" s="157">
        <f t="shared" si="37"/>
        <v>0</v>
      </c>
      <c r="BH13" s="157">
        <f t="shared" si="38"/>
        <v>0</v>
      </c>
      <c r="BI13" s="157">
        <f t="shared" si="39"/>
        <v>0</v>
      </c>
      <c r="BJ13" s="158">
        <f t="shared" si="2"/>
        <v>0</v>
      </c>
      <c r="BL13" s="285">
        <f t="shared" si="40"/>
        <v>0</v>
      </c>
      <c r="BM13" s="285">
        <f t="shared" si="40"/>
        <v>0</v>
      </c>
      <c r="BN13" s="285">
        <f t="shared" si="40"/>
        <v>0</v>
      </c>
      <c r="BO13" s="285">
        <f t="shared" si="40"/>
        <v>0</v>
      </c>
      <c r="BP13" s="285">
        <f t="shared" si="40"/>
        <v>0</v>
      </c>
      <c r="BQ13" s="289">
        <f t="shared" si="8"/>
        <v>0</v>
      </c>
      <c r="BR13" s="278"/>
    </row>
    <row r="14" spans="2:70" x14ac:dyDescent="0.25">
      <c r="B14" s="249" t="s">
        <v>26</v>
      </c>
      <c r="D14" s="157">
        <f>SUBTOTAL(9,D15:D16)</f>
        <v>0</v>
      </c>
      <c r="E14" s="529"/>
      <c r="F14" s="529"/>
      <c r="G14" s="530"/>
      <c r="H14" s="529"/>
      <c r="I14" s="529"/>
      <c r="J14" s="529"/>
      <c r="K14" s="529"/>
      <c r="L14" s="529"/>
      <c r="N14" s="529"/>
      <c r="O14" s="529"/>
      <c r="P14" s="529"/>
      <c r="Q14" s="530"/>
      <c r="R14" s="529"/>
      <c r="S14" s="529"/>
      <c r="T14" s="529"/>
      <c r="U14" s="529"/>
      <c r="V14" s="529"/>
      <c r="X14" s="529"/>
      <c r="Y14" s="529"/>
      <c r="Z14" s="529"/>
      <c r="AA14" s="530"/>
      <c r="AB14" s="529"/>
      <c r="AC14" s="529"/>
      <c r="AD14" s="529"/>
      <c r="AE14" s="529"/>
      <c r="AF14" s="529"/>
      <c r="AH14" s="157">
        <v>0</v>
      </c>
      <c r="AI14" s="157">
        <v>0</v>
      </c>
      <c r="AJ14" s="157">
        <v>0</v>
      </c>
      <c r="AK14" s="267">
        <v>56872.77008162671</v>
      </c>
      <c r="AL14" s="157">
        <v>96106.247119455787</v>
      </c>
      <c r="AM14" s="157">
        <v>94139.609275130337</v>
      </c>
      <c r="AN14" s="157">
        <v>94672.414192467128</v>
      </c>
      <c r="AO14" s="157">
        <v>95242.572189105558</v>
      </c>
      <c r="AP14" s="157">
        <v>437033.61285778548</v>
      </c>
      <c r="AR14" s="157">
        <f>SUBTOTAL(9,AR15:AR16)</f>
        <v>0</v>
      </c>
      <c r="AS14" s="157">
        <f t="shared" ref="AS14:AT14" si="41">SUBTOTAL(9,AS15:AS16)</f>
        <v>0</v>
      </c>
      <c r="AT14" s="157">
        <f t="shared" si="41"/>
        <v>0</v>
      </c>
      <c r="AU14" s="267">
        <v>4223.0267172595004</v>
      </c>
      <c r="AV14" s="157">
        <v>6117.5711464727428</v>
      </c>
      <c r="AW14" s="157">
        <v>6074.1638099779057</v>
      </c>
      <c r="AX14" s="157">
        <v>6314.6612494029032</v>
      </c>
      <c r="AY14" s="157">
        <v>6480.0246287809732</v>
      </c>
      <c r="AZ14" s="157">
        <v>29209.447551894023</v>
      </c>
      <c r="BB14" s="157">
        <f>SUBTOTAL(9,BB15:BB16)</f>
        <v>0</v>
      </c>
      <c r="BC14" s="157">
        <f t="shared" ref="BC14" si="42">SUBTOTAL(9,BC15:BC16)</f>
        <v>0</v>
      </c>
      <c r="BD14" s="157">
        <f t="shared" ref="BD14" si="43">SUBTOTAL(9,BD15:BD16)</f>
        <v>0</v>
      </c>
      <c r="BE14" s="267">
        <f t="shared" ref="BE14" si="44">SUBTOTAL(9,BE15:BE16)</f>
        <v>61095.796798886207</v>
      </c>
      <c r="BF14" s="157">
        <f t="shared" ref="BF14" si="45">SUBTOTAL(9,BF15:BF16)</f>
        <v>102223.81826592852</v>
      </c>
      <c r="BG14" s="157">
        <f t="shared" ref="BG14" si="46">SUBTOTAL(9,BG15:BG16)</f>
        <v>100213.77308510825</v>
      </c>
      <c r="BH14" s="157">
        <f t="shared" ref="BH14" si="47">SUBTOTAL(9,BH15:BH16)</f>
        <v>100987.07544187002</v>
      </c>
      <c r="BI14" s="157">
        <f t="shared" ref="BI14" si="48">SUBTOTAL(9,BI15:BI16)</f>
        <v>101722.59681788653</v>
      </c>
      <c r="BJ14" s="157">
        <f t="shared" si="2"/>
        <v>466243.06040967954</v>
      </c>
      <c r="BL14" s="285">
        <f t="shared" si="40"/>
        <v>64.888140888208426</v>
      </c>
      <c r="BM14" s="285">
        <f t="shared" si="40"/>
        <v>108.56906480170674</v>
      </c>
      <c r="BN14" s="285">
        <f t="shared" si="40"/>
        <v>106.43425190591833</v>
      </c>
      <c r="BO14" s="285">
        <f t="shared" si="40"/>
        <v>107.25555475985962</v>
      </c>
      <c r="BP14" s="285">
        <f t="shared" si="40"/>
        <v>108.03673148843806</v>
      </c>
      <c r="BQ14" s="289">
        <f t="shared" si="8"/>
        <v>495.18374384413113</v>
      </c>
    </row>
    <row r="15" spans="2:70" outlineLevel="1" x14ac:dyDescent="0.25">
      <c r="C15" s="1" t="s">
        <v>44</v>
      </c>
      <c r="D15" s="157">
        <f>Reg_Forecast!D8</f>
        <v>0</v>
      </c>
      <c r="E15" s="529"/>
      <c r="F15" s="529"/>
      <c r="G15" s="530"/>
      <c r="H15" s="529"/>
      <c r="I15" s="529"/>
      <c r="J15" s="529"/>
      <c r="K15" s="529"/>
      <c r="L15" s="529"/>
      <c r="M15" s="157"/>
      <c r="N15" s="554"/>
      <c r="O15" s="554"/>
      <c r="P15" s="554"/>
      <c r="Q15" s="556"/>
      <c r="R15" s="554"/>
      <c r="S15" s="554"/>
      <c r="T15" s="554"/>
      <c r="U15" s="554"/>
      <c r="V15" s="529"/>
      <c r="X15" s="529"/>
      <c r="Y15" s="529"/>
      <c r="Z15" s="529"/>
      <c r="AA15" s="530"/>
      <c r="AB15" s="529"/>
      <c r="AC15" s="529"/>
      <c r="AD15" s="529"/>
      <c r="AE15" s="529"/>
      <c r="AF15" s="529"/>
      <c r="AH15" s="158">
        <v>0</v>
      </c>
      <c r="AI15" s="158">
        <v>0</v>
      </c>
      <c r="AJ15" s="158">
        <v>0</v>
      </c>
      <c r="AK15" s="268">
        <v>8144.1638823371422</v>
      </c>
      <c r="AL15" s="158">
        <v>12041.994914777746</v>
      </c>
      <c r="AM15" s="158">
        <v>10033.332160957783</v>
      </c>
      <c r="AN15" s="158">
        <v>10041.738461488358</v>
      </c>
      <c r="AO15" s="158">
        <v>10064.632577218912</v>
      </c>
      <c r="AP15" s="157">
        <v>50325.861996779946</v>
      </c>
      <c r="AR15" s="571"/>
      <c r="AS15" s="571"/>
      <c r="AT15" s="571"/>
      <c r="AU15" s="572">
        <v>909.98201631455572</v>
      </c>
      <c r="AV15" s="571">
        <v>1167.6170828811646</v>
      </c>
      <c r="AW15" s="571">
        <v>1000.863513987367</v>
      </c>
      <c r="AX15" s="571">
        <v>1038.3899270191728</v>
      </c>
      <c r="AY15" s="571">
        <v>1062.656295615765</v>
      </c>
      <c r="AZ15" s="158">
        <v>5179.5088358180255</v>
      </c>
      <c r="BB15" s="157">
        <f t="shared" ref="BB15:BB17" si="49">AR15+AH15</f>
        <v>0</v>
      </c>
      <c r="BC15" s="157">
        <f t="shared" ref="BC15:BC17" si="50">AS15+AI15</f>
        <v>0</v>
      </c>
      <c r="BD15" s="157">
        <f t="shared" ref="BD15:BD17" si="51">AT15+AJ15</f>
        <v>0</v>
      </c>
      <c r="BE15" s="267">
        <f t="shared" ref="BE15:BE17" si="52">AU15+AK15</f>
        <v>9054.1458986516973</v>
      </c>
      <c r="BF15" s="157">
        <f t="shared" ref="BF15:BF17" si="53">AV15+AL15</f>
        <v>13209.611997658911</v>
      </c>
      <c r="BG15" s="157">
        <f t="shared" ref="BG15:BG17" si="54">AW15+AM15</f>
        <v>11034.195674945151</v>
      </c>
      <c r="BH15" s="157">
        <f t="shared" ref="BH15:BH17" si="55">AX15+AN15</f>
        <v>11080.12838850753</v>
      </c>
      <c r="BI15" s="157">
        <f t="shared" ref="BI15:BI17" si="56">AY15+AO15</f>
        <v>11127.288872834677</v>
      </c>
      <c r="BJ15" s="158">
        <f t="shared" si="2"/>
        <v>55505.370832597968</v>
      </c>
      <c r="BL15" s="285">
        <f t="shared" ref="BL15:BP16" si="57">BE15*$BL$2/Thousands</f>
        <v>9.616155700989502</v>
      </c>
      <c r="BM15" s="285">
        <f t="shared" si="57"/>
        <v>14.02956028553319</v>
      </c>
      <c r="BN15" s="285">
        <f t="shared" si="57"/>
        <v>11.719111314658452</v>
      </c>
      <c r="BO15" s="285">
        <f t="shared" si="57"/>
        <v>11.767895167970398</v>
      </c>
      <c r="BP15" s="285">
        <f t="shared" si="57"/>
        <v>11.817983002350386</v>
      </c>
      <c r="BQ15" s="289">
        <f t="shared" si="8"/>
        <v>58.950705471501934</v>
      </c>
      <c r="BR15" s="278"/>
    </row>
    <row r="16" spans="2:70" outlineLevel="1" x14ac:dyDescent="0.25">
      <c r="C16" s="1" t="s">
        <v>45</v>
      </c>
      <c r="D16" s="157">
        <f>Reg_Forecast!D13</f>
        <v>0</v>
      </c>
      <c r="E16" s="529"/>
      <c r="F16" s="529"/>
      <c r="G16" s="530"/>
      <c r="H16" s="529"/>
      <c r="I16" s="529"/>
      <c r="J16" s="529"/>
      <c r="K16" s="529"/>
      <c r="L16" s="529"/>
      <c r="M16" s="157"/>
      <c r="N16" s="554"/>
      <c r="O16" s="554"/>
      <c r="P16" s="554"/>
      <c r="Q16" s="556"/>
      <c r="R16" s="554"/>
      <c r="S16" s="554"/>
      <c r="T16" s="554"/>
      <c r="U16" s="554"/>
      <c r="V16" s="529"/>
      <c r="X16" s="529"/>
      <c r="Y16" s="529"/>
      <c r="Z16" s="529"/>
      <c r="AA16" s="530"/>
      <c r="AB16" s="529"/>
      <c r="AC16" s="529"/>
      <c r="AD16" s="529"/>
      <c r="AE16" s="529"/>
      <c r="AF16" s="529"/>
      <c r="AH16" s="158">
        <v>0</v>
      </c>
      <c r="AI16" s="158">
        <v>0</v>
      </c>
      <c r="AJ16" s="158">
        <v>0</v>
      </c>
      <c r="AK16" s="268">
        <v>48728.60619928957</v>
      </c>
      <c r="AL16" s="158">
        <v>84064.252204678036</v>
      </c>
      <c r="AM16" s="158">
        <v>84106.277114172553</v>
      </c>
      <c r="AN16" s="158">
        <v>84630.675730978764</v>
      </c>
      <c r="AO16" s="158">
        <v>85177.939611886643</v>
      </c>
      <c r="AP16" s="157">
        <v>386707.75086100557</v>
      </c>
      <c r="AR16" s="571"/>
      <c r="AS16" s="571"/>
      <c r="AT16" s="571"/>
      <c r="AU16" s="572">
        <v>3313.0447009449449</v>
      </c>
      <c r="AV16" s="571">
        <v>4949.9540635915782</v>
      </c>
      <c r="AW16" s="571">
        <v>5073.3002959905389</v>
      </c>
      <c r="AX16" s="571">
        <v>5276.2713223837309</v>
      </c>
      <c r="AY16" s="571">
        <v>5417.3683331652082</v>
      </c>
      <c r="AZ16" s="158">
        <v>24029.938716076002</v>
      </c>
      <c r="BB16" s="157">
        <f t="shared" si="49"/>
        <v>0</v>
      </c>
      <c r="BC16" s="157">
        <f t="shared" si="50"/>
        <v>0</v>
      </c>
      <c r="BD16" s="157">
        <f t="shared" si="51"/>
        <v>0</v>
      </c>
      <c r="BE16" s="267">
        <f t="shared" si="52"/>
        <v>52041.650900234512</v>
      </c>
      <c r="BF16" s="157">
        <f t="shared" si="53"/>
        <v>89014.206268269612</v>
      </c>
      <c r="BG16" s="157">
        <f t="shared" si="54"/>
        <v>89179.577410163096</v>
      </c>
      <c r="BH16" s="157">
        <f t="shared" si="55"/>
        <v>89906.947053362499</v>
      </c>
      <c r="BI16" s="157">
        <f t="shared" si="56"/>
        <v>90595.307945051856</v>
      </c>
      <c r="BJ16" s="158">
        <f t="shared" si="2"/>
        <v>410737.68957708159</v>
      </c>
      <c r="BL16" s="285">
        <f t="shared" si="57"/>
        <v>55.271985187218924</v>
      </c>
      <c r="BM16" s="285">
        <f t="shared" si="57"/>
        <v>94.539504516173551</v>
      </c>
      <c r="BN16" s="285">
        <f t="shared" si="57"/>
        <v>94.715140591259882</v>
      </c>
      <c r="BO16" s="285">
        <f t="shared" si="57"/>
        <v>95.487659591889212</v>
      </c>
      <c r="BP16" s="285">
        <f t="shared" si="57"/>
        <v>96.218748486087691</v>
      </c>
      <c r="BQ16" s="289">
        <f t="shared" si="8"/>
        <v>436.23303837262927</v>
      </c>
      <c r="BR16" s="278"/>
    </row>
    <row r="17" spans="2:70" outlineLevel="1" x14ac:dyDescent="0.25">
      <c r="C17" s="1" t="s">
        <v>48</v>
      </c>
      <c r="D17" s="157">
        <f>Reg_Forecast!D18</f>
        <v>0</v>
      </c>
      <c r="E17" s="529"/>
      <c r="F17" s="529"/>
      <c r="G17" s="530"/>
      <c r="H17" s="529"/>
      <c r="I17" s="529"/>
      <c r="J17" s="529"/>
      <c r="K17" s="529"/>
      <c r="L17" s="529"/>
      <c r="M17" s="157"/>
      <c r="N17" s="554"/>
      <c r="O17" s="554"/>
      <c r="P17" s="554"/>
      <c r="Q17" s="556"/>
      <c r="R17" s="554"/>
      <c r="S17" s="554"/>
      <c r="T17" s="554"/>
      <c r="U17" s="554"/>
      <c r="V17" s="529"/>
      <c r="X17" s="529"/>
      <c r="Y17" s="529"/>
      <c r="Z17" s="529"/>
      <c r="AA17" s="530"/>
      <c r="AB17" s="529"/>
      <c r="AC17" s="529"/>
      <c r="AD17" s="529"/>
      <c r="AE17" s="529"/>
      <c r="AF17" s="529"/>
      <c r="AH17" s="158">
        <v>0</v>
      </c>
      <c r="AI17" s="158">
        <v>0</v>
      </c>
      <c r="AJ17" s="158">
        <v>0</v>
      </c>
      <c r="AK17" s="268">
        <v>0</v>
      </c>
      <c r="AL17" s="158">
        <v>0</v>
      </c>
      <c r="AM17" s="158">
        <v>0</v>
      </c>
      <c r="AN17" s="158">
        <v>0</v>
      </c>
      <c r="AO17" s="158">
        <v>0</v>
      </c>
      <c r="AP17" s="157">
        <v>0</v>
      </c>
      <c r="AR17" s="157">
        <v>0</v>
      </c>
      <c r="AS17" s="157">
        <v>0</v>
      </c>
      <c r="AT17" s="157">
        <v>0</v>
      </c>
      <c r="AU17" s="267">
        <v>0</v>
      </c>
      <c r="AV17" s="157">
        <v>0</v>
      </c>
      <c r="AW17" s="157">
        <v>0</v>
      </c>
      <c r="AX17" s="157">
        <v>0</v>
      </c>
      <c r="AY17" s="157">
        <v>0</v>
      </c>
      <c r="AZ17" s="158">
        <v>0</v>
      </c>
      <c r="BB17" s="157">
        <f t="shared" si="49"/>
        <v>0</v>
      </c>
      <c r="BC17" s="157">
        <f t="shared" si="50"/>
        <v>0</v>
      </c>
      <c r="BD17" s="157">
        <f t="shared" si="51"/>
        <v>0</v>
      </c>
      <c r="BE17" s="267">
        <f t="shared" si="52"/>
        <v>0</v>
      </c>
      <c r="BF17" s="157">
        <f t="shared" si="53"/>
        <v>0</v>
      </c>
      <c r="BG17" s="157">
        <f t="shared" si="54"/>
        <v>0</v>
      </c>
      <c r="BH17" s="157">
        <f t="shared" si="55"/>
        <v>0</v>
      </c>
      <c r="BI17" s="157">
        <f t="shared" si="56"/>
        <v>0</v>
      </c>
      <c r="BJ17" s="158">
        <f t="shared" ref="BJ17" si="58">SUM(BE17:BI17)</f>
        <v>0</v>
      </c>
      <c r="BL17" s="285">
        <f t="shared" ref="BL17:BL18" si="59">BE17*$BL$2/Thousands</f>
        <v>0</v>
      </c>
      <c r="BM17" s="285">
        <f t="shared" ref="BM17:BM18" si="60">BF17*$BL$2/Thousands</f>
        <v>0</v>
      </c>
      <c r="BN17" s="285">
        <f t="shared" ref="BN17:BN18" si="61">BG17*$BL$2/Thousands</f>
        <v>0</v>
      </c>
      <c r="BO17" s="285">
        <f t="shared" ref="BO17:BO18" si="62">BH17*$BL$2/Thousands</f>
        <v>0</v>
      </c>
      <c r="BP17" s="285">
        <f t="shared" ref="BP17:BP18" si="63">BI17*$BL$2/Thousands</f>
        <v>0</v>
      </c>
      <c r="BQ17" s="289">
        <f t="shared" si="8"/>
        <v>0</v>
      </c>
      <c r="BR17" s="278"/>
    </row>
    <row r="18" spans="2:70" x14ac:dyDescent="0.25">
      <c r="B18" s="249" t="s">
        <v>150</v>
      </c>
      <c r="D18" s="157">
        <f>SUBTOTAL(9,D19:D21)</f>
        <v>0</v>
      </c>
      <c r="E18" s="529"/>
      <c r="F18" s="529"/>
      <c r="G18" s="530"/>
      <c r="H18" s="529"/>
      <c r="I18" s="529"/>
      <c r="J18" s="529"/>
      <c r="K18" s="529"/>
      <c r="L18" s="529"/>
      <c r="N18" s="529"/>
      <c r="O18" s="529"/>
      <c r="P18" s="529"/>
      <c r="Q18" s="530"/>
      <c r="R18" s="529"/>
      <c r="S18" s="529"/>
      <c r="T18" s="529"/>
      <c r="U18" s="529"/>
      <c r="V18" s="529"/>
      <c r="X18" s="529"/>
      <c r="Y18" s="529"/>
      <c r="Z18" s="529"/>
      <c r="AA18" s="530"/>
      <c r="AB18" s="529"/>
      <c r="AC18" s="529"/>
      <c r="AD18" s="529"/>
      <c r="AE18" s="529"/>
      <c r="AF18" s="529"/>
      <c r="AH18" s="157">
        <v>0</v>
      </c>
      <c r="AI18" s="157">
        <v>1071.917853869244</v>
      </c>
      <c r="AJ18" s="157">
        <v>2542.9701905619449</v>
      </c>
      <c r="AK18" s="267">
        <v>113251.45309431577</v>
      </c>
      <c r="AL18" s="157">
        <v>118757.32107973968</v>
      </c>
      <c r="AM18" s="157">
        <v>118086.75107364406</v>
      </c>
      <c r="AN18" s="157">
        <v>98471.81132800912</v>
      </c>
      <c r="AO18" s="157">
        <v>80179.462917858094</v>
      </c>
      <c r="AP18" s="366">
        <v>528746.79949356662</v>
      </c>
      <c r="AR18" s="157">
        <f>SUBTOTAL(9,AR19:AR21)</f>
        <v>0</v>
      </c>
      <c r="AS18" s="157">
        <f t="shared" ref="AS18:AT18" si="64">SUBTOTAL(9,AS19:AS21)</f>
        <v>88.46651477784819</v>
      </c>
      <c r="AT18" s="157">
        <f t="shared" si="64"/>
        <v>220.6760854610981</v>
      </c>
      <c r="AU18" s="267">
        <v>13478.335986540216</v>
      </c>
      <c r="AV18" s="157">
        <v>13110.207960290785</v>
      </c>
      <c r="AW18" s="157">
        <v>13471.45933722522</v>
      </c>
      <c r="AX18" s="157">
        <v>11788.80181150809</v>
      </c>
      <c r="AY18" s="157">
        <v>9884.3504340733762</v>
      </c>
      <c r="AZ18" s="157">
        <v>61733.15552963769</v>
      </c>
      <c r="BB18" s="157">
        <f>SUBTOTAL(9,BB19:BB21)</f>
        <v>0</v>
      </c>
      <c r="BC18" s="157">
        <f t="shared" ref="BC18" si="65">SUBTOTAL(9,BC19:BC21)</f>
        <v>1160.3843686470923</v>
      </c>
      <c r="BD18" s="157">
        <f t="shared" ref="BD18" si="66">SUBTOTAL(9,BD19:BD21)</f>
        <v>2763.6462760230429</v>
      </c>
      <c r="BE18" s="373">
        <f t="shared" ref="BE18" si="67">SUBTOTAL(9,BE19:BE21)</f>
        <v>126729.78908085599</v>
      </c>
      <c r="BF18" s="366">
        <f t="shared" ref="BF18" si="68">SUBTOTAL(9,BF19:BF21)</f>
        <v>131867.52904003047</v>
      </c>
      <c r="BG18" s="366">
        <f t="shared" ref="BG18" si="69">SUBTOTAL(9,BG19:BG21)</f>
        <v>131558.2104108693</v>
      </c>
      <c r="BH18" s="366">
        <f t="shared" ref="BH18" si="70">SUBTOTAL(9,BH19:BH21)</f>
        <v>110260.61313951721</v>
      </c>
      <c r="BI18" s="366">
        <f t="shared" ref="BI18" si="71">SUBTOTAL(9,BI19:BI21)</f>
        <v>90063.813351931472</v>
      </c>
      <c r="BJ18" s="157">
        <f t="shared" ref="BJ18:BJ33" si="72">SUM(BE18:BI18)</f>
        <v>590479.95502320444</v>
      </c>
      <c r="BL18" s="285">
        <f t="shared" si="59"/>
        <v>134.59617255963889</v>
      </c>
      <c r="BM18" s="285">
        <f t="shared" si="60"/>
        <v>140.05282280049423</v>
      </c>
      <c r="BN18" s="285">
        <f t="shared" si="61"/>
        <v>139.72430411606777</v>
      </c>
      <c r="BO18" s="285">
        <f t="shared" si="62"/>
        <v>117.10472036838495</v>
      </c>
      <c r="BP18" s="285">
        <f t="shared" si="63"/>
        <v>95.65426291021015</v>
      </c>
      <c r="BQ18" s="289">
        <f t="shared" si="8"/>
        <v>627.13228275479594</v>
      </c>
    </row>
    <row r="19" spans="2:70" outlineLevel="1" x14ac:dyDescent="0.25">
      <c r="B19" s="249"/>
      <c r="C19" s="1" t="s">
        <v>44</v>
      </c>
      <c r="D19" s="157">
        <f>SUMIFS(Major_Rebuilds!CQ$6:CQ$36,Major_Rebuilds!$G$6:$G$36,"Replacement",Major_Rebuilds!$E$6:$E$36,$C19)+SUMIFS(Stations!DF$7:DF$38,Stations!$G$7:$G$38,"Replacement",Stations!$E$7:$E$38,$C19)+SUMIFS(Lines!DF$7:DF$37,Lines!$G$7:$G$37,"Replacement",Lines!$E$7:$E$37,$C19)+SUMIFS('PC&amp;A'!CQ$6:CQ$36,'PC&amp;A'!$G$6:$G$36,"Replacement",'PC&amp;A'!$E$6:$E$36,$C19)+SUMIFS('SCADA&amp;Comms'!CQ$6:CQ$36,'SCADA&amp;Comms'!$G$6:$G$36,"Replacement",'SCADA&amp;Comms'!$E$6:$E$36,$C19)+SUMIFS(Metering_SCS!BC$6:BC$36,Metering_SCS!$G$6:$G$36,"Replacement",Metering_SCS!$E$6:$E$36,$C19)</f>
        <v>0</v>
      </c>
      <c r="E19" s="529"/>
      <c r="F19" s="529"/>
      <c r="G19" s="530"/>
      <c r="H19" s="529"/>
      <c r="I19" s="529"/>
      <c r="J19" s="529"/>
      <c r="K19" s="529"/>
      <c r="L19" s="529"/>
      <c r="M19" s="157"/>
      <c r="N19" s="529"/>
      <c r="O19" s="529"/>
      <c r="P19" s="529"/>
      <c r="Q19" s="530"/>
      <c r="R19" s="529"/>
      <c r="S19" s="529"/>
      <c r="T19" s="529"/>
      <c r="U19" s="529"/>
      <c r="V19" s="529"/>
      <c r="X19" s="529"/>
      <c r="Y19" s="529"/>
      <c r="Z19" s="529"/>
      <c r="AA19" s="530"/>
      <c r="AB19" s="529"/>
      <c r="AC19" s="529"/>
      <c r="AD19" s="529"/>
      <c r="AE19" s="529"/>
      <c r="AF19" s="529"/>
      <c r="AH19" s="158">
        <v>0</v>
      </c>
      <c r="AI19" s="158">
        <v>1071.917853869244</v>
      </c>
      <c r="AJ19" s="158">
        <v>2542.9701905619449</v>
      </c>
      <c r="AK19" s="268">
        <v>22328.303249091157</v>
      </c>
      <c r="AL19" s="158">
        <v>30985.464032513923</v>
      </c>
      <c r="AM19" s="158">
        <v>31145.989346869486</v>
      </c>
      <c r="AN19" s="158">
        <v>16094.214087723227</v>
      </c>
      <c r="AO19" s="158">
        <v>5224.2262106265389</v>
      </c>
      <c r="AP19" s="157">
        <v>105778.19692682434</v>
      </c>
      <c r="AR19" s="157">
        <f>AH19*AusNet_Overheads!H$20</f>
        <v>0</v>
      </c>
      <c r="AS19" s="157">
        <f>AI19*AusNet_Overheads!I$20</f>
        <v>88.46651477784819</v>
      </c>
      <c r="AT19" s="157">
        <f>AJ19*AusNet_Overheads!J$20</f>
        <v>220.6760854610981</v>
      </c>
      <c r="AU19" s="267">
        <v>2657.3466827836501</v>
      </c>
      <c r="AV19" s="157">
        <v>3420.6386058473586</v>
      </c>
      <c r="AW19" s="157">
        <v>3553.1668471624944</v>
      </c>
      <c r="AX19" s="157">
        <v>1926.7595226836634</v>
      </c>
      <c r="AY19" s="157">
        <v>644.03128598661101</v>
      </c>
      <c r="AZ19" s="158">
        <v>12201.942944463779</v>
      </c>
      <c r="BB19" s="157">
        <f t="shared" ref="BB19:BB21" si="73">AR19+AH19</f>
        <v>0</v>
      </c>
      <c r="BC19" s="157">
        <f t="shared" ref="BC19:BC21" si="74">AS19+AI19</f>
        <v>1160.3843686470923</v>
      </c>
      <c r="BD19" s="157">
        <f t="shared" ref="BD19:BD21" si="75">AT19+AJ19</f>
        <v>2763.6462760230429</v>
      </c>
      <c r="BE19" s="267">
        <f t="shared" ref="BE19:BE21" si="76">AU19+AK19</f>
        <v>24985.649931874806</v>
      </c>
      <c r="BF19" s="157">
        <f t="shared" ref="BF19:BF21" si="77">AV19+AL19</f>
        <v>34406.102638361284</v>
      </c>
      <c r="BG19" s="157">
        <f t="shared" ref="BG19:BG21" si="78">AW19+AM19</f>
        <v>34699.156194031981</v>
      </c>
      <c r="BH19" s="157">
        <f t="shared" ref="BH19:BH21" si="79">AX19+AN19</f>
        <v>18020.973610406891</v>
      </c>
      <c r="BI19" s="157">
        <f t="shared" ref="BI19:BI21" si="80">AY19+AO19</f>
        <v>5868.2574966131497</v>
      </c>
      <c r="BJ19" s="158">
        <f t="shared" si="72"/>
        <v>117980.13987128811</v>
      </c>
      <c r="BL19" s="285">
        <f t="shared" ref="BL19:BP22" si="81">BE19*$BL$2/Thousands</f>
        <v>26.53656156248876</v>
      </c>
      <c r="BM19" s="285">
        <f t="shared" si="81"/>
        <v>36.5417615022061</v>
      </c>
      <c r="BN19" s="285">
        <f t="shared" si="81"/>
        <v>36.853005505958862</v>
      </c>
      <c r="BO19" s="285">
        <f t="shared" si="81"/>
        <v>19.139573192309786</v>
      </c>
      <c r="BP19" s="285">
        <f t="shared" si="81"/>
        <v>6.2325125321135193</v>
      </c>
      <c r="BQ19" s="289">
        <f t="shared" si="8"/>
        <v>125.30341429507702</v>
      </c>
      <c r="BR19" s="278"/>
    </row>
    <row r="20" spans="2:70" outlineLevel="1" x14ac:dyDescent="0.25">
      <c r="B20" s="249"/>
      <c r="C20" s="1" t="s">
        <v>45</v>
      </c>
      <c r="D20" s="157">
        <f>SUMIFS(Major_Rebuilds!CQ$6:CQ$36,Major_Rebuilds!$G$6:$G$36,"Replacement",Major_Rebuilds!$E$6:$E$36,$C20)+SUMIFS(Stations!DF$7:DF$38,Stations!$G$7:$G$38,"Replacement",Stations!$E$7:$E$38,$C20)+SUMIFS(Lines!DF$7:DF$37,Lines!$G$7:$G$37,"Replacement",Lines!$E$7:$E$37,$C20)+SUMIFS('PC&amp;A'!CQ$6:CQ$36,'PC&amp;A'!$G$6:$G$36,"Replacement",'PC&amp;A'!$E$6:$E$36,$C20)+SUMIFS('SCADA&amp;Comms'!CQ$6:CQ$36,'SCADA&amp;Comms'!$G$6:$G$36,"Replacement",'SCADA&amp;Comms'!$E$6:$E$36,$C20)+SUMIFS(Metering_SCS!BC$6:BC$36,Metering_SCS!$G$6:$G$36,"Replacement",Metering_SCS!$E$6:$E$36,$C20)</f>
        <v>0</v>
      </c>
      <c r="E20" s="529"/>
      <c r="F20" s="529"/>
      <c r="G20" s="530"/>
      <c r="H20" s="529"/>
      <c r="I20" s="529"/>
      <c r="J20" s="529"/>
      <c r="K20" s="529"/>
      <c r="L20" s="529"/>
      <c r="M20" s="157"/>
      <c r="N20" s="529"/>
      <c r="O20" s="529"/>
      <c r="P20" s="529"/>
      <c r="Q20" s="530"/>
      <c r="R20" s="529"/>
      <c r="S20" s="529"/>
      <c r="T20" s="529"/>
      <c r="U20" s="529"/>
      <c r="V20" s="529"/>
      <c r="X20" s="529"/>
      <c r="Y20" s="529"/>
      <c r="Z20" s="529"/>
      <c r="AA20" s="530"/>
      <c r="AB20" s="529"/>
      <c r="AC20" s="529"/>
      <c r="AD20" s="529"/>
      <c r="AE20" s="529"/>
      <c r="AF20" s="529"/>
      <c r="AH20" s="158">
        <v>0</v>
      </c>
      <c r="AI20" s="158">
        <v>0</v>
      </c>
      <c r="AJ20" s="158">
        <v>0</v>
      </c>
      <c r="AK20" s="268">
        <v>73954.449831775157</v>
      </c>
      <c r="AL20" s="158">
        <v>75956.349240905125</v>
      </c>
      <c r="AM20" s="158">
        <v>75838.593420997364</v>
      </c>
      <c r="AN20" s="158">
        <v>71820.194508691289</v>
      </c>
      <c r="AO20" s="158">
        <v>68085.205110270035</v>
      </c>
      <c r="AP20" s="157">
        <v>365654.79211263906</v>
      </c>
      <c r="AR20" s="157">
        <f>AH20*AusNet_Overheads!H$20</f>
        <v>0</v>
      </c>
      <c r="AS20" s="157">
        <f>AI20*AusNet_Overheads!I$20</f>
        <v>0</v>
      </c>
      <c r="AT20" s="157">
        <f>AJ20*AusNet_Overheads!J$20</f>
        <v>0</v>
      </c>
      <c r="AU20" s="267">
        <v>8801.5022792005821</v>
      </c>
      <c r="AV20" s="157">
        <v>8385.1970168989283</v>
      </c>
      <c r="AW20" s="157">
        <v>8651.7455868200868</v>
      </c>
      <c r="AX20" s="157">
        <v>8598.1361336662758</v>
      </c>
      <c r="AY20" s="157">
        <v>8393.3965406468487</v>
      </c>
      <c r="AZ20" s="158">
        <v>42829.97755723272</v>
      </c>
      <c r="BB20" s="157">
        <f t="shared" si="73"/>
        <v>0</v>
      </c>
      <c r="BC20" s="157">
        <f t="shared" si="74"/>
        <v>0</v>
      </c>
      <c r="BD20" s="157">
        <f t="shared" si="75"/>
        <v>0</v>
      </c>
      <c r="BE20" s="267">
        <f t="shared" si="76"/>
        <v>82755.952110975733</v>
      </c>
      <c r="BF20" s="157">
        <f t="shared" si="77"/>
        <v>84341.546257804061</v>
      </c>
      <c r="BG20" s="157">
        <f t="shared" si="78"/>
        <v>84490.339007817456</v>
      </c>
      <c r="BH20" s="157">
        <f t="shared" si="79"/>
        <v>80418.33064235757</v>
      </c>
      <c r="BI20" s="157">
        <f t="shared" si="80"/>
        <v>76478.601650916884</v>
      </c>
      <c r="BJ20" s="158">
        <f t="shared" si="72"/>
        <v>408484.76966987166</v>
      </c>
      <c r="BL20" s="285">
        <f t="shared" si="81"/>
        <v>87.89278741369516</v>
      </c>
      <c r="BM20" s="285">
        <f t="shared" si="81"/>
        <v>89.576802710681861</v>
      </c>
      <c r="BN20" s="285">
        <f t="shared" si="81"/>
        <v>89.734831338376082</v>
      </c>
      <c r="BO20" s="285">
        <f t="shared" si="81"/>
        <v>85.410064883726264</v>
      </c>
      <c r="BP20" s="285">
        <f t="shared" si="81"/>
        <v>81.225788660936701</v>
      </c>
      <c r="BQ20" s="289">
        <f t="shared" si="8"/>
        <v>433.84027500741604</v>
      </c>
      <c r="BR20" s="278"/>
    </row>
    <row r="21" spans="2:70" outlineLevel="1" x14ac:dyDescent="0.25">
      <c r="B21" s="249"/>
      <c r="C21" s="1" t="s">
        <v>48</v>
      </c>
      <c r="D21" s="157">
        <f>SUMIFS(Major_Rebuilds!CQ$6:CQ$36,Major_Rebuilds!$G$6:$G$36,"Replacement",Major_Rebuilds!$E$6:$E$36,$C21)+SUMIFS(Stations!DF$7:DF$38,Stations!$G$7:$G$38,"Replacement",Stations!$E$7:$E$38,$C21)+SUMIFS(Lines!DF$7:DF$37,Lines!$G$7:$G$37,"Replacement",Lines!$E$7:$E$37,$C21)+SUMIFS('PC&amp;A'!CQ$6:CQ$36,'PC&amp;A'!$G$6:$G$36,"Replacement",'PC&amp;A'!$E$6:$E$36,$C21)+SUMIFS('SCADA&amp;Comms'!CQ$6:CQ$36,'SCADA&amp;Comms'!$G$6:$G$36,"Replacement",'SCADA&amp;Comms'!$E$6:$E$36,$C21)+SUMIFS(Metering_SCS!BC$6:BC$36,Metering_SCS!$G$6:$G$36,"Replacement",Metering_SCS!$E$6:$E$36,$C21)</f>
        <v>0</v>
      </c>
      <c r="E21" s="529"/>
      <c r="F21" s="529"/>
      <c r="G21" s="530"/>
      <c r="H21" s="529"/>
      <c r="I21" s="529"/>
      <c r="J21" s="529"/>
      <c r="K21" s="529"/>
      <c r="L21" s="529"/>
      <c r="M21" s="157"/>
      <c r="N21" s="529"/>
      <c r="O21" s="529"/>
      <c r="P21" s="529"/>
      <c r="Q21" s="530"/>
      <c r="R21" s="529"/>
      <c r="S21" s="529"/>
      <c r="T21" s="529"/>
      <c r="U21" s="529"/>
      <c r="V21" s="529"/>
      <c r="X21" s="529"/>
      <c r="Y21" s="529"/>
      <c r="Z21" s="529"/>
      <c r="AA21" s="530"/>
      <c r="AB21" s="529"/>
      <c r="AC21" s="529"/>
      <c r="AD21" s="529"/>
      <c r="AE21" s="529"/>
      <c r="AF21" s="529"/>
      <c r="AH21" s="158">
        <v>0</v>
      </c>
      <c r="AI21" s="158">
        <v>0</v>
      </c>
      <c r="AJ21" s="158">
        <v>0</v>
      </c>
      <c r="AK21" s="268">
        <v>16968.700013449459</v>
      </c>
      <c r="AL21" s="158">
        <v>11815.507806320627</v>
      </c>
      <c r="AM21" s="158">
        <v>11102.168305777215</v>
      </c>
      <c r="AN21" s="158">
        <v>10557.4027315946</v>
      </c>
      <c r="AO21" s="158">
        <v>6870.031596961524</v>
      </c>
      <c r="AP21" s="157">
        <v>57313.810454103426</v>
      </c>
      <c r="AR21" s="157">
        <f>AH21*AusNet_Overheads!H$20</f>
        <v>0</v>
      </c>
      <c r="AS21" s="157">
        <f>AI21*AusNet_Overheads!I$20</f>
        <v>0</v>
      </c>
      <c r="AT21" s="157">
        <f>AJ21*AusNet_Overheads!J$20</f>
        <v>0</v>
      </c>
      <c r="AU21" s="267">
        <v>2019.4870245559832</v>
      </c>
      <c r="AV21" s="157">
        <v>1304.3723375444988</v>
      </c>
      <c r="AW21" s="157">
        <v>1266.5469032426399</v>
      </c>
      <c r="AX21" s="157">
        <v>1263.9061551581513</v>
      </c>
      <c r="AY21" s="157">
        <v>846.92260743991619</v>
      </c>
      <c r="AZ21" s="158">
        <v>6701.2350279411894</v>
      </c>
      <c r="BB21" s="157">
        <f t="shared" si="73"/>
        <v>0</v>
      </c>
      <c r="BC21" s="157">
        <f t="shared" si="74"/>
        <v>0</v>
      </c>
      <c r="BD21" s="157">
        <f t="shared" si="75"/>
        <v>0</v>
      </c>
      <c r="BE21" s="267">
        <f t="shared" si="76"/>
        <v>18988.187038005442</v>
      </c>
      <c r="BF21" s="157">
        <f t="shared" si="77"/>
        <v>13119.880143865126</v>
      </c>
      <c r="BG21" s="157">
        <f t="shared" si="78"/>
        <v>12368.715209019854</v>
      </c>
      <c r="BH21" s="157">
        <f t="shared" si="79"/>
        <v>11821.308886752751</v>
      </c>
      <c r="BI21" s="157">
        <f t="shared" si="80"/>
        <v>7716.9542044014397</v>
      </c>
      <c r="BJ21" s="158">
        <f t="shared" si="72"/>
        <v>64015.045482044618</v>
      </c>
      <c r="BL21" s="285">
        <f t="shared" si="81"/>
        <v>20.166823583454956</v>
      </c>
      <c r="BM21" s="285">
        <f t="shared" si="81"/>
        <v>13.934258587606282</v>
      </c>
      <c r="BN21" s="285">
        <f t="shared" si="81"/>
        <v>13.136467271732807</v>
      </c>
      <c r="BO21" s="285">
        <f t="shared" si="81"/>
        <v>12.555082292348899</v>
      </c>
      <c r="BP21" s="285">
        <f t="shared" si="81"/>
        <v>8.1959617171599195</v>
      </c>
      <c r="BQ21" s="289">
        <f t="shared" si="8"/>
        <v>67.988593452302865</v>
      </c>
      <c r="BR21" s="278"/>
    </row>
    <row r="22" spans="2:70" x14ac:dyDescent="0.25">
      <c r="B22" s="249" t="s">
        <v>557</v>
      </c>
      <c r="D22" s="157">
        <f>SUBTOTAL(9,D23:D26)</f>
        <v>0</v>
      </c>
      <c r="E22" s="529"/>
      <c r="F22" s="529"/>
      <c r="G22" s="530"/>
      <c r="H22" s="529"/>
      <c r="I22" s="529"/>
      <c r="J22" s="529"/>
      <c r="K22" s="529"/>
      <c r="L22" s="529"/>
      <c r="N22" s="529"/>
      <c r="O22" s="529"/>
      <c r="P22" s="529"/>
      <c r="Q22" s="530"/>
      <c r="R22" s="529"/>
      <c r="S22" s="529"/>
      <c r="T22" s="529"/>
      <c r="U22" s="529"/>
      <c r="V22" s="529"/>
      <c r="X22" s="529"/>
      <c r="Y22" s="529"/>
      <c r="Z22" s="529"/>
      <c r="AA22" s="530"/>
      <c r="AB22" s="529"/>
      <c r="AC22" s="529"/>
      <c r="AD22" s="529"/>
      <c r="AE22" s="529"/>
      <c r="AF22" s="529"/>
      <c r="AH22" s="157">
        <v>0</v>
      </c>
      <c r="AI22" s="157">
        <v>0</v>
      </c>
      <c r="AJ22" s="157">
        <v>0</v>
      </c>
      <c r="AK22" s="267">
        <v>8481.0196375386658</v>
      </c>
      <c r="AL22" s="157">
        <v>20461.20488365924</v>
      </c>
      <c r="AM22" s="157">
        <v>30955.088821927711</v>
      </c>
      <c r="AN22" s="157">
        <v>43958.541840100865</v>
      </c>
      <c r="AO22" s="157">
        <v>56558.609307887906</v>
      </c>
      <c r="AP22" s="157">
        <v>160414.46449111437</v>
      </c>
      <c r="AR22" s="157">
        <f t="shared" ref="AR22:AT22" si="82">SUBTOTAL(9,AR23:AR26)</f>
        <v>0</v>
      </c>
      <c r="AS22" s="157">
        <f t="shared" si="82"/>
        <v>0</v>
      </c>
      <c r="AT22" s="157">
        <f t="shared" si="82"/>
        <v>0</v>
      </c>
      <c r="AU22" s="267">
        <v>1009.3471567909535</v>
      </c>
      <c r="AV22" s="157">
        <v>2222.8909473853532</v>
      </c>
      <c r="AW22" s="157">
        <v>3464.5765428731356</v>
      </c>
      <c r="AX22" s="157">
        <v>5161.2749822527694</v>
      </c>
      <c r="AY22" s="157">
        <v>6859.6129543325505</v>
      </c>
      <c r="AZ22" s="157">
        <v>18717.702583634764</v>
      </c>
      <c r="BB22" s="366">
        <f t="shared" ref="BB22:BI22" si="83">SUBTOTAL(9,BB23:BB26)</f>
        <v>0</v>
      </c>
      <c r="BC22" s="366">
        <f t="shared" si="83"/>
        <v>0</v>
      </c>
      <c r="BD22" s="366">
        <f t="shared" si="83"/>
        <v>0</v>
      </c>
      <c r="BE22" s="373">
        <f t="shared" si="83"/>
        <v>9490.3667943296205</v>
      </c>
      <c r="BF22" s="366">
        <f t="shared" si="83"/>
        <v>22684.095831044593</v>
      </c>
      <c r="BG22" s="157">
        <f t="shared" si="83"/>
        <v>34419.665364800858</v>
      </c>
      <c r="BH22" s="157">
        <f t="shared" si="83"/>
        <v>49119.816822353634</v>
      </c>
      <c r="BI22" s="157">
        <f t="shared" si="83"/>
        <v>63418.22226222045</v>
      </c>
      <c r="BJ22" s="157">
        <f t="shared" si="72"/>
        <v>179132.16707474916</v>
      </c>
      <c r="BL22" s="285">
        <f t="shared" si="81"/>
        <v>10.079453741447264</v>
      </c>
      <c r="BM22" s="285">
        <f t="shared" si="81"/>
        <v>24.092145177379479</v>
      </c>
      <c r="BN22" s="285">
        <f t="shared" si="81"/>
        <v>36.556166095486653</v>
      </c>
      <c r="BO22" s="285">
        <f t="shared" si="81"/>
        <v>52.168786747535762</v>
      </c>
      <c r="BP22" s="285">
        <f t="shared" si="81"/>
        <v>67.354724165013195</v>
      </c>
      <c r="BQ22" s="289">
        <f t="shared" si="8"/>
        <v>190.25127592686238</v>
      </c>
    </row>
    <row r="23" spans="2:70" outlineLevel="1" x14ac:dyDescent="0.25">
      <c r="B23" s="249"/>
      <c r="C23" s="1" t="s">
        <v>44</v>
      </c>
      <c r="D23" s="157">
        <f>SUMIFS(ESL_1!DF$7:DF$37,ESL_1!$E$7:$E$37,$C23)+SUMIFS(ESL_2!CQ$6:CQ$36,ESL_2!$E$6:$E$36,$C23)+SUMIFS(ESL_2!CQ$42:CQ$44,ESL_2!$E$42:$E$44,$C23)</f>
        <v>0</v>
      </c>
      <c r="E23" s="529"/>
      <c r="F23" s="529"/>
      <c r="G23" s="530"/>
      <c r="H23" s="529"/>
      <c r="I23" s="529"/>
      <c r="J23" s="529"/>
      <c r="K23" s="529"/>
      <c r="L23" s="529"/>
      <c r="M23" s="157"/>
      <c r="N23" s="529"/>
      <c r="O23" s="529"/>
      <c r="P23" s="529"/>
      <c r="Q23" s="530"/>
      <c r="R23" s="529"/>
      <c r="S23" s="529"/>
      <c r="T23" s="529"/>
      <c r="U23" s="529"/>
      <c r="V23" s="529"/>
      <c r="X23" s="529"/>
      <c r="Y23" s="529"/>
      <c r="Z23" s="529"/>
      <c r="AA23" s="530"/>
      <c r="AB23" s="529"/>
      <c r="AC23" s="529"/>
      <c r="AD23" s="529"/>
      <c r="AE23" s="529"/>
      <c r="AF23" s="529"/>
      <c r="AH23" s="158">
        <v>0</v>
      </c>
      <c r="AI23" s="158">
        <v>0</v>
      </c>
      <c r="AJ23" s="158">
        <v>0</v>
      </c>
      <c r="AK23" s="268">
        <v>822.29366762721179</v>
      </c>
      <c r="AL23" s="158">
        <v>9189.9794656309714</v>
      </c>
      <c r="AM23" s="158">
        <v>15628.422774165385</v>
      </c>
      <c r="AN23" s="158">
        <v>22080.623998482075</v>
      </c>
      <c r="AO23" s="158">
        <v>23958.857407841846</v>
      </c>
      <c r="AP23" s="157">
        <v>71680.177313747496</v>
      </c>
      <c r="AR23" s="157">
        <f>AH23*AusNet_Overheads!H$20</f>
        <v>0</v>
      </c>
      <c r="AS23" s="157">
        <f>AI23*AusNet_Overheads!I$20</f>
        <v>0</v>
      </c>
      <c r="AT23" s="157">
        <f>AJ23*AusNet_Overheads!J$20</f>
        <v>0</v>
      </c>
      <c r="AU23" s="267">
        <v>97.863206423090602</v>
      </c>
      <c r="AV23" s="157">
        <v>1014.5272800851237</v>
      </c>
      <c r="AW23" s="157">
        <v>1782.906718941171</v>
      </c>
      <c r="AX23" s="157">
        <v>2643.4377176780349</v>
      </c>
      <c r="AY23" s="157">
        <v>2953.5960207380995</v>
      </c>
      <c r="AZ23" s="158">
        <v>8492.3309438655197</v>
      </c>
      <c r="BB23" s="157">
        <f t="shared" ref="BB23:BB26" si="84">AR23+AH23</f>
        <v>0</v>
      </c>
      <c r="BC23" s="157">
        <f t="shared" ref="BC23:BC26" si="85">AS23+AI23</f>
        <v>0</v>
      </c>
      <c r="BD23" s="157">
        <f t="shared" ref="BD23:BD26" si="86">AT23+AJ23</f>
        <v>0</v>
      </c>
      <c r="BE23" s="267">
        <f t="shared" ref="BE23:BE26" si="87">AU23+AK23</f>
        <v>920.15687405030235</v>
      </c>
      <c r="BF23" s="157">
        <f t="shared" ref="BF23:BF26" si="88">AV23+AL23</f>
        <v>10204.506745716095</v>
      </c>
      <c r="BG23" s="157">
        <f t="shared" ref="BG23:BG26" si="89">AW23+AM23</f>
        <v>17411.329493106557</v>
      </c>
      <c r="BH23" s="157">
        <f t="shared" ref="BH23:BH26" si="90">AX23+AN23</f>
        <v>24724.061716160111</v>
      </c>
      <c r="BI23" s="157">
        <f t="shared" ref="BI23:BI26" si="91">AY23+AO23</f>
        <v>26912.453428579945</v>
      </c>
      <c r="BJ23" s="158">
        <f t="shared" si="72"/>
        <v>80172.508257613008</v>
      </c>
      <c r="BL23" s="285">
        <f t="shared" ref="BL23:BP27" si="92">BE23*$BL$2/Thousands</f>
        <v>0.9772729387452388</v>
      </c>
      <c r="BM23" s="285">
        <f t="shared" si="92"/>
        <v>10.837921855579603</v>
      </c>
      <c r="BN23" s="285">
        <f t="shared" si="92"/>
        <v>18.492087187580687</v>
      </c>
      <c r="BO23" s="285">
        <f t="shared" si="92"/>
        <v>26.258736018255913</v>
      </c>
      <c r="BP23" s="285">
        <f t="shared" si="92"/>
        <v>28.582965788456317</v>
      </c>
      <c r="BQ23" s="289">
        <f t="shared" si="8"/>
        <v>85.148983788617755</v>
      </c>
      <c r="BR23" s="278"/>
    </row>
    <row r="24" spans="2:70" outlineLevel="1" x14ac:dyDescent="0.25">
      <c r="B24" s="249"/>
      <c r="C24" s="1" t="s">
        <v>45</v>
      </c>
      <c r="D24" s="157">
        <f>SUMIFS(ESL_1!DF$7:DF$37,ESL_1!$E$7:$E$37,$C24)+SUMIFS(ESL_2!CQ$6:CQ$36,ESL_2!$E$6:$E$36,$C24)+SUMIFS(ESL_2!CQ$42:CQ$44,ESL_2!$E$42:$E$44,$C24)</f>
        <v>0</v>
      </c>
      <c r="E24" s="529"/>
      <c r="F24" s="529"/>
      <c r="G24" s="530"/>
      <c r="H24" s="529"/>
      <c r="I24" s="529"/>
      <c r="J24" s="529"/>
      <c r="K24" s="529"/>
      <c r="L24" s="529"/>
      <c r="M24" s="157"/>
      <c r="N24" s="529"/>
      <c r="O24" s="529"/>
      <c r="P24" s="529"/>
      <c r="Q24" s="530"/>
      <c r="R24" s="529"/>
      <c r="S24" s="529"/>
      <c r="T24" s="529"/>
      <c r="U24" s="529"/>
      <c r="V24" s="529"/>
      <c r="X24" s="529"/>
      <c r="Y24" s="529"/>
      <c r="Z24" s="529"/>
      <c r="AA24" s="530"/>
      <c r="AB24" s="529"/>
      <c r="AC24" s="529"/>
      <c r="AD24" s="529"/>
      <c r="AE24" s="529"/>
      <c r="AF24" s="529"/>
      <c r="AH24" s="158">
        <v>0</v>
      </c>
      <c r="AI24" s="158">
        <v>0</v>
      </c>
      <c r="AJ24" s="158">
        <v>0</v>
      </c>
      <c r="AK24" s="268">
        <v>7658.7259699114547</v>
      </c>
      <c r="AL24" s="158">
        <v>8540.5268746580186</v>
      </c>
      <c r="AM24" s="158">
        <v>10528.172354586202</v>
      </c>
      <c r="AN24" s="158">
        <v>15007.362801321789</v>
      </c>
      <c r="AO24" s="158">
        <v>25102.108731573779</v>
      </c>
      <c r="AP24" s="157">
        <v>66836.896732051246</v>
      </c>
      <c r="AR24" s="157">
        <f>AH24*AusNet_Overheads!H$20</f>
        <v>0</v>
      </c>
      <c r="AS24" s="157">
        <f>AI24*AusNet_Overheads!I$20</f>
        <v>0</v>
      </c>
      <c r="AT24" s="157">
        <f>AJ24*AusNet_Overheads!J$20</f>
        <v>0</v>
      </c>
      <c r="AU24" s="267">
        <v>911.48395036786292</v>
      </c>
      <c r="AV24" s="157">
        <v>942.83099685313641</v>
      </c>
      <c r="AW24" s="157">
        <v>1201.0648483474274</v>
      </c>
      <c r="AX24" s="157">
        <v>1796.6443735747453</v>
      </c>
      <c r="AY24" s="157">
        <v>3094.5335664231029</v>
      </c>
      <c r="AZ24" s="158">
        <v>7946.5577355662754</v>
      </c>
      <c r="BB24" s="157">
        <f t="shared" si="84"/>
        <v>0</v>
      </c>
      <c r="BC24" s="157">
        <f t="shared" si="85"/>
        <v>0</v>
      </c>
      <c r="BD24" s="157">
        <f t="shared" si="86"/>
        <v>0</v>
      </c>
      <c r="BE24" s="267">
        <f t="shared" si="87"/>
        <v>8570.2099202793179</v>
      </c>
      <c r="BF24" s="157">
        <f t="shared" si="88"/>
        <v>9483.3578715111544</v>
      </c>
      <c r="BG24" s="157">
        <f t="shared" si="89"/>
        <v>11729.237202933629</v>
      </c>
      <c r="BH24" s="157">
        <f t="shared" si="90"/>
        <v>16804.007174896535</v>
      </c>
      <c r="BI24" s="157">
        <f t="shared" si="91"/>
        <v>28196.642297996881</v>
      </c>
      <c r="BJ24" s="158">
        <f t="shared" si="72"/>
        <v>74783.454467617514</v>
      </c>
      <c r="BL24" s="285">
        <f t="shared" si="92"/>
        <v>9.1021808027020246</v>
      </c>
      <c r="BM24" s="285">
        <f t="shared" si="92"/>
        <v>10.072009760107331</v>
      </c>
      <c r="BN24" s="285">
        <f t="shared" si="92"/>
        <v>12.457295526245561</v>
      </c>
      <c r="BO24" s="285">
        <f t="shared" si="92"/>
        <v>17.847067100875087</v>
      </c>
      <c r="BP24" s="285">
        <f t="shared" si="92"/>
        <v>29.946866951086122</v>
      </c>
      <c r="BQ24" s="289">
        <f t="shared" si="8"/>
        <v>79.425420141016133</v>
      </c>
      <c r="BR24" s="278"/>
    </row>
    <row r="25" spans="2:70" outlineLevel="1" x14ac:dyDescent="0.25">
      <c r="B25" s="249"/>
      <c r="C25" s="1" t="s">
        <v>48</v>
      </c>
      <c r="D25" s="157">
        <f>SUMIFS(ESL_1!DF$7:DF$37,ESL_1!$E$7:$E$37,$C25)+SUMIFS(ESL_2!CQ$6:CQ$36,ESL_2!$E$6:$E$36,$C25)+SUMIFS(ESL_2!CQ$42:CQ$44,ESL_2!$E$42:$E$44,$C25)</f>
        <v>0</v>
      </c>
      <c r="E25" s="529"/>
      <c r="F25" s="529"/>
      <c r="G25" s="530"/>
      <c r="H25" s="529"/>
      <c r="I25" s="529"/>
      <c r="J25" s="529"/>
      <c r="K25" s="529"/>
      <c r="L25" s="529"/>
      <c r="M25" s="157"/>
      <c r="N25" s="529"/>
      <c r="O25" s="529"/>
      <c r="P25" s="529"/>
      <c r="Q25" s="530"/>
      <c r="R25" s="529"/>
      <c r="S25" s="529"/>
      <c r="T25" s="529"/>
      <c r="U25" s="529"/>
      <c r="V25" s="529"/>
      <c r="X25" s="529"/>
      <c r="Y25" s="529"/>
      <c r="Z25" s="529"/>
      <c r="AA25" s="530"/>
      <c r="AB25" s="529"/>
      <c r="AC25" s="529"/>
      <c r="AD25" s="529"/>
      <c r="AE25" s="529"/>
      <c r="AF25" s="529"/>
      <c r="AH25" s="158">
        <v>0</v>
      </c>
      <c r="AI25" s="158">
        <v>0</v>
      </c>
      <c r="AJ25" s="158">
        <v>0</v>
      </c>
      <c r="AK25" s="268">
        <v>0</v>
      </c>
      <c r="AL25" s="158">
        <v>2405.2973604201111</v>
      </c>
      <c r="AM25" s="158">
        <v>4212.8383195859251</v>
      </c>
      <c r="AN25" s="158">
        <v>6024.121147267595</v>
      </c>
      <c r="AO25" s="158">
        <v>6582.5570411065009</v>
      </c>
      <c r="AP25" s="157">
        <v>19224.813868380133</v>
      </c>
      <c r="AR25" s="157">
        <f>AH25*AusNet_Overheads!H$20</f>
        <v>0</v>
      </c>
      <c r="AS25" s="157">
        <f>AI25*AusNet_Overheads!I$20</f>
        <v>0</v>
      </c>
      <c r="AT25" s="157">
        <f>AJ25*AusNet_Overheads!J$20</f>
        <v>0</v>
      </c>
      <c r="AU25" s="267">
        <v>0</v>
      </c>
      <c r="AV25" s="157">
        <v>265.53267044709327</v>
      </c>
      <c r="AW25" s="157">
        <v>480.6049755845371</v>
      </c>
      <c r="AX25" s="157">
        <v>721.19289099998957</v>
      </c>
      <c r="AY25" s="157">
        <v>811.48336717134896</v>
      </c>
      <c r="AZ25" s="158">
        <v>2278.8139042029688</v>
      </c>
      <c r="BB25" s="157">
        <f t="shared" si="84"/>
        <v>0</v>
      </c>
      <c r="BC25" s="157">
        <f t="shared" si="85"/>
        <v>0</v>
      </c>
      <c r="BD25" s="157">
        <f t="shared" si="86"/>
        <v>0</v>
      </c>
      <c r="BE25" s="267">
        <f t="shared" si="87"/>
        <v>0</v>
      </c>
      <c r="BF25" s="157">
        <f t="shared" si="88"/>
        <v>2670.8300308672042</v>
      </c>
      <c r="BG25" s="157">
        <f t="shared" si="89"/>
        <v>4693.4432951704621</v>
      </c>
      <c r="BH25" s="157">
        <f t="shared" si="90"/>
        <v>6745.3140382675847</v>
      </c>
      <c r="BI25" s="157">
        <f t="shared" si="91"/>
        <v>7394.0404082778496</v>
      </c>
      <c r="BJ25" s="158">
        <f t="shared" si="72"/>
        <v>21503.627772583102</v>
      </c>
      <c r="BL25" s="285">
        <f t="shared" si="92"/>
        <v>0</v>
      </c>
      <c r="BM25" s="285">
        <f t="shared" si="92"/>
        <v>2.8366140456740649</v>
      </c>
      <c r="BN25" s="285">
        <f t="shared" si="92"/>
        <v>4.9847751522145654</v>
      </c>
      <c r="BO25" s="285">
        <f t="shared" si="92"/>
        <v>7.164009810545533</v>
      </c>
      <c r="BP25" s="285">
        <f t="shared" si="92"/>
        <v>7.8530039852788338</v>
      </c>
      <c r="BQ25" s="289">
        <f t="shared" si="8"/>
        <v>22.838402993712997</v>
      </c>
      <c r="BR25" s="278"/>
    </row>
    <row r="26" spans="2:70" outlineLevel="1" x14ac:dyDescent="0.25">
      <c r="B26" s="249"/>
      <c r="C26" s="1" t="s">
        <v>399</v>
      </c>
      <c r="D26" s="157">
        <f>SUMIFS(ESL_1!DF$7:DF$37,ESL_1!$E$7:$E$37,$C26)+SUMIFS(ESL_2!CQ$6:CQ$36,ESL_2!$E$6:$E$36,$C26)+SUMIFS(ESL_2!CQ$42:CQ$44,ESL_2!$E$42:$E$44,$C26)</f>
        <v>0</v>
      </c>
      <c r="E26" s="529"/>
      <c r="F26" s="529"/>
      <c r="G26" s="530"/>
      <c r="H26" s="529"/>
      <c r="I26" s="529"/>
      <c r="J26" s="529"/>
      <c r="K26" s="529"/>
      <c r="L26" s="529"/>
      <c r="M26" s="157"/>
      <c r="N26" s="529"/>
      <c r="O26" s="529"/>
      <c r="P26" s="529"/>
      <c r="Q26" s="530"/>
      <c r="R26" s="529"/>
      <c r="S26" s="529"/>
      <c r="T26" s="529"/>
      <c r="U26" s="529"/>
      <c r="V26" s="529"/>
      <c r="X26" s="529"/>
      <c r="Y26" s="529"/>
      <c r="Z26" s="529"/>
      <c r="AA26" s="530"/>
      <c r="AB26" s="529"/>
      <c r="AC26" s="529"/>
      <c r="AD26" s="529"/>
      <c r="AE26" s="529"/>
      <c r="AF26" s="529"/>
      <c r="AH26" s="158">
        <v>0</v>
      </c>
      <c r="AI26" s="158">
        <v>0</v>
      </c>
      <c r="AJ26" s="158">
        <v>0</v>
      </c>
      <c r="AK26" s="268">
        <v>0</v>
      </c>
      <c r="AL26" s="158">
        <v>325.40118295014111</v>
      </c>
      <c r="AM26" s="158">
        <v>585.65537359020254</v>
      </c>
      <c r="AN26" s="158">
        <v>846.43389302940091</v>
      </c>
      <c r="AO26" s="158">
        <v>915.08612736578038</v>
      </c>
      <c r="AP26" s="366">
        <v>2672.5765769355248</v>
      </c>
      <c r="AR26" s="163"/>
      <c r="AS26" s="163"/>
      <c r="AT26" s="163"/>
      <c r="AU26" s="288"/>
      <c r="AV26" s="163"/>
      <c r="AW26" s="163"/>
      <c r="AX26" s="163"/>
      <c r="AY26" s="163"/>
      <c r="AZ26" s="158">
        <v>0</v>
      </c>
      <c r="BB26" s="157">
        <f t="shared" si="84"/>
        <v>0</v>
      </c>
      <c r="BC26" s="157">
        <f t="shared" si="85"/>
        <v>0</v>
      </c>
      <c r="BD26" s="157">
        <f t="shared" si="86"/>
        <v>0</v>
      </c>
      <c r="BE26" s="267">
        <f t="shared" si="87"/>
        <v>0</v>
      </c>
      <c r="BF26" s="157">
        <f t="shared" si="88"/>
        <v>325.40118295014111</v>
      </c>
      <c r="BG26" s="157">
        <f t="shared" si="89"/>
        <v>585.65537359020254</v>
      </c>
      <c r="BH26" s="157">
        <f t="shared" si="90"/>
        <v>846.43389302940091</v>
      </c>
      <c r="BI26" s="157">
        <f t="shared" si="91"/>
        <v>915.08612736578038</v>
      </c>
      <c r="BJ26" s="158">
        <f t="shared" ref="BJ26" si="93">SUM(BE26:BI26)</f>
        <v>2672.5765769355248</v>
      </c>
      <c r="BL26" s="370">
        <f t="shared" ref="BL26" si="94">BE26*$BL$2/Thousands</f>
        <v>0</v>
      </c>
      <c r="BM26" s="370">
        <f t="shared" ref="BM26" si="95">BF26*$BL$2/Thousands</f>
        <v>0.34559951601847949</v>
      </c>
      <c r="BN26" s="370">
        <f t="shared" ref="BN26" si="96">BG26*$BL$2/Thousands</f>
        <v>0.62200822944582979</v>
      </c>
      <c r="BO26" s="370">
        <f t="shared" ref="BO26" si="97">BH26*$BL$2/Thousands</f>
        <v>0.89897381785923081</v>
      </c>
      <c r="BP26" s="370">
        <f t="shared" ref="BP26" si="98">BI26*$BL$2/Thousands</f>
        <v>0.97188744019192952</v>
      </c>
      <c r="BQ26" s="289">
        <f t="shared" si="8"/>
        <v>2.8384690035154696</v>
      </c>
      <c r="BR26" s="278"/>
    </row>
    <row r="27" spans="2:70" x14ac:dyDescent="0.25">
      <c r="B27" s="249" t="s">
        <v>558</v>
      </c>
      <c r="D27" s="157">
        <f t="shared" ref="D27" si="99">SUBTOTAL(9,D28:D32)</f>
        <v>0</v>
      </c>
      <c r="E27" s="529"/>
      <c r="F27" s="529"/>
      <c r="G27" s="530"/>
      <c r="H27" s="529"/>
      <c r="I27" s="529"/>
      <c r="J27" s="529"/>
      <c r="K27" s="529"/>
      <c r="L27" s="529"/>
      <c r="N27" s="529"/>
      <c r="O27" s="529"/>
      <c r="P27" s="529"/>
      <c r="Q27" s="530"/>
      <c r="R27" s="529"/>
      <c r="S27" s="529"/>
      <c r="T27" s="529"/>
      <c r="U27" s="529"/>
      <c r="V27" s="529"/>
      <c r="X27" s="529"/>
      <c r="Y27" s="529"/>
      <c r="Z27" s="529"/>
      <c r="AA27" s="530"/>
      <c r="AB27" s="529"/>
      <c r="AC27" s="529"/>
      <c r="AD27" s="529"/>
      <c r="AE27" s="529"/>
      <c r="AF27" s="529"/>
      <c r="AH27" s="157">
        <v>0</v>
      </c>
      <c r="AI27" s="157">
        <v>0</v>
      </c>
      <c r="AJ27" s="157">
        <v>0</v>
      </c>
      <c r="AK27" s="267">
        <v>33397.819010691732</v>
      </c>
      <c r="AL27" s="157">
        <v>12739.445128436062</v>
      </c>
      <c r="AM27" s="157">
        <v>0</v>
      </c>
      <c r="AN27" s="157">
        <v>0</v>
      </c>
      <c r="AO27" s="157">
        <v>0</v>
      </c>
      <c r="AP27" s="157">
        <v>46137.264139127794</v>
      </c>
      <c r="AR27" s="157">
        <f t="shared" ref="AR27:AT27" si="100">SUBTOTAL(9,AR28:AR32)</f>
        <v>0</v>
      </c>
      <c r="AS27" s="157">
        <f t="shared" si="100"/>
        <v>0</v>
      </c>
      <c r="AT27" s="157">
        <f t="shared" si="100"/>
        <v>0</v>
      </c>
      <c r="AU27" s="267">
        <v>3970.8952696625011</v>
      </c>
      <c r="AV27" s="157">
        <v>1404.91735014301</v>
      </c>
      <c r="AW27" s="157">
        <v>0</v>
      </c>
      <c r="AX27" s="157">
        <v>0</v>
      </c>
      <c r="AY27" s="157">
        <v>0</v>
      </c>
      <c r="AZ27" s="157">
        <v>5375.8126198055106</v>
      </c>
      <c r="BB27" s="366">
        <f t="shared" ref="BB27:BI27" si="101">SUBTOTAL(9,BB28:BB32)</f>
        <v>0</v>
      </c>
      <c r="BC27" s="366">
        <f t="shared" si="101"/>
        <v>0</v>
      </c>
      <c r="BD27" s="366">
        <f t="shared" si="101"/>
        <v>0</v>
      </c>
      <c r="BE27" s="373">
        <f t="shared" si="101"/>
        <v>37368.71428035423</v>
      </c>
      <c r="BF27" s="366">
        <f t="shared" si="101"/>
        <v>14144.362478579074</v>
      </c>
      <c r="BG27" s="157">
        <f t="shared" si="101"/>
        <v>0</v>
      </c>
      <c r="BH27" s="157">
        <f t="shared" si="101"/>
        <v>0</v>
      </c>
      <c r="BI27" s="157">
        <f t="shared" si="101"/>
        <v>0</v>
      </c>
      <c r="BJ27" s="157">
        <f t="shared" si="72"/>
        <v>51513.076758933305</v>
      </c>
      <c r="BL27" s="285">
        <f t="shared" si="92"/>
        <v>39.688268654825627</v>
      </c>
      <c r="BM27" s="285">
        <f t="shared" si="92"/>
        <v>15.022332686897041</v>
      </c>
      <c r="BN27" s="285">
        <f t="shared" si="92"/>
        <v>0</v>
      </c>
      <c r="BO27" s="285">
        <f t="shared" si="92"/>
        <v>0</v>
      </c>
      <c r="BP27" s="285">
        <f t="shared" si="92"/>
        <v>0</v>
      </c>
      <c r="BQ27" s="289">
        <f t="shared" si="8"/>
        <v>54.710601341722665</v>
      </c>
    </row>
    <row r="28" spans="2:70" hidden="1" outlineLevel="1" x14ac:dyDescent="0.25">
      <c r="C28" s="1" t="s">
        <v>44</v>
      </c>
      <c r="D28" s="157">
        <f>SUMIFS(REFCL!CQ$6:CQ$36,REFCL!$E$6:$E$36,$C28)</f>
        <v>0</v>
      </c>
      <c r="E28" s="529"/>
      <c r="F28" s="529"/>
      <c r="G28" s="530"/>
      <c r="H28" s="529"/>
      <c r="I28" s="529"/>
      <c r="J28" s="529"/>
      <c r="K28" s="529"/>
      <c r="L28" s="529"/>
      <c r="M28" s="157"/>
      <c r="N28" s="241"/>
      <c r="O28" s="241"/>
      <c r="P28" s="241"/>
      <c r="Q28" s="550"/>
      <c r="R28" s="241"/>
      <c r="S28" s="241"/>
      <c r="T28" s="241"/>
      <c r="U28" s="241"/>
      <c r="V28" s="529"/>
      <c r="X28" s="529"/>
      <c r="Y28" s="529"/>
      <c r="Z28" s="529"/>
      <c r="AA28" s="530"/>
      <c r="AB28" s="529"/>
      <c r="AC28" s="529"/>
      <c r="AD28" s="529"/>
      <c r="AE28" s="529"/>
      <c r="AF28" s="529"/>
      <c r="AH28" s="158">
        <v>0</v>
      </c>
      <c r="AI28" s="158">
        <v>0</v>
      </c>
      <c r="AJ28" s="158">
        <v>0</v>
      </c>
      <c r="AK28" s="268">
        <v>12812.361744780954</v>
      </c>
      <c r="AL28" s="158">
        <v>4352.5073927263511</v>
      </c>
      <c r="AM28" s="158">
        <v>0</v>
      </c>
      <c r="AN28" s="158">
        <v>0</v>
      </c>
      <c r="AO28" s="158">
        <v>0</v>
      </c>
      <c r="AP28" s="157">
        <v>17164.869137507303</v>
      </c>
      <c r="AR28" s="157">
        <f>AH28*AusNet_Overheads!H$20</f>
        <v>0</v>
      </c>
      <c r="AS28" s="158">
        <f>AI28*AusNet_Overheads!I$20</f>
        <v>0</v>
      </c>
      <c r="AT28" s="158">
        <f>AJ28*AusNet_Overheads!J$20</f>
        <v>0</v>
      </c>
      <c r="AU28" s="268">
        <v>1524.8309108531853</v>
      </c>
      <c r="AV28" s="158">
        <v>480.49481538094818</v>
      </c>
      <c r="AW28" s="158">
        <v>0</v>
      </c>
      <c r="AX28" s="158">
        <v>0</v>
      </c>
      <c r="AY28" s="158">
        <v>0</v>
      </c>
      <c r="AZ28" s="158">
        <v>2005.3257262341335</v>
      </c>
      <c r="BB28" s="157">
        <f t="shared" ref="BB28:BB32" si="102">AR28+AH28</f>
        <v>0</v>
      </c>
      <c r="BC28" s="157">
        <f t="shared" ref="BC28:BC32" si="103">AS28+AI28</f>
        <v>0</v>
      </c>
      <c r="BD28" s="157">
        <f t="shared" ref="BD28:BD32" si="104">AT28+AJ28</f>
        <v>0</v>
      </c>
      <c r="BE28" s="267">
        <f t="shared" ref="BE28:BE32" si="105">AU28+AK28</f>
        <v>14337.192655634139</v>
      </c>
      <c r="BF28" s="157">
        <f t="shared" ref="BF28:BF32" si="106">AV28+AL28</f>
        <v>4833.0022081072993</v>
      </c>
      <c r="BG28" s="157">
        <f t="shared" ref="BG28:BG32" si="107">AW28+AM28</f>
        <v>0</v>
      </c>
      <c r="BH28" s="157">
        <f t="shared" ref="BH28:BH32" si="108">AX28+AN28</f>
        <v>0</v>
      </c>
      <c r="BI28" s="157">
        <f t="shared" ref="BI28:BI32" si="109">AY28+AO28</f>
        <v>0</v>
      </c>
      <c r="BJ28" s="158">
        <f t="shared" si="72"/>
        <v>19170.194863741439</v>
      </c>
      <c r="BL28" s="285">
        <f t="shared" ref="BL28:BP33" si="110">BE28*$BL$2/Thousands</f>
        <v>15.227132236977962</v>
      </c>
      <c r="BM28" s="285">
        <f t="shared" si="110"/>
        <v>5.1329967792220685</v>
      </c>
      <c r="BN28" s="285">
        <f t="shared" si="110"/>
        <v>0</v>
      </c>
      <c r="BO28" s="285">
        <f t="shared" si="110"/>
        <v>0</v>
      </c>
      <c r="BP28" s="285">
        <f t="shared" si="110"/>
        <v>0</v>
      </c>
      <c r="BQ28" s="289">
        <f t="shared" si="8"/>
        <v>20.36012901620003</v>
      </c>
      <c r="BR28" s="278"/>
    </row>
    <row r="29" spans="2:70" hidden="1" outlineLevel="1" x14ac:dyDescent="0.25">
      <c r="C29" s="1" t="s">
        <v>45</v>
      </c>
      <c r="D29" s="157">
        <f>SUMIFS(REFCL!CQ$6:CQ$36,REFCL!$E$6:$E$36,$C29)</f>
        <v>0</v>
      </c>
      <c r="E29" s="529"/>
      <c r="F29" s="529"/>
      <c r="G29" s="530"/>
      <c r="H29" s="529"/>
      <c r="I29" s="529"/>
      <c r="J29" s="529"/>
      <c r="K29" s="529"/>
      <c r="L29" s="529"/>
      <c r="M29" s="157"/>
      <c r="N29" s="241"/>
      <c r="O29" s="241"/>
      <c r="P29" s="241"/>
      <c r="Q29" s="550"/>
      <c r="R29" s="241"/>
      <c r="S29" s="241"/>
      <c r="T29" s="241"/>
      <c r="U29" s="241"/>
      <c r="V29" s="529"/>
      <c r="X29" s="529"/>
      <c r="Y29" s="529"/>
      <c r="Z29" s="529"/>
      <c r="AA29" s="530"/>
      <c r="AB29" s="529"/>
      <c r="AC29" s="529"/>
      <c r="AD29" s="529"/>
      <c r="AE29" s="529"/>
      <c r="AF29" s="529"/>
      <c r="AH29" s="158">
        <v>0</v>
      </c>
      <c r="AI29" s="158">
        <v>0</v>
      </c>
      <c r="AJ29" s="158">
        <v>0</v>
      </c>
      <c r="AK29" s="268">
        <v>15486.15802091423</v>
      </c>
      <c r="AL29" s="158">
        <v>6958.0693249872384</v>
      </c>
      <c r="AM29" s="158">
        <v>0</v>
      </c>
      <c r="AN29" s="158">
        <v>0</v>
      </c>
      <c r="AO29" s="158">
        <v>0</v>
      </c>
      <c r="AP29" s="157">
        <v>22444.227345901469</v>
      </c>
      <c r="AR29" s="158">
        <f>AH29*AusNet_Overheads!H$20</f>
        <v>0</v>
      </c>
      <c r="AS29" s="158">
        <f>AI29*AusNet_Overheads!I$20</f>
        <v>0</v>
      </c>
      <c r="AT29" s="158">
        <f>AJ29*AusNet_Overheads!J$20</f>
        <v>0</v>
      </c>
      <c r="AU29" s="268">
        <v>1843.0460293759618</v>
      </c>
      <c r="AV29" s="158">
        <v>768.1356822747116</v>
      </c>
      <c r="AW29" s="158">
        <v>0</v>
      </c>
      <c r="AX29" s="158">
        <v>0</v>
      </c>
      <c r="AY29" s="158">
        <v>0</v>
      </c>
      <c r="AZ29" s="158">
        <v>2611.1817116506736</v>
      </c>
      <c r="BB29" s="157">
        <f t="shared" si="102"/>
        <v>0</v>
      </c>
      <c r="BC29" s="157">
        <f t="shared" si="103"/>
        <v>0</v>
      </c>
      <c r="BD29" s="157">
        <f t="shared" si="104"/>
        <v>0</v>
      </c>
      <c r="BE29" s="267">
        <f t="shared" si="105"/>
        <v>17329.204050290191</v>
      </c>
      <c r="BF29" s="157">
        <f t="shared" si="106"/>
        <v>7726.2050072619495</v>
      </c>
      <c r="BG29" s="157">
        <f t="shared" si="107"/>
        <v>0</v>
      </c>
      <c r="BH29" s="157">
        <f t="shared" si="108"/>
        <v>0</v>
      </c>
      <c r="BI29" s="157">
        <f t="shared" si="109"/>
        <v>0</v>
      </c>
      <c r="BJ29" s="158">
        <f t="shared" si="72"/>
        <v>25055.40905755214</v>
      </c>
      <c r="BL29" s="285">
        <f t="shared" si="110"/>
        <v>18.404864046494296</v>
      </c>
      <c r="BM29" s="285">
        <f t="shared" si="110"/>
        <v>8.2057867367323425</v>
      </c>
      <c r="BN29" s="285">
        <f t="shared" si="110"/>
        <v>0</v>
      </c>
      <c r="BO29" s="285">
        <f t="shared" si="110"/>
        <v>0</v>
      </c>
      <c r="BP29" s="285">
        <f t="shared" si="110"/>
        <v>0</v>
      </c>
      <c r="BQ29" s="289">
        <f t="shared" si="8"/>
        <v>26.610650783226639</v>
      </c>
      <c r="BR29" s="278"/>
    </row>
    <row r="30" spans="2:70" hidden="1" outlineLevel="1" x14ac:dyDescent="0.25">
      <c r="C30" s="1" t="s">
        <v>48</v>
      </c>
      <c r="D30" s="157">
        <f>SUMIFS(REFCL!CQ$6:CQ$36,REFCL!$E$6:$E$36,$C30)</f>
        <v>0</v>
      </c>
      <c r="E30" s="529"/>
      <c r="F30" s="529"/>
      <c r="G30" s="530"/>
      <c r="H30" s="529"/>
      <c r="I30" s="529"/>
      <c r="J30" s="529"/>
      <c r="K30" s="529"/>
      <c r="L30" s="529"/>
      <c r="M30" s="157"/>
      <c r="N30" s="241"/>
      <c r="O30" s="241"/>
      <c r="P30" s="241"/>
      <c r="Q30" s="550"/>
      <c r="R30" s="241"/>
      <c r="S30" s="241"/>
      <c r="T30" s="241"/>
      <c r="U30" s="241"/>
      <c r="V30" s="529"/>
      <c r="X30" s="529"/>
      <c r="Y30" s="529"/>
      <c r="Z30" s="529"/>
      <c r="AA30" s="530"/>
      <c r="AB30" s="529"/>
      <c r="AC30" s="529"/>
      <c r="AD30" s="529"/>
      <c r="AE30" s="529"/>
      <c r="AF30" s="529"/>
      <c r="AH30" s="158">
        <v>0</v>
      </c>
      <c r="AI30" s="158">
        <v>0</v>
      </c>
      <c r="AJ30" s="158">
        <v>0</v>
      </c>
      <c r="AK30" s="268">
        <v>5066.8496555533884</v>
      </c>
      <c r="AL30" s="158">
        <v>1415.7065988273216</v>
      </c>
      <c r="AM30" s="158">
        <v>0</v>
      </c>
      <c r="AN30" s="158">
        <v>0</v>
      </c>
      <c r="AO30" s="158">
        <v>0</v>
      </c>
      <c r="AP30" s="157">
        <v>6482.55625438071</v>
      </c>
      <c r="AR30" s="158">
        <f>AH30*AusNet_Overheads!H$20</f>
        <v>0</v>
      </c>
      <c r="AS30" s="158">
        <f>AI30*AusNet_Overheads!I$20</f>
        <v>0</v>
      </c>
      <c r="AT30" s="158">
        <f>AJ30*AusNet_Overheads!J$20</f>
        <v>0</v>
      </c>
      <c r="AU30" s="268">
        <v>603.01832943335387</v>
      </c>
      <c r="AV30" s="158">
        <v>156.2868524873501</v>
      </c>
      <c r="AW30" s="158">
        <v>0</v>
      </c>
      <c r="AX30" s="158">
        <v>0</v>
      </c>
      <c r="AY30" s="158">
        <v>0</v>
      </c>
      <c r="AZ30" s="158">
        <v>759.30518192070394</v>
      </c>
      <c r="BB30" s="157">
        <f t="shared" si="102"/>
        <v>0</v>
      </c>
      <c r="BC30" s="157">
        <f t="shared" si="103"/>
        <v>0</v>
      </c>
      <c r="BD30" s="157">
        <f t="shared" si="104"/>
        <v>0</v>
      </c>
      <c r="BE30" s="267">
        <f t="shared" si="105"/>
        <v>5669.8679849867422</v>
      </c>
      <c r="BF30" s="157">
        <f t="shared" si="106"/>
        <v>1571.9934513146718</v>
      </c>
      <c r="BG30" s="157">
        <f t="shared" si="107"/>
        <v>0</v>
      </c>
      <c r="BH30" s="157">
        <f t="shared" si="108"/>
        <v>0</v>
      </c>
      <c r="BI30" s="157">
        <f t="shared" si="109"/>
        <v>0</v>
      </c>
      <c r="BJ30" s="158">
        <f t="shared" si="72"/>
        <v>7241.861436301414</v>
      </c>
      <c r="BL30" s="285">
        <f t="shared" si="110"/>
        <v>6.0218085679188516</v>
      </c>
      <c r="BM30" s="285">
        <f t="shared" si="110"/>
        <v>1.6695703778120952</v>
      </c>
      <c r="BN30" s="285">
        <f t="shared" si="110"/>
        <v>0</v>
      </c>
      <c r="BO30" s="285">
        <f t="shared" si="110"/>
        <v>0</v>
      </c>
      <c r="BP30" s="285">
        <f t="shared" si="110"/>
        <v>0</v>
      </c>
      <c r="BQ30" s="289">
        <f t="shared" si="8"/>
        <v>7.6913789457309463</v>
      </c>
      <c r="BR30" s="278"/>
    </row>
    <row r="31" spans="2:70" s="54" customFormat="1" hidden="1" outlineLevel="1" x14ac:dyDescent="0.25">
      <c r="C31" s="54" t="s">
        <v>50</v>
      </c>
      <c r="D31" s="279">
        <f>SUMIFS(REFCL!CQ$6:CQ$36,REFCL!$E$6:$E$36,$C31)</f>
        <v>0</v>
      </c>
      <c r="E31" s="531"/>
      <c r="F31" s="531"/>
      <c r="G31" s="532"/>
      <c r="H31" s="531"/>
      <c r="I31" s="531"/>
      <c r="J31" s="531"/>
      <c r="K31" s="531"/>
      <c r="L31" s="531"/>
      <c r="M31" s="279"/>
      <c r="N31" s="523"/>
      <c r="O31" s="523"/>
      <c r="P31" s="523"/>
      <c r="Q31" s="557"/>
      <c r="R31" s="523"/>
      <c r="S31" s="523"/>
      <c r="T31" s="523"/>
      <c r="U31" s="523"/>
      <c r="V31" s="531"/>
      <c r="X31" s="531"/>
      <c r="Y31" s="531"/>
      <c r="Z31" s="531"/>
      <c r="AA31" s="532"/>
      <c r="AB31" s="531"/>
      <c r="AC31" s="531"/>
      <c r="AD31" s="531"/>
      <c r="AE31" s="531"/>
      <c r="AF31" s="529"/>
      <c r="AH31" s="281">
        <v>0</v>
      </c>
      <c r="AI31" s="281">
        <v>0</v>
      </c>
      <c r="AJ31" s="281">
        <v>0</v>
      </c>
      <c r="AK31" s="282">
        <v>0</v>
      </c>
      <c r="AL31" s="281">
        <v>0</v>
      </c>
      <c r="AM31" s="281">
        <v>0</v>
      </c>
      <c r="AN31" s="281">
        <v>0</v>
      </c>
      <c r="AO31" s="281">
        <v>0</v>
      </c>
      <c r="AP31" s="157">
        <v>0</v>
      </c>
      <c r="AR31" s="286"/>
      <c r="AS31" s="286"/>
      <c r="AT31" s="286"/>
      <c r="AU31" s="287"/>
      <c r="AV31" s="286"/>
      <c r="AW31" s="286"/>
      <c r="AX31" s="286"/>
      <c r="AY31" s="286"/>
      <c r="AZ31" s="281">
        <v>0</v>
      </c>
      <c r="BB31" s="279">
        <f t="shared" si="102"/>
        <v>0</v>
      </c>
      <c r="BC31" s="279">
        <f t="shared" si="103"/>
        <v>0</v>
      </c>
      <c r="BD31" s="279">
        <f t="shared" si="104"/>
        <v>0</v>
      </c>
      <c r="BE31" s="280">
        <f t="shared" si="105"/>
        <v>0</v>
      </c>
      <c r="BF31" s="279">
        <f t="shared" si="106"/>
        <v>0</v>
      </c>
      <c r="BG31" s="279">
        <f t="shared" si="107"/>
        <v>0</v>
      </c>
      <c r="BH31" s="279">
        <f t="shared" si="108"/>
        <v>0</v>
      </c>
      <c r="BI31" s="279">
        <f t="shared" si="109"/>
        <v>0</v>
      </c>
      <c r="BJ31" s="281">
        <f t="shared" si="72"/>
        <v>0</v>
      </c>
      <c r="BL31" s="317">
        <f t="shared" si="110"/>
        <v>0</v>
      </c>
      <c r="BM31" s="317">
        <f t="shared" si="110"/>
        <v>0</v>
      </c>
      <c r="BN31" s="317">
        <f t="shared" si="110"/>
        <v>0</v>
      </c>
      <c r="BO31" s="317">
        <f t="shared" si="110"/>
        <v>0</v>
      </c>
      <c r="BP31" s="317">
        <f t="shared" si="110"/>
        <v>0</v>
      </c>
      <c r="BQ31" s="361">
        <f t="shared" si="8"/>
        <v>0</v>
      </c>
      <c r="BR31" s="283"/>
    </row>
    <row r="32" spans="2:70" s="54" customFormat="1" hidden="1" outlineLevel="1" x14ac:dyDescent="0.25">
      <c r="C32" s="1" t="s">
        <v>399</v>
      </c>
      <c r="D32" s="279">
        <f>SUMIFS(REFCL!CQ$6:CQ$36,REFCL!$E$6:$E$36,$C32)</f>
        <v>0</v>
      </c>
      <c r="E32" s="531"/>
      <c r="F32" s="531"/>
      <c r="G32" s="532"/>
      <c r="H32" s="531"/>
      <c r="I32" s="531"/>
      <c r="J32" s="531"/>
      <c r="K32" s="531"/>
      <c r="L32" s="531"/>
      <c r="M32" s="279"/>
      <c r="N32" s="523"/>
      <c r="O32" s="523"/>
      <c r="P32" s="523"/>
      <c r="Q32" s="557"/>
      <c r="R32" s="523"/>
      <c r="S32" s="523"/>
      <c r="T32" s="523"/>
      <c r="U32" s="523"/>
      <c r="V32" s="531"/>
      <c r="X32" s="531"/>
      <c r="Y32" s="531"/>
      <c r="Z32" s="531"/>
      <c r="AA32" s="532"/>
      <c r="AB32" s="531"/>
      <c r="AC32" s="531"/>
      <c r="AD32" s="531"/>
      <c r="AE32" s="531"/>
      <c r="AF32" s="529"/>
      <c r="AH32" s="281">
        <v>0</v>
      </c>
      <c r="AI32" s="281">
        <v>0</v>
      </c>
      <c r="AJ32" s="281">
        <v>0</v>
      </c>
      <c r="AK32" s="282">
        <v>32.44958944316118</v>
      </c>
      <c r="AL32" s="281">
        <v>13.161811895151489</v>
      </c>
      <c r="AM32" s="281">
        <v>0</v>
      </c>
      <c r="AN32" s="281">
        <v>0</v>
      </c>
      <c r="AO32" s="281">
        <v>0</v>
      </c>
      <c r="AP32" s="366">
        <v>45.611401338312668</v>
      </c>
      <c r="AR32" s="286"/>
      <c r="AS32" s="286"/>
      <c r="AT32" s="286"/>
      <c r="AU32" s="287"/>
      <c r="AV32" s="286"/>
      <c r="AW32" s="286"/>
      <c r="AX32" s="286"/>
      <c r="AY32" s="286"/>
      <c r="AZ32" s="281">
        <v>0</v>
      </c>
      <c r="BB32" s="279">
        <f t="shared" si="102"/>
        <v>0</v>
      </c>
      <c r="BC32" s="279">
        <f t="shared" si="103"/>
        <v>0</v>
      </c>
      <c r="BD32" s="279">
        <f t="shared" si="104"/>
        <v>0</v>
      </c>
      <c r="BE32" s="280">
        <f t="shared" si="105"/>
        <v>32.44958944316118</v>
      </c>
      <c r="BF32" s="279">
        <f t="shared" si="106"/>
        <v>13.161811895151489</v>
      </c>
      <c r="BG32" s="279">
        <f t="shared" si="107"/>
        <v>0</v>
      </c>
      <c r="BH32" s="279">
        <f t="shared" si="108"/>
        <v>0</v>
      </c>
      <c r="BI32" s="279">
        <f t="shared" si="109"/>
        <v>0</v>
      </c>
      <c r="BJ32" s="281">
        <f t="shared" ref="BJ32" si="111">SUM(BE32:BI32)</f>
        <v>45.611401338312668</v>
      </c>
      <c r="BL32" s="375">
        <f t="shared" ref="BL32" si="112">BE32*$BL$2/Thousands</f>
        <v>3.4463803434522829E-2</v>
      </c>
      <c r="BM32" s="375">
        <f t="shared" ref="BM32" si="113">BF32*$BL$2/Thousands</f>
        <v>1.3978793130532621E-2</v>
      </c>
      <c r="BN32" s="375">
        <f t="shared" ref="BN32" si="114">BG32*$BL$2/Thousands</f>
        <v>0</v>
      </c>
      <c r="BO32" s="375">
        <f t="shared" ref="BO32" si="115">BH32*$BL$2/Thousands</f>
        <v>0</v>
      </c>
      <c r="BP32" s="375">
        <f t="shared" ref="BP32" si="116">BI32*$BL$2/Thousands</f>
        <v>0</v>
      </c>
      <c r="BQ32" s="576">
        <f t="shared" si="8"/>
        <v>4.8442596565055451E-2</v>
      </c>
      <c r="BR32" s="283"/>
    </row>
    <row r="33" spans="2:73" collapsed="1" x14ac:dyDescent="0.25">
      <c r="B33" s="249" t="s">
        <v>504</v>
      </c>
      <c r="D33" s="157">
        <f>SUBTOTAL(9,D34:D38)</f>
        <v>0</v>
      </c>
      <c r="E33" s="529"/>
      <c r="F33" s="529"/>
      <c r="G33" s="530"/>
      <c r="H33" s="529"/>
      <c r="I33" s="529"/>
      <c r="J33" s="529"/>
      <c r="K33" s="529"/>
      <c r="L33" s="529"/>
      <c r="M33" s="201"/>
      <c r="N33" s="529"/>
      <c r="O33" s="529"/>
      <c r="P33" s="529"/>
      <c r="Q33" s="530"/>
      <c r="R33" s="529"/>
      <c r="S33" s="529"/>
      <c r="T33" s="529"/>
      <c r="U33" s="529"/>
      <c r="V33" s="529"/>
      <c r="W33" s="2"/>
      <c r="X33" s="529"/>
      <c r="Y33" s="529"/>
      <c r="Z33" s="529"/>
      <c r="AA33" s="530"/>
      <c r="AB33" s="529"/>
      <c r="AC33" s="529"/>
      <c r="AD33" s="529"/>
      <c r="AE33" s="529"/>
      <c r="AF33" s="529"/>
      <c r="AG33" s="2"/>
      <c r="AH33" s="157">
        <v>0</v>
      </c>
      <c r="AI33" s="157">
        <v>0</v>
      </c>
      <c r="AJ33" s="157">
        <v>0</v>
      </c>
      <c r="AK33" s="267">
        <v>0</v>
      </c>
      <c r="AL33" s="157">
        <v>0</v>
      </c>
      <c r="AM33" s="157">
        <v>0</v>
      </c>
      <c r="AN33" s="157">
        <v>0</v>
      </c>
      <c r="AO33" s="157">
        <v>0</v>
      </c>
      <c r="AP33" s="157">
        <v>0</v>
      </c>
      <c r="AQ33" s="2"/>
      <c r="AR33" s="157">
        <f>SUBTOTAL(9,AR34:AR38)</f>
        <v>0</v>
      </c>
      <c r="AS33" s="157">
        <f t="shared" ref="AS33:AT33" si="117">SUBTOTAL(9,AS34:AS38)</f>
        <v>0</v>
      </c>
      <c r="AT33" s="157">
        <f t="shared" si="117"/>
        <v>0</v>
      </c>
      <c r="AU33" s="267">
        <v>0</v>
      </c>
      <c r="AV33" s="157">
        <v>0</v>
      </c>
      <c r="AW33" s="157">
        <v>0</v>
      </c>
      <c r="AX33" s="157">
        <v>0</v>
      </c>
      <c r="AY33" s="157">
        <v>0</v>
      </c>
      <c r="AZ33" s="157">
        <v>0</v>
      </c>
      <c r="BB33" s="157">
        <f>SUBTOTAL(9,BB34:BB38)</f>
        <v>0</v>
      </c>
      <c r="BC33" s="157">
        <f t="shared" ref="BC33" si="118">SUBTOTAL(9,BC34:BC38)</f>
        <v>0</v>
      </c>
      <c r="BD33" s="157">
        <f t="shared" ref="BD33" si="119">SUBTOTAL(9,BD34:BD38)</f>
        <v>0</v>
      </c>
      <c r="BE33" s="267">
        <f t="shared" ref="BE33" si="120">SUBTOTAL(9,BE34:BE38)</f>
        <v>0</v>
      </c>
      <c r="BF33" s="157">
        <f t="shared" ref="BF33" si="121">SUBTOTAL(9,BF34:BF38)</f>
        <v>0</v>
      </c>
      <c r="BG33" s="157">
        <f t="shared" ref="BG33" si="122">SUBTOTAL(9,BG34:BG38)</f>
        <v>0</v>
      </c>
      <c r="BH33" s="157">
        <f t="shared" ref="BH33" si="123">SUBTOTAL(9,BH34:BH38)</f>
        <v>0</v>
      </c>
      <c r="BI33" s="157">
        <f t="shared" ref="BI33" si="124">SUBTOTAL(9,BI34:BI38)</f>
        <v>0</v>
      </c>
      <c r="BJ33" s="157">
        <f t="shared" si="72"/>
        <v>0</v>
      </c>
      <c r="BL33" s="285">
        <f t="shared" si="110"/>
        <v>0</v>
      </c>
      <c r="BM33" s="285">
        <f t="shared" si="110"/>
        <v>0</v>
      </c>
      <c r="BN33" s="285">
        <f t="shared" si="110"/>
        <v>0</v>
      </c>
      <c r="BO33" s="285">
        <f t="shared" si="110"/>
        <v>0</v>
      </c>
      <c r="BP33" s="317">
        <f t="shared" si="110"/>
        <v>0</v>
      </c>
      <c r="BQ33" s="289">
        <f t="shared" si="8"/>
        <v>0</v>
      </c>
    </row>
    <row r="34" spans="2:73" outlineLevel="1" x14ac:dyDescent="0.25">
      <c r="C34" s="1" t="s">
        <v>500</v>
      </c>
      <c r="D34" s="157">
        <f>Base_Forecast!Q36</f>
        <v>0</v>
      </c>
      <c r="E34" s="529"/>
      <c r="F34" s="529"/>
      <c r="G34" s="530"/>
      <c r="H34" s="529"/>
      <c r="I34" s="529"/>
      <c r="J34" s="529"/>
      <c r="K34" s="529"/>
      <c r="L34" s="529"/>
      <c r="M34" s="201"/>
      <c r="N34" s="558"/>
      <c r="O34" s="558"/>
      <c r="P34" s="558"/>
      <c r="Q34" s="559"/>
      <c r="R34" s="558"/>
      <c r="S34" s="558"/>
      <c r="T34" s="558"/>
      <c r="U34" s="558"/>
      <c r="V34" s="529"/>
      <c r="W34" s="2"/>
      <c r="X34" s="533"/>
      <c r="Y34" s="533"/>
      <c r="Z34" s="533"/>
      <c r="AA34" s="534"/>
      <c r="AB34" s="533"/>
      <c r="AC34" s="533"/>
      <c r="AD34" s="533"/>
      <c r="AE34" s="533"/>
      <c r="AF34" s="529"/>
      <c r="AG34" s="2"/>
      <c r="AH34" s="158">
        <v>0</v>
      </c>
      <c r="AI34" s="158">
        <v>0</v>
      </c>
      <c r="AJ34" s="158">
        <v>0</v>
      </c>
      <c r="AK34" s="268">
        <v>0</v>
      </c>
      <c r="AL34" s="158">
        <v>0</v>
      </c>
      <c r="AM34" s="158">
        <v>0</v>
      </c>
      <c r="AN34" s="158">
        <v>0</v>
      </c>
      <c r="AO34" s="158">
        <v>0</v>
      </c>
      <c r="AP34" s="157">
        <v>0</v>
      </c>
      <c r="AQ34" s="2"/>
      <c r="AR34" s="158">
        <f>AH34*AusNet_Overheads!H$22</f>
        <v>0</v>
      </c>
      <c r="AS34" s="158">
        <f>AI34*AusNet_Overheads!I$22</f>
        <v>0</v>
      </c>
      <c r="AT34" s="158">
        <f>AJ34*AusNet_Overheads!J$22</f>
        <v>0</v>
      </c>
      <c r="AU34" s="268">
        <v>0</v>
      </c>
      <c r="AV34" s="158">
        <v>0</v>
      </c>
      <c r="AW34" s="158">
        <v>0</v>
      </c>
      <c r="AX34" s="158">
        <v>0</v>
      </c>
      <c r="AY34" s="158">
        <v>0</v>
      </c>
      <c r="AZ34" s="157">
        <v>0</v>
      </c>
      <c r="BB34" s="157">
        <f t="shared" ref="BB34:BB38" si="125">AR34+AH34</f>
        <v>0</v>
      </c>
      <c r="BC34" s="157">
        <f t="shared" ref="BC34:BC38" si="126">AS34+AI34</f>
        <v>0</v>
      </c>
      <c r="BD34" s="157">
        <f t="shared" ref="BD34:BD38" si="127">AT34+AJ34</f>
        <v>0</v>
      </c>
      <c r="BE34" s="267">
        <f t="shared" ref="BE34:BE38" si="128">AU34+AK34</f>
        <v>0</v>
      </c>
      <c r="BF34" s="157">
        <f t="shared" ref="BF34:BF38" si="129">AV34+AL34</f>
        <v>0</v>
      </c>
      <c r="BG34" s="157">
        <f t="shared" ref="BG34:BG38" si="130">AW34+AM34</f>
        <v>0</v>
      </c>
      <c r="BH34" s="157">
        <f t="shared" ref="BH34:BH38" si="131">AX34+AN34</f>
        <v>0</v>
      </c>
      <c r="BI34" s="157">
        <f t="shared" ref="BI34:BI38" si="132">AY34+AO34</f>
        <v>0</v>
      </c>
      <c r="BJ34" s="157">
        <f t="shared" ref="BJ34:BJ39" si="133">SUM(BE34:BI34)</f>
        <v>0</v>
      </c>
      <c r="BL34" s="285">
        <f t="shared" ref="BL34:BP39" si="134">BE34*$BL$2/Thousands</f>
        <v>0</v>
      </c>
      <c r="BM34" s="285">
        <f t="shared" si="134"/>
        <v>0</v>
      </c>
      <c r="BN34" s="285">
        <f t="shared" si="134"/>
        <v>0</v>
      </c>
      <c r="BO34" s="285">
        <f t="shared" si="134"/>
        <v>0</v>
      </c>
      <c r="BP34" s="317">
        <f t="shared" si="134"/>
        <v>0</v>
      </c>
      <c r="BQ34" s="289">
        <f t="shared" si="8"/>
        <v>0</v>
      </c>
      <c r="BR34" s="278"/>
      <c r="BU34" s="278"/>
    </row>
    <row r="35" spans="2:73" outlineLevel="1" x14ac:dyDescent="0.25">
      <c r="C35" s="1" t="s">
        <v>521</v>
      </c>
      <c r="D35" s="157">
        <f>Base_Forecast!Q37</f>
        <v>0</v>
      </c>
      <c r="E35" s="529"/>
      <c r="F35" s="529"/>
      <c r="G35" s="530"/>
      <c r="H35" s="529"/>
      <c r="I35" s="529"/>
      <c r="J35" s="529"/>
      <c r="K35" s="529"/>
      <c r="L35" s="529"/>
      <c r="M35" s="201"/>
      <c r="N35" s="558"/>
      <c r="O35" s="558"/>
      <c r="P35" s="558"/>
      <c r="Q35" s="559"/>
      <c r="R35" s="558"/>
      <c r="S35" s="558"/>
      <c r="T35" s="558"/>
      <c r="U35" s="558"/>
      <c r="V35" s="529"/>
      <c r="W35" s="2"/>
      <c r="X35" s="533"/>
      <c r="Y35" s="533"/>
      <c r="Z35" s="533"/>
      <c r="AA35" s="534"/>
      <c r="AB35" s="533"/>
      <c r="AC35" s="533"/>
      <c r="AD35" s="533"/>
      <c r="AE35" s="533"/>
      <c r="AF35" s="529"/>
      <c r="AG35" s="2"/>
      <c r="AH35" s="158">
        <v>0</v>
      </c>
      <c r="AI35" s="158">
        <v>0</v>
      </c>
      <c r="AJ35" s="158">
        <v>0</v>
      </c>
      <c r="AK35" s="268">
        <v>0</v>
      </c>
      <c r="AL35" s="158">
        <v>0</v>
      </c>
      <c r="AM35" s="158">
        <v>0</v>
      </c>
      <c r="AN35" s="158">
        <v>0</v>
      </c>
      <c r="AO35" s="158">
        <v>0</v>
      </c>
      <c r="AP35" s="157">
        <v>0</v>
      </c>
      <c r="AQ35" s="2"/>
      <c r="AR35" s="158">
        <f>AH35*AusNet_Overheads!H$22</f>
        <v>0</v>
      </c>
      <c r="AS35" s="158">
        <f>AI35*AusNet_Overheads!I$22</f>
        <v>0</v>
      </c>
      <c r="AT35" s="158">
        <f>AJ35*AusNet_Overheads!J$22</f>
        <v>0</v>
      </c>
      <c r="AU35" s="268">
        <v>0</v>
      </c>
      <c r="AV35" s="158">
        <v>0</v>
      </c>
      <c r="AW35" s="158">
        <v>0</v>
      </c>
      <c r="AX35" s="158">
        <v>0</v>
      </c>
      <c r="AY35" s="158">
        <v>0</v>
      </c>
      <c r="AZ35" s="157">
        <v>0</v>
      </c>
      <c r="BB35" s="157">
        <f t="shared" si="125"/>
        <v>0</v>
      </c>
      <c r="BC35" s="157">
        <f t="shared" si="126"/>
        <v>0</v>
      </c>
      <c r="BD35" s="157">
        <f t="shared" si="127"/>
        <v>0</v>
      </c>
      <c r="BE35" s="267">
        <f t="shared" si="128"/>
        <v>0</v>
      </c>
      <c r="BF35" s="157">
        <f t="shared" si="129"/>
        <v>0</v>
      </c>
      <c r="BG35" s="157">
        <f t="shared" si="130"/>
        <v>0</v>
      </c>
      <c r="BH35" s="157">
        <f t="shared" si="131"/>
        <v>0</v>
      </c>
      <c r="BI35" s="157">
        <f t="shared" si="132"/>
        <v>0</v>
      </c>
      <c r="BJ35" s="157">
        <f t="shared" si="133"/>
        <v>0</v>
      </c>
      <c r="BL35" s="285">
        <f t="shared" ref="BL35" si="135">BE35*$BL$2/Thousands</f>
        <v>0</v>
      </c>
      <c r="BM35" s="285">
        <f t="shared" ref="BM35" si="136">BF35*$BL$2/Thousands</f>
        <v>0</v>
      </c>
      <c r="BN35" s="285">
        <f t="shared" ref="BN35" si="137">BG35*$BL$2/Thousands</f>
        <v>0</v>
      </c>
      <c r="BO35" s="285">
        <f t="shared" ref="BO35" si="138">BH35*$BL$2/Thousands</f>
        <v>0</v>
      </c>
      <c r="BP35" s="317">
        <f t="shared" ref="BP35" si="139">BI35*$BL$2/Thousands</f>
        <v>0</v>
      </c>
      <c r="BQ35" s="289">
        <f t="shared" si="8"/>
        <v>0</v>
      </c>
      <c r="BR35" s="278"/>
      <c r="BU35" s="158"/>
    </row>
    <row r="36" spans="2:73" outlineLevel="1" x14ac:dyDescent="0.25">
      <c r="C36" s="1" t="s">
        <v>309</v>
      </c>
      <c r="D36" s="157">
        <f>Base_Forecast!Q38</f>
        <v>0</v>
      </c>
      <c r="E36" s="529"/>
      <c r="F36" s="529"/>
      <c r="G36" s="530"/>
      <c r="H36" s="529"/>
      <c r="I36" s="529"/>
      <c r="J36" s="529"/>
      <c r="K36" s="529"/>
      <c r="L36" s="529"/>
      <c r="M36" s="201"/>
      <c r="N36" s="558"/>
      <c r="O36" s="558"/>
      <c r="P36" s="558"/>
      <c r="Q36" s="559"/>
      <c r="R36" s="558"/>
      <c r="S36" s="558"/>
      <c r="T36" s="558"/>
      <c r="U36" s="558"/>
      <c r="V36" s="529"/>
      <c r="W36" s="2"/>
      <c r="X36" s="533"/>
      <c r="Y36" s="533"/>
      <c r="Z36" s="533"/>
      <c r="AA36" s="534"/>
      <c r="AB36" s="533"/>
      <c r="AC36" s="533"/>
      <c r="AD36" s="533"/>
      <c r="AE36" s="533"/>
      <c r="AF36" s="529"/>
      <c r="AG36" s="2"/>
      <c r="AH36" s="158">
        <v>0</v>
      </c>
      <c r="AI36" s="158">
        <v>0</v>
      </c>
      <c r="AJ36" s="158">
        <v>0</v>
      </c>
      <c r="AK36" s="268">
        <v>0</v>
      </c>
      <c r="AL36" s="158">
        <v>0</v>
      </c>
      <c r="AM36" s="158">
        <v>0</v>
      </c>
      <c r="AN36" s="158">
        <v>0</v>
      </c>
      <c r="AO36" s="158">
        <v>0</v>
      </c>
      <c r="AP36" s="157">
        <v>0</v>
      </c>
      <c r="AQ36" s="2"/>
      <c r="AR36" s="163"/>
      <c r="AS36" s="163"/>
      <c r="AT36" s="163"/>
      <c r="AU36" s="288"/>
      <c r="AV36" s="163"/>
      <c r="AW36" s="163"/>
      <c r="AX36" s="163"/>
      <c r="AY36" s="163"/>
      <c r="AZ36" s="157">
        <v>0</v>
      </c>
      <c r="BB36" s="157">
        <f t="shared" si="125"/>
        <v>0</v>
      </c>
      <c r="BC36" s="157">
        <f t="shared" si="126"/>
        <v>0</v>
      </c>
      <c r="BD36" s="157">
        <f t="shared" si="127"/>
        <v>0</v>
      </c>
      <c r="BE36" s="267">
        <f t="shared" si="128"/>
        <v>0</v>
      </c>
      <c r="BF36" s="157">
        <f t="shared" si="129"/>
        <v>0</v>
      </c>
      <c r="BG36" s="157">
        <f t="shared" si="130"/>
        <v>0</v>
      </c>
      <c r="BH36" s="157">
        <f t="shared" si="131"/>
        <v>0</v>
      </c>
      <c r="BI36" s="157">
        <f t="shared" si="132"/>
        <v>0</v>
      </c>
      <c r="BJ36" s="157">
        <f t="shared" si="133"/>
        <v>0</v>
      </c>
      <c r="BL36" s="285">
        <f t="shared" si="134"/>
        <v>0</v>
      </c>
      <c r="BM36" s="285">
        <f t="shared" si="134"/>
        <v>0</v>
      </c>
      <c r="BN36" s="285">
        <f t="shared" si="134"/>
        <v>0</v>
      </c>
      <c r="BO36" s="285">
        <f t="shared" si="134"/>
        <v>0</v>
      </c>
      <c r="BP36" s="317">
        <f t="shared" si="134"/>
        <v>0</v>
      </c>
      <c r="BQ36" s="289">
        <f t="shared" si="8"/>
        <v>0</v>
      </c>
      <c r="BR36" s="278"/>
    </row>
    <row r="37" spans="2:73" outlineLevel="1" x14ac:dyDescent="0.25">
      <c r="C37" s="1" t="s">
        <v>593</v>
      </c>
      <c r="D37" s="157">
        <f>Base_Forecast!Q39</f>
        <v>0</v>
      </c>
      <c r="E37" s="529"/>
      <c r="F37" s="529"/>
      <c r="G37" s="530"/>
      <c r="H37" s="529"/>
      <c r="I37" s="529"/>
      <c r="J37" s="529"/>
      <c r="K37" s="529"/>
      <c r="L37" s="529"/>
      <c r="M37" s="201"/>
      <c r="N37" s="558"/>
      <c r="O37" s="558"/>
      <c r="P37" s="558"/>
      <c r="Q37" s="559"/>
      <c r="R37" s="558"/>
      <c r="S37" s="558"/>
      <c r="T37" s="558"/>
      <c r="U37" s="558"/>
      <c r="V37" s="529"/>
      <c r="W37" s="2"/>
      <c r="X37" s="533"/>
      <c r="Y37" s="533"/>
      <c r="Z37" s="533"/>
      <c r="AA37" s="534"/>
      <c r="AB37" s="533"/>
      <c r="AC37" s="533"/>
      <c r="AD37" s="533"/>
      <c r="AE37" s="533"/>
      <c r="AF37" s="529"/>
      <c r="AG37" s="2"/>
      <c r="AH37" s="158">
        <v>0</v>
      </c>
      <c r="AI37" s="158">
        <v>0</v>
      </c>
      <c r="AJ37" s="158">
        <v>0</v>
      </c>
      <c r="AK37" s="268">
        <v>0</v>
      </c>
      <c r="AL37" s="158">
        <v>0</v>
      </c>
      <c r="AM37" s="158">
        <v>0</v>
      </c>
      <c r="AN37" s="158">
        <v>0</v>
      </c>
      <c r="AO37" s="158">
        <v>0</v>
      </c>
      <c r="AP37" s="157">
        <v>0</v>
      </c>
      <c r="AQ37" s="2"/>
      <c r="AR37" s="163"/>
      <c r="AS37" s="163"/>
      <c r="AT37" s="163"/>
      <c r="AU37" s="288"/>
      <c r="AV37" s="163"/>
      <c r="AW37" s="163"/>
      <c r="AX37" s="163"/>
      <c r="AY37" s="163"/>
      <c r="AZ37" s="157"/>
      <c r="BB37" s="157">
        <f t="shared" si="125"/>
        <v>0</v>
      </c>
      <c r="BC37" s="157">
        <f t="shared" si="126"/>
        <v>0</v>
      </c>
      <c r="BD37" s="157">
        <f t="shared" si="127"/>
        <v>0</v>
      </c>
      <c r="BE37" s="267">
        <f t="shared" si="128"/>
        <v>0</v>
      </c>
      <c r="BF37" s="157">
        <f t="shared" si="129"/>
        <v>0</v>
      </c>
      <c r="BG37" s="157">
        <f t="shared" si="130"/>
        <v>0</v>
      </c>
      <c r="BH37" s="157">
        <f t="shared" si="131"/>
        <v>0</v>
      </c>
      <c r="BI37" s="157">
        <f t="shared" si="132"/>
        <v>0</v>
      </c>
      <c r="BJ37" s="157">
        <f t="shared" ref="BJ37" si="140">SUM(BE37:BI37)</f>
        <v>0</v>
      </c>
      <c r="BL37" s="285">
        <f t="shared" ref="BL37" si="141">BE37*$BL$2/Thousands</f>
        <v>0</v>
      </c>
      <c r="BM37" s="285">
        <f t="shared" ref="BM37" si="142">BF37*$BL$2/Thousands</f>
        <v>0</v>
      </c>
      <c r="BN37" s="285">
        <f t="shared" ref="BN37" si="143">BG37*$BL$2/Thousands</f>
        <v>0</v>
      </c>
      <c r="BO37" s="285">
        <f t="shared" ref="BO37" si="144">BH37*$BL$2/Thousands</f>
        <v>0</v>
      </c>
      <c r="BP37" s="317">
        <f t="shared" ref="BP37" si="145">BI37*$BL$2/Thousands</f>
        <v>0</v>
      </c>
      <c r="BQ37" s="289">
        <f t="shared" si="8"/>
        <v>0</v>
      </c>
      <c r="BR37" s="278"/>
    </row>
    <row r="38" spans="2:73" outlineLevel="1" x14ac:dyDescent="0.25">
      <c r="C38" s="1" t="s">
        <v>399</v>
      </c>
      <c r="D38" s="157">
        <f>Reg_Forecast!D25-D32-D9</f>
        <v>0</v>
      </c>
      <c r="E38" s="529"/>
      <c r="F38" s="529"/>
      <c r="G38" s="530"/>
      <c r="H38" s="529"/>
      <c r="I38" s="529"/>
      <c r="J38" s="529"/>
      <c r="K38" s="529"/>
      <c r="L38" s="529"/>
      <c r="M38" s="201"/>
      <c r="N38" s="558"/>
      <c r="O38" s="558"/>
      <c r="P38" s="558"/>
      <c r="Q38" s="559"/>
      <c r="R38" s="558"/>
      <c r="S38" s="558"/>
      <c r="T38" s="558"/>
      <c r="U38" s="558"/>
      <c r="V38" s="529"/>
      <c r="W38" s="2"/>
      <c r="X38" s="533"/>
      <c r="Y38" s="533"/>
      <c r="Z38" s="533"/>
      <c r="AA38" s="534"/>
      <c r="AB38" s="533"/>
      <c r="AC38" s="533"/>
      <c r="AD38" s="533"/>
      <c r="AE38" s="533"/>
      <c r="AF38" s="529"/>
      <c r="AG38" s="2"/>
      <c r="AH38" s="158">
        <v>0</v>
      </c>
      <c r="AI38" s="158">
        <v>0</v>
      </c>
      <c r="AJ38" s="158">
        <v>0</v>
      </c>
      <c r="AK38" s="268">
        <v>0</v>
      </c>
      <c r="AL38" s="158">
        <v>0</v>
      </c>
      <c r="AM38" s="158">
        <v>0</v>
      </c>
      <c r="AN38" s="158">
        <v>0</v>
      </c>
      <c r="AO38" s="158">
        <v>0</v>
      </c>
      <c r="AP38" s="157">
        <v>0</v>
      </c>
      <c r="AQ38" s="2"/>
      <c r="AR38" s="163"/>
      <c r="AS38" s="163"/>
      <c r="AT38" s="163"/>
      <c r="AU38" s="288"/>
      <c r="AV38" s="163"/>
      <c r="AW38" s="163"/>
      <c r="AX38" s="163"/>
      <c r="AY38" s="163"/>
      <c r="AZ38" s="157">
        <v>0</v>
      </c>
      <c r="BB38" s="157">
        <f t="shared" si="125"/>
        <v>0</v>
      </c>
      <c r="BC38" s="157">
        <f t="shared" si="126"/>
        <v>0</v>
      </c>
      <c r="BD38" s="157">
        <f t="shared" si="127"/>
        <v>0</v>
      </c>
      <c r="BE38" s="267">
        <f t="shared" si="128"/>
        <v>0</v>
      </c>
      <c r="BF38" s="157">
        <f t="shared" si="129"/>
        <v>0</v>
      </c>
      <c r="BG38" s="157">
        <f t="shared" si="130"/>
        <v>0</v>
      </c>
      <c r="BH38" s="157">
        <f t="shared" si="131"/>
        <v>0</v>
      </c>
      <c r="BI38" s="157">
        <f t="shared" si="132"/>
        <v>0</v>
      </c>
      <c r="BJ38" s="157">
        <f t="shared" si="133"/>
        <v>0</v>
      </c>
      <c r="BL38" s="285">
        <f t="shared" si="134"/>
        <v>0</v>
      </c>
      <c r="BM38" s="285">
        <f t="shared" si="134"/>
        <v>0</v>
      </c>
      <c r="BN38" s="285">
        <f t="shared" si="134"/>
        <v>0</v>
      </c>
      <c r="BO38" s="285">
        <f t="shared" si="134"/>
        <v>0</v>
      </c>
      <c r="BP38" s="317">
        <f t="shared" si="134"/>
        <v>0</v>
      </c>
      <c r="BQ38" s="289">
        <f t="shared" si="8"/>
        <v>0</v>
      </c>
      <c r="BR38" s="278"/>
    </row>
    <row r="39" spans="2:73" x14ac:dyDescent="0.25">
      <c r="B39" s="249" t="s">
        <v>457</v>
      </c>
      <c r="D39" s="157">
        <f>SUBTOTAL(9,D40)</f>
        <v>0</v>
      </c>
      <c r="E39" s="529"/>
      <c r="F39" s="529"/>
      <c r="G39" s="530"/>
      <c r="H39" s="529"/>
      <c r="I39" s="529"/>
      <c r="J39" s="529"/>
      <c r="K39" s="529"/>
      <c r="L39" s="529"/>
      <c r="M39" s="201"/>
      <c r="N39" s="529"/>
      <c r="O39" s="529"/>
      <c r="P39" s="529"/>
      <c r="Q39" s="530"/>
      <c r="R39" s="529"/>
      <c r="S39" s="529"/>
      <c r="T39" s="529"/>
      <c r="U39" s="529"/>
      <c r="V39" s="529"/>
      <c r="W39" s="2"/>
      <c r="X39" s="529"/>
      <c r="Y39" s="529"/>
      <c r="Z39" s="529"/>
      <c r="AA39" s="530"/>
      <c r="AB39" s="529"/>
      <c r="AC39" s="529"/>
      <c r="AD39" s="529"/>
      <c r="AE39" s="529"/>
      <c r="AF39" s="529"/>
      <c r="AG39" s="2"/>
      <c r="AH39" s="157">
        <v>0</v>
      </c>
      <c r="AI39" s="157">
        <v>0</v>
      </c>
      <c r="AJ39" s="157">
        <v>0</v>
      </c>
      <c r="AK39" s="267">
        <v>0</v>
      </c>
      <c r="AL39" s="157">
        <v>0</v>
      </c>
      <c r="AM39" s="157">
        <v>0</v>
      </c>
      <c r="AN39" s="157">
        <v>0</v>
      </c>
      <c r="AO39" s="157">
        <v>0</v>
      </c>
      <c r="AP39" s="157">
        <v>0</v>
      </c>
      <c r="AQ39" s="2"/>
      <c r="AR39" s="157">
        <f>SUBTOTAL(9,AR40)</f>
        <v>0</v>
      </c>
      <c r="AS39" s="157">
        <f t="shared" ref="AS39" si="146">SUBTOTAL(9,AS40)</f>
        <v>0</v>
      </c>
      <c r="AT39" s="157"/>
      <c r="AU39" s="267">
        <v>0</v>
      </c>
      <c r="AV39" s="157">
        <v>0</v>
      </c>
      <c r="AW39" s="157">
        <v>0</v>
      </c>
      <c r="AX39" s="157">
        <v>0</v>
      </c>
      <c r="AY39" s="157">
        <v>0</v>
      </c>
      <c r="AZ39" s="157">
        <v>0</v>
      </c>
      <c r="BB39" s="157">
        <f>SUBTOTAL(9,BB40)</f>
        <v>0</v>
      </c>
      <c r="BC39" s="157">
        <f t="shared" ref="BC39:BD39" si="147">SUBTOTAL(9,BC40)</f>
        <v>0</v>
      </c>
      <c r="BD39" s="157">
        <f t="shared" si="147"/>
        <v>0</v>
      </c>
      <c r="BE39" s="267">
        <f t="shared" ref="BE39" si="148">SUBTOTAL(9,BE40)</f>
        <v>0</v>
      </c>
      <c r="BF39" s="157">
        <f t="shared" ref="BF39" si="149">SUBTOTAL(9,BF40)</f>
        <v>0</v>
      </c>
      <c r="BG39" s="157">
        <f t="shared" ref="BG39" si="150">SUBTOTAL(9,BG40)</f>
        <v>0</v>
      </c>
      <c r="BH39" s="157">
        <f t="shared" ref="BH39" si="151">SUBTOTAL(9,BH40)</f>
        <v>0</v>
      </c>
      <c r="BI39" s="157">
        <f t="shared" ref="BI39" si="152">SUBTOTAL(9,BI40)</f>
        <v>0</v>
      </c>
      <c r="BJ39" s="157">
        <f t="shared" si="133"/>
        <v>0</v>
      </c>
      <c r="BL39" s="285">
        <f t="shared" si="134"/>
        <v>0</v>
      </c>
      <c r="BM39" s="285">
        <f t="shared" si="134"/>
        <v>0</v>
      </c>
      <c r="BN39" s="285">
        <f t="shared" si="134"/>
        <v>0</v>
      </c>
      <c r="BO39" s="285">
        <f t="shared" si="134"/>
        <v>0</v>
      </c>
      <c r="BP39" s="317">
        <f t="shared" si="134"/>
        <v>0</v>
      </c>
      <c r="BQ39" s="289">
        <f t="shared" si="8"/>
        <v>0</v>
      </c>
      <c r="BR39" s="278"/>
    </row>
    <row r="40" spans="2:73" hidden="1" outlineLevel="1" x14ac:dyDescent="0.25">
      <c r="C40" s="1" t="s">
        <v>309</v>
      </c>
      <c r="D40" s="157">
        <f>Base_Forecast!Q40</f>
        <v>0</v>
      </c>
      <c r="E40" s="529">
        <f>Base_Forecast!R40</f>
        <v>0</v>
      </c>
      <c r="F40" s="529">
        <f>Base_Forecast!S40</f>
        <v>0</v>
      </c>
      <c r="G40" s="530">
        <f>Base_Forecast!T40</f>
        <v>0</v>
      </c>
      <c r="H40" s="529">
        <f>Base_Forecast!U40</f>
        <v>0</v>
      </c>
      <c r="I40" s="529">
        <f>Base_Forecast!V40</f>
        <v>0</v>
      </c>
      <c r="J40" s="529">
        <f>Base_Forecast!W40</f>
        <v>0</v>
      </c>
      <c r="K40" s="529">
        <f>Base_Forecast!X40</f>
        <v>0</v>
      </c>
      <c r="L40" s="529">
        <f t="shared" ref="L40" si="153">SUM(G40:K40)</f>
        <v>0</v>
      </c>
      <c r="M40" s="201"/>
      <c r="N40" s="558"/>
      <c r="O40" s="558"/>
      <c r="P40" s="558"/>
      <c r="Q40" s="559"/>
      <c r="R40" s="558"/>
      <c r="S40" s="558"/>
      <c r="T40" s="558"/>
      <c r="U40" s="558"/>
      <c r="V40" s="529">
        <f t="shared" ref="V40" si="154">SUM(Q40:U40)</f>
        <v>0</v>
      </c>
      <c r="W40" s="2"/>
      <c r="X40" s="533"/>
      <c r="Y40" s="533"/>
      <c r="Z40" s="533"/>
      <c r="AA40" s="533"/>
      <c r="AB40" s="533"/>
      <c r="AC40" s="533"/>
      <c r="AD40" s="533"/>
      <c r="AE40" s="533"/>
      <c r="AF40" s="529">
        <f t="shared" ref="AF40" si="155">SUM(AA40:AE40)</f>
        <v>0</v>
      </c>
      <c r="AG40" s="2"/>
      <c r="AH40" s="158">
        <f t="shared" ref="AH40:AO40" si="156">D40+N40+X40</f>
        <v>0</v>
      </c>
      <c r="AI40" s="158">
        <f t="shared" si="156"/>
        <v>0</v>
      </c>
      <c r="AJ40" s="158">
        <f t="shared" si="156"/>
        <v>0</v>
      </c>
      <c r="AK40" s="268">
        <f t="shared" si="156"/>
        <v>0</v>
      </c>
      <c r="AL40" s="158">
        <f t="shared" si="156"/>
        <v>0</v>
      </c>
      <c r="AM40" s="158">
        <f t="shared" si="156"/>
        <v>0</v>
      </c>
      <c r="AN40" s="158">
        <f t="shared" si="156"/>
        <v>0</v>
      </c>
      <c r="AO40" s="158">
        <f t="shared" si="156"/>
        <v>0</v>
      </c>
      <c r="AP40" s="157">
        <f t="shared" ref="AP40" si="157">SUM(AK40:AO40)</f>
        <v>0</v>
      </c>
      <c r="AQ40" s="2"/>
      <c r="AU40" s="41"/>
      <c r="AZ40" s="157">
        <v>0</v>
      </c>
      <c r="BB40" s="366">
        <f t="shared" ref="BB40:BI40" si="158">AR40+AH40</f>
        <v>0</v>
      </c>
      <c r="BC40" s="366">
        <f t="shared" si="158"/>
        <v>0</v>
      </c>
      <c r="BD40" s="366">
        <f t="shared" si="158"/>
        <v>0</v>
      </c>
      <c r="BE40" s="373">
        <f t="shared" si="158"/>
        <v>0</v>
      </c>
      <c r="BF40" s="366">
        <f t="shared" si="158"/>
        <v>0</v>
      </c>
      <c r="BG40" s="157">
        <f t="shared" si="158"/>
        <v>0</v>
      </c>
      <c r="BH40" s="157">
        <f t="shared" si="158"/>
        <v>0</v>
      </c>
      <c r="BI40" s="157">
        <f t="shared" si="158"/>
        <v>0</v>
      </c>
      <c r="BJ40" s="157">
        <f t="shared" ref="BJ40" si="159">SUM(BE40:BI40)</f>
        <v>0</v>
      </c>
      <c r="BL40" s="278">
        <f t="shared" ref="BL40" si="160">BE40*$BL$2/Thousands</f>
        <v>0</v>
      </c>
      <c r="BM40" s="278">
        <f t="shared" ref="BM40" si="161">BF40*$BL$2/Thousands</f>
        <v>0</v>
      </c>
      <c r="BN40" s="278">
        <f t="shared" ref="BN40" si="162">BG40*$BL$2/Thousands</f>
        <v>0</v>
      </c>
      <c r="BO40" s="278">
        <f t="shared" ref="BO40" si="163">BH40*$BL$2/Thousands</f>
        <v>0</v>
      </c>
      <c r="BP40" s="283">
        <f t="shared" ref="BP40" si="164">BI40*$BL$2/Thousands</f>
        <v>0</v>
      </c>
      <c r="BQ40" s="289">
        <f t="shared" si="8"/>
        <v>0</v>
      </c>
      <c r="BR40" s="278"/>
    </row>
    <row r="41" spans="2:73" collapsed="1" x14ac:dyDescent="0.25">
      <c r="G41" s="38"/>
      <c r="L41" s="201"/>
      <c r="M41" s="201"/>
      <c r="N41" s="2"/>
      <c r="O41" s="2"/>
      <c r="P41" s="2"/>
      <c r="Q41" s="284"/>
      <c r="R41" s="2"/>
      <c r="S41" s="2"/>
      <c r="T41" s="2"/>
      <c r="U41" s="2"/>
      <c r="V41" s="2"/>
      <c r="W41" s="2"/>
      <c r="X41" s="159"/>
      <c r="Y41" s="159"/>
      <c r="Z41" s="159"/>
      <c r="AA41" s="159"/>
      <c r="AB41" s="159"/>
      <c r="AC41" s="159"/>
      <c r="AD41" s="159"/>
      <c r="AE41" s="159"/>
      <c r="AF41" s="2"/>
      <c r="AG41" s="2"/>
      <c r="AH41" s="2"/>
      <c r="AI41" s="2"/>
      <c r="AJ41" s="2"/>
      <c r="AK41" s="284"/>
      <c r="AL41" s="2"/>
      <c r="AM41" s="2"/>
      <c r="AN41" s="2"/>
      <c r="AO41" s="2"/>
      <c r="AP41" s="2"/>
      <c r="AQ41" s="2"/>
      <c r="BP41" s="283"/>
    </row>
    <row r="42" spans="2:73" x14ac:dyDescent="0.25">
      <c r="B42" s="2" t="s">
        <v>487</v>
      </c>
      <c r="D42" s="223">
        <f>CP_Yr_4</f>
        <v>43800</v>
      </c>
      <c r="E42" s="223">
        <f>CP_Yr_5</f>
        <v>44166</v>
      </c>
      <c r="F42" s="223">
        <f>Stub</f>
        <v>44377</v>
      </c>
      <c r="G42" s="339">
        <f>Yr_1</f>
        <v>44742</v>
      </c>
      <c r="H42" s="223">
        <f>Yr_2</f>
        <v>45107</v>
      </c>
      <c r="I42" s="223">
        <f>Yr_3</f>
        <v>45473</v>
      </c>
      <c r="J42" s="223">
        <f>Yr_4</f>
        <v>45838</v>
      </c>
      <c r="K42" s="223">
        <f>Yr_5</f>
        <v>46203</v>
      </c>
      <c r="L42" s="266" t="str">
        <f>NReg_Period</f>
        <v>2022-26</v>
      </c>
      <c r="M42" s="266"/>
      <c r="N42" s="223">
        <f>CP_Yr_4</f>
        <v>43800</v>
      </c>
      <c r="O42" s="223">
        <f>CP_Yr_5</f>
        <v>44166</v>
      </c>
      <c r="P42" s="223">
        <f>Stub</f>
        <v>44377</v>
      </c>
      <c r="Q42" s="339">
        <f>Yr_1</f>
        <v>44742</v>
      </c>
      <c r="R42" s="223">
        <f>Yr_2</f>
        <v>45107</v>
      </c>
      <c r="S42" s="223">
        <f>Yr_3</f>
        <v>45473</v>
      </c>
      <c r="T42" s="223">
        <f>Yr_4</f>
        <v>45838</v>
      </c>
      <c r="U42" s="223">
        <f>Yr_5</f>
        <v>46203</v>
      </c>
      <c r="V42" s="266" t="str">
        <f>NReg_Period</f>
        <v>2022-26</v>
      </c>
      <c r="X42" s="223">
        <f>CP_Yr_4</f>
        <v>43800</v>
      </c>
      <c r="Y42" s="223">
        <f>CP_Yr_5</f>
        <v>44166</v>
      </c>
      <c r="Z42" s="223">
        <f>Stub</f>
        <v>44377</v>
      </c>
      <c r="AA42" s="339">
        <f>Yr_1</f>
        <v>44742</v>
      </c>
      <c r="AB42" s="223">
        <f>Yr_2</f>
        <v>45107</v>
      </c>
      <c r="AC42" s="223">
        <f>Yr_3</f>
        <v>45473</v>
      </c>
      <c r="AD42" s="223">
        <f>Yr_4</f>
        <v>45838</v>
      </c>
      <c r="AE42" s="223">
        <f>Yr_5</f>
        <v>46203</v>
      </c>
      <c r="AF42" s="363" t="str">
        <f>NReg_Period</f>
        <v>2022-26</v>
      </c>
      <c r="AH42" s="223">
        <f>CP_Yr_4</f>
        <v>43800</v>
      </c>
      <c r="AI42" s="223">
        <f>CP_Yr_5</f>
        <v>44166</v>
      </c>
      <c r="AJ42" s="223">
        <f>Stub</f>
        <v>44377</v>
      </c>
      <c r="AK42" s="339">
        <f>Yr_1</f>
        <v>44742</v>
      </c>
      <c r="AL42" s="223">
        <f>Yr_2</f>
        <v>45107</v>
      </c>
      <c r="AM42" s="223">
        <f>Yr_3</f>
        <v>45473</v>
      </c>
      <c r="AN42" s="223">
        <f>Yr_4</f>
        <v>45838</v>
      </c>
      <c r="AO42" s="223">
        <f>Yr_5</f>
        <v>46203</v>
      </c>
      <c r="AP42" s="266" t="str">
        <f>NReg_Period</f>
        <v>2022-26</v>
      </c>
      <c r="AR42" s="223">
        <f>CP_Yr_4</f>
        <v>43800</v>
      </c>
      <c r="AS42" s="223">
        <f>CP_Yr_5</f>
        <v>44166</v>
      </c>
      <c r="AT42" s="223">
        <f>Stub</f>
        <v>44377</v>
      </c>
      <c r="AU42" s="339">
        <v>44742</v>
      </c>
      <c r="AV42" s="223">
        <v>45107</v>
      </c>
      <c r="AW42" s="223">
        <v>45473</v>
      </c>
      <c r="AX42" s="223">
        <v>45838</v>
      </c>
      <c r="AY42" s="223">
        <v>46203</v>
      </c>
      <c r="AZ42" s="266" t="s">
        <v>594</v>
      </c>
      <c r="BB42" s="223">
        <f>CP_Yr_4</f>
        <v>43800</v>
      </c>
      <c r="BC42" s="223">
        <f>CP_Yr_5</f>
        <v>44166</v>
      </c>
      <c r="BD42" s="223">
        <f>Stub</f>
        <v>44377</v>
      </c>
      <c r="BE42" s="339">
        <f>Yr_1</f>
        <v>44742</v>
      </c>
      <c r="BF42" s="223">
        <f>Yr_2</f>
        <v>45107</v>
      </c>
      <c r="BG42" s="223">
        <f>Yr_3</f>
        <v>45473</v>
      </c>
      <c r="BH42" s="223">
        <f>Yr_4</f>
        <v>45838</v>
      </c>
      <c r="BI42" s="223">
        <f>Yr_5</f>
        <v>46203</v>
      </c>
      <c r="BJ42" s="266" t="str">
        <f>NReg_Period</f>
        <v>2022-26</v>
      </c>
      <c r="BL42" s="340">
        <f>Yr_1</f>
        <v>44742</v>
      </c>
      <c r="BM42" s="223">
        <f>Yr_2</f>
        <v>45107</v>
      </c>
      <c r="BN42" s="223">
        <f>Yr_3</f>
        <v>45473</v>
      </c>
      <c r="BO42" s="223">
        <f>Yr_4</f>
        <v>45838</v>
      </c>
      <c r="BP42" s="223">
        <f>Yr_5</f>
        <v>46203</v>
      </c>
      <c r="BQ42" s="266" t="str">
        <f>NReg_Period</f>
        <v>2022-26</v>
      </c>
    </row>
    <row r="43" spans="2:73" outlineLevel="1" x14ac:dyDescent="0.25">
      <c r="C43" s="1" t="s">
        <v>44</v>
      </c>
      <c r="D43" s="157">
        <f t="shared" ref="D43:D45" si="165">SUMIFS(D$6:D$30,$C$6:$C$30,$C43)</f>
        <v>0</v>
      </c>
      <c r="E43" s="529"/>
      <c r="F43" s="529"/>
      <c r="G43" s="530"/>
      <c r="H43" s="529"/>
      <c r="I43" s="529"/>
      <c r="J43" s="529"/>
      <c r="K43" s="529"/>
      <c r="L43" s="529"/>
      <c r="M43" s="157"/>
      <c r="N43" s="529"/>
      <c r="O43" s="529"/>
      <c r="P43" s="529"/>
      <c r="Q43" s="530"/>
      <c r="R43" s="529"/>
      <c r="S43" s="529"/>
      <c r="T43" s="529"/>
      <c r="U43" s="529"/>
      <c r="V43" s="529"/>
      <c r="X43" s="529"/>
      <c r="Y43" s="529"/>
      <c r="Z43" s="529"/>
      <c r="AA43" s="530"/>
      <c r="AB43" s="529"/>
      <c r="AC43" s="529"/>
      <c r="AD43" s="529"/>
      <c r="AE43" s="529"/>
      <c r="AF43" s="529"/>
      <c r="AH43" s="157">
        <v>0</v>
      </c>
      <c r="AI43" s="157">
        <v>1071.917853869244</v>
      </c>
      <c r="AJ43" s="157">
        <v>2542.9701905619449</v>
      </c>
      <c r="AK43" s="267">
        <v>45955.277701686406</v>
      </c>
      <c r="AL43" s="157">
        <v>59942.030461051407</v>
      </c>
      <c r="AM43" s="157">
        <v>58800.294895152998</v>
      </c>
      <c r="AN43" s="157">
        <v>48475.31606137089</v>
      </c>
      <c r="AO43" s="157">
        <v>39247.716195687295</v>
      </c>
      <c r="AP43" s="157">
        <v>252420.635314949</v>
      </c>
      <c r="AR43" s="157">
        <f t="shared" ref="AR43:AT45" si="166">SUMIFS(AR$6:AR$30,$C$6:$C$30,$C43)</f>
        <v>0</v>
      </c>
      <c r="AS43" s="157">
        <f t="shared" si="166"/>
        <v>88.46651477784819</v>
      </c>
      <c r="AT43" s="157">
        <f t="shared" si="166"/>
        <v>220.6760854610981</v>
      </c>
      <c r="AU43" s="267">
        <v>5409.9763400790616</v>
      </c>
      <c r="AV43" s="157">
        <v>6455.5388851531388</v>
      </c>
      <c r="AW43" s="157">
        <v>6564.2493256943735</v>
      </c>
      <c r="AX43" s="157">
        <v>5639.5628223059794</v>
      </c>
      <c r="AY43" s="157">
        <v>4660.2836023404752</v>
      </c>
      <c r="AZ43" s="157">
        <v>28729.610975573029</v>
      </c>
      <c r="BB43" s="157">
        <f t="shared" ref="BB43:BI45" si="167">SUMIFS(BB$6:BB$30,$C$6:$C$30,$C43)</f>
        <v>0</v>
      </c>
      <c r="BC43" s="157">
        <f t="shared" si="167"/>
        <v>1160.3843686470923</v>
      </c>
      <c r="BD43" s="157">
        <f t="shared" si="167"/>
        <v>2763.6462760230429</v>
      </c>
      <c r="BE43" s="267">
        <f t="shared" si="167"/>
        <v>51365.254041765467</v>
      </c>
      <c r="BF43" s="157">
        <f t="shared" si="167"/>
        <v>66397.569346204546</v>
      </c>
      <c r="BG43" s="157">
        <f t="shared" si="167"/>
        <v>65364.544220847383</v>
      </c>
      <c r="BH43" s="157">
        <f t="shared" si="167"/>
        <v>54114.878883676865</v>
      </c>
      <c r="BI43" s="157">
        <f t="shared" si="167"/>
        <v>43907.999798027769</v>
      </c>
      <c r="BJ43" s="157">
        <f>SUM(BE43:BI43)</f>
        <v>281150.24629052205</v>
      </c>
      <c r="BL43" s="273">
        <f t="shared" ref="BL43:BP45" si="168">SUMIFS(BL$6:BL$30,$C$6:$C$30,$C43)</f>
        <v>54.553602958844721</v>
      </c>
      <c r="BM43" s="157">
        <f t="shared" si="168"/>
        <v>70.519005563565273</v>
      </c>
      <c r="BN43" s="157">
        <f t="shared" si="168"/>
        <v>69.421858404720837</v>
      </c>
      <c r="BO43" s="157">
        <f t="shared" si="168"/>
        <v>57.47390277454199</v>
      </c>
      <c r="BP43" s="157">
        <f t="shared" si="168"/>
        <v>46.633461322920226</v>
      </c>
      <c r="BQ43" s="157">
        <f>SUM(BL43:BP43)</f>
        <v>298.60183102459303</v>
      </c>
    </row>
    <row r="44" spans="2:73" outlineLevel="1" x14ac:dyDescent="0.25">
      <c r="C44" s="1" t="s">
        <v>45</v>
      </c>
      <c r="D44" s="157">
        <f t="shared" si="165"/>
        <v>0</v>
      </c>
      <c r="E44" s="529"/>
      <c r="F44" s="529"/>
      <c r="G44" s="530"/>
      <c r="H44" s="529"/>
      <c r="I44" s="529"/>
      <c r="J44" s="529"/>
      <c r="K44" s="529"/>
      <c r="L44" s="529"/>
      <c r="M44" s="157"/>
      <c r="N44" s="529"/>
      <c r="O44" s="529"/>
      <c r="P44" s="529"/>
      <c r="Q44" s="530"/>
      <c r="R44" s="529"/>
      <c r="S44" s="529"/>
      <c r="T44" s="529"/>
      <c r="U44" s="529"/>
      <c r="V44" s="529"/>
      <c r="X44" s="529"/>
      <c r="Y44" s="529"/>
      <c r="Z44" s="529"/>
      <c r="AA44" s="530"/>
      <c r="AB44" s="529"/>
      <c r="AC44" s="529"/>
      <c r="AD44" s="529"/>
      <c r="AE44" s="529"/>
      <c r="AF44" s="529"/>
      <c r="AH44" s="157">
        <v>0</v>
      </c>
      <c r="AI44" s="157">
        <v>0</v>
      </c>
      <c r="AJ44" s="157">
        <v>0</v>
      </c>
      <c r="AK44" s="267">
        <v>160118.6426608387</v>
      </c>
      <c r="AL44" s="157">
        <v>190575.85324877157</v>
      </c>
      <c r="AM44" s="157">
        <v>184573.09505489201</v>
      </c>
      <c r="AN44" s="157">
        <v>184097.41524894594</v>
      </c>
      <c r="AO44" s="157">
        <v>190954.33338071697</v>
      </c>
      <c r="AP44" s="157">
        <v>910319.33959416521</v>
      </c>
      <c r="AR44" s="157">
        <f t="shared" si="166"/>
        <v>0</v>
      </c>
      <c r="AS44" s="157">
        <f t="shared" si="166"/>
        <v>0</v>
      </c>
      <c r="AT44" s="157">
        <f t="shared" si="166"/>
        <v>0</v>
      </c>
      <c r="AU44" s="267">
        <v>16569.84888279856</v>
      </c>
      <c r="AV44" s="157">
        <v>16708.296430829596</v>
      </c>
      <c r="AW44" s="157">
        <v>16534.659341974882</v>
      </c>
      <c r="AX44" s="157">
        <v>17184.183477145576</v>
      </c>
      <c r="AY44" s="157">
        <v>18457.252932227384</v>
      </c>
      <c r="AZ44" s="157">
        <v>85454.241064975999</v>
      </c>
      <c r="BB44" s="157">
        <f t="shared" si="167"/>
        <v>0</v>
      </c>
      <c r="BC44" s="157">
        <f t="shared" si="167"/>
        <v>0</v>
      </c>
      <c r="BD44" s="157">
        <f t="shared" si="167"/>
        <v>0</v>
      </c>
      <c r="BE44" s="267">
        <f t="shared" si="167"/>
        <v>176688.49154363721</v>
      </c>
      <c r="BF44" s="157">
        <f t="shared" si="167"/>
        <v>207284.14967960119</v>
      </c>
      <c r="BG44" s="157">
        <f t="shared" si="167"/>
        <v>201107.75439686692</v>
      </c>
      <c r="BH44" s="157">
        <f t="shared" si="167"/>
        <v>201281.59872609153</v>
      </c>
      <c r="BI44" s="157">
        <f t="shared" si="167"/>
        <v>209411.58631294436</v>
      </c>
      <c r="BJ44" s="157">
        <f>SUM(BE44:BI44)</f>
        <v>995773.5806591413</v>
      </c>
      <c r="BL44" s="273">
        <f t="shared" si="168"/>
        <v>187.65591633658119</v>
      </c>
      <c r="BM44" s="157">
        <f t="shared" si="168"/>
        <v>220.15071106409809</v>
      </c>
      <c r="BN44" s="157">
        <f t="shared" si="168"/>
        <v>213.59093398799922</v>
      </c>
      <c r="BO44" s="157">
        <f t="shared" si="168"/>
        <v>213.7755691989037</v>
      </c>
      <c r="BP44" s="157">
        <f t="shared" si="168"/>
        <v>222.41020214577628</v>
      </c>
      <c r="BQ44" s="157">
        <f>SUM(BL44:BP44)</f>
        <v>1057.5833327333585</v>
      </c>
    </row>
    <row r="45" spans="2:73" outlineLevel="1" x14ac:dyDescent="0.25">
      <c r="C45" s="1" t="s">
        <v>48</v>
      </c>
      <c r="D45" s="220">
        <f t="shared" si="165"/>
        <v>0</v>
      </c>
      <c r="E45" s="535"/>
      <c r="F45" s="535"/>
      <c r="G45" s="536"/>
      <c r="H45" s="535"/>
      <c r="I45" s="535"/>
      <c r="J45" s="535"/>
      <c r="K45" s="535"/>
      <c r="L45" s="535"/>
      <c r="M45" s="273"/>
      <c r="N45" s="535"/>
      <c r="O45" s="535"/>
      <c r="P45" s="535"/>
      <c r="Q45" s="536"/>
      <c r="R45" s="535"/>
      <c r="S45" s="535"/>
      <c r="T45" s="535"/>
      <c r="U45" s="535"/>
      <c r="V45" s="535"/>
      <c r="X45" s="535"/>
      <c r="Y45" s="535"/>
      <c r="Z45" s="535"/>
      <c r="AA45" s="536"/>
      <c r="AB45" s="535"/>
      <c r="AC45" s="535"/>
      <c r="AD45" s="535"/>
      <c r="AE45" s="535"/>
      <c r="AF45" s="535"/>
      <c r="AH45" s="220">
        <v>0</v>
      </c>
      <c r="AI45" s="220">
        <v>0</v>
      </c>
      <c r="AJ45" s="220">
        <v>0</v>
      </c>
      <c r="AK45" s="270">
        <v>22413.40363724911</v>
      </c>
      <c r="AL45" s="220">
        <v>15636.511765568059</v>
      </c>
      <c r="AM45" s="220">
        <v>15315.006625363141</v>
      </c>
      <c r="AN45" s="220">
        <v>16581.523878862194</v>
      </c>
      <c r="AO45" s="220">
        <v>13452.588638068024</v>
      </c>
      <c r="AP45" s="220">
        <v>83399.034545110539</v>
      </c>
      <c r="AR45" s="220">
        <f t="shared" si="166"/>
        <v>0</v>
      </c>
      <c r="AS45" s="220">
        <f t="shared" si="166"/>
        <v>0</v>
      </c>
      <c r="AT45" s="220">
        <f t="shared" si="166"/>
        <v>0</v>
      </c>
      <c r="AU45" s="270">
        <v>2667.4746907944841</v>
      </c>
      <c r="AV45" s="220">
        <v>1726.1918604789423</v>
      </c>
      <c r="AW45" s="220">
        <v>1747.1518788271769</v>
      </c>
      <c r="AX45" s="220">
        <v>1985.0990461581409</v>
      </c>
      <c r="AY45" s="220">
        <v>1658.4059746112653</v>
      </c>
      <c r="AZ45" s="220">
        <v>9784.3234508700098</v>
      </c>
      <c r="BB45" s="220">
        <f t="shared" si="167"/>
        <v>0</v>
      </c>
      <c r="BC45" s="220">
        <f t="shared" si="167"/>
        <v>0</v>
      </c>
      <c r="BD45" s="220">
        <f t="shared" si="167"/>
        <v>0</v>
      </c>
      <c r="BE45" s="270">
        <f t="shared" si="167"/>
        <v>25080.878328043589</v>
      </c>
      <c r="BF45" s="220">
        <f t="shared" si="167"/>
        <v>17362.703626047001</v>
      </c>
      <c r="BG45" s="220">
        <f t="shared" si="167"/>
        <v>17062.158504190316</v>
      </c>
      <c r="BH45" s="220">
        <f t="shared" si="167"/>
        <v>18566.622925020336</v>
      </c>
      <c r="BI45" s="220">
        <f t="shared" si="167"/>
        <v>15110.994612679289</v>
      </c>
      <c r="BJ45" s="220">
        <f>SUM(BE45:BI45)</f>
        <v>93183.357995980536</v>
      </c>
      <c r="BL45" s="273">
        <f t="shared" si="168"/>
        <v>26.637700984689914</v>
      </c>
      <c r="BM45" s="220">
        <f t="shared" si="168"/>
        <v>18.440443011092444</v>
      </c>
      <c r="BN45" s="220">
        <f t="shared" si="168"/>
        <v>18.121242423947372</v>
      </c>
      <c r="BO45" s="220">
        <f t="shared" si="168"/>
        <v>19.719092102894432</v>
      </c>
      <c r="BP45" s="220">
        <f t="shared" si="168"/>
        <v>16.048965702438753</v>
      </c>
      <c r="BQ45" s="220">
        <f>SUM(BL45:BP45)</f>
        <v>98.967444225062906</v>
      </c>
    </row>
    <row r="46" spans="2:73" x14ac:dyDescent="0.25">
      <c r="C46" s="1" t="s">
        <v>369</v>
      </c>
      <c r="D46" s="364">
        <f t="shared" ref="D46" si="169">SUM(D43:D45)</f>
        <v>0</v>
      </c>
      <c r="E46" s="537"/>
      <c r="F46" s="537"/>
      <c r="G46" s="538"/>
      <c r="H46" s="537"/>
      <c r="I46" s="537"/>
      <c r="J46" s="537"/>
      <c r="K46" s="537"/>
      <c r="L46" s="537"/>
      <c r="M46" s="158"/>
      <c r="N46" s="537"/>
      <c r="O46" s="537"/>
      <c r="P46" s="537"/>
      <c r="Q46" s="538"/>
      <c r="R46" s="537"/>
      <c r="S46" s="537"/>
      <c r="T46" s="537"/>
      <c r="U46" s="537"/>
      <c r="V46" s="537"/>
      <c r="X46" s="537"/>
      <c r="Y46" s="537"/>
      <c r="Z46" s="537"/>
      <c r="AA46" s="538"/>
      <c r="AB46" s="537"/>
      <c r="AC46" s="537"/>
      <c r="AD46" s="537"/>
      <c r="AE46" s="537"/>
      <c r="AF46" s="537"/>
      <c r="AH46" s="158">
        <v>0</v>
      </c>
      <c r="AI46" s="158">
        <v>1071.917853869244</v>
      </c>
      <c r="AJ46" s="158">
        <v>2542.9701905619449</v>
      </c>
      <c r="AK46" s="268">
        <v>228487.32399977421</v>
      </c>
      <c r="AL46" s="158">
        <v>266154.39547539107</v>
      </c>
      <c r="AM46" s="158">
        <v>258688.39657540814</v>
      </c>
      <c r="AN46" s="158">
        <v>249154.25518917904</v>
      </c>
      <c r="AO46" s="158">
        <v>243654.6382144723</v>
      </c>
      <c r="AP46" s="158">
        <v>1246139.0094542247</v>
      </c>
      <c r="AR46" s="158">
        <f t="shared" ref="AR46:AS46" si="170">SUM(AR43:AR45)</f>
        <v>0</v>
      </c>
      <c r="AS46" s="158">
        <f t="shared" si="170"/>
        <v>88.46651477784819</v>
      </c>
      <c r="AT46" s="158">
        <f t="shared" ref="AT46" si="171">SUM(AT43:AT45)</f>
        <v>220.6760854610981</v>
      </c>
      <c r="AU46" s="268">
        <v>24647.299913672105</v>
      </c>
      <c r="AV46" s="158">
        <v>24890.027176461677</v>
      </c>
      <c r="AW46" s="158">
        <v>24846.060546496432</v>
      </c>
      <c r="AX46" s="158">
        <v>24808.845345609698</v>
      </c>
      <c r="AY46" s="158">
        <v>24775.942509179124</v>
      </c>
      <c r="AZ46" s="158">
        <v>123968.17549141904</v>
      </c>
      <c r="BB46" s="158">
        <f t="shared" ref="BB46:BJ46" si="172">SUM(BB43:BB45)</f>
        <v>0</v>
      </c>
      <c r="BC46" s="158">
        <f t="shared" si="172"/>
        <v>1160.3843686470923</v>
      </c>
      <c r="BD46" s="158">
        <f t="shared" ref="BD46" si="173">SUM(BD43:BD45)</f>
        <v>2763.6462760230429</v>
      </c>
      <c r="BE46" s="268">
        <f t="shared" si="172"/>
        <v>253134.62391344627</v>
      </c>
      <c r="BF46" s="158">
        <f t="shared" si="172"/>
        <v>291044.42265185271</v>
      </c>
      <c r="BG46" s="158">
        <f t="shared" si="172"/>
        <v>283534.45712190465</v>
      </c>
      <c r="BH46" s="158">
        <f t="shared" si="172"/>
        <v>273963.10053478874</v>
      </c>
      <c r="BI46" s="158">
        <f t="shared" si="172"/>
        <v>268430.58072365139</v>
      </c>
      <c r="BJ46" s="158">
        <f t="shared" si="172"/>
        <v>1370107.1849456439</v>
      </c>
      <c r="BL46" s="423">
        <f t="shared" ref="BL46:BQ46" si="174">SUM(BL43:BL45)</f>
        <v>268.84722028011583</v>
      </c>
      <c r="BM46" s="158">
        <f t="shared" si="174"/>
        <v>309.11015963875582</v>
      </c>
      <c r="BN46" s="158">
        <f t="shared" si="174"/>
        <v>301.13403481666739</v>
      </c>
      <c r="BO46" s="158">
        <f t="shared" si="174"/>
        <v>290.9685640763401</v>
      </c>
      <c r="BP46" s="158">
        <f t="shared" si="174"/>
        <v>285.09262917113529</v>
      </c>
      <c r="BQ46" s="158">
        <f t="shared" si="174"/>
        <v>1455.1526079830146</v>
      </c>
    </row>
    <row r="47" spans="2:73" x14ac:dyDescent="0.25">
      <c r="D47" s="365" t="b">
        <f>D46=SUM(Reg_Forecast!D31:D33)</f>
        <v>1</v>
      </c>
      <c r="E47" s="1" t="b">
        <f>E46=SUM(Reg_Forecast!E31:E33)</f>
        <v>1</v>
      </c>
      <c r="F47" s="1" t="b">
        <f>F46=SUM(Reg_Forecast!F31:F33)</f>
        <v>1</v>
      </c>
      <c r="G47" s="38" t="b">
        <f>G46=SUM(Reg_Forecast!G31:G33)</f>
        <v>1</v>
      </c>
      <c r="H47" s="1" t="b">
        <f>H46=SUM(Reg_Forecast!H31:H33)</f>
        <v>1</v>
      </c>
      <c r="I47" s="1" t="b">
        <f>I46=SUM(Reg_Forecast!I31:I33)</f>
        <v>1</v>
      </c>
      <c r="J47" s="1" t="b">
        <f>J46=SUM(Reg_Forecast!J31:J33)</f>
        <v>1</v>
      </c>
      <c r="K47" s="1" t="b">
        <f>K46=SUM(Reg_Forecast!K31:K33)</f>
        <v>1</v>
      </c>
      <c r="L47" s="1" t="b">
        <f>L46=SUM(Reg_Forecast!L31:L33)</f>
        <v>1</v>
      </c>
      <c r="Q47" s="38"/>
      <c r="AR47" s="158"/>
      <c r="AS47" s="158"/>
      <c r="AT47" s="158"/>
      <c r="AU47" s="158"/>
      <c r="AV47" s="158"/>
      <c r="AW47" s="158"/>
      <c r="AX47" s="158"/>
      <c r="AY47" s="158"/>
      <c r="AZ47" s="158"/>
      <c r="BB47" s="158"/>
      <c r="BC47" s="158"/>
      <c r="BD47" s="158"/>
      <c r="BE47" s="158"/>
      <c r="BF47" s="158"/>
      <c r="BG47" s="158"/>
      <c r="BH47" s="158"/>
      <c r="BI47" s="158"/>
      <c r="BJ47" s="158"/>
      <c r="BL47" s="364" t="b">
        <f>BL46=SUM(RFM_PTRM!O9:O11)</f>
        <v>0</v>
      </c>
      <c r="BM47" s="158" t="b">
        <f>BM46=SUM(RFM_PTRM!P9:P11)</f>
        <v>0</v>
      </c>
      <c r="BN47" s="158" t="b">
        <f>BN46=SUM(RFM_PTRM!Q9:Q11)</f>
        <v>0</v>
      </c>
      <c r="BO47" s="158" t="b">
        <f>BO46=SUM(RFM_PTRM!R9:R11)</f>
        <v>0</v>
      </c>
      <c r="BP47" s="158" t="b">
        <f>BP46=SUM(RFM_PTRM!S9:S11)</f>
        <v>0</v>
      </c>
    </row>
    <row r="49" spans="2:69" x14ac:dyDescent="0.25">
      <c r="B49" s="2" t="s">
        <v>503</v>
      </c>
      <c r="D49" s="157"/>
      <c r="E49" s="529"/>
      <c r="F49" s="529"/>
      <c r="G49" s="529"/>
      <c r="H49" s="529"/>
      <c r="I49" s="529"/>
      <c r="J49" s="529"/>
      <c r="K49" s="529"/>
      <c r="L49" s="529"/>
      <c r="N49" s="529"/>
      <c r="O49" s="529"/>
      <c r="P49" s="529"/>
      <c r="Q49" s="529"/>
      <c r="R49" s="529"/>
      <c r="S49" s="529"/>
      <c r="T49" s="529"/>
      <c r="U49" s="529"/>
      <c r="V49" s="529"/>
      <c r="X49" s="157"/>
      <c r="Y49" s="157"/>
      <c r="Z49" s="157"/>
      <c r="AA49" s="157"/>
      <c r="AB49" s="157"/>
      <c r="AC49" s="157"/>
      <c r="AD49" s="157"/>
      <c r="AE49" s="157"/>
      <c r="AF49" s="157"/>
      <c r="AH49" s="157">
        <v>0</v>
      </c>
      <c r="AI49" s="157">
        <v>0</v>
      </c>
      <c r="AJ49" s="157">
        <v>0</v>
      </c>
      <c r="AK49" s="157">
        <v>32.44958944316118</v>
      </c>
      <c r="AL49" s="157">
        <v>338.56299484529262</v>
      </c>
      <c r="AM49" s="157">
        <v>585.65537359020254</v>
      </c>
      <c r="AN49" s="157">
        <v>846.43389302940091</v>
      </c>
      <c r="AO49" s="157">
        <v>915.08612736578038</v>
      </c>
      <c r="AP49" s="366">
        <v>2718.1879782738379</v>
      </c>
      <c r="AR49" s="157">
        <f t="shared" ref="AR49:AY49" si="175">SUM(AR34:AR38)+AR9+AR26+AR31+AR40+AR32</f>
        <v>0</v>
      </c>
      <c r="AS49" s="157">
        <f t="shared" si="175"/>
        <v>0</v>
      </c>
      <c r="AT49" s="157">
        <f t="shared" si="175"/>
        <v>0</v>
      </c>
      <c r="AU49" s="157">
        <f t="shared" si="175"/>
        <v>0</v>
      </c>
      <c r="AV49" s="157">
        <f t="shared" si="175"/>
        <v>0</v>
      </c>
      <c r="AW49" s="157">
        <f t="shared" si="175"/>
        <v>0</v>
      </c>
      <c r="AX49" s="157">
        <f t="shared" si="175"/>
        <v>0</v>
      </c>
      <c r="AY49" s="157">
        <f t="shared" si="175"/>
        <v>0</v>
      </c>
      <c r="AZ49" s="157">
        <f t="shared" ref="AZ49" si="176">SUM(AU49:AY49)</f>
        <v>0</v>
      </c>
      <c r="BB49" s="157">
        <f t="shared" ref="BB49:BI49" si="177">SUM(BB34:BB38)+BB9+BB26+BB31+BB40+BB32</f>
        <v>0</v>
      </c>
      <c r="BC49" s="157">
        <f t="shared" si="177"/>
        <v>0</v>
      </c>
      <c r="BD49" s="157">
        <f t="shared" si="177"/>
        <v>0</v>
      </c>
      <c r="BE49" s="157">
        <f t="shared" si="177"/>
        <v>32.44958944316118</v>
      </c>
      <c r="BF49" s="157">
        <f t="shared" si="177"/>
        <v>338.56299484529262</v>
      </c>
      <c r="BG49" s="157">
        <f t="shared" si="177"/>
        <v>585.65537359020254</v>
      </c>
      <c r="BH49" s="157">
        <f t="shared" si="177"/>
        <v>846.43389302940091</v>
      </c>
      <c r="BI49" s="157">
        <f t="shared" si="177"/>
        <v>915.08612736578038</v>
      </c>
      <c r="BJ49" s="157">
        <f t="shared" ref="BJ49" si="178">SUM(BE49:BI49)</f>
        <v>2718.1879782738379</v>
      </c>
      <c r="BL49" s="366">
        <f t="shared" ref="BL49:BP49" si="179">SUM(BL34:BL38)+BL9+BL26+BL31+BL40+BL32</f>
        <v>3.4463803434522829E-2</v>
      </c>
      <c r="BM49" s="366">
        <f t="shared" si="179"/>
        <v>0.35957830914901212</v>
      </c>
      <c r="BN49" s="366">
        <f t="shared" si="179"/>
        <v>0.62200822944582979</v>
      </c>
      <c r="BO49" s="366">
        <f t="shared" si="179"/>
        <v>0.89897381785923081</v>
      </c>
      <c r="BP49" s="366">
        <f t="shared" si="179"/>
        <v>0.97188744019192952</v>
      </c>
      <c r="BQ49" s="158">
        <f>SUM(BL49:BP49)</f>
        <v>2.8869116000805253</v>
      </c>
    </row>
    <row r="50" spans="2:69" x14ac:dyDescent="0.25">
      <c r="D50" s="1" t="b">
        <f>D49=Reg_Forecast!D34</f>
        <v>1</v>
      </c>
      <c r="E50" s="1" t="b">
        <f>E49=Reg_Forecast!E34</f>
        <v>1</v>
      </c>
      <c r="F50" s="1" t="b">
        <f>F49=Reg_Forecast!F34</f>
        <v>1</v>
      </c>
      <c r="G50" s="1" t="b">
        <f>G49=Reg_Forecast!G34</f>
        <v>1</v>
      </c>
      <c r="H50" s="1" t="b">
        <f>H49=Reg_Forecast!H34</f>
        <v>1</v>
      </c>
      <c r="I50" s="1" t="b">
        <f>I49=Reg_Forecast!I34</f>
        <v>1</v>
      </c>
      <c r="J50" s="1" t="b">
        <f>J49=Reg_Forecast!J34</f>
        <v>1</v>
      </c>
      <c r="K50" s="1" t="b">
        <f>K49=Reg_Forecast!K34</f>
        <v>1</v>
      </c>
      <c r="L50" s="1" t="b">
        <f>L49=Reg_Forecast!L34</f>
        <v>1</v>
      </c>
      <c r="BE50" s="39"/>
      <c r="BF50" s="39"/>
      <c r="BG50" s="39"/>
      <c r="BH50" s="39"/>
      <c r="BI50" s="39"/>
      <c r="BL50" s="39"/>
      <c r="BM50" s="39"/>
      <c r="BN50" s="39"/>
      <c r="BO50" s="39"/>
      <c r="BP50" s="39"/>
    </row>
    <row r="51" spans="2:69" x14ac:dyDescent="0.25">
      <c r="B51" s="2" t="s">
        <v>508</v>
      </c>
      <c r="D51" s="158"/>
      <c r="E51" s="537"/>
      <c r="F51" s="537"/>
      <c r="G51" s="537"/>
      <c r="H51" s="537"/>
      <c r="I51" s="537"/>
      <c r="J51" s="537"/>
      <c r="K51" s="537"/>
      <c r="L51" s="537"/>
      <c r="N51" s="537"/>
      <c r="O51" s="537"/>
      <c r="P51" s="537"/>
      <c r="Q51" s="537"/>
      <c r="R51" s="537"/>
      <c r="S51" s="537"/>
      <c r="T51" s="537"/>
      <c r="U51" s="537"/>
      <c r="V51" s="537"/>
      <c r="X51" s="537"/>
      <c r="Y51" s="537"/>
      <c r="Z51" s="537"/>
      <c r="AA51" s="537"/>
      <c r="AB51" s="537"/>
      <c r="AC51" s="537"/>
      <c r="AD51" s="537"/>
      <c r="AE51" s="537"/>
      <c r="AF51" s="537"/>
      <c r="AH51" s="158">
        <v>0</v>
      </c>
      <c r="AI51" s="158">
        <v>1071.917853869244</v>
      </c>
      <c r="AJ51" s="158">
        <v>2542.9701905619449</v>
      </c>
      <c r="AK51" s="158">
        <v>228519.77358921737</v>
      </c>
      <c r="AL51" s="158">
        <v>266492.95847023634</v>
      </c>
      <c r="AM51" s="158">
        <v>259274.05194899836</v>
      </c>
      <c r="AN51" s="158">
        <v>250000.68908220844</v>
      </c>
      <c r="AO51" s="158">
        <v>244569.7243418381</v>
      </c>
      <c r="AP51" s="364">
        <v>1248857.1974324984</v>
      </c>
      <c r="AR51" s="158">
        <f t="shared" ref="AR51:AS51" si="180">AR46+AR49</f>
        <v>0</v>
      </c>
      <c r="AS51" s="158">
        <f t="shared" si="180"/>
        <v>88.46651477784819</v>
      </c>
      <c r="AT51" s="158">
        <f t="shared" ref="AT51" si="181">AT46+AT49</f>
        <v>220.6760854610981</v>
      </c>
      <c r="AU51" s="158">
        <f>AU46+AU49</f>
        <v>24647.299913672105</v>
      </c>
      <c r="AV51" s="158">
        <f t="shared" ref="AV51:AZ51" si="182">AV46+AV49</f>
        <v>24890.027176461677</v>
      </c>
      <c r="AW51" s="158">
        <f t="shared" si="182"/>
        <v>24846.060546496432</v>
      </c>
      <c r="AX51" s="158">
        <f t="shared" si="182"/>
        <v>24808.845345609698</v>
      </c>
      <c r="AY51" s="158">
        <f t="shared" si="182"/>
        <v>24775.942509179124</v>
      </c>
      <c r="AZ51" s="158">
        <f t="shared" si="182"/>
        <v>123968.17549141904</v>
      </c>
      <c r="BB51" s="158">
        <f t="shared" ref="BB51:BJ51" si="183">BB46+BB49</f>
        <v>0</v>
      </c>
      <c r="BC51" s="158">
        <f t="shared" si="183"/>
        <v>1160.3843686470923</v>
      </c>
      <c r="BD51" s="158">
        <f t="shared" ref="BD51" si="184">BD46+BD49</f>
        <v>2763.6462760230429</v>
      </c>
      <c r="BE51" s="158">
        <f t="shared" si="183"/>
        <v>253167.07350288943</v>
      </c>
      <c r="BF51" s="158">
        <f t="shared" si="183"/>
        <v>291382.98564669798</v>
      </c>
      <c r="BG51" s="158">
        <f t="shared" si="183"/>
        <v>284120.11249549483</v>
      </c>
      <c r="BH51" s="158">
        <f t="shared" si="183"/>
        <v>274809.53442781814</v>
      </c>
      <c r="BI51" s="158">
        <f t="shared" si="183"/>
        <v>269345.66685101716</v>
      </c>
      <c r="BJ51" s="364">
        <f t="shared" si="183"/>
        <v>1372825.3729239176</v>
      </c>
      <c r="BL51" s="285">
        <f t="shared" ref="BL51:BP51" si="185">BL46+BL49</f>
        <v>268.88168408355034</v>
      </c>
      <c r="BM51" s="285">
        <f t="shared" si="185"/>
        <v>309.46973794790483</v>
      </c>
      <c r="BN51" s="285">
        <f t="shared" si="185"/>
        <v>301.75604304611323</v>
      </c>
      <c r="BO51" s="285">
        <f t="shared" si="185"/>
        <v>291.86753789419936</v>
      </c>
      <c r="BP51" s="285">
        <f t="shared" si="185"/>
        <v>286.06451661132724</v>
      </c>
      <c r="BQ51" s="370">
        <f>SUM(BL51:BP51)</f>
        <v>1458.0395195830949</v>
      </c>
    </row>
    <row r="52" spans="2:69" x14ac:dyDescent="0.25">
      <c r="AR52" s="1" t="b">
        <f>AR51=AusNet_Overheads!H17</f>
        <v>0</v>
      </c>
      <c r="AS52" s="1" t="b">
        <f>AS51=AusNet_Overheads!I17</f>
        <v>0</v>
      </c>
      <c r="AT52" s="1" t="b">
        <f>AT51=AusNet_Overheads!J17</f>
        <v>0</v>
      </c>
      <c r="AU52" s="1" t="b">
        <f>AU51=AusNet_Overheads!K17</f>
        <v>0</v>
      </c>
      <c r="AV52" s="1" t="b">
        <f>AV51=AusNet_Overheads!L17</f>
        <v>0</v>
      </c>
      <c r="AW52" s="1" t="b">
        <f>AW51=AusNet_Overheads!M17</f>
        <v>0</v>
      </c>
      <c r="AX52" s="1" t="b">
        <f>AX51=AusNet_Overheads!N17</f>
        <v>0</v>
      </c>
      <c r="AY52" s="1" t="b">
        <f>AY51=AusNet_Overheads!O17</f>
        <v>0</v>
      </c>
      <c r="BQ52" s="367" t="b">
        <f>BQ51=RFM_PTRM!T17</f>
        <v>0</v>
      </c>
    </row>
    <row r="53" spans="2:69" x14ac:dyDescent="0.25">
      <c r="AH53" s="158"/>
      <c r="AI53" s="158"/>
      <c r="AJ53" s="158"/>
      <c r="AP53" s="158"/>
      <c r="BB53" s="158"/>
      <c r="BC53" s="158"/>
      <c r="BD53" s="158"/>
      <c r="BL53" s="108">
        <f>BL51/(BE51/10^3)-1</f>
        <v>6.2072094776106645E-2</v>
      </c>
    </row>
    <row r="54" spans="2:69" x14ac:dyDescent="0.25">
      <c r="AI54" s="158"/>
      <c r="AJ54" s="158"/>
      <c r="AP54" s="158"/>
    </row>
    <row r="55" spans="2:69" x14ac:dyDescent="0.25">
      <c r="AI55" s="278"/>
      <c r="AJ55" s="278"/>
    </row>
  </sheetData>
  <mergeCells count="2">
    <mergeCell ref="BL3:BQ3"/>
    <mergeCell ref="H1:I1"/>
  </mergeCells>
  <hyperlinks>
    <hyperlink ref="B2" location="Contents!A1" display="Table of Contents"/>
  </hyperlinks>
  <pageMargins left="0.7" right="0.7" top="0.75" bottom="0.75" header="0.3" footer="0.3"/>
  <pageSetup paperSize="9" orientation="portrait" r:id="rId1"/>
  <ignoredErrors>
    <ignoredError sqref="BJ17"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1"/>
  <sheetViews>
    <sheetView topLeftCell="A10" zoomScale="80" zoomScaleNormal="80" workbookViewId="0">
      <selection activeCell="P28" sqref="P28"/>
    </sheetView>
  </sheetViews>
  <sheetFormatPr defaultColWidth="9.140625" defaultRowHeight="15" outlineLevelCol="1" x14ac:dyDescent="0.25"/>
  <cols>
    <col min="1" max="1" width="3.5703125" style="1" customWidth="1"/>
    <col min="2" max="2" width="3.140625" style="1" customWidth="1"/>
    <col min="3" max="3" width="50.7109375" style="1" customWidth="1"/>
    <col min="4" max="4" width="12.7109375" style="1" hidden="1" customWidth="1" outlineLevel="1"/>
    <col min="5" max="5" width="10.42578125" style="1" hidden="1" customWidth="1" outlineLevel="1"/>
    <col min="6" max="6" width="9.5703125" style="1" customWidth="1" collapsed="1"/>
    <col min="7" max="7" width="8.85546875" style="1" customWidth="1"/>
    <col min="8" max="8" width="9.5703125" style="1" bestFit="1" customWidth="1"/>
    <col min="9" max="9" width="9" style="1" customWidth="1"/>
    <col min="10" max="11" width="9" style="1" bestFit="1" customWidth="1"/>
    <col min="12" max="12" width="9.5703125" style="1" bestFit="1" customWidth="1"/>
    <col min="13" max="13" width="3.7109375" style="1" customWidth="1"/>
    <col min="14" max="14" width="9.85546875" style="1" hidden="1" customWidth="1" outlineLevel="1"/>
    <col min="15" max="15" width="7.7109375" style="1" hidden="1" customWidth="1" outlineLevel="1"/>
    <col min="16" max="16" width="9.140625" style="1" collapsed="1"/>
    <col min="17" max="20" width="9.140625" style="1"/>
    <col min="21" max="21" width="11" style="1" customWidth="1"/>
    <col min="22" max="22" width="9.7109375" style="1" customWidth="1"/>
    <col min="23" max="23" width="5.42578125" style="1" customWidth="1"/>
    <col min="24" max="25" width="7.7109375" style="1" hidden="1" customWidth="1" outlineLevel="1"/>
    <col min="26" max="26" width="8.85546875" style="1" customWidth="1" collapsed="1"/>
    <col min="27" max="31" width="9.5703125" style="1" customWidth="1"/>
    <col min="32" max="32" width="10.85546875" style="1" customWidth="1"/>
    <col min="33" max="16384" width="9.140625" style="1"/>
  </cols>
  <sheetData>
    <row r="1" spans="2:34" ht="18.75" x14ac:dyDescent="0.3">
      <c r="B1" s="10" t="s">
        <v>493</v>
      </c>
      <c r="I1" s="825" t="s">
        <v>749</v>
      </c>
      <c r="J1" s="825"/>
    </row>
    <row r="2" spans="2:34" x14ac:dyDescent="0.25">
      <c r="B2" s="25" t="s">
        <v>6</v>
      </c>
    </row>
    <row r="3" spans="2:34" x14ac:dyDescent="0.25">
      <c r="B3" s="2" t="s">
        <v>609</v>
      </c>
      <c r="D3" s="837" t="str">
        <f>Lookups!$C$20</f>
        <v>Environment, safety &amp; legal</v>
      </c>
      <c r="E3" s="837"/>
      <c r="F3" s="837"/>
      <c r="G3" s="837"/>
      <c r="H3" s="837"/>
      <c r="I3" s="837"/>
      <c r="J3" s="837"/>
      <c r="K3" s="837"/>
      <c r="L3" s="837"/>
      <c r="N3" s="838" t="str">
        <f>Lookups!$C$20</f>
        <v>Environment, safety &amp; legal</v>
      </c>
      <c r="O3" s="838"/>
      <c r="P3" s="838"/>
      <c r="Q3" s="838"/>
      <c r="R3" s="838"/>
      <c r="S3" s="838"/>
      <c r="T3" s="838"/>
      <c r="U3" s="838"/>
      <c r="V3" s="838"/>
      <c r="X3" s="835" t="s">
        <v>497</v>
      </c>
      <c r="Y3" s="835"/>
      <c r="Z3" s="835"/>
      <c r="AA3" s="835"/>
      <c r="AB3" s="835"/>
      <c r="AC3" s="835"/>
      <c r="AD3" s="835"/>
      <c r="AE3" s="835"/>
      <c r="AF3" s="835"/>
    </row>
    <row r="4" spans="2:34" x14ac:dyDescent="0.25">
      <c r="B4" s="1" t="s">
        <v>615</v>
      </c>
      <c r="D4" s="836" t="str">
        <f>Lookups!I5</f>
        <v>Replacement</v>
      </c>
      <c r="E4" s="836"/>
      <c r="F4" s="836"/>
      <c r="G4" s="836"/>
      <c r="H4" s="836"/>
      <c r="I4" s="836"/>
      <c r="J4" s="836"/>
      <c r="K4" s="836"/>
      <c r="L4" s="836"/>
      <c r="N4" s="839" t="str">
        <f>Lookups!I7</f>
        <v>Augmentation</v>
      </c>
      <c r="O4" s="839"/>
      <c r="P4" s="839"/>
      <c r="Q4" s="839"/>
      <c r="R4" s="839"/>
      <c r="S4" s="839"/>
      <c r="T4" s="839"/>
      <c r="U4" s="839"/>
      <c r="V4" s="839"/>
      <c r="X4" s="439"/>
      <c r="Y4" s="439"/>
      <c r="Z4" s="439"/>
      <c r="AA4" s="439"/>
      <c r="AB4" s="439"/>
      <c r="AC4" s="439"/>
      <c r="AD4" s="439"/>
      <c r="AE4" s="439"/>
      <c r="AF4" s="439"/>
    </row>
    <row r="5" spans="2:34" x14ac:dyDescent="0.25">
      <c r="B5" s="2" t="s">
        <v>455</v>
      </c>
      <c r="D5" s="2"/>
      <c r="L5" s="301" t="s">
        <v>137</v>
      </c>
      <c r="N5" s="2"/>
      <c r="V5" s="301" t="s">
        <v>137</v>
      </c>
      <c r="X5" s="2"/>
      <c r="AF5" s="301" t="s">
        <v>137</v>
      </c>
      <c r="AH5" s="2"/>
    </row>
    <row r="6" spans="2:34" x14ac:dyDescent="0.25">
      <c r="B6" s="249" t="s">
        <v>453</v>
      </c>
      <c r="D6" s="223">
        <f>CP_Yr_4</f>
        <v>43800</v>
      </c>
      <c r="E6" s="223">
        <f>CP_Yr_5</f>
        <v>44166</v>
      </c>
      <c r="F6" s="223">
        <f>Stub</f>
        <v>44377</v>
      </c>
      <c r="G6" s="339">
        <f>Yr_1</f>
        <v>44742</v>
      </c>
      <c r="H6" s="223">
        <f>Yr_2</f>
        <v>45107</v>
      </c>
      <c r="I6" s="223">
        <f>Yr_3</f>
        <v>45473</v>
      </c>
      <c r="J6" s="223">
        <f>Yr_4</f>
        <v>45838</v>
      </c>
      <c r="K6" s="223">
        <f>Yr_5</f>
        <v>46203</v>
      </c>
      <c r="L6" s="301" t="str">
        <f>NReg_Period</f>
        <v>2022-26</v>
      </c>
      <c r="N6" s="223">
        <f>CP_Yr_4</f>
        <v>43800</v>
      </c>
      <c r="O6" s="223">
        <f>CP_Yr_5</f>
        <v>44166</v>
      </c>
      <c r="P6" s="223">
        <f>Stub</f>
        <v>44377</v>
      </c>
      <c r="Q6" s="339">
        <f>Yr_1</f>
        <v>44742</v>
      </c>
      <c r="R6" s="223">
        <f>Yr_2</f>
        <v>45107</v>
      </c>
      <c r="S6" s="223">
        <f>Yr_3</f>
        <v>45473</v>
      </c>
      <c r="T6" s="223">
        <f>Yr_4</f>
        <v>45838</v>
      </c>
      <c r="U6" s="223">
        <f>Yr_5</f>
        <v>46203</v>
      </c>
      <c r="V6" s="301" t="str">
        <f>NReg_Period</f>
        <v>2022-26</v>
      </c>
      <c r="X6" s="223">
        <f>CP_Yr_4</f>
        <v>43800</v>
      </c>
      <c r="Y6" s="223">
        <f>CP_Yr_5</f>
        <v>44166</v>
      </c>
      <c r="Z6" s="223">
        <f>Stub</f>
        <v>44377</v>
      </c>
      <c r="AA6" s="339">
        <f>Yr_1</f>
        <v>44742</v>
      </c>
      <c r="AB6" s="223">
        <f>Yr_2</f>
        <v>45107</v>
      </c>
      <c r="AC6" s="223">
        <f>Yr_3</f>
        <v>45473</v>
      </c>
      <c r="AD6" s="223">
        <f>Yr_4</f>
        <v>45838</v>
      </c>
      <c r="AE6" s="223">
        <f>Yr_5</f>
        <v>46203</v>
      </c>
      <c r="AF6" s="301" t="str">
        <f>NReg_Period</f>
        <v>2022-26</v>
      </c>
    </row>
    <row r="7" spans="2:34" x14ac:dyDescent="0.25">
      <c r="C7" s="1" t="s">
        <v>44</v>
      </c>
      <c r="D7" s="216">
        <f>SUMIFS(Augmentation!CQ$6:CQ$36,Augmentation!$E$6:$E$36,$C7,Augmentation!$F$6:$F$36,$D$3,Augmentation!$G$6:$G$36,$D$4)</f>
        <v>0</v>
      </c>
      <c r="E7" s="216">
        <f>SUMIFS(Augmentation!CR$6:CR$36,Augmentation!$E$6:$E$36,$C7,Augmentation!$F$6:$F$36,$D$3,Augmentation!$G$6:$G$36,$D$4)</f>
        <v>0</v>
      </c>
      <c r="F7" s="771">
        <v>0</v>
      </c>
      <c r="G7" s="772">
        <v>0</v>
      </c>
      <c r="H7" s="771">
        <v>0</v>
      </c>
      <c r="I7" s="771">
        <v>0</v>
      </c>
      <c r="J7" s="771">
        <v>0</v>
      </c>
      <c r="K7" s="771">
        <v>0</v>
      </c>
      <c r="L7" s="782">
        <v>0</v>
      </c>
      <c r="N7" s="157">
        <f>SUMIFS(Augmentation!CQ$6:CQ$36,Augmentation!$E$6:$E$36,$C7,Augmentation!$F$6:$F$36,$N$3,Augmentation!$G$6:$G$36,$N$4)</f>
        <v>0</v>
      </c>
      <c r="O7" s="157">
        <f>SUMIFS(Augmentation!CR$6:CR$36,Augmentation!$E$6:$E$36,$C7,Augmentation!$F$6:$F$36,$N$3,Augmentation!$G$6:$G$36,$N$4)</f>
        <v>0</v>
      </c>
      <c r="P7" s="768">
        <v>0</v>
      </c>
      <c r="Q7" s="769">
        <v>0</v>
      </c>
      <c r="R7" s="768">
        <v>8368.0087707944731</v>
      </c>
      <c r="S7" s="768">
        <v>14806.545760688781</v>
      </c>
      <c r="T7" s="768">
        <v>21258.273606174611</v>
      </c>
      <c r="U7" s="768">
        <v>23135.217793277967</v>
      </c>
      <c r="V7" s="770">
        <v>67568.045930935827</v>
      </c>
      <c r="X7" s="157">
        <f>Capex_by_Driver!D6-D7-N7</f>
        <v>0</v>
      </c>
      <c r="Y7" s="157">
        <f>Capex_by_Driver!E6-E7-O7</f>
        <v>0</v>
      </c>
      <c r="Z7" s="529"/>
      <c r="AA7" s="530"/>
      <c r="AB7" s="529"/>
      <c r="AC7" s="529"/>
      <c r="AD7" s="529"/>
      <c r="AE7" s="529"/>
      <c r="AF7" s="529"/>
    </row>
    <row r="8" spans="2:34" x14ac:dyDescent="0.25">
      <c r="C8" s="1" t="s">
        <v>45</v>
      </c>
      <c r="D8" s="216">
        <f>SUMIFS(Augmentation!CQ$6:CQ$36,Augmentation!$E$6:$E$36,$C8,Augmentation!$F$6:$F$36,$D$3,Augmentation!$G$6:$G$36,$D$4)</f>
        <v>0</v>
      </c>
      <c r="E8" s="216">
        <f>SUMIFS(Augmentation!CR$6:CR$36,Augmentation!$E$6:$E$36,$C8,Augmentation!$F$6:$F$36,$D$3,Augmentation!$G$6:$G$36,$D$4)</f>
        <v>0</v>
      </c>
      <c r="F8" s="771">
        <v>0</v>
      </c>
      <c r="G8" s="772">
        <v>0</v>
      </c>
      <c r="H8" s="771">
        <v>0</v>
      </c>
      <c r="I8" s="771">
        <v>0</v>
      </c>
      <c r="J8" s="771">
        <v>0</v>
      </c>
      <c r="K8" s="771">
        <v>0</v>
      </c>
      <c r="L8" s="782">
        <v>0</v>
      </c>
      <c r="N8" s="157">
        <f>SUMIFS(Augmentation!CQ$6:CQ$36,Augmentation!$E$6:$E$36,$C8,Augmentation!$F$6:$F$36,$N$3,Augmentation!$G$6:$G$36,$N$4)</f>
        <v>0</v>
      </c>
      <c r="O8" s="157">
        <f>SUMIFS(Augmentation!CR$6:CR$36,Augmentation!$E$6:$E$36,$C8,Augmentation!$F$6:$F$36,$N$3,Augmentation!$G$6:$G$36,$N$4)</f>
        <v>0</v>
      </c>
      <c r="P8" s="768">
        <v>0</v>
      </c>
      <c r="Q8" s="769">
        <v>0</v>
      </c>
      <c r="R8" s="768">
        <v>0</v>
      </c>
      <c r="S8" s="768">
        <v>0</v>
      </c>
      <c r="T8" s="768">
        <v>0</v>
      </c>
      <c r="U8" s="768">
        <v>0</v>
      </c>
      <c r="V8" s="770">
        <v>0</v>
      </c>
      <c r="X8" s="157">
        <f>Capex_by_Driver!D7-D8-N8</f>
        <v>0</v>
      </c>
      <c r="Y8" s="157">
        <f>Capex_by_Driver!E7-E8-O8</f>
        <v>0</v>
      </c>
      <c r="Z8" s="529"/>
      <c r="AA8" s="530"/>
      <c r="AB8" s="529"/>
      <c r="AC8" s="529"/>
      <c r="AD8" s="529"/>
      <c r="AE8" s="529"/>
      <c r="AF8" s="529"/>
    </row>
    <row r="9" spans="2:34" ht="15" customHeight="1" x14ac:dyDescent="0.25">
      <c r="C9" s="1" t="s">
        <v>48</v>
      </c>
      <c r="D9" s="216">
        <f>SUMIFS(Augmentation!CQ$6:CQ$36,Augmentation!$E$6:$E$36,$C9,Augmentation!$F$6:$F$36,$D$3,Augmentation!$G$6:$G$36,$D$4)</f>
        <v>0</v>
      </c>
      <c r="E9" s="216">
        <f>SUMIFS(Augmentation!CR$6:CR$36,Augmentation!$E$6:$E$36,$C9,Augmentation!$F$6:$F$36,$D$3,Augmentation!$G$6:$G$36,$D$4)</f>
        <v>0</v>
      </c>
      <c r="F9" s="771">
        <v>0</v>
      </c>
      <c r="G9" s="772">
        <v>0</v>
      </c>
      <c r="H9" s="771">
        <v>0</v>
      </c>
      <c r="I9" s="771">
        <v>0</v>
      </c>
      <c r="J9" s="771">
        <v>0</v>
      </c>
      <c r="K9" s="771">
        <v>0</v>
      </c>
      <c r="L9" s="782">
        <v>0</v>
      </c>
      <c r="N9" s="157">
        <f>SUMIFS(Augmentation!CQ$6:CQ$36,Augmentation!$E$6:$E$36,$C9,Augmentation!$F$6:$F$36,$N$3,Augmentation!$G$6:$G$36,$N$4)</f>
        <v>0</v>
      </c>
      <c r="O9" s="157">
        <f>SUMIFS(Augmentation!CR$6:CR$36,Augmentation!$E$6:$E$36,$C9,Augmentation!$F$6:$F$36,$N$3,Augmentation!$G$6:$G$36,$N$4)</f>
        <v>0</v>
      </c>
      <c r="P9" s="768">
        <v>0</v>
      </c>
      <c r="Q9" s="769">
        <v>0</v>
      </c>
      <c r="R9" s="768">
        <v>2405.2973604201111</v>
      </c>
      <c r="S9" s="768">
        <v>4212.8383195859251</v>
      </c>
      <c r="T9" s="768">
        <v>6024.121147267595</v>
      </c>
      <c r="U9" s="768">
        <v>6582.5570411065009</v>
      </c>
      <c r="V9" s="770">
        <v>19224.813868380133</v>
      </c>
      <c r="X9" s="157">
        <f>Capex_by_Driver!D8-D9-N9</f>
        <v>0</v>
      </c>
      <c r="Y9" s="157">
        <f>Capex_by_Driver!E8-E9-O9</f>
        <v>0</v>
      </c>
      <c r="Z9" s="529"/>
      <c r="AA9" s="530"/>
      <c r="AB9" s="529"/>
      <c r="AC9" s="529"/>
      <c r="AD9" s="529"/>
      <c r="AE9" s="529"/>
      <c r="AF9" s="529"/>
    </row>
    <row r="10" spans="2:34" ht="15" customHeight="1" x14ac:dyDescent="0.25">
      <c r="C10" s="1" t="s">
        <v>399</v>
      </c>
      <c r="D10" s="216">
        <f>SUMIFS(Augmentation!CQ$6:CQ$36,Augmentation!$E$6:$E$36,$C10,Augmentation!$F$6:$F$36,$D$3,Augmentation!$G$6:$G$36,$D$4)</f>
        <v>0</v>
      </c>
      <c r="E10" s="216">
        <f>SUMIFS(Augmentation!CR$6:CR$36,Augmentation!$E$6:$E$36,$C10,Augmentation!$F$6:$F$36,$D$3,Augmentation!$G$6:$G$36,$D$4)</f>
        <v>0</v>
      </c>
      <c r="F10" s="771">
        <v>0</v>
      </c>
      <c r="G10" s="772">
        <v>0</v>
      </c>
      <c r="H10" s="771">
        <v>0</v>
      </c>
      <c r="I10" s="771">
        <v>0</v>
      </c>
      <c r="J10" s="771">
        <v>0</v>
      </c>
      <c r="K10" s="771">
        <v>0</v>
      </c>
      <c r="L10" s="782">
        <v>0</v>
      </c>
      <c r="N10" s="157">
        <f>SUMIFS(Augmentation!CQ$6:CQ$36,Augmentation!$E$6:$E$36,$C10,Augmentation!$F$6:$F$36,$N$3,Augmentation!$G$6:$G$36,"Non-network")</f>
        <v>0</v>
      </c>
      <c r="O10" s="157">
        <f>SUMIFS(Augmentation!CR$6:CR$36,Augmentation!$E$6:$E$36,$C10,Augmentation!$F$6:$F$36,$N$3,Augmentation!$G$6:$G$36,"Non-network")</f>
        <v>0</v>
      </c>
      <c r="P10" s="768">
        <v>0</v>
      </c>
      <c r="Q10" s="769">
        <v>0</v>
      </c>
      <c r="R10" s="768">
        <v>325.40118295014111</v>
      </c>
      <c r="S10" s="768">
        <v>585.65537359020254</v>
      </c>
      <c r="T10" s="768">
        <v>846.43389302940091</v>
      </c>
      <c r="U10" s="768">
        <v>915.08612736578038</v>
      </c>
      <c r="V10" s="770">
        <v>2672.5765769355248</v>
      </c>
      <c r="X10" s="157">
        <f>Capex_by_Driver!D9-D10-N10</f>
        <v>0</v>
      </c>
      <c r="Y10" s="157">
        <f>Capex_by_Driver!E9-E10-O10</f>
        <v>0</v>
      </c>
      <c r="Z10" s="529"/>
      <c r="AA10" s="530"/>
      <c r="AB10" s="529"/>
      <c r="AC10" s="529"/>
      <c r="AD10" s="529"/>
      <c r="AE10" s="529"/>
      <c r="AF10" s="529"/>
    </row>
    <row r="11" spans="2:34" ht="15" customHeight="1" x14ac:dyDescent="0.25">
      <c r="B11" s="249" t="s">
        <v>496</v>
      </c>
      <c r="D11" s="216"/>
      <c r="E11" s="216"/>
      <c r="F11" s="771"/>
      <c r="G11" s="772"/>
      <c r="H11" s="771"/>
      <c r="I11" s="771"/>
      <c r="J11" s="771"/>
      <c r="K11" s="771"/>
      <c r="L11" s="782"/>
      <c r="N11" s="216"/>
      <c r="O11" s="216"/>
      <c r="P11" s="771"/>
      <c r="Q11" s="772"/>
      <c r="R11" s="771"/>
      <c r="S11" s="771"/>
      <c r="T11" s="771"/>
      <c r="U11" s="771"/>
      <c r="V11" s="770"/>
      <c r="X11" s="157"/>
      <c r="Y11" s="157"/>
      <c r="Z11" s="529"/>
      <c r="AA11" s="530"/>
      <c r="AB11" s="529"/>
      <c r="AC11" s="529"/>
      <c r="AD11" s="529"/>
      <c r="AE11" s="529"/>
      <c r="AF11" s="529"/>
    </row>
    <row r="12" spans="2:34" ht="15" customHeight="1" x14ac:dyDescent="0.25">
      <c r="C12" s="1" t="s">
        <v>44</v>
      </c>
      <c r="D12" s="216"/>
      <c r="E12" s="216"/>
      <c r="F12" s="771"/>
      <c r="G12" s="772"/>
      <c r="H12" s="771"/>
      <c r="I12" s="771"/>
      <c r="J12" s="771"/>
      <c r="K12" s="771"/>
      <c r="L12" s="782">
        <v>0</v>
      </c>
      <c r="N12" s="216"/>
      <c r="O12" s="216"/>
      <c r="P12" s="771"/>
      <c r="Q12" s="772"/>
      <c r="R12" s="771"/>
      <c r="S12" s="771"/>
      <c r="T12" s="771"/>
      <c r="U12" s="771"/>
      <c r="V12" s="770">
        <v>0</v>
      </c>
      <c r="X12" s="157">
        <f>Capex_by_Driver!D11-D12-N12</f>
        <v>0</v>
      </c>
      <c r="Y12" s="157">
        <f>Capex_by_Driver!E11-E12-O12</f>
        <v>0</v>
      </c>
      <c r="Z12" s="529"/>
      <c r="AA12" s="530"/>
      <c r="AB12" s="529"/>
      <c r="AC12" s="529"/>
      <c r="AD12" s="529"/>
      <c r="AE12" s="529"/>
      <c r="AF12" s="529"/>
    </row>
    <row r="13" spans="2:34" ht="15" customHeight="1" x14ac:dyDescent="0.25">
      <c r="C13" s="1" t="s">
        <v>45</v>
      </c>
      <c r="D13" s="216"/>
      <c r="E13" s="216"/>
      <c r="F13" s="771"/>
      <c r="G13" s="772"/>
      <c r="H13" s="771"/>
      <c r="I13" s="771"/>
      <c r="J13" s="771"/>
      <c r="K13" s="771"/>
      <c r="L13" s="782">
        <v>0</v>
      </c>
      <c r="N13" s="216"/>
      <c r="O13" s="216"/>
      <c r="P13" s="771"/>
      <c r="Q13" s="772"/>
      <c r="R13" s="771"/>
      <c r="S13" s="771"/>
      <c r="T13" s="771"/>
      <c r="U13" s="771"/>
      <c r="V13" s="770">
        <v>0</v>
      </c>
      <c r="X13" s="157">
        <f>Capex_by_Driver!D12-D13-N13</f>
        <v>0</v>
      </c>
      <c r="Y13" s="157">
        <f>Capex_by_Driver!E12-E13-O13</f>
        <v>0</v>
      </c>
      <c r="Z13" s="529"/>
      <c r="AA13" s="530"/>
      <c r="AB13" s="529"/>
      <c r="AC13" s="529"/>
      <c r="AD13" s="529"/>
      <c r="AE13" s="529"/>
      <c r="AF13" s="529"/>
    </row>
    <row r="14" spans="2:34" ht="15" customHeight="1" x14ac:dyDescent="0.25">
      <c r="C14" s="1" t="s">
        <v>48</v>
      </c>
      <c r="D14" s="216"/>
      <c r="E14" s="216"/>
      <c r="F14" s="771"/>
      <c r="G14" s="772"/>
      <c r="H14" s="771"/>
      <c r="I14" s="771"/>
      <c r="J14" s="771"/>
      <c r="K14" s="771"/>
      <c r="L14" s="782">
        <v>0</v>
      </c>
      <c r="N14" s="216"/>
      <c r="O14" s="216"/>
      <c r="P14" s="771"/>
      <c r="Q14" s="772"/>
      <c r="R14" s="771"/>
      <c r="S14" s="771"/>
      <c r="T14" s="771"/>
      <c r="U14" s="771"/>
      <c r="V14" s="770">
        <v>0</v>
      </c>
      <c r="X14" s="157">
        <f>Capex_by_Driver!D13-D14-N14</f>
        <v>0</v>
      </c>
      <c r="Y14" s="157">
        <f>Capex_by_Driver!E13-E14-O14</f>
        <v>0</v>
      </c>
      <c r="Z14" s="529"/>
      <c r="AA14" s="530"/>
      <c r="AB14" s="529"/>
      <c r="AC14" s="529"/>
      <c r="AD14" s="529"/>
      <c r="AE14" s="529"/>
      <c r="AF14" s="529"/>
    </row>
    <row r="15" spans="2:34" x14ac:dyDescent="0.25">
      <c r="B15" s="249" t="s">
        <v>26</v>
      </c>
      <c r="F15" s="129"/>
      <c r="G15" s="773"/>
      <c r="H15" s="129"/>
      <c r="I15" s="129"/>
      <c r="J15" s="129"/>
      <c r="K15" s="129"/>
      <c r="L15" s="129"/>
      <c r="P15" s="129"/>
      <c r="Q15" s="773"/>
      <c r="R15" s="129"/>
      <c r="S15" s="129"/>
      <c r="T15" s="129"/>
      <c r="U15" s="129"/>
      <c r="V15" s="129"/>
      <c r="Z15" s="241"/>
      <c r="AA15" s="550"/>
      <c r="AB15" s="241"/>
      <c r="AC15" s="241"/>
      <c r="AD15" s="241"/>
      <c r="AE15" s="241"/>
      <c r="AF15" s="241"/>
    </row>
    <row r="16" spans="2:34" x14ac:dyDescent="0.25">
      <c r="C16" s="1" t="s">
        <v>44</v>
      </c>
      <c r="F16" s="129"/>
      <c r="G16" s="773"/>
      <c r="H16" s="129"/>
      <c r="I16" s="129"/>
      <c r="J16" s="129"/>
      <c r="K16" s="129"/>
      <c r="L16" s="782">
        <v>0</v>
      </c>
      <c r="P16" s="129"/>
      <c r="Q16" s="773"/>
      <c r="R16" s="129"/>
      <c r="S16" s="129"/>
      <c r="T16" s="129"/>
      <c r="U16" s="129"/>
      <c r="V16" s="770">
        <v>0</v>
      </c>
      <c r="X16" s="39">
        <f>Capex_by_Driver!D15-D16-N16</f>
        <v>0</v>
      </c>
      <c r="Y16" s="39">
        <f>Capex_by_Driver!E15-E16-O16</f>
        <v>0</v>
      </c>
      <c r="Z16" s="554"/>
      <c r="AA16" s="560"/>
      <c r="AB16" s="515"/>
      <c r="AC16" s="515"/>
      <c r="AD16" s="515"/>
      <c r="AE16" s="515"/>
      <c r="AF16" s="529"/>
    </row>
    <row r="17" spans="2:33" x14ac:dyDescent="0.25">
      <c r="C17" s="1" t="s">
        <v>45</v>
      </c>
      <c r="F17" s="129"/>
      <c r="G17" s="773"/>
      <c r="H17" s="129"/>
      <c r="I17" s="129"/>
      <c r="J17" s="129"/>
      <c r="K17" s="129"/>
      <c r="L17" s="782">
        <v>0</v>
      </c>
      <c r="P17" s="129"/>
      <c r="Q17" s="773"/>
      <c r="R17" s="129"/>
      <c r="S17" s="129"/>
      <c r="T17" s="129"/>
      <c r="U17" s="129"/>
      <c r="V17" s="770">
        <v>0</v>
      </c>
      <c r="X17" s="39">
        <f>Capex_by_Driver!D16-D17-N17</f>
        <v>0</v>
      </c>
      <c r="Y17" s="39">
        <f>Capex_by_Driver!E16-E17-O17</f>
        <v>0</v>
      </c>
      <c r="Z17" s="554"/>
      <c r="AA17" s="560"/>
      <c r="AB17" s="515"/>
      <c r="AC17" s="515"/>
      <c r="AD17" s="515"/>
      <c r="AE17" s="515"/>
      <c r="AF17" s="529"/>
    </row>
    <row r="18" spans="2:33" x14ac:dyDescent="0.25">
      <c r="C18" s="1" t="s">
        <v>48</v>
      </c>
      <c r="F18" s="129"/>
      <c r="G18" s="773"/>
      <c r="H18" s="129"/>
      <c r="I18" s="129"/>
      <c r="J18" s="129"/>
      <c r="K18" s="129"/>
      <c r="L18" s="782">
        <v>0</v>
      </c>
      <c r="P18" s="129"/>
      <c r="Q18" s="773"/>
      <c r="R18" s="129"/>
      <c r="S18" s="129"/>
      <c r="T18" s="129"/>
      <c r="U18" s="129"/>
      <c r="V18" s="770">
        <v>0</v>
      </c>
      <c r="X18" s="216">
        <f>Capex_by_Driver!D17-D18-N18</f>
        <v>0</v>
      </c>
      <c r="Y18" s="216">
        <f>Capex_by_Driver!E17-E18-O18</f>
        <v>0</v>
      </c>
      <c r="Z18" s="554"/>
      <c r="AA18" s="556"/>
      <c r="AB18" s="554"/>
      <c r="AC18" s="554"/>
      <c r="AD18" s="554"/>
      <c r="AE18" s="554"/>
      <c r="AF18" s="529"/>
    </row>
    <row r="19" spans="2:33" x14ac:dyDescent="0.25">
      <c r="B19" s="249" t="s">
        <v>150</v>
      </c>
      <c r="F19" s="129"/>
      <c r="G19" s="773"/>
      <c r="H19" s="129"/>
      <c r="I19" s="129"/>
      <c r="J19" s="129"/>
      <c r="K19" s="129"/>
      <c r="L19" s="129"/>
      <c r="P19" s="129"/>
      <c r="Q19" s="773"/>
      <c r="R19" s="129"/>
      <c r="S19" s="129"/>
      <c r="T19" s="129"/>
      <c r="U19" s="129"/>
      <c r="V19" s="129"/>
      <c r="Z19" s="241"/>
      <c r="AA19" s="550"/>
      <c r="AB19" s="241"/>
      <c r="AC19" s="241"/>
      <c r="AD19" s="241"/>
      <c r="AE19" s="241"/>
      <c r="AF19" s="241"/>
    </row>
    <row r="20" spans="2:33" x14ac:dyDescent="0.25">
      <c r="B20" s="249"/>
      <c r="C20" s="1" t="s">
        <v>44</v>
      </c>
      <c r="D20" s="157">
        <f>SUMIFS(Major_Rebuilds!CQ$6:CQ$36,Major_Rebuilds!$E$6:$E$36,$C20,Major_Rebuilds!$F$6:$F$36,$D$3,Major_Rebuilds!$G$6:$G$36,$D$4)+SUMIFS(Stations!DF$7:DF$38,Stations!$E$7:$E$38,$C20,Stations!$F$7:$F$38,$D$3,Stations!$G$7:$G$38,$D$4)+SUMIFS(Lines!DF$7:DF$37,Lines!$E$7:$E$37,$C20,Lines!$F$7:$F$37,$D$3,Lines!$G$7:$G$37,$D$4)+SUMIFS('PC&amp;A'!CQ$6:CQ$36,'PC&amp;A'!$E$6:$E$36,$C20,'PC&amp;A'!$F$6:$F$36,$D$3,'PC&amp;A'!$G$6:$G$36,$D$4)+SUMIFS('SCADA&amp;Comms'!CQ$6:CQ$36,'SCADA&amp;Comms'!$E$6:$E$36,$C20,'SCADA&amp;Comms'!$F$6:$F$36,$D$3,'SCADA&amp;Comms'!$G$6:$G$36,$D$4)</f>
        <v>0</v>
      </c>
      <c r="E20" s="157">
        <f>SUMIFS(Major_Rebuilds!CR$6:CR$36,Major_Rebuilds!$E$6:$E$36,$C20,Major_Rebuilds!$F$6:$F$36,$D$3,Major_Rebuilds!$G$6:$G$36,$D$4)+SUMIFS(Stations!DG$7:DG$38,Stations!$E$7:$E$38,$C20,Stations!$F$7:$F$38,$D$3,Stations!$G$7:$G$38,$D$4)+SUMIFS(Lines!DG$7:DG$37,Lines!$E$7:$E$37,$C20,Lines!$F$7:$F$37,$D$3,Lines!$G$7:$G$37,$D$4)+SUMIFS('PC&amp;A'!CR$6:CR$36,'PC&amp;A'!$E$6:$E$36,$C20,'PC&amp;A'!$F$6:$F$36,$D$3,'PC&amp;A'!$G$6:$G$36,$D$4)+SUMIFS('SCADA&amp;Comms'!CR$6:CR$36,'SCADA&amp;Comms'!$E$6:$E$36,$C20,'SCADA&amp;Comms'!$F$6:$F$36,$D$3,'SCADA&amp;Comms'!$G$6:$G$36,$D$4)</f>
        <v>0</v>
      </c>
      <c r="F20" s="768">
        <v>0</v>
      </c>
      <c r="G20" s="769">
        <v>0</v>
      </c>
      <c r="H20" s="768">
        <v>0</v>
      </c>
      <c r="I20" s="768">
        <v>0</v>
      </c>
      <c r="J20" s="768">
        <v>0</v>
      </c>
      <c r="K20" s="768">
        <v>0</v>
      </c>
      <c r="L20" s="770">
        <v>0</v>
      </c>
      <c r="N20" s="157">
        <f>SUMIFS(Major_Rebuilds!CQ$6:CQ$36,Major_Rebuilds!$E$6:$E$36,$C20,Major_Rebuilds!$F$6:$F$36,$N$3,Major_Rebuilds!$G$6:$G$36,$N$4)+SUMIFS(Stations!DF$7:DF$38,Stations!$E$7:$E$38,$C20,Stations!$F$7:$F$38,$N$3,Stations!$G$7:$G$38,$N$4)+SUMIFS(Lines!DF$7:DF$37,Lines!$E$7:$E$37,$C20,Lines!$F$7:$F$37,$N$3,Lines!$G$7:$G$37,$N$4)+SUMIFS('PC&amp;A'!CQ$6:CQ$36,'PC&amp;A'!$E$6:$E$36,$C20,'PC&amp;A'!$F$6:$F$36,$N$3,'PC&amp;A'!$G$6:$G$36,$N$4)+SUMIFS('SCADA&amp;Comms'!CQ$6:CQ$36,'SCADA&amp;Comms'!$E$6:$E$36,$C20,'SCADA&amp;Comms'!$F$6:$F$36,$N$3,'SCADA&amp;Comms'!$G$6:$G$36,$N$4)</f>
        <v>0</v>
      </c>
      <c r="O20" s="157">
        <f>SUMIFS(Major_Rebuilds!CR$6:CR$36,Major_Rebuilds!$E$6:$E$36,$C20,Major_Rebuilds!$F$6:$F$36,$N$3,Major_Rebuilds!$G$6:$G$36,$N$4)+SUMIFS(Stations!DG$7:DG$38,Stations!$E$7:$E$38,$C20,Stations!$F$7:$F$38,$N$3,Stations!$G$7:$G$38,$N$4)+SUMIFS(Lines!DG$7:DG$37,Lines!$E$7:$E$37,$C20,Lines!$F$7:$F$37,$N$3,Lines!$G$7:$G$37,$N$4)+SUMIFS('PC&amp;A'!CR$6:CR$36,'PC&amp;A'!$E$6:$E$36,$C20,'PC&amp;A'!$F$6:$F$36,$N$3,'PC&amp;A'!$G$6:$G$36,$N$4)+SUMIFS('SCADA&amp;Comms'!CR$6:CR$36,'SCADA&amp;Comms'!$E$6:$E$36,$C20,'SCADA&amp;Comms'!$F$6:$F$36,$N$3,'SCADA&amp;Comms'!$G$6:$G$36,$N$4)</f>
        <v>0</v>
      </c>
      <c r="P20" s="768">
        <v>0</v>
      </c>
      <c r="Q20" s="769">
        <v>0</v>
      </c>
      <c r="R20" s="768">
        <v>0</v>
      </c>
      <c r="S20" s="768">
        <v>0</v>
      </c>
      <c r="T20" s="768">
        <v>0</v>
      </c>
      <c r="U20" s="768">
        <v>0</v>
      </c>
      <c r="V20" s="770">
        <v>0</v>
      </c>
      <c r="X20" s="157">
        <f>Capex_by_Driver!D19-D20-N20</f>
        <v>0</v>
      </c>
      <c r="Y20" s="157">
        <f>Capex_by_Driver!E19-E20-O20</f>
        <v>0</v>
      </c>
      <c r="Z20" s="529"/>
      <c r="AA20" s="530"/>
      <c r="AB20" s="529"/>
      <c r="AC20" s="529"/>
      <c r="AD20" s="529"/>
      <c r="AE20" s="529"/>
      <c r="AF20" s="529"/>
    </row>
    <row r="21" spans="2:33" x14ac:dyDescent="0.25">
      <c r="B21" s="249"/>
      <c r="C21" s="1" t="s">
        <v>45</v>
      </c>
      <c r="D21" s="157">
        <f>SUMIFS(Major_Rebuilds!CQ$6:CQ$36,Major_Rebuilds!$E$6:$E$36,$C21,Major_Rebuilds!$F$6:$F$36,$D$3,Major_Rebuilds!$G$6:$G$36,$D$4)+SUMIFS(Stations!DF$7:DF$38,Stations!$E$7:$E$38,$C21,Stations!$F$7:$F$38,$D$3,Stations!$G$7:$G$38,$D$4)+SUMIFS(Lines!DF$7:DF$37,Lines!$E$7:$E$37,$C21,Lines!$F$7:$F$37,$D$3,Lines!$G$7:$G$37,$D$4)+SUMIFS('PC&amp;A'!CQ$6:CQ$36,'PC&amp;A'!$E$6:$E$36,$C21,'PC&amp;A'!$F$6:$F$36,$D$3,'PC&amp;A'!$G$6:$G$36,$D$4)+SUMIFS('SCADA&amp;Comms'!CQ$6:CQ$36,'SCADA&amp;Comms'!$E$6:$E$36,$C21,'SCADA&amp;Comms'!$F$6:$F$36,$D$3,'SCADA&amp;Comms'!$G$6:$G$36,$D$4)</f>
        <v>0</v>
      </c>
      <c r="E21" s="157">
        <f>SUMIFS(Major_Rebuilds!CR$6:CR$36,Major_Rebuilds!$E$6:$E$36,$C21,Major_Rebuilds!$F$6:$F$36,$D$3,Major_Rebuilds!$G$6:$G$36,$D$4)+SUMIFS(Stations!DG$7:DG$38,Stations!$E$7:$E$38,$C21,Stations!$F$7:$F$38,$D$3,Stations!$G$7:$G$38,$D$4)+SUMIFS(Lines!DG$7:DG$37,Lines!$E$7:$E$37,$C21,Lines!$F$7:$F$37,$D$3,Lines!$G$7:$G$37,$D$4)+SUMIFS('PC&amp;A'!CR$6:CR$36,'PC&amp;A'!$E$6:$E$36,$C21,'PC&amp;A'!$F$6:$F$36,$D$3,'PC&amp;A'!$G$6:$G$36,$D$4)+SUMIFS('SCADA&amp;Comms'!CR$6:CR$36,'SCADA&amp;Comms'!$E$6:$E$36,$C21,'SCADA&amp;Comms'!$F$6:$F$36,$D$3,'SCADA&amp;Comms'!$G$6:$G$36,$D$4)</f>
        <v>0</v>
      </c>
      <c r="F21" s="768">
        <v>0</v>
      </c>
      <c r="G21" s="769">
        <v>0</v>
      </c>
      <c r="H21" s="768">
        <v>0</v>
      </c>
      <c r="I21" s="768">
        <v>0</v>
      </c>
      <c r="J21" s="768">
        <v>0</v>
      </c>
      <c r="K21" s="768">
        <v>0</v>
      </c>
      <c r="L21" s="770">
        <v>0</v>
      </c>
      <c r="N21" s="157">
        <f>SUMIFS(Major_Rebuilds!CQ$6:CQ$36,Major_Rebuilds!$E$6:$E$36,$C21,Major_Rebuilds!$F$6:$F$36,$N$3,Major_Rebuilds!$G$6:$G$36,$N$4)+SUMIFS(Stations!DF$7:DF$38,Stations!$E$7:$E$38,$C21,Stations!$F$7:$F$38,$N$3,Stations!$G$7:$G$38,$N$4)+SUMIFS(Lines!DF$7:DF$37,Lines!$E$7:$E$37,$C21,Lines!$F$7:$F$37,$N$3,Lines!$G$7:$G$37,$N$4)+SUMIFS('PC&amp;A'!CQ$6:CQ$36,'PC&amp;A'!$E$6:$E$36,$C21,'PC&amp;A'!$F$6:$F$36,$N$3,'PC&amp;A'!$G$6:$G$36,$N$4)+SUMIFS('SCADA&amp;Comms'!CQ$6:CQ$36,'SCADA&amp;Comms'!$E$6:$E$36,$C21,'SCADA&amp;Comms'!$F$6:$F$36,$N$3,'SCADA&amp;Comms'!$G$6:$G$36,$N$4)</f>
        <v>0</v>
      </c>
      <c r="O21" s="157">
        <f>SUMIFS(Major_Rebuilds!CR$6:CR$36,Major_Rebuilds!$E$6:$E$36,$C21,Major_Rebuilds!$F$6:$F$36,$N$3,Major_Rebuilds!$G$6:$G$36,$N$4)+SUMIFS(Stations!DG$7:DG$38,Stations!$E$7:$E$38,$C21,Stations!$F$7:$F$38,$N$3,Stations!$G$7:$G$38,$N$4)+SUMIFS(Lines!DG$7:DG$37,Lines!$E$7:$E$37,$C21,Lines!$F$7:$F$37,$N$3,Lines!$G$7:$G$37,$N$4)+SUMIFS('PC&amp;A'!CR$6:CR$36,'PC&amp;A'!$E$6:$E$36,$C21,'PC&amp;A'!$F$6:$F$36,$N$3,'PC&amp;A'!$G$6:$G$36,$N$4)+SUMIFS('SCADA&amp;Comms'!CR$6:CR$36,'SCADA&amp;Comms'!$E$6:$E$36,$C21,'SCADA&amp;Comms'!$F$6:$F$36,$N$3,'SCADA&amp;Comms'!$G$6:$G$36,$N$4)</f>
        <v>0</v>
      </c>
      <c r="P21" s="768">
        <v>0</v>
      </c>
      <c r="Q21" s="769">
        <v>0</v>
      </c>
      <c r="R21" s="768">
        <v>0</v>
      </c>
      <c r="S21" s="768">
        <v>0</v>
      </c>
      <c r="T21" s="768">
        <v>0</v>
      </c>
      <c r="U21" s="768">
        <v>0</v>
      </c>
      <c r="V21" s="770">
        <v>0</v>
      </c>
      <c r="X21" s="157">
        <f>Capex_by_Driver!D20-D21-N21</f>
        <v>0</v>
      </c>
      <c r="Y21" s="157">
        <f>Capex_by_Driver!E20-E21-O21</f>
        <v>0</v>
      </c>
      <c r="Z21" s="529"/>
      <c r="AA21" s="530"/>
      <c r="AB21" s="529"/>
      <c r="AC21" s="529"/>
      <c r="AD21" s="529"/>
      <c r="AE21" s="529"/>
      <c r="AF21" s="529"/>
    </row>
    <row r="22" spans="2:33" x14ac:dyDescent="0.25">
      <c r="B22" s="249"/>
      <c r="C22" s="1" t="s">
        <v>48</v>
      </c>
      <c r="D22" s="157">
        <f>SUMIFS(Major_Rebuilds!CQ$6:CQ$36,Major_Rebuilds!$E$6:$E$36,$C22,Major_Rebuilds!$F$6:$F$36,$D$3,Major_Rebuilds!$G$6:$G$36,$D$4)+SUMIFS(Stations!DF$7:DF$38,Stations!$E$7:$E$38,$C22,Stations!$F$7:$F$38,$D$3,Stations!$G$7:$G$38,$D$4)+SUMIFS(Lines!DF$7:DF$37,Lines!$E$7:$E$37,$C22,Lines!$F$7:$F$37,$D$3,Lines!$G$7:$G$37,$D$4)+SUMIFS('PC&amp;A'!CQ$6:CQ$36,'PC&amp;A'!$E$6:$E$36,$C22,'PC&amp;A'!$F$6:$F$36,$D$3,'PC&amp;A'!$G$6:$G$36,$D$4)+SUMIFS('SCADA&amp;Comms'!CQ$6:CQ$36,'SCADA&amp;Comms'!$E$6:$E$36,$C22,'SCADA&amp;Comms'!$F$6:$F$36,$D$3,'SCADA&amp;Comms'!$G$6:$G$36,$D$4)</f>
        <v>0</v>
      </c>
      <c r="E22" s="157">
        <f>SUMIFS(Major_Rebuilds!CR$6:CR$36,Major_Rebuilds!$E$6:$E$36,$C22,Major_Rebuilds!$F$6:$F$36,$D$3,Major_Rebuilds!$G$6:$G$36,$D$4)+SUMIFS(Stations!DG$7:DG$38,Stations!$E$7:$E$38,$C22,Stations!$F$7:$F$38,$D$3,Stations!$G$7:$G$38,$D$4)+SUMIFS(Lines!DG$7:DG$37,Lines!$E$7:$E$37,$C22,Lines!$F$7:$F$37,$D$3,Lines!$G$7:$G$37,$D$4)+SUMIFS('PC&amp;A'!CR$6:CR$36,'PC&amp;A'!$E$6:$E$36,$C22,'PC&amp;A'!$F$6:$F$36,$D$3,'PC&amp;A'!$G$6:$G$36,$D$4)+SUMIFS('SCADA&amp;Comms'!CR$6:CR$36,'SCADA&amp;Comms'!$E$6:$E$36,$C22,'SCADA&amp;Comms'!$F$6:$F$36,$D$3,'SCADA&amp;Comms'!$G$6:$G$36,$D$4)</f>
        <v>0</v>
      </c>
      <c r="F22" s="768">
        <v>0</v>
      </c>
      <c r="G22" s="769">
        <v>0</v>
      </c>
      <c r="H22" s="768">
        <v>0</v>
      </c>
      <c r="I22" s="768">
        <v>0</v>
      </c>
      <c r="J22" s="768">
        <v>0</v>
      </c>
      <c r="K22" s="768">
        <v>0</v>
      </c>
      <c r="L22" s="770">
        <v>0</v>
      </c>
      <c r="N22" s="157">
        <f>SUMIFS(Major_Rebuilds!CQ$6:CQ$36,Major_Rebuilds!$E$6:$E$36,$C22,Major_Rebuilds!$F$6:$F$36,$N$3,Major_Rebuilds!$G$6:$G$36,$N$4)+SUMIFS(Stations!DF$7:DF$38,Stations!$E$7:$E$38,$C22,Stations!$F$7:$F$38,$N$3,Stations!$G$7:$G$38,$N$4)+SUMIFS(Lines!DF$7:DF$37,Lines!$E$7:$E$37,$C22,Lines!$F$7:$F$37,$N$3,Lines!$G$7:$G$37,$N$4)+SUMIFS('PC&amp;A'!CQ$6:CQ$36,'PC&amp;A'!$E$6:$E$36,$C22,'PC&amp;A'!$F$6:$F$36,$N$3,'PC&amp;A'!$G$6:$G$36,$N$4)+SUMIFS('SCADA&amp;Comms'!CQ$6:CQ$36,'SCADA&amp;Comms'!$E$6:$E$36,$C22,'SCADA&amp;Comms'!$F$6:$F$36,$N$3,'SCADA&amp;Comms'!$G$6:$G$36,$N$4)</f>
        <v>0</v>
      </c>
      <c r="O22" s="157">
        <f>SUMIFS(Major_Rebuilds!CR$6:CR$36,Major_Rebuilds!$E$6:$E$36,$C22,Major_Rebuilds!$F$6:$F$36,$N$3,Major_Rebuilds!$G$6:$G$36,$N$4)+SUMIFS(Stations!DG$7:DG$38,Stations!$E$7:$E$38,$C22,Stations!$F$7:$F$38,$N$3,Stations!$G$7:$G$38,$N$4)+SUMIFS(Lines!DG$7:DG$37,Lines!$E$7:$E$37,$C22,Lines!$F$7:$F$37,$N$3,Lines!$G$7:$G$37,$N$4)+SUMIFS('PC&amp;A'!CR$6:CR$36,'PC&amp;A'!$E$6:$E$36,$C22,'PC&amp;A'!$F$6:$F$36,$N$3,'PC&amp;A'!$G$6:$G$36,$N$4)+SUMIFS('SCADA&amp;Comms'!CR$6:CR$36,'SCADA&amp;Comms'!$E$6:$E$36,$C22,'SCADA&amp;Comms'!$F$6:$F$36,$N$3,'SCADA&amp;Comms'!$G$6:$G$36,$N$4)</f>
        <v>0</v>
      </c>
      <c r="P22" s="768">
        <v>0</v>
      </c>
      <c r="Q22" s="769">
        <v>0</v>
      </c>
      <c r="R22" s="768">
        <v>0</v>
      </c>
      <c r="S22" s="768">
        <v>0</v>
      </c>
      <c r="T22" s="768">
        <v>0</v>
      </c>
      <c r="U22" s="768">
        <v>0</v>
      </c>
      <c r="V22" s="770">
        <v>0</v>
      </c>
      <c r="X22" s="157">
        <f>Capex_by_Driver!D21-D22-N22</f>
        <v>0</v>
      </c>
      <c r="Y22" s="157">
        <f>Capex_by_Driver!E21-E22-O22</f>
        <v>0</v>
      </c>
      <c r="Z22" s="529"/>
      <c r="AA22" s="530"/>
      <c r="AB22" s="529"/>
      <c r="AC22" s="529"/>
      <c r="AD22" s="529"/>
      <c r="AE22" s="529"/>
      <c r="AF22" s="529"/>
    </row>
    <row r="23" spans="2:33" x14ac:dyDescent="0.25">
      <c r="B23" s="249" t="s">
        <v>489</v>
      </c>
      <c r="F23" s="129"/>
      <c r="G23" s="773"/>
      <c r="H23" s="129"/>
      <c r="I23" s="129"/>
      <c r="J23" s="129"/>
      <c r="K23" s="129"/>
      <c r="L23" s="129"/>
      <c r="P23" s="129"/>
      <c r="Q23" s="773"/>
      <c r="R23" s="129"/>
      <c r="S23" s="129"/>
      <c r="T23" s="129"/>
      <c r="U23" s="129"/>
      <c r="V23" s="129"/>
      <c r="Z23" s="241"/>
      <c r="AA23" s="550"/>
      <c r="AB23" s="241"/>
      <c r="AC23" s="241"/>
      <c r="AD23" s="241"/>
      <c r="AE23" s="241"/>
      <c r="AF23" s="241"/>
    </row>
    <row r="24" spans="2:33" x14ac:dyDescent="0.25">
      <c r="B24" s="249"/>
      <c r="C24" s="1" t="s">
        <v>44</v>
      </c>
      <c r="D24" s="157">
        <f>SUMIFS(ESL_1!DF$7:DF$37,ESL_1!$E$7:$E$37,$C24,ESL_1!$G$7:$G$37,$D$4)+SUMIFS(ESL_2!CQ$6:CQ$36,ESL_2!$E$6:$E$36,$C24,ESL_2!$G$6:$G$36,$D$4)+SUMIFS(ESL_2!CQ$42:CQ$44,ESL_2!$E$42:$E$44,$C24,ESL_2!$G$42:$G$44,$D$4)</f>
        <v>0</v>
      </c>
      <c r="E24" s="157">
        <f>SUMIFS(ESL_1!DG$7:DG$37,ESL_1!$E$7:$E$37,$C24,ESL_1!$G$7:$G$37,$D$4)+SUMIFS(ESL_2!CR$6:CR$36,ESL_2!$E$6:$E$36,$C24,ESL_2!$G$6:$G$36,$D$4)+SUMIFS(ESL_2!CR$42:CR$44,ESL_2!$E$42:$E$44,$C24,ESL_2!$G$42:$G$44,$D$4)</f>
        <v>0</v>
      </c>
      <c r="F24" s="768">
        <v>0</v>
      </c>
      <c r="G24" s="769">
        <v>0</v>
      </c>
      <c r="H24" s="768">
        <v>0</v>
      </c>
      <c r="I24" s="768">
        <v>0</v>
      </c>
      <c r="J24" s="768">
        <v>0</v>
      </c>
      <c r="K24" s="768">
        <v>0</v>
      </c>
      <c r="L24" s="770">
        <v>0</v>
      </c>
      <c r="N24" s="157">
        <f>SUMIFS(ESL_1!DF$7:DF$37,ESL_1!$E$7:$E$37,$C24,ESL_1!$G$7:$G$37,$N$4)+SUMIFS(ESL_2!CQ$6:CQ$36,ESL_2!$E$6:$E$36,$C24,ESL_2!$G$6:$G$36,$N$4)+SUMIFS(ESL_2!CQ$42:CQ$44,ESL_2!$E$42:$E$44,$C24,ESL_2!$G$42:$G$44,$N$4)</f>
        <v>0</v>
      </c>
      <c r="O24" s="157">
        <f>SUMIFS(ESL_1!DG$7:DG$37,ESL_1!$E$7:$E$37,$C24,ESL_1!$G$7:$G$37,$N$4)+SUMIFS(ESL_2!CR$6:CR$36,ESL_2!$E$6:$E$36,$C24,ESL_2!$G$6:$G$36,$N$4)+SUMIFS(ESL_2!CR$42:CR$44,ESL_2!$E$42:$E$44,$C24,ESL_2!$G$42:$G$44,$N$4)</f>
        <v>0</v>
      </c>
      <c r="P24" s="768">
        <v>0</v>
      </c>
      <c r="Q24" s="769">
        <v>822.29366762721179</v>
      </c>
      <c r="R24" s="768">
        <v>821.97069483649864</v>
      </c>
      <c r="S24" s="768">
        <v>821.87701347660277</v>
      </c>
      <c r="T24" s="768">
        <v>822.35039230746372</v>
      </c>
      <c r="U24" s="768">
        <v>823.63961456387779</v>
      </c>
      <c r="V24" s="770">
        <v>4112.1313828116545</v>
      </c>
      <c r="X24" s="157">
        <f>Capex_by_Driver!D23-D24-N24</f>
        <v>0</v>
      </c>
      <c r="Y24" s="157">
        <f>Capex_by_Driver!E23-E24-O24</f>
        <v>0</v>
      </c>
      <c r="Z24" s="529"/>
      <c r="AA24" s="530"/>
      <c r="AB24" s="529"/>
      <c r="AC24" s="529"/>
      <c r="AD24" s="529"/>
      <c r="AE24" s="529"/>
      <c r="AF24" s="529"/>
    </row>
    <row r="25" spans="2:33" x14ac:dyDescent="0.25">
      <c r="B25" s="249"/>
      <c r="C25" s="1" t="s">
        <v>45</v>
      </c>
      <c r="D25" s="157">
        <f>SUMIFS(ESL_1!DF$7:DF$37,ESL_1!$E$7:$E$37,$C25,ESL_1!$G$7:$G$37,$D$4)+SUMIFS(ESL_2!CQ$6:CQ$36,ESL_2!$E$6:$E$36,$C25,ESL_2!$G$6:$G$36,$D$4)+SUMIFS(ESL_2!CQ$42:CQ$44,ESL_2!$E$42:$E$44,$C25,ESL_2!$G$42:$G$44,$D$4)</f>
        <v>0</v>
      </c>
      <c r="E25" s="157">
        <f>SUMIFS(ESL_1!DG$7:DG$37,ESL_1!$E$7:$E$37,$C25,ESL_1!$G$7:$G$37,$D$4)+SUMIFS(ESL_2!CR$6:CR$36,ESL_2!$E$6:$E$36,$C25,ESL_2!$G$6:$G$36,$D$4)+SUMIFS(ESL_2!CR$42:CR$44,ESL_2!$E$42:$E$44,$C25,ESL_2!$G$42:$G$44,$D$4)</f>
        <v>0</v>
      </c>
      <c r="F25" s="768">
        <v>0</v>
      </c>
      <c r="G25" s="769">
        <v>7658.7259699114547</v>
      </c>
      <c r="H25" s="768">
        <v>8540.5268746580186</v>
      </c>
      <c r="I25" s="768">
        <v>10528.172354586202</v>
      </c>
      <c r="J25" s="768">
        <v>15007.362801321789</v>
      </c>
      <c r="K25" s="768">
        <v>25102.108731573779</v>
      </c>
      <c r="L25" s="770">
        <v>66836.896732051246</v>
      </c>
      <c r="N25" s="157">
        <f>SUMIFS(ESL_1!DF$7:DF$37,ESL_1!$E$7:$E$37,$C25,ESL_1!$G$7:$G$37,$N$4)+SUMIFS(ESL_2!CQ$6:CQ$36,ESL_2!$E$6:$E$36,$C25,ESL_2!$G$6:$G$36,$N$4)+SUMIFS(ESL_2!CQ$42:CQ$44,ESL_2!$E$42:$E$44,$C25,ESL_2!$G$42:$G$44,$N$4)</f>
        <v>0</v>
      </c>
      <c r="O25" s="157">
        <f>SUMIFS(ESL_1!DG$7:DG$37,ESL_1!$E$7:$E$37,$C25,ESL_1!$G$7:$G$37,$N$4)+SUMIFS(ESL_2!CR$6:CR$36,ESL_2!$E$6:$E$36,$C25,ESL_2!$G$6:$G$36,$N$4)+SUMIFS(ESL_2!CR$42:CR$44,ESL_2!$E$42:$E$44,$C25,ESL_2!$G$42:$G$44,$N$4)</f>
        <v>0</v>
      </c>
      <c r="P25" s="768">
        <v>0</v>
      </c>
      <c r="Q25" s="769">
        <v>0</v>
      </c>
      <c r="R25" s="768">
        <v>0</v>
      </c>
      <c r="S25" s="768">
        <v>0</v>
      </c>
      <c r="T25" s="768">
        <v>0</v>
      </c>
      <c r="U25" s="768">
        <v>0</v>
      </c>
      <c r="V25" s="770">
        <v>0</v>
      </c>
      <c r="X25" s="157">
        <f>Capex_by_Driver!D24-D25-N25</f>
        <v>0</v>
      </c>
      <c r="Y25" s="157">
        <f>Capex_by_Driver!E24-E25-O25</f>
        <v>0</v>
      </c>
      <c r="Z25" s="529"/>
      <c r="AA25" s="530"/>
      <c r="AB25" s="529"/>
      <c r="AC25" s="529"/>
      <c r="AD25" s="529"/>
      <c r="AE25" s="529"/>
      <c r="AF25" s="529"/>
    </row>
    <row r="26" spans="2:33" x14ac:dyDescent="0.25">
      <c r="B26" s="249"/>
      <c r="C26" s="1" t="s">
        <v>48</v>
      </c>
      <c r="D26" s="157">
        <f>SUMIFS(ESL_1!DF$7:DF$37,ESL_1!$E$7:$E$37,$C26,ESL_1!$G$7:$G$37,$D$4)+SUMIFS(ESL_2!CQ$6:CQ$36,ESL_2!$E$6:$E$36,$C26,ESL_2!$G$6:$G$36,$D$4)+SUMIFS(ESL_2!CQ$42:CQ$44,ESL_2!$E$42:$E$44,$C26,ESL_2!$G$42:$G$44,$D$4)</f>
        <v>0</v>
      </c>
      <c r="E26" s="157">
        <f>SUMIFS(ESL_1!DG$7:DG$37,ESL_1!$E$7:$E$37,$C26,ESL_1!$G$7:$G$37,$D$4)+SUMIFS(ESL_2!CR$6:CR$36,ESL_2!$E$6:$E$36,$C26,ESL_2!$G$6:$G$36,$D$4)+SUMIFS(ESL_2!CR$42:CR$44,ESL_2!$E$42:$E$44,$C26,ESL_2!$G$42:$G$44,$D$4)</f>
        <v>0</v>
      </c>
      <c r="F26" s="768">
        <v>0</v>
      </c>
      <c r="G26" s="769">
        <v>0</v>
      </c>
      <c r="H26" s="768">
        <v>0</v>
      </c>
      <c r="I26" s="768">
        <v>0</v>
      </c>
      <c r="J26" s="768">
        <v>0</v>
      </c>
      <c r="K26" s="768">
        <v>0</v>
      </c>
      <c r="L26" s="770">
        <v>0</v>
      </c>
      <c r="N26" s="157">
        <f>SUMIFS(ESL_1!DF$7:DF$37,ESL_1!$E$7:$E$37,$C26,ESL_1!$G$7:$G$37,$N$4)+SUMIFS(ESL_2!CQ$6:CQ$36,ESL_2!$E$6:$E$36,$C26,ESL_2!$G$6:$G$36,$N$4)+SUMIFS(ESL_2!CQ$42:CQ$44,ESL_2!$E$42:$E$44,$C26,ESL_2!$G$42:$G$44,$N$4)</f>
        <v>0</v>
      </c>
      <c r="O26" s="157">
        <f>SUMIFS(ESL_1!DG$7:DG$37,ESL_1!$E$7:$E$37,$C26,ESL_1!$G$7:$G$37,$N$4)+SUMIFS(ESL_2!CR$6:CR$36,ESL_2!$E$6:$E$36,$C26,ESL_2!$G$6:$G$36,$N$4)+SUMIFS(ESL_2!CR$42:CR$44,ESL_2!$E$42:$E$44,$C26,ESL_2!$G$42:$G$44,$N$4)</f>
        <v>0</v>
      </c>
      <c r="P26" s="768">
        <v>0</v>
      </c>
      <c r="Q26" s="769">
        <v>0</v>
      </c>
      <c r="R26" s="768">
        <v>0</v>
      </c>
      <c r="S26" s="768">
        <v>0</v>
      </c>
      <c r="T26" s="768">
        <v>0</v>
      </c>
      <c r="U26" s="768">
        <v>0</v>
      </c>
      <c r="V26" s="770">
        <v>0</v>
      </c>
      <c r="X26" s="157">
        <f>Capex_by_Driver!D25-D26-N26</f>
        <v>0</v>
      </c>
      <c r="Y26" s="157">
        <f>Capex_by_Driver!E25-E26-O26</f>
        <v>0</v>
      </c>
      <c r="Z26" s="529"/>
      <c r="AA26" s="530"/>
      <c r="AB26" s="529"/>
      <c r="AC26" s="529"/>
      <c r="AD26" s="529"/>
      <c r="AE26" s="529"/>
      <c r="AF26" s="529"/>
    </row>
    <row r="27" spans="2:33" x14ac:dyDescent="0.25">
      <c r="B27" s="249" t="s">
        <v>490</v>
      </c>
      <c r="F27" s="129"/>
      <c r="G27" s="773"/>
      <c r="H27" s="129"/>
      <c r="I27" s="129"/>
      <c r="J27" s="129"/>
      <c r="K27" s="129"/>
      <c r="L27" s="129"/>
      <c r="P27" s="129"/>
      <c r="Q27" s="773"/>
      <c r="R27" s="129"/>
      <c r="S27" s="129"/>
      <c r="T27" s="129"/>
      <c r="U27" s="129"/>
      <c r="V27" s="129"/>
      <c r="Z27" s="241"/>
      <c r="AA27" s="550"/>
      <c r="AB27" s="241"/>
      <c r="AC27" s="241"/>
      <c r="AD27" s="241"/>
      <c r="AE27" s="241"/>
      <c r="AF27" s="241"/>
    </row>
    <row r="28" spans="2:33" x14ac:dyDescent="0.25">
      <c r="C28" s="1" t="s">
        <v>44</v>
      </c>
      <c r="D28" s="157">
        <f>SUMIFS(REFCL!CQ$6:CQ$36,REFCL!$E$6:$E$36,$C28,REFCL!$G$6:$G$36,$D$4)</f>
        <v>0</v>
      </c>
      <c r="E28" s="158">
        <f>SUMIFS(REFCL!CR$6:CR$36,REFCL!$E$6:$E$36,$C28,REFCL!$G$6:$G$36,$D$4)</f>
        <v>0</v>
      </c>
      <c r="F28" s="770">
        <v>0</v>
      </c>
      <c r="G28" s="774">
        <v>0</v>
      </c>
      <c r="H28" s="770">
        <v>0</v>
      </c>
      <c r="I28" s="770">
        <v>0</v>
      </c>
      <c r="J28" s="770">
        <v>0</v>
      </c>
      <c r="K28" s="770">
        <v>0</v>
      </c>
      <c r="L28" s="770">
        <v>0</v>
      </c>
      <c r="N28" s="157">
        <f>SUMIFS(REFCL!CQ$6:CQ$36,REFCL!$E$6:$E$36,$C28,REFCL!$G$6:$G$36,$N$4)</f>
        <v>0</v>
      </c>
      <c r="O28" s="158">
        <f>SUMIFS(REFCL!CR$6:CR$36,REFCL!$E$6:$E$36,$C28,REFCL!$G$6:$G$36,$N$4)</f>
        <v>0</v>
      </c>
      <c r="P28" s="770">
        <v>0</v>
      </c>
      <c r="Q28" s="774">
        <v>12812.361744780954</v>
      </c>
      <c r="R28" s="770">
        <v>4352.5073927263511</v>
      </c>
      <c r="S28" s="770">
        <v>0</v>
      </c>
      <c r="T28" s="770">
        <v>0</v>
      </c>
      <c r="U28" s="770">
        <v>0</v>
      </c>
      <c r="V28" s="770">
        <v>17164.869137507303</v>
      </c>
      <c r="X28" s="157">
        <f>Capex_by_Driver!D28-D28-N28</f>
        <v>0</v>
      </c>
      <c r="Y28" s="157">
        <f>Capex_by_Driver!E28-E28-O28</f>
        <v>0</v>
      </c>
      <c r="Z28" s="529"/>
      <c r="AA28" s="530"/>
      <c r="AB28" s="529"/>
      <c r="AC28" s="529"/>
      <c r="AD28" s="529"/>
      <c r="AE28" s="529"/>
      <c r="AF28" s="529"/>
    </row>
    <row r="29" spans="2:33" x14ac:dyDescent="0.25">
      <c r="C29" s="1" t="s">
        <v>45</v>
      </c>
      <c r="D29" s="158">
        <f>SUMIFS(REFCL!CQ$6:CQ$36,REFCL!$E$6:$E$36,$C29,REFCL!$G$6:$G$36,$D$4)</f>
        <v>0</v>
      </c>
      <c r="E29" s="158">
        <f>SUMIFS(REFCL!CR$6:CR$36,REFCL!$E$6:$E$36,$C29,REFCL!$G$6:$G$36,$D$4)</f>
        <v>0</v>
      </c>
      <c r="F29" s="770">
        <v>0</v>
      </c>
      <c r="G29" s="774">
        <v>10074.023220812103</v>
      </c>
      <c r="H29" s="770">
        <v>4509.1119562092599</v>
      </c>
      <c r="I29" s="770">
        <v>0</v>
      </c>
      <c r="J29" s="770">
        <v>0</v>
      </c>
      <c r="K29" s="770">
        <v>0</v>
      </c>
      <c r="L29" s="770">
        <v>14583.135177021362</v>
      </c>
      <c r="N29" s="158">
        <f>SUMIFS(REFCL!CQ$6:CQ$36,REFCL!$E$6:$E$36,$C29,REFCL!$G$6:$G$36,$N$4)</f>
        <v>0</v>
      </c>
      <c r="O29" s="158">
        <f>SUMIFS(REFCL!CR$6:CR$36,REFCL!$E$6:$E$36,$C29,REFCL!$G$6:$G$36,$N$4)</f>
        <v>0</v>
      </c>
      <c r="P29" s="770">
        <v>0</v>
      </c>
      <c r="Q29" s="774">
        <v>5412.1348001021261</v>
      </c>
      <c r="R29" s="770">
        <v>2448.9573687779789</v>
      </c>
      <c r="S29" s="770">
        <v>0</v>
      </c>
      <c r="T29" s="770">
        <v>0</v>
      </c>
      <c r="U29" s="770">
        <v>0</v>
      </c>
      <c r="V29" s="770">
        <v>7861.0921688801045</v>
      </c>
      <c r="X29" s="157">
        <f>Capex_by_Driver!D29-D29-N29</f>
        <v>0</v>
      </c>
      <c r="Y29" s="157">
        <f>Capex_by_Driver!E29-E29-O29</f>
        <v>0</v>
      </c>
      <c r="Z29" s="529"/>
      <c r="AA29" s="530"/>
      <c r="AB29" s="529"/>
      <c r="AC29" s="529"/>
      <c r="AD29" s="529"/>
      <c r="AE29" s="529"/>
      <c r="AF29" s="529"/>
    </row>
    <row r="30" spans="2:33" x14ac:dyDescent="0.25">
      <c r="C30" s="1" t="s">
        <v>48</v>
      </c>
      <c r="D30" s="158">
        <f>SUMIFS(REFCL!CQ$6:CQ$36,REFCL!$E$6:$E$36,$C30,REFCL!$G$6:$G$36,$D$4)</f>
        <v>0</v>
      </c>
      <c r="E30" s="158">
        <f>SUMIFS(REFCL!CR$6:CR$36,REFCL!$E$6:$E$36,$C30,REFCL!$G$6:$G$36,$D$4)</f>
        <v>0</v>
      </c>
      <c r="F30" s="770">
        <v>0</v>
      </c>
      <c r="G30" s="774">
        <v>95.741462059613241</v>
      </c>
      <c r="H30" s="770">
        <v>38.893117643583324</v>
      </c>
      <c r="I30" s="770">
        <v>0</v>
      </c>
      <c r="J30" s="770">
        <v>0</v>
      </c>
      <c r="K30" s="770">
        <v>0</v>
      </c>
      <c r="L30" s="770">
        <v>134.63457970319655</v>
      </c>
      <c r="N30" s="158">
        <f>SUMIFS(REFCL!CQ$6:CQ$36,REFCL!$E$6:$E$36,$C30,REFCL!$G$6:$G$36,$N$4)</f>
        <v>0</v>
      </c>
      <c r="O30" s="158">
        <f>SUMIFS(REFCL!CR$6:CR$36,REFCL!$E$6:$E$36,$C30,REFCL!$G$6:$G$36,$N$4)</f>
        <v>0</v>
      </c>
      <c r="P30" s="770">
        <v>0</v>
      </c>
      <c r="Q30" s="774">
        <v>4971.1081934937756</v>
      </c>
      <c r="R30" s="770">
        <v>1376.8134811837385</v>
      </c>
      <c r="S30" s="770">
        <v>0</v>
      </c>
      <c r="T30" s="770">
        <v>0</v>
      </c>
      <c r="U30" s="770">
        <v>0</v>
      </c>
      <c r="V30" s="770">
        <v>6347.9216746775146</v>
      </c>
      <c r="X30" s="157">
        <f>Capex_by_Driver!D30-D30-N30</f>
        <v>0</v>
      </c>
      <c r="Y30" s="157">
        <f>Capex_by_Driver!E30-E30-O30</f>
        <v>0</v>
      </c>
      <c r="Z30" s="529"/>
      <c r="AA30" s="530"/>
      <c r="AB30" s="529"/>
      <c r="AC30" s="529"/>
      <c r="AD30" s="529"/>
      <c r="AE30" s="529"/>
      <c r="AF30" s="529"/>
    </row>
    <row r="31" spans="2:33" x14ac:dyDescent="0.25">
      <c r="F31" s="129"/>
      <c r="G31" s="129"/>
      <c r="H31" s="129"/>
      <c r="I31" s="129"/>
      <c r="J31" s="129"/>
      <c r="K31" s="129"/>
      <c r="L31" s="129"/>
      <c r="P31" s="129"/>
      <c r="Q31" s="129"/>
      <c r="R31" s="129"/>
      <c r="S31" s="129"/>
      <c r="T31" s="129"/>
      <c r="U31" s="129"/>
      <c r="V31" s="129"/>
      <c r="AF31" s="201"/>
      <c r="AG31" s="2"/>
    </row>
    <row r="32" spans="2:33" x14ac:dyDescent="0.25">
      <c r="B32" s="2" t="s">
        <v>488</v>
      </c>
      <c r="D32" s="223">
        <f>CP_Yr_4</f>
        <v>43800</v>
      </c>
      <c r="E32" s="223">
        <f>CP_Yr_5</f>
        <v>44166</v>
      </c>
      <c r="F32" s="775">
        <f>Stub</f>
        <v>44377</v>
      </c>
      <c r="G32" s="776">
        <f>Yr_1</f>
        <v>44742</v>
      </c>
      <c r="H32" s="775">
        <f>Yr_2</f>
        <v>45107</v>
      </c>
      <c r="I32" s="775">
        <f>Yr_3</f>
        <v>45473</v>
      </c>
      <c r="J32" s="775">
        <f>Yr_4</f>
        <v>45838</v>
      </c>
      <c r="K32" s="775">
        <f>Yr_5</f>
        <v>46203</v>
      </c>
      <c r="L32" s="777" t="str">
        <f>NReg_Period</f>
        <v>2022-26</v>
      </c>
      <c r="N32" s="223">
        <f>CP_Yr_4</f>
        <v>43800</v>
      </c>
      <c r="O32" s="223">
        <f>CP_Yr_5</f>
        <v>44166</v>
      </c>
      <c r="P32" s="775">
        <f>Stub</f>
        <v>44377</v>
      </c>
      <c r="Q32" s="776">
        <f>Yr_1</f>
        <v>44742</v>
      </c>
      <c r="R32" s="775">
        <f>Yr_2</f>
        <v>45107</v>
      </c>
      <c r="S32" s="775">
        <f>Yr_3</f>
        <v>45473</v>
      </c>
      <c r="T32" s="775">
        <f>Yr_4</f>
        <v>45838</v>
      </c>
      <c r="U32" s="775">
        <f>Yr_5</f>
        <v>46203</v>
      </c>
      <c r="V32" s="777" t="str">
        <f>NReg_Period</f>
        <v>2022-26</v>
      </c>
      <c r="X32" s="223">
        <f>CP_Yr_4</f>
        <v>43800</v>
      </c>
      <c r="Y32" s="223">
        <f>CP_Yr_5</f>
        <v>44166</v>
      </c>
      <c r="Z32" s="223">
        <f>Stub</f>
        <v>44377</v>
      </c>
      <c r="AA32" s="339">
        <f>Yr_1</f>
        <v>44742</v>
      </c>
      <c r="AB32" s="223">
        <f>Yr_2</f>
        <v>45107</v>
      </c>
      <c r="AC32" s="223">
        <f>Yr_3</f>
        <v>45473</v>
      </c>
      <c r="AD32" s="223">
        <f>Yr_4</f>
        <v>45838</v>
      </c>
      <c r="AE32" s="223">
        <f>Yr_5</f>
        <v>46203</v>
      </c>
      <c r="AF32" s="301" t="str">
        <f>NReg_Period</f>
        <v>2022-26</v>
      </c>
    </row>
    <row r="33" spans="2:32" x14ac:dyDescent="0.25">
      <c r="C33" s="1" t="s">
        <v>44</v>
      </c>
      <c r="D33" s="157">
        <f t="shared" ref="D33:K36" si="0">SUMIFS(D$7:D$30,$C$7:$C$30,$C33)</f>
        <v>0</v>
      </c>
      <c r="E33" s="157">
        <f t="shared" si="0"/>
        <v>0</v>
      </c>
      <c r="F33" s="768">
        <f t="shared" si="0"/>
        <v>0</v>
      </c>
      <c r="G33" s="769">
        <f t="shared" si="0"/>
        <v>0</v>
      </c>
      <c r="H33" s="768">
        <f t="shared" si="0"/>
        <v>0</v>
      </c>
      <c r="I33" s="768">
        <f t="shared" si="0"/>
        <v>0</v>
      </c>
      <c r="J33" s="768">
        <f t="shared" si="0"/>
        <v>0</v>
      </c>
      <c r="K33" s="768">
        <f t="shared" si="0"/>
        <v>0</v>
      </c>
      <c r="L33" s="768">
        <f t="shared" ref="L33:L36" si="1">SUM(G33:K33)</f>
        <v>0</v>
      </c>
      <c r="N33" s="157">
        <f t="shared" ref="N33:U36" si="2">SUMIFS(N$7:N$30,$C$7:$C$30,$C33)</f>
        <v>0</v>
      </c>
      <c r="O33" s="157">
        <f t="shared" si="2"/>
        <v>0</v>
      </c>
      <c r="P33" s="768">
        <f t="shared" si="2"/>
        <v>0</v>
      </c>
      <c r="Q33" s="769">
        <f t="shared" si="2"/>
        <v>13634.655412408165</v>
      </c>
      <c r="R33" s="768">
        <f t="shared" si="2"/>
        <v>13542.486858357322</v>
      </c>
      <c r="S33" s="768">
        <f t="shared" si="2"/>
        <v>15628.422774165385</v>
      </c>
      <c r="T33" s="768">
        <f t="shared" si="2"/>
        <v>22080.623998482075</v>
      </c>
      <c r="U33" s="768">
        <f t="shared" si="2"/>
        <v>23958.857407841846</v>
      </c>
      <c r="V33" s="768">
        <f t="shared" ref="V33:V35" si="3">SUM(Q33:U33)</f>
        <v>88845.046451254791</v>
      </c>
      <c r="X33" s="157">
        <f t="shared" ref="X33:Y36" si="4">SUMIFS(X$7:X$30,$C$7:$C$30,$C33)</f>
        <v>0</v>
      </c>
      <c r="Y33" s="157">
        <f t="shared" si="4"/>
        <v>0</v>
      </c>
      <c r="Z33" s="529"/>
      <c r="AA33" s="530"/>
      <c r="AB33" s="529"/>
      <c r="AC33" s="529"/>
      <c r="AD33" s="529"/>
      <c r="AE33" s="529"/>
      <c r="AF33" s="529"/>
    </row>
    <row r="34" spans="2:32" x14ac:dyDescent="0.25">
      <c r="C34" s="1" t="s">
        <v>45</v>
      </c>
      <c r="D34" s="157">
        <f t="shared" si="0"/>
        <v>0</v>
      </c>
      <c r="E34" s="157">
        <f t="shared" si="0"/>
        <v>0</v>
      </c>
      <c r="F34" s="768">
        <f t="shared" si="0"/>
        <v>0</v>
      </c>
      <c r="G34" s="769">
        <f t="shared" si="0"/>
        <v>17732.74919072356</v>
      </c>
      <c r="H34" s="768">
        <f t="shared" si="0"/>
        <v>13049.638830867279</v>
      </c>
      <c r="I34" s="768">
        <f t="shared" si="0"/>
        <v>10528.172354586202</v>
      </c>
      <c r="J34" s="768">
        <f t="shared" si="0"/>
        <v>15007.362801321789</v>
      </c>
      <c r="K34" s="768">
        <f t="shared" si="0"/>
        <v>25102.108731573779</v>
      </c>
      <c r="L34" s="768">
        <f t="shared" si="1"/>
        <v>81420.031909072612</v>
      </c>
      <c r="N34" s="157">
        <f t="shared" si="2"/>
        <v>0</v>
      </c>
      <c r="O34" s="157">
        <f t="shared" si="2"/>
        <v>0</v>
      </c>
      <c r="P34" s="768">
        <f t="shared" si="2"/>
        <v>0</v>
      </c>
      <c r="Q34" s="769">
        <f t="shared" si="2"/>
        <v>5412.1348001021261</v>
      </c>
      <c r="R34" s="768">
        <f t="shared" si="2"/>
        <v>2448.9573687779789</v>
      </c>
      <c r="S34" s="768">
        <f t="shared" si="2"/>
        <v>0</v>
      </c>
      <c r="T34" s="768">
        <f t="shared" si="2"/>
        <v>0</v>
      </c>
      <c r="U34" s="768">
        <f t="shared" si="2"/>
        <v>0</v>
      </c>
      <c r="V34" s="768">
        <f t="shared" si="3"/>
        <v>7861.0921688801045</v>
      </c>
      <c r="X34" s="157">
        <f t="shared" si="4"/>
        <v>0</v>
      </c>
      <c r="Y34" s="157">
        <f t="shared" si="4"/>
        <v>0</v>
      </c>
      <c r="Z34" s="529"/>
      <c r="AA34" s="530"/>
      <c r="AB34" s="529"/>
      <c r="AC34" s="529"/>
      <c r="AD34" s="529"/>
      <c r="AE34" s="529"/>
      <c r="AF34" s="529"/>
    </row>
    <row r="35" spans="2:32" x14ac:dyDescent="0.25">
      <c r="C35" s="1" t="s">
        <v>48</v>
      </c>
      <c r="D35" s="273">
        <f t="shared" si="0"/>
        <v>0</v>
      </c>
      <c r="E35" s="273">
        <f t="shared" si="0"/>
        <v>0</v>
      </c>
      <c r="F35" s="778">
        <f t="shared" si="0"/>
        <v>0</v>
      </c>
      <c r="G35" s="769">
        <f t="shared" si="0"/>
        <v>95.741462059613241</v>
      </c>
      <c r="H35" s="778">
        <f t="shared" si="0"/>
        <v>38.893117643583324</v>
      </c>
      <c r="I35" s="778">
        <f t="shared" si="0"/>
        <v>0</v>
      </c>
      <c r="J35" s="778">
        <f t="shared" si="0"/>
        <v>0</v>
      </c>
      <c r="K35" s="778">
        <f t="shared" si="0"/>
        <v>0</v>
      </c>
      <c r="L35" s="778">
        <f t="shared" si="1"/>
        <v>134.63457970319655</v>
      </c>
      <c r="M35" s="41"/>
      <c r="N35" s="273">
        <f t="shared" si="2"/>
        <v>0</v>
      </c>
      <c r="O35" s="273">
        <f t="shared" si="2"/>
        <v>0</v>
      </c>
      <c r="P35" s="778">
        <f t="shared" si="2"/>
        <v>0</v>
      </c>
      <c r="Q35" s="769">
        <f t="shared" si="2"/>
        <v>4971.1081934937756</v>
      </c>
      <c r="R35" s="778">
        <f t="shared" si="2"/>
        <v>3782.1108416038496</v>
      </c>
      <c r="S35" s="778">
        <f t="shared" si="2"/>
        <v>4212.8383195859251</v>
      </c>
      <c r="T35" s="778">
        <f t="shared" si="2"/>
        <v>6024.121147267595</v>
      </c>
      <c r="U35" s="778">
        <f t="shared" si="2"/>
        <v>6582.5570411065009</v>
      </c>
      <c r="V35" s="778">
        <f t="shared" si="3"/>
        <v>25572.735543057646</v>
      </c>
      <c r="W35" s="41"/>
      <c r="X35" s="273">
        <f t="shared" si="4"/>
        <v>0</v>
      </c>
      <c r="Y35" s="273">
        <f t="shared" si="4"/>
        <v>0</v>
      </c>
      <c r="Z35" s="551"/>
      <c r="AA35" s="530"/>
      <c r="AB35" s="551"/>
      <c r="AC35" s="551"/>
      <c r="AD35" s="551"/>
      <c r="AE35" s="551"/>
      <c r="AF35" s="551"/>
    </row>
    <row r="36" spans="2:32" x14ac:dyDescent="0.25">
      <c r="C36" s="1" t="s">
        <v>399</v>
      </c>
      <c r="D36" s="220">
        <f t="shared" si="0"/>
        <v>0</v>
      </c>
      <c r="E36" s="220">
        <f t="shared" si="0"/>
        <v>0</v>
      </c>
      <c r="F36" s="779">
        <f t="shared" si="0"/>
        <v>0</v>
      </c>
      <c r="G36" s="780">
        <f t="shared" si="0"/>
        <v>0</v>
      </c>
      <c r="H36" s="779">
        <f t="shared" si="0"/>
        <v>0</v>
      </c>
      <c r="I36" s="779">
        <f t="shared" si="0"/>
        <v>0</v>
      </c>
      <c r="J36" s="779">
        <f t="shared" si="0"/>
        <v>0</v>
      </c>
      <c r="K36" s="779">
        <f t="shared" si="0"/>
        <v>0</v>
      </c>
      <c r="L36" s="779">
        <f t="shared" si="1"/>
        <v>0</v>
      </c>
      <c r="N36" s="220">
        <f t="shared" si="2"/>
        <v>0</v>
      </c>
      <c r="O36" s="220">
        <f t="shared" si="2"/>
        <v>0</v>
      </c>
      <c r="P36" s="779">
        <f t="shared" si="2"/>
        <v>0</v>
      </c>
      <c r="Q36" s="780">
        <f t="shared" si="2"/>
        <v>0</v>
      </c>
      <c r="R36" s="779">
        <f t="shared" si="2"/>
        <v>325.40118295014111</v>
      </c>
      <c r="S36" s="779">
        <f t="shared" si="2"/>
        <v>585.65537359020254</v>
      </c>
      <c r="T36" s="779">
        <f t="shared" si="2"/>
        <v>846.43389302940091</v>
      </c>
      <c r="U36" s="779">
        <f t="shared" si="2"/>
        <v>915.08612736578038</v>
      </c>
      <c r="V36" s="779">
        <f t="shared" ref="V36" si="5">SUM(Q36:U36)</f>
        <v>2672.5765769355248</v>
      </c>
      <c r="X36" s="220">
        <f t="shared" si="4"/>
        <v>0</v>
      </c>
      <c r="Y36" s="220">
        <f t="shared" si="4"/>
        <v>0</v>
      </c>
      <c r="Z36" s="535"/>
      <c r="AA36" s="536"/>
      <c r="AB36" s="535"/>
      <c r="AC36" s="535"/>
      <c r="AD36" s="535"/>
      <c r="AE36" s="535"/>
      <c r="AF36" s="535"/>
    </row>
    <row r="37" spans="2:32" x14ac:dyDescent="0.25">
      <c r="C37" s="2" t="s">
        <v>487</v>
      </c>
      <c r="D37" s="158">
        <f>SUM(D33:D36)</f>
        <v>0</v>
      </c>
      <c r="E37" s="158">
        <f t="shared" ref="E37:L37" si="6">SUM(E33:E36)</f>
        <v>0</v>
      </c>
      <c r="F37" s="770">
        <f t="shared" si="6"/>
        <v>0</v>
      </c>
      <c r="G37" s="774">
        <f t="shared" si="6"/>
        <v>17828.490652783174</v>
      </c>
      <c r="H37" s="770">
        <f t="shared" si="6"/>
        <v>13088.531948510863</v>
      </c>
      <c r="I37" s="770">
        <f t="shared" si="6"/>
        <v>10528.172354586202</v>
      </c>
      <c r="J37" s="770">
        <f t="shared" si="6"/>
        <v>15007.362801321789</v>
      </c>
      <c r="K37" s="770">
        <f t="shared" si="6"/>
        <v>25102.108731573779</v>
      </c>
      <c r="L37" s="781">
        <f t="shared" si="6"/>
        <v>81554.666488775809</v>
      </c>
      <c r="N37" s="158">
        <f t="shared" ref="N37:V37" si="7">SUM(N33:N36)</f>
        <v>0</v>
      </c>
      <c r="O37" s="158">
        <f t="shared" si="7"/>
        <v>0</v>
      </c>
      <c r="P37" s="770">
        <f t="shared" si="7"/>
        <v>0</v>
      </c>
      <c r="Q37" s="774">
        <f t="shared" si="7"/>
        <v>24017.898406004068</v>
      </c>
      <c r="R37" s="770">
        <f t="shared" si="7"/>
        <v>20098.956251689291</v>
      </c>
      <c r="S37" s="770">
        <f t="shared" si="7"/>
        <v>20426.916467341511</v>
      </c>
      <c r="T37" s="770">
        <f t="shared" si="7"/>
        <v>28951.179038779072</v>
      </c>
      <c r="U37" s="770">
        <f t="shared" si="7"/>
        <v>31456.500576314127</v>
      </c>
      <c r="V37" s="781">
        <f t="shared" si="7"/>
        <v>124951.45074012806</v>
      </c>
      <c r="X37" s="158">
        <f t="shared" ref="X37:Y37" si="8">SUM(X33:X36)</f>
        <v>0</v>
      </c>
      <c r="Y37" s="158">
        <f t="shared" si="8"/>
        <v>0</v>
      </c>
      <c r="Z37" s="537"/>
      <c r="AA37" s="538"/>
      <c r="AB37" s="537"/>
      <c r="AC37" s="537"/>
      <c r="AD37" s="537"/>
      <c r="AE37" s="537"/>
      <c r="AF37" s="561"/>
    </row>
    <row r="38" spans="2:32" x14ac:dyDescent="0.25">
      <c r="F38" s="129"/>
      <c r="G38" s="129"/>
      <c r="H38" s="129"/>
      <c r="I38" s="129"/>
      <c r="J38" s="129"/>
      <c r="K38" s="129"/>
      <c r="L38" s="129"/>
      <c r="AA38" s="38"/>
    </row>
    <row r="39" spans="2:32" x14ac:dyDescent="0.25">
      <c r="F39" s="129"/>
      <c r="G39" s="129"/>
      <c r="H39" s="129"/>
      <c r="I39" s="129"/>
      <c r="J39" s="129"/>
      <c r="K39" s="129"/>
      <c r="L39" s="129"/>
    </row>
    <row r="40" spans="2:32" x14ac:dyDescent="0.25">
      <c r="B40" s="2" t="s">
        <v>516</v>
      </c>
      <c r="F40" s="129"/>
      <c r="G40" s="129"/>
      <c r="H40" s="129"/>
      <c r="I40" s="129"/>
      <c r="J40" s="129"/>
      <c r="K40" s="129"/>
      <c r="L40" s="129"/>
    </row>
    <row r="41" spans="2:32" x14ac:dyDescent="0.25">
      <c r="B41" s="249" t="s">
        <v>517</v>
      </c>
      <c r="D41" s="223">
        <f>CP_Yr_4</f>
        <v>43800</v>
      </c>
      <c r="E41" s="223">
        <f>CP_Yr_5</f>
        <v>44166</v>
      </c>
      <c r="F41" s="775">
        <f>Stub</f>
        <v>44377</v>
      </c>
      <c r="G41" s="776">
        <f>Yr_1</f>
        <v>44742</v>
      </c>
      <c r="H41" s="775">
        <f>Yr_2</f>
        <v>45107</v>
      </c>
      <c r="I41" s="775">
        <f>Yr_3</f>
        <v>45473</v>
      </c>
      <c r="J41" s="775">
        <f>Yr_4</f>
        <v>45838</v>
      </c>
      <c r="K41" s="775">
        <f>Yr_5</f>
        <v>46203</v>
      </c>
      <c r="L41" s="777" t="str">
        <f>NReg_Period</f>
        <v>2022-26</v>
      </c>
    </row>
    <row r="42" spans="2:32" x14ac:dyDescent="0.25">
      <c r="C42" s="54" t="s">
        <v>50</v>
      </c>
      <c r="D42" s="157">
        <f>Capex_by_Driver!D31</f>
        <v>0</v>
      </c>
      <c r="E42" s="157">
        <f>Capex_by_Driver!E31</f>
        <v>0</v>
      </c>
      <c r="F42" s="768">
        <v>0</v>
      </c>
      <c r="G42" s="769">
        <v>0</v>
      </c>
      <c r="H42" s="768">
        <v>0</v>
      </c>
      <c r="I42" s="768">
        <v>0</v>
      </c>
      <c r="J42" s="768">
        <v>0</v>
      </c>
      <c r="K42" s="768">
        <v>0</v>
      </c>
      <c r="L42" s="768">
        <v>0</v>
      </c>
    </row>
    <row r="43" spans="2:32" x14ac:dyDescent="0.25">
      <c r="C43" s="1" t="s">
        <v>399</v>
      </c>
      <c r="D43" s="220">
        <f>Capex_by_Driver!D32</f>
        <v>0</v>
      </c>
      <c r="E43" s="220">
        <f>Capex_by_Driver!E32</f>
        <v>0</v>
      </c>
      <c r="F43" s="779">
        <v>0</v>
      </c>
      <c r="G43" s="780">
        <v>32.44958944316118</v>
      </c>
      <c r="H43" s="779">
        <v>13.161811895151489</v>
      </c>
      <c r="I43" s="779">
        <v>0</v>
      </c>
      <c r="J43" s="779">
        <v>0</v>
      </c>
      <c r="K43" s="779">
        <v>0</v>
      </c>
      <c r="L43" s="779">
        <v>45.611401338312668</v>
      </c>
    </row>
    <row r="44" spans="2:32" x14ac:dyDescent="0.25">
      <c r="C44" s="1" t="s">
        <v>146</v>
      </c>
      <c r="D44" s="158">
        <f t="shared" ref="D44:K44" si="9">SUM(D42:D43)</f>
        <v>0</v>
      </c>
      <c r="E44" s="158">
        <f t="shared" si="9"/>
        <v>0</v>
      </c>
      <c r="F44" s="770">
        <f t="shared" si="9"/>
        <v>0</v>
      </c>
      <c r="G44" s="774">
        <f t="shared" si="9"/>
        <v>32.44958944316118</v>
      </c>
      <c r="H44" s="770">
        <f t="shared" si="9"/>
        <v>13.161811895151489</v>
      </c>
      <c r="I44" s="770">
        <f t="shared" si="9"/>
        <v>0</v>
      </c>
      <c r="J44" s="770">
        <f t="shared" si="9"/>
        <v>0</v>
      </c>
      <c r="K44" s="770">
        <f t="shared" si="9"/>
        <v>0</v>
      </c>
      <c r="L44" s="770">
        <f>SUM(L42:L43)</f>
        <v>45.611401338312668</v>
      </c>
    </row>
    <row r="45" spans="2:32" x14ac:dyDescent="0.25">
      <c r="B45" s="54"/>
      <c r="F45" s="129"/>
      <c r="G45" s="129"/>
      <c r="H45" s="129"/>
      <c r="I45" s="129"/>
      <c r="J45" s="129"/>
      <c r="K45" s="129"/>
      <c r="L45" s="129"/>
    </row>
    <row r="46" spans="2:32" x14ac:dyDescent="0.25">
      <c r="B46" s="2" t="s">
        <v>678</v>
      </c>
      <c r="F46" s="129"/>
      <c r="G46" s="129"/>
      <c r="H46" s="129"/>
      <c r="I46" s="129"/>
      <c r="J46" s="129"/>
      <c r="K46" s="129"/>
      <c r="L46" s="129"/>
    </row>
    <row r="47" spans="2:32" x14ac:dyDescent="0.25">
      <c r="B47" s="2"/>
      <c r="D47" s="223">
        <f>CP_Yr_4</f>
        <v>43800</v>
      </c>
      <c r="E47" s="223">
        <f>CP_Yr_5</f>
        <v>44166</v>
      </c>
      <c r="F47" s="775">
        <f>Stub</f>
        <v>44377</v>
      </c>
      <c r="G47" s="776">
        <f>Yr_1</f>
        <v>44742</v>
      </c>
      <c r="H47" s="775">
        <f>Yr_2</f>
        <v>45107</v>
      </c>
      <c r="I47" s="775">
        <f>Yr_3</f>
        <v>45473</v>
      </c>
      <c r="J47" s="775">
        <f>Yr_4</f>
        <v>45838</v>
      </c>
      <c r="K47" s="775">
        <f>Yr_5</f>
        <v>46203</v>
      </c>
      <c r="L47" s="777" t="str">
        <f>NReg_Period</f>
        <v>2022-26</v>
      </c>
    </row>
    <row r="48" spans="2:32" x14ac:dyDescent="0.25">
      <c r="C48" s="2" t="s">
        <v>609</v>
      </c>
      <c r="D48" s="158">
        <f t="shared" ref="D48:E48" si="10">D37+N37+D44</f>
        <v>0</v>
      </c>
      <c r="E48" s="158">
        <f t="shared" si="10"/>
        <v>0</v>
      </c>
      <c r="F48" s="770">
        <f>F37+P37+F44</f>
        <v>0</v>
      </c>
      <c r="G48" s="774">
        <f t="shared" ref="G48:K48" si="11">G37+Q37+G44</f>
        <v>41878.838648230405</v>
      </c>
      <c r="H48" s="770">
        <f t="shared" si="11"/>
        <v>33200.650012095306</v>
      </c>
      <c r="I48" s="770">
        <f t="shared" si="11"/>
        <v>30955.088821927711</v>
      </c>
      <c r="J48" s="770">
        <f t="shared" si="11"/>
        <v>43958.541840100865</v>
      </c>
      <c r="K48" s="770">
        <f t="shared" si="11"/>
        <v>56558.609307887906</v>
      </c>
      <c r="L48" s="781">
        <f t="shared" ref="L48" si="12">SUM(G48:K48)</f>
        <v>206551.72863024217</v>
      </c>
    </row>
    <row r="49" spans="3:12" x14ac:dyDescent="0.25">
      <c r="D49" s="1" t="b">
        <f>ROUND(D48,5)=ROUND(SUM(Capex_by_Driver!AH22,Capex_by_Driver!AH27),5)</f>
        <v>1</v>
      </c>
      <c r="E49" s="1" t="b">
        <f>ROUND(E48,5)=ROUND(SUM(Capex_by_Driver!AI22,Capex_by_Driver!AI27),5)</f>
        <v>1</v>
      </c>
      <c r="F49" s="129" t="b">
        <f>ROUND(F48,5)=ROUND(SUM(Capex_by_Driver!AJ22,Capex_by_Driver!AJ27),5)</f>
        <v>1</v>
      </c>
      <c r="G49" s="129" t="b">
        <f>ROUND(G48,5)=ROUND(SUM(Capex_by_Driver!AK22,Capex_by_Driver!AK27),5)</f>
        <v>1</v>
      </c>
      <c r="H49" s="129" t="b">
        <f>ROUND(H48,5)=ROUND(SUM(Capex_by_Driver!AL22,Capex_by_Driver!AL27),5)</f>
        <v>1</v>
      </c>
      <c r="I49" s="129" t="b">
        <f>ROUND(I48,5)=ROUND(SUM(Capex_by_Driver!AM22,Capex_by_Driver!AM27),5)</f>
        <v>1</v>
      </c>
      <c r="J49" s="129" t="b">
        <f>ROUND(J48,5)=ROUND(SUM(Capex_by_Driver!AN22,Capex_by_Driver!AN27),5)</f>
        <v>1</v>
      </c>
      <c r="K49" s="129" t="b">
        <f>ROUND(K48,5)=ROUND(SUM(Capex_by_Driver!AO22,Capex_by_Driver!AO27),5)</f>
        <v>1</v>
      </c>
      <c r="L49" s="129" t="b">
        <f>ROUND(L48,5)=ROUND(SUM(Capex_by_Driver!AP22,Capex_by_Driver!AP27),5)</f>
        <v>1</v>
      </c>
    </row>
    <row r="50" spans="3:12" x14ac:dyDescent="0.25">
      <c r="F50" s="129"/>
      <c r="G50" s="129"/>
      <c r="H50" s="129"/>
      <c r="I50" s="129"/>
      <c r="J50" s="129"/>
      <c r="K50" s="129"/>
      <c r="L50" s="129"/>
    </row>
    <row r="51" spans="3:12" x14ac:dyDescent="0.25">
      <c r="C51" s="2" t="s">
        <v>611</v>
      </c>
      <c r="D51" s="158">
        <f>D48*Escalators!$M$17</f>
        <v>0</v>
      </c>
      <c r="E51" s="158">
        <f>E48*Escalators!$M$17</f>
        <v>0</v>
      </c>
      <c r="F51" s="770">
        <f>F48*Escalators!$M$17</f>
        <v>0</v>
      </c>
      <c r="G51" s="774">
        <f>G48*Escalators!$M$17</f>
        <v>43959.539755414393</v>
      </c>
      <c r="H51" s="770">
        <f>H48*Escalators!$M$17</f>
        <v>34850.185468884149</v>
      </c>
      <c r="I51" s="770">
        <f>I48*Escalators!$M$17</f>
        <v>32493.05619790425</v>
      </c>
      <c r="J51" s="770">
        <f>J48*Escalators!$M$17</f>
        <v>46142.570567477153</v>
      </c>
      <c r="K51" s="770">
        <f>K48*Escalators!$M$17</f>
        <v>59368.65764748487</v>
      </c>
      <c r="L51" s="781">
        <f t="shared" ref="L51" si="13">SUM(G51:K51)</f>
        <v>216814.00963716483</v>
      </c>
    </row>
  </sheetData>
  <mergeCells count="6">
    <mergeCell ref="X3:AF3"/>
    <mergeCell ref="I1:J1"/>
    <mergeCell ref="D4:L4"/>
    <mergeCell ref="D3:L3"/>
    <mergeCell ref="N3:V3"/>
    <mergeCell ref="N4:V4"/>
  </mergeCells>
  <hyperlinks>
    <hyperlink ref="B2" location="Contents!A1" display="Table of Contents"/>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B1:AC122"/>
  <sheetViews>
    <sheetView zoomScale="85" zoomScaleNormal="85" zoomScalePageLayoutView="125" workbookViewId="0">
      <pane ySplit="2" topLeftCell="A24" activePane="bottomLeft" state="frozen"/>
      <selection activeCell="M14" sqref="M14"/>
      <selection pane="bottomLeft" activeCell="H46" sqref="H46"/>
    </sheetView>
  </sheetViews>
  <sheetFormatPr defaultColWidth="8.85546875" defaultRowHeight="15" outlineLevelCol="1" x14ac:dyDescent="0.25"/>
  <cols>
    <col min="1" max="1" width="4.42578125" style="1" customWidth="1"/>
    <col min="2" max="2" width="47.5703125" style="1" customWidth="1"/>
    <col min="3" max="6" width="10" style="1" hidden="1" customWidth="1" outlineLevel="1"/>
    <col min="7" max="7" width="9" style="1" hidden="1" customWidth="1" outlineLevel="1"/>
    <col min="8" max="8" width="11.140625" style="1" customWidth="1" collapsed="1"/>
    <col min="9" max="9" width="9.42578125" style="1" customWidth="1"/>
    <col min="10" max="10" width="10" style="1" customWidth="1"/>
    <col min="11" max="12" width="9.42578125" style="1" customWidth="1"/>
    <col min="13" max="13" width="9.28515625" style="1" customWidth="1"/>
    <col min="14" max="14" width="9.140625" style="1" bestFit="1" customWidth="1"/>
    <col min="15" max="15" width="8.85546875" style="1" customWidth="1"/>
    <col min="16" max="16" width="7.42578125" style="1" customWidth="1"/>
    <col min="17" max="17" width="5.28515625" style="1" customWidth="1"/>
    <col min="18" max="18" width="41.28515625" style="1" customWidth="1"/>
    <col min="19" max="19" width="11.7109375" style="1" customWidth="1"/>
    <col min="20" max="20" width="9.5703125" style="1" customWidth="1"/>
    <col min="21" max="21" width="11.28515625" style="1" bestFit="1" customWidth="1"/>
    <col min="22" max="25" width="8.85546875" style="1"/>
    <col min="26" max="26" width="8.85546875" style="1" customWidth="1"/>
    <col min="27" max="16384" width="8.85546875" style="1"/>
  </cols>
  <sheetData>
    <row r="1" spans="2:29" ht="18.75" x14ac:dyDescent="0.3">
      <c r="B1" s="10" t="s">
        <v>754</v>
      </c>
      <c r="C1" s="10"/>
      <c r="D1" s="10"/>
      <c r="E1" s="10"/>
      <c r="F1" s="10"/>
      <c r="J1" s="825" t="s">
        <v>749</v>
      </c>
      <c r="K1" s="825"/>
    </row>
    <row r="2" spans="2:29" x14ac:dyDescent="0.25">
      <c r="B2" s="25" t="s">
        <v>6</v>
      </c>
      <c r="C2" s="25"/>
      <c r="D2" s="25"/>
      <c r="E2" s="25"/>
      <c r="F2" s="25"/>
    </row>
    <row r="3" spans="2:29" x14ac:dyDescent="0.25">
      <c r="I3" s="54"/>
    </row>
    <row r="4" spans="2:29" x14ac:dyDescent="0.25">
      <c r="H4" s="85"/>
    </row>
    <row r="5" spans="2:29" x14ac:dyDescent="0.25">
      <c r="B5" s="2" t="s">
        <v>306</v>
      </c>
      <c r="C5" s="36" t="s">
        <v>287</v>
      </c>
      <c r="D5" s="36" t="s">
        <v>287</v>
      </c>
      <c r="E5" s="36" t="s">
        <v>287</v>
      </c>
      <c r="F5" s="36" t="s">
        <v>287</v>
      </c>
      <c r="G5" s="36" t="s">
        <v>287</v>
      </c>
      <c r="H5" s="86" t="s">
        <v>287</v>
      </c>
      <c r="I5" s="326" t="s">
        <v>287</v>
      </c>
      <c r="J5" s="326" t="s">
        <v>287</v>
      </c>
      <c r="K5" s="326" t="s">
        <v>287</v>
      </c>
      <c r="L5" s="326" t="s">
        <v>287</v>
      </c>
      <c r="N5" s="400" t="s">
        <v>648</v>
      </c>
    </row>
    <row r="6" spans="2:29" x14ac:dyDescent="0.25">
      <c r="B6" s="1" t="s">
        <v>677</v>
      </c>
      <c r="C6" s="36">
        <v>2009</v>
      </c>
      <c r="D6" s="36">
        <v>2010</v>
      </c>
      <c r="E6" s="36">
        <v>2011</v>
      </c>
      <c r="F6" s="36">
        <v>2012</v>
      </c>
      <c r="G6" s="36">
        <v>2013</v>
      </c>
      <c r="H6" s="86">
        <v>2014</v>
      </c>
      <c r="I6" s="326">
        <v>2015</v>
      </c>
      <c r="J6" s="326">
        <v>2016</v>
      </c>
      <c r="K6" s="326">
        <v>2017</v>
      </c>
      <c r="L6" s="326">
        <v>2018</v>
      </c>
      <c r="N6" s="400" t="s">
        <v>649</v>
      </c>
      <c r="S6" s="326" t="s">
        <v>554</v>
      </c>
      <c r="T6" s="326" t="s">
        <v>554</v>
      </c>
      <c r="U6" s="326" t="s">
        <v>554</v>
      </c>
      <c r="V6" s="326" t="s">
        <v>555</v>
      </c>
      <c r="W6" s="326" t="s">
        <v>555</v>
      </c>
      <c r="X6" s="357" t="s">
        <v>555</v>
      </c>
      <c r="Y6" s="326" t="s">
        <v>555</v>
      </c>
      <c r="Z6" s="326" t="s">
        <v>555</v>
      </c>
      <c r="AA6" s="326" t="s">
        <v>555</v>
      </c>
      <c r="AB6" s="326" t="s">
        <v>555</v>
      </c>
      <c r="AC6" s="326" t="s">
        <v>555</v>
      </c>
    </row>
    <row r="7" spans="2:29" x14ac:dyDescent="0.25">
      <c r="B7" s="1" t="s">
        <v>676</v>
      </c>
      <c r="G7" s="36"/>
      <c r="H7" s="86"/>
      <c r="R7" s="358" t="s">
        <v>599</v>
      </c>
      <c r="S7" s="326" t="s">
        <v>551</v>
      </c>
      <c r="T7" s="326" t="s">
        <v>552</v>
      </c>
      <c r="U7" s="326" t="s">
        <v>553</v>
      </c>
      <c r="V7" s="326" t="s">
        <v>404</v>
      </c>
      <c r="W7" s="326" t="s">
        <v>405</v>
      </c>
      <c r="X7" s="357" t="s">
        <v>612</v>
      </c>
      <c r="Y7" s="326" t="s">
        <v>402</v>
      </c>
      <c r="Z7" s="357" t="s">
        <v>403</v>
      </c>
      <c r="AA7" s="357" t="s">
        <v>596</v>
      </c>
      <c r="AB7" s="357" t="s">
        <v>597</v>
      </c>
      <c r="AC7" s="357" t="s">
        <v>598</v>
      </c>
    </row>
    <row r="8" spans="2:29" x14ac:dyDescent="0.25">
      <c r="B8" s="1" t="s">
        <v>302</v>
      </c>
      <c r="C8" s="39">
        <v>22005.248581235435</v>
      </c>
      <c r="D8" s="39">
        <v>21207.955597916622</v>
      </c>
      <c r="E8" s="39">
        <v>19739.077062148237</v>
      </c>
      <c r="F8" s="39">
        <v>17634.586308452643</v>
      </c>
      <c r="G8" s="39">
        <v>23185.111005042723</v>
      </c>
      <c r="H8" s="50">
        <v>25600.483399212801</v>
      </c>
      <c r="I8" s="39">
        <v>30709.73281077436</v>
      </c>
      <c r="J8" s="39">
        <v>24464.225164879219</v>
      </c>
      <c r="K8" s="39">
        <v>29267.094922092616</v>
      </c>
      <c r="L8" s="39">
        <v>30691.961257964911</v>
      </c>
      <c r="N8" s="39">
        <f>AVERAGE(J8:L8)</f>
        <v>28141.093781645584</v>
      </c>
      <c r="O8" s="107">
        <f>N8/$N$10</f>
        <v>0.84075791937259714</v>
      </c>
      <c r="R8" s="78" t="s">
        <v>680</v>
      </c>
      <c r="S8" s="289">
        <f>J10/Thousands*Escalators!K$17</f>
        <v>33.985527441860462</v>
      </c>
      <c r="T8" s="289">
        <f>K10/Thousands*Escalators!L$17</f>
        <v>37.639501997779334</v>
      </c>
      <c r="U8" s="289">
        <f>L10/Thousands*Escalators!M$17</f>
        <v>35.473639728399533</v>
      </c>
      <c r="V8" s="370">
        <f>H17/Thousands*Escalators!$M$17</f>
        <v>32.479972928270094</v>
      </c>
      <c r="W8" s="370">
        <f>I17/Thousands*Escalators!$M$17</f>
        <v>30.492052880305369</v>
      </c>
      <c r="X8" s="370">
        <f>J17/Thousands*Escalators!$M$17</f>
        <v>14.977006262124803</v>
      </c>
      <c r="Y8" s="370">
        <f>K17/Thousands*Escalators!$M$17</f>
        <v>28.510483834827529</v>
      </c>
      <c r="Z8" s="370">
        <f>L17/Thousands*Escalators!$M$17</f>
        <v>28.700360242253918</v>
      </c>
      <c r="AA8" s="370">
        <f>M17/Thousands*Escalators!$M$17</f>
        <v>28.678529787262324</v>
      </c>
      <c r="AB8" s="370">
        <f>N17/Thousands*Escalators!$M$17</f>
        <v>28.635913618372669</v>
      </c>
      <c r="AC8" s="370">
        <f>O17/Thousands*Escalators!$M$17</f>
        <v>28.59882906639864</v>
      </c>
    </row>
    <row r="9" spans="2:29" x14ac:dyDescent="0.25">
      <c r="B9" s="1" t="s">
        <v>303</v>
      </c>
      <c r="C9" s="40">
        <v>7800.823087035651</v>
      </c>
      <c r="D9" s="40">
        <v>9012.2092141115409</v>
      </c>
      <c r="E9" s="40">
        <v>11214.876283642518</v>
      </c>
      <c r="F9" s="40">
        <v>14659.791965299493</v>
      </c>
      <c r="G9" s="40">
        <v>7936.3113489698062</v>
      </c>
      <c r="H9" s="40">
        <v>8817.2221277890894</v>
      </c>
      <c r="I9" s="40">
        <v>11983.594543508281</v>
      </c>
      <c r="J9" s="40">
        <v>6976.7748351207802</v>
      </c>
      <c r="K9" s="40">
        <v>5910.6152066409077</v>
      </c>
      <c r="L9" s="40">
        <v>3102.6335607427327</v>
      </c>
      <c r="N9" s="40">
        <f>AVERAGE(J9:L9)</f>
        <v>5330.0078675014738</v>
      </c>
      <c r="O9" s="107">
        <f>N9/$N$10</f>
        <v>0.15924208062740289</v>
      </c>
    </row>
    <row r="10" spans="2:29" x14ac:dyDescent="0.25">
      <c r="B10" s="56" t="s">
        <v>146</v>
      </c>
      <c r="C10" s="39">
        <f t="shared" ref="C10" si="0">SUM(C8:C9)</f>
        <v>29806.071668271084</v>
      </c>
      <c r="D10" s="39">
        <f t="shared" ref="D10" si="1">SUM(D8:D9)</f>
        <v>30220.164812028161</v>
      </c>
      <c r="E10" s="39">
        <f t="shared" ref="E10" si="2">SUM(E8:E9)</f>
        <v>30953.953345790753</v>
      </c>
      <c r="F10" s="39">
        <f t="shared" ref="F10" si="3">SUM(F8:F9)</f>
        <v>32294.378273752136</v>
      </c>
      <c r="G10" s="39">
        <f>SUM(G8:G9)</f>
        <v>31121.422354012531</v>
      </c>
      <c r="H10" s="50">
        <f>SUM(H8:H9)</f>
        <v>34417.70552700189</v>
      </c>
      <c r="I10" s="39">
        <f t="shared" ref="I10:N10" si="4">SUM(I8:I9)</f>
        <v>42693.327354282643</v>
      </c>
      <c r="J10" s="39">
        <f t="shared" si="4"/>
        <v>31441</v>
      </c>
      <c r="K10" s="39">
        <f t="shared" si="4"/>
        <v>35177.710128733524</v>
      </c>
      <c r="L10" s="39">
        <f t="shared" si="4"/>
        <v>33794.594818707643</v>
      </c>
      <c r="N10" s="39">
        <f t="shared" si="4"/>
        <v>33471.101649147058</v>
      </c>
      <c r="R10" s="78"/>
      <c r="S10" s="411"/>
      <c r="T10" s="411"/>
      <c r="U10" s="411"/>
      <c r="V10" s="411"/>
      <c r="W10" s="411"/>
      <c r="X10" s="411"/>
      <c r="Y10" s="411"/>
      <c r="Z10" s="411"/>
      <c r="AA10" s="411"/>
      <c r="AB10" s="411"/>
      <c r="AC10" s="411"/>
    </row>
    <row r="11" spans="2:29" x14ac:dyDescent="0.25">
      <c r="B11" s="24" t="s">
        <v>675</v>
      </c>
      <c r="D11" s="39"/>
      <c r="E11" s="39"/>
      <c r="F11" s="39"/>
      <c r="G11" s="50"/>
      <c r="H11" s="327"/>
      <c r="I11" s="50"/>
      <c r="J11" s="50"/>
      <c r="K11" s="39"/>
      <c r="R11" s="78"/>
      <c r="S11" s="285"/>
      <c r="T11" s="285"/>
      <c r="U11" s="285"/>
      <c r="V11" s="285"/>
      <c r="W11" s="285"/>
      <c r="X11" s="285"/>
      <c r="Y11" s="285"/>
      <c r="Z11" s="285"/>
      <c r="AA11" s="285"/>
      <c r="AB11" s="285"/>
      <c r="AC11" s="285"/>
    </row>
    <row r="12" spans="2:29" x14ac:dyDescent="0.25">
      <c r="C12" s="39"/>
      <c r="D12" s="39"/>
      <c r="E12" s="39"/>
      <c r="F12" s="39"/>
      <c r="G12" s="50"/>
      <c r="H12" s="50"/>
      <c r="I12" s="50"/>
      <c r="J12" s="50"/>
      <c r="K12" s="39"/>
      <c r="N12" s="108"/>
      <c r="O12" s="108"/>
      <c r="P12" s="108"/>
      <c r="R12" s="78"/>
      <c r="S12" s="285"/>
      <c r="T12" s="285"/>
      <c r="U12" s="285"/>
      <c r="V12" s="285"/>
      <c r="W12" s="285"/>
      <c r="X12" s="285"/>
      <c r="Y12" s="285"/>
      <c r="Z12" s="285"/>
      <c r="AA12" s="285"/>
      <c r="AB12" s="285"/>
      <c r="AC12" s="285"/>
    </row>
    <row r="13" spans="2:29" x14ac:dyDescent="0.25">
      <c r="B13" s="2" t="s">
        <v>690</v>
      </c>
      <c r="C13" s="50"/>
      <c r="D13" s="50"/>
      <c r="E13" s="50"/>
      <c r="F13" s="50"/>
      <c r="G13" s="50"/>
      <c r="H13" s="50"/>
      <c r="J13" s="411" t="s">
        <v>645</v>
      </c>
      <c r="K13" s="39"/>
      <c r="V13" s="278"/>
      <c r="W13" s="278"/>
      <c r="X13" s="278"/>
      <c r="Y13" s="278"/>
      <c r="Z13" s="278"/>
      <c r="AA13" s="278"/>
      <c r="AB13" s="278"/>
      <c r="AC13" s="278"/>
    </row>
    <row r="14" spans="2:29" x14ac:dyDescent="0.25">
      <c r="B14" s="183" t="s">
        <v>559</v>
      </c>
      <c r="C14" s="50"/>
      <c r="D14" s="50"/>
      <c r="E14" s="50"/>
      <c r="F14" s="50"/>
      <c r="G14" s="50"/>
      <c r="H14" s="411" t="s">
        <v>404</v>
      </c>
      <c r="I14" s="411" t="s">
        <v>405</v>
      </c>
      <c r="J14" s="223">
        <f>Stub</f>
        <v>44377</v>
      </c>
      <c r="K14" s="223">
        <f>Yr_1</f>
        <v>44742</v>
      </c>
      <c r="L14" s="223">
        <f>Yr_2</f>
        <v>45107</v>
      </c>
      <c r="M14" s="223">
        <f>Yr_3</f>
        <v>45473</v>
      </c>
      <c r="N14" s="223">
        <f>Yr_4</f>
        <v>45838</v>
      </c>
      <c r="O14" s="223">
        <f>Yr_5</f>
        <v>46203</v>
      </c>
    </row>
    <row r="15" spans="2:29" x14ac:dyDescent="0.25">
      <c r="B15" s="1" t="s">
        <v>285</v>
      </c>
      <c r="C15" s="50"/>
      <c r="D15" s="50"/>
      <c r="E15" s="50"/>
      <c r="F15" s="50"/>
      <c r="G15" s="50"/>
      <c r="H15" s="584">
        <v>28157.788578959935</v>
      </c>
      <c r="I15" s="584">
        <v>26434.405602438226</v>
      </c>
      <c r="J15" s="584">
        <v>12983.981754110724</v>
      </c>
      <c r="K15" s="750">
        <v>24647.299913672105</v>
      </c>
      <c r="L15" s="750">
        <v>24890.027176461681</v>
      </c>
      <c r="M15" s="750">
        <v>24846.060546496432</v>
      </c>
      <c r="N15" s="750">
        <v>24808.845345609694</v>
      </c>
      <c r="O15" s="750">
        <v>24775.942509179124</v>
      </c>
    </row>
    <row r="16" spans="2:29" x14ac:dyDescent="0.25">
      <c r="B16" s="1" t="s">
        <v>286</v>
      </c>
      <c r="C16" s="50"/>
      <c r="D16" s="50"/>
      <c r="E16" s="50"/>
      <c r="F16" s="50"/>
      <c r="G16" s="50"/>
      <c r="H16" s="585">
        <v>2784.8362330839495</v>
      </c>
      <c r="I16" s="585">
        <v>2614.3917628785057</v>
      </c>
      <c r="J16" s="585">
        <v>1284.1300635933683</v>
      </c>
      <c r="K16" s="751">
        <v>2513.720400574085</v>
      </c>
      <c r="L16" s="751">
        <v>2451.8822797991488</v>
      </c>
      <c r="M16" s="751">
        <v>2475.0517379264516</v>
      </c>
      <c r="N16" s="751">
        <v>2471.6678863511834</v>
      </c>
      <c r="O16" s="751">
        <v>2469.2414637152756</v>
      </c>
      <c r="P16" s="107">
        <f>K17/N10-1</f>
        <v>-0.188523264069549</v>
      </c>
    </row>
    <row r="17" spans="2:15" x14ac:dyDescent="0.25">
      <c r="B17" s="1" t="s">
        <v>146</v>
      </c>
      <c r="C17" s="50"/>
      <c r="D17" s="50"/>
      <c r="E17" s="50"/>
      <c r="F17" s="50"/>
      <c r="G17" s="50"/>
      <c r="H17" s="158">
        <f t="shared" ref="H17:O17" si="5">SUM(H15:H16)</f>
        <v>30942.624812043883</v>
      </c>
      <c r="I17" s="158">
        <f t="shared" si="5"/>
        <v>29048.797365316732</v>
      </c>
      <c r="J17" s="158">
        <f t="shared" si="5"/>
        <v>14268.111817704092</v>
      </c>
      <c r="K17" s="158">
        <f t="shared" si="5"/>
        <v>27161.020314246191</v>
      </c>
      <c r="L17" s="158">
        <f t="shared" si="5"/>
        <v>27341.90945626083</v>
      </c>
      <c r="M17" s="158">
        <f t="shared" si="5"/>
        <v>27321.112284422885</v>
      </c>
      <c r="N17" s="158">
        <f t="shared" si="5"/>
        <v>27280.513231960878</v>
      </c>
      <c r="O17" s="158">
        <f t="shared" si="5"/>
        <v>27245.1839728944</v>
      </c>
    </row>
    <row r="18" spans="2:15" ht="15.75" thickBot="1" x14ac:dyDescent="0.3">
      <c r="C18" s="50"/>
      <c r="D18" s="50"/>
      <c r="E18" s="50"/>
      <c r="F18" s="50"/>
      <c r="G18" s="50"/>
    </row>
    <row r="19" spans="2:15" x14ac:dyDescent="0.25">
      <c r="B19" s="424" t="s">
        <v>510</v>
      </c>
      <c r="C19" s="50"/>
      <c r="D19" s="50"/>
      <c r="E19" s="50"/>
      <c r="F19" s="50"/>
      <c r="G19" s="50"/>
      <c r="H19" s="293" t="s">
        <v>404</v>
      </c>
      <c r="I19" s="293" t="s">
        <v>405</v>
      </c>
      <c r="J19" s="348">
        <v>44377</v>
      </c>
      <c r="K19" s="348">
        <f>Yr_1</f>
        <v>44742</v>
      </c>
      <c r="L19" s="348">
        <f>Yr_2</f>
        <v>45107</v>
      </c>
      <c r="M19" s="348">
        <f>Yr_3</f>
        <v>45473</v>
      </c>
      <c r="N19" s="348">
        <f>Yr_4</f>
        <v>45838</v>
      </c>
      <c r="O19" s="349">
        <f>Yr_5</f>
        <v>46203</v>
      </c>
    </row>
    <row r="20" spans="2:15" x14ac:dyDescent="0.25">
      <c r="B20" s="294" t="s">
        <v>459</v>
      </c>
      <c r="C20" s="24"/>
      <c r="D20" s="39"/>
      <c r="E20" s="39"/>
      <c r="F20" s="39"/>
      <c r="G20" s="39"/>
      <c r="H20" s="295">
        <v>9.9373740508838515E-2</v>
      </c>
      <c r="I20" s="295">
        <v>8.253105819491241E-2</v>
      </c>
      <c r="J20" s="295">
        <v>8.6778872312432864E-2</v>
      </c>
      <c r="K20" s="295">
        <v>0.1190124772643355</v>
      </c>
      <c r="L20" s="295">
        <v>0.11039494526394654</v>
      </c>
      <c r="M20" s="295">
        <v>0.11408103969956654</v>
      </c>
      <c r="N20" s="295">
        <v>0.11971752781351457</v>
      </c>
      <c r="O20" s="296">
        <v>0.12327783293085477</v>
      </c>
    </row>
    <row r="21" spans="2:15" x14ac:dyDescent="0.25">
      <c r="B21" s="294" t="s">
        <v>32</v>
      </c>
      <c r="C21" s="36"/>
      <c r="D21" s="36"/>
      <c r="E21" s="36"/>
      <c r="F21" s="36"/>
      <c r="G21" s="36"/>
      <c r="H21" s="295">
        <v>8.6960798438632539E-2</v>
      </c>
      <c r="I21" s="295">
        <v>7.373403490997682E-2</v>
      </c>
      <c r="J21" s="295">
        <v>7.6718186965232985E-2</v>
      </c>
      <c r="K21" s="295">
        <v>0.10772162281847346</v>
      </c>
      <c r="L21" s="295">
        <v>9.3344604058318514E-2</v>
      </c>
      <c r="M21" s="295">
        <v>9.5886836385876514E-2</v>
      </c>
      <c r="N21" s="295">
        <v>9.9400538748807749E-2</v>
      </c>
      <c r="O21" s="296">
        <v>0.10150557034830396</v>
      </c>
    </row>
    <row r="22" spans="2:15" ht="15.75" thickBot="1" x14ac:dyDescent="0.3">
      <c r="B22" s="297" t="s">
        <v>286</v>
      </c>
      <c r="C22" s="36"/>
      <c r="D22" s="36"/>
      <c r="E22" s="36"/>
      <c r="F22" s="36"/>
      <c r="G22" s="36"/>
      <c r="H22" s="298">
        <v>4.8869562961132484E-2</v>
      </c>
      <c r="I22" s="298">
        <v>4.4606846212935897E-2</v>
      </c>
      <c r="J22" s="410">
        <v>5.9471621997677276E-2</v>
      </c>
      <c r="K22" s="298">
        <v>6.0867532539228004E-2</v>
      </c>
      <c r="L22" s="298">
        <v>8.7971249756224126E-2</v>
      </c>
      <c r="M22" s="298">
        <v>7.4629200087294373E-2</v>
      </c>
      <c r="N22" s="298">
        <v>9.8650657157046046E-2</v>
      </c>
      <c r="O22" s="299">
        <v>0.10109563215012586</v>
      </c>
    </row>
    <row r="23" spans="2:15" x14ac:dyDescent="0.25">
      <c r="C23" s="84"/>
      <c r="D23" s="84"/>
      <c r="E23" s="84"/>
      <c r="F23" s="84"/>
      <c r="G23" s="84"/>
    </row>
    <row r="24" spans="2:15" x14ac:dyDescent="0.25">
      <c r="B24" s="2" t="s">
        <v>513</v>
      </c>
      <c r="C24" s="84"/>
      <c r="D24" s="84"/>
      <c r="E24" s="84"/>
      <c r="F24" s="84"/>
      <c r="G24" s="84"/>
      <c r="J24" s="400" t="s">
        <v>645</v>
      </c>
    </row>
    <row r="25" spans="2:15" x14ac:dyDescent="0.25">
      <c r="B25" s="1" t="s">
        <v>559</v>
      </c>
      <c r="C25" s="84"/>
      <c r="D25" s="84"/>
      <c r="E25" s="84"/>
      <c r="F25" s="84"/>
      <c r="G25" s="84"/>
      <c r="H25" s="301" t="s">
        <v>404</v>
      </c>
      <c r="I25" s="301" t="s">
        <v>405</v>
      </c>
      <c r="J25" s="350">
        <f>J19</f>
        <v>44377</v>
      </c>
      <c r="K25" s="223">
        <f>Yr_1</f>
        <v>44742</v>
      </c>
      <c r="L25" s="223">
        <f>Yr_2</f>
        <v>45107</v>
      </c>
      <c r="M25" s="223">
        <f>Yr_3</f>
        <v>45473</v>
      </c>
      <c r="N25" s="223">
        <f>Yr_4</f>
        <v>45838</v>
      </c>
      <c r="O25" s="223">
        <f>Yr_5</f>
        <v>46203</v>
      </c>
    </row>
    <row r="26" spans="2:15" x14ac:dyDescent="0.25">
      <c r="B26" s="39" t="s">
        <v>302</v>
      </c>
      <c r="C26" s="84"/>
      <c r="D26" s="84"/>
      <c r="E26" s="84"/>
      <c r="F26" s="84"/>
      <c r="G26" s="84"/>
      <c r="H26" s="157">
        <f t="shared" ref="H26:O27" si="6">$O8*H$17</f>
        <v>26015.256856900916</v>
      </c>
      <c r="I26" s="157">
        <f t="shared" si="6"/>
        <v>24423.006433139875</v>
      </c>
      <c r="J26" s="351">
        <f t="shared" si="6"/>
        <v>11996.028005228458</v>
      </c>
      <c r="K26" s="157">
        <f t="shared" si="6"/>
        <v>22835.842927442471</v>
      </c>
      <c r="L26" s="157">
        <f t="shared" si="6"/>
        <v>22987.926906119796</v>
      </c>
      <c r="M26" s="157">
        <f t="shared" si="6"/>
        <v>22970.441519196491</v>
      </c>
      <c r="N26" s="157">
        <f t="shared" si="6"/>
        <v>22936.307544320032</v>
      </c>
      <c r="O26" s="157">
        <f t="shared" si="6"/>
        <v>22906.604189974325</v>
      </c>
    </row>
    <row r="27" spans="2:15" x14ac:dyDescent="0.25">
      <c r="B27" s="39" t="s">
        <v>303</v>
      </c>
      <c r="C27" s="87"/>
      <c r="D27" s="87"/>
      <c r="E27" s="87"/>
      <c r="F27" s="87"/>
      <c r="G27" s="87"/>
      <c r="H27" s="220">
        <f t="shared" si="6"/>
        <v>4927.3679551429695</v>
      </c>
      <c r="I27" s="220">
        <f t="shared" si="6"/>
        <v>4625.7909321768557</v>
      </c>
      <c r="J27" s="352">
        <f t="shared" si="6"/>
        <v>2272.0838124756351</v>
      </c>
      <c r="K27" s="220">
        <f t="shared" si="6"/>
        <v>4325.1773868037199</v>
      </c>
      <c r="L27" s="220">
        <f t="shared" si="6"/>
        <v>4353.9825501410369</v>
      </c>
      <c r="M27" s="220">
        <f t="shared" si="6"/>
        <v>4350.6707652263967</v>
      </c>
      <c r="N27" s="220">
        <f t="shared" si="6"/>
        <v>4344.2056876408451</v>
      </c>
      <c r="O27" s="220">
        <f t="shared" si="6"/>
        <v>4338.5797829200746</v>
      </c>
    </row>
    <row r="28" spans="2:15" x14ac:dyDescent="0.25">
      <c r="B28" s="39" t="s">
        <v>146</v>
      </c>
      <c r="C28" s="101"/>
      <c r="D28" s="101"/>
      <c r="E28" s="101"/>
      <c r="F28" s="101"/>
      <c r="G28" s="101"/>
      <c r="H28" s="158">
        <f>SUM(H26:H27)</f>
        <v>30942.624812043887</v>
      </c>
      <c r="I28" s="158">
        <f t="shared" ref="I28:O28" si="7">SUM(I26:I27)</f>
        <v>29048.797365316732</v>
      </c>
      <c r="J28" s="351">
        <f t="shared" ref="J28" si="8">SUM(J26:J27)</f>
        <v>14268.111817704093</v>
      </c>
      <c r="K28" s="158">
        <f t="shared" si="7"/>
        <v>27161.020314246191</v>
      </c>
      <c r="L28" s="158">
        <f t="shared" si="7"/>
        <v>27341.909456260833</v>
      </c>
      <c r="M28" s="158">
        <f t="shared" si="7"/>
        <v>27321.112284422888</v>
      </c>
      <c r="N28" s="158">
        <f t="shared" si="7"/>
        <v>27280.513231960878</v>
      </c>
      <c r="O28" s="158">
        <f t="shared" si="7"/>
        <v>27245.1839728944</v>
      </c>
    </row>
    <row r="29" spans="2:15" x14ac:dyDescent="0.25">
      <c r="B29" s="39"/>
      <c r="C29" s="101"/>
      <c r="D29" s="101"/>
      <c r="E29" s="101"/>
      <c r="F29" s="101"/>
      <c r="G29" s="101"/>
      <c r="H29" s="158"/>
      <c r="I29" s="158"/>
      <c r="J29" s="158"/>
      <c r="K29" s="158"/>
      <c r="L29" s="158"/>
      <c r="M29" s="158"/>
      <c r="N29" s="158"/>
      <c r="O29" s="158"/>
    </row>
    <row r="30" spans="2:15" x14ac:dyDescent="0.25">
      <c r="B30" s="51" t="s">
        <v>650</v>
      </c>
      <c r="C30" s="86"/>
      <c r="D30" s="86"/>
      <c r="E30" s="86"/>
      <c r="F30" s="86"/>
      <c r="G30" s="86"/>
    </row>
    <row r="31" spans="2:15" x14ac:dyDescent="0.25">
      <c r="B31" s="1" t="s">
        <v>559</v>
      </c>
      <c r="C31" s="86"/>
      <c r="D31" s="86"/>
      <c r="E31" s="86"/>
      <c r="F31" s="86"/>
      <c r="G31" s="86"/>
      <c r="I31" s="388" t="s">
        <v>629</v>
      </c>
      <c r="J31" s="388" t="s">
        <v>623</v>
      </c>
      <c r="K31" s="223">
        <f>Yr_1</f>
        <v>44742</v>
      </c>
      <c r="L31" s="223">
        <f>Yr_2</f>
        <v>45107</v>
      </c>
      <c r="M31" s="223">
        <f>Yr_3</f>
        <v>45473</v>
      </c>
      <c r="N31" s="223">
        <f>Yr_4</f>
        <v>45838</v>
      </c>
      <c r="O31" s="223">
        <f>Yr_5</f>
        <v>46203</v>
      </c>
    </row>
    <row r="32" spans="2:15" x14ac:dyDescent="0.25">
      <c r="B32" s="1" t="s">
        <v>302</v>
      </c>
      <c r="C32" s="41"/>
      <c r="D32" s="41"/>
      <c r="E32" s="41"/>
      <c r="F32" s="41"/>
      <c r="G32" s="86"/>
      <c r="I32" s="158">
        <f>0.5*I26+0.5*H26</f>
        <v>25219.131645020396</v>
      </c>
      <c r="J32" s="158">
        <f>J26+0.5*I26</f>
        <v>24207.531221798396</v>
      </c>
      <c r="K32" s="158">
        <f t="shared" ref="K32:O33" si="9">K26</f>
        <v>22835.842927442471</v>
      </c>
      <c r="L32" s="158">
        <f t="shared" si="9"/>
        <v>22987.926906119796</v>
      </c>
      <c r="M32" s="158">
        <f t="shared" si="9"/>
        <v>22970.441519196491</v>
      </c>
      <c r="N32" s="158">
        <f t="shared" si="9"/>
        <v>22936.307544320032</v>
      </c>
      <c r="O32" s="158">
        <f t="shared" si="9"/>
        <v>22906.604189974325</v>
      </c>
    </row>
    <row r="33" spans="2:26" x14ac:dyDescent="0.25">
      <c r="B33" s="1" t="s">
        <v>303</v>
      </c>
      <c r="C33" s="50"/>
      <c r="D33" s="50"/>
      <c r="E33" s="50"/>
      <c r="F33" s="50"/>
      <c r="G33" s="50"/>
      <c r="I33" s="271">
        <f>0.5*I27+0.5*H27</f>
        <v>4776.5794436599126</v>
      </c>
      <c r="J33" s="271">
        <f>J27+0.5*I27</f>
        <v>4584.979278564063</v>
      </c>
      <c r="K33" s="271">
        <f t="shared" si="9"/>
        <v>4325.1773868037199</v>
      </c>
      <c r="L33" s="271">
        <f t="shared" si="9"/>
        <v>4353.9825501410369</v>
      </c>
      <c r="M33" s="271">
        <f t="shared" si="9"/>
        <v>4350.6707652263967</v>
      </c>
      <c r="N33" s="271">
        <f t="shared" si="9"/>
        <v>4344.2056876408451</v>
      </c>
      <c r="O33" s="271">
        <f t="shared" si="9"/>
        <v>4338.5797829200746</v>
      </c>
    </row>
    <row r="34" spans="2:26" x14ac:dyDescent="0.25">
      <c r="B34" s="1" t="s">
        <v>146</v>
      </c>
      <c r="C34" s="50"/>
      <c r="D34" s="50"/>
      <c r="E34" s="50"/>
      <c r="F34" s="50"/>
      <c r="G34" s="50"/>
      <c r="I34" s="158">
        <f>SUM(I32:I33)</f>
        <v>29995.711088680309</v>
      </c>
      <c r="J34" s="158">
        <f t="shared" ref="J34:O34" si="10">SUM(J32:J33)</f>
        <v>28792.510500362459</v>
      </c>
      <c r="K34" s="158">
        <f t="shared" si="10"/>
        <v>27161.020314246191</v>
      </c>
      <c r="L34" s="158">
        <f t="shared" si="10"/>
        <v>27341.909456260833</v>
      </c>
      <c r="M34" s="158">
        <f t="shared" si="10"/>
        <v>27321.112284422888</v>
      </c>
      <c r="N34" s="158">
        <f t="shared" si="10"/>
        <v>27280.513231960878</v>
      </c>
      <c r="O34" s="158">
        <f t="shared" si="10"/>
        <v>27245.1839728944</v>
      </c>
    </row>
    <row r="35" spans="2:26" x14ac:dyDescent="0.25">
      <c r="B35" s="2"/>
      <c r="C35" s="50"/>
      <c r="D35" s="50"/>
      <c r="E35" s="50"/>
      <c r="F35" s="50"/>
      <c r="G35" s="50"/>
      <c r="H35" s="50"/>
      <c r="I35" s="50"/>
      <c r="J35" s="50"/>
      <c r="K35" s="50"/>
      <c r="L35" s="50"/>
      <c r="M35" s="50"/>
      <c r="N35" s="50"/>
    </row>
    <row r="36" spans="2:26" s="427" customFormat="1" x14ac:dyDescent="0.25">
      <c r="B36" s="425"/>
      <c r="C36" s="426"/>
      <c r="D36" s="426"/>
      <c r="E36" s="426"/>
      <c r="F36" s="426"/>
      <c r="G36" s="426"/>
      <c r="H36" s="426"/>
      <c r="I36" s="426"/>
      <c r="J36" s="426"/>
      <c r="K36" s="426"/>
      <c r="L36" s="426"/>
      <c r="M36" s="426"/>
      <c r="N36" s="426"/>
    </row>
    <row r="37" spans="2:26" x14ac:dyDescent="0.25">
      <c r="B37" s="2" t="s">
        <v>683</v>
      </c>
      <c r="C37" s="50"/>
      <c r="D37" s="50"/>
      <c r="E37" s="50"/>
      <c r="F37" s="50"/>
      <c r="G37" s="50"/>
      <c r="H37" s="50"/>
      <c r="I37" s="50"/>
      <c r="J37" s="50"/>
      <c r="K37" s="50"/>
      <c r="L37" s="50"/>
      <c r="M37" s="50"/>
      <c r="N37" s="50"/>
    </row>
    <row r="38" spans="2:26" x14ac:dyDescent="0.25">
      <c r="B38" s="2"/>
      <c r="C38" s="50"/>
      <c r="D38" s="50"/>
      <c r="E38" s="50"/>
      <c r="F38" s="50"/>
      <c r="G38" s="50"/>
      <c r="H38" s="50"/>
      <c r="I38" s="50"/>
      <c r="J38" s="50"/>
      <c r="K38" s="50"/>
      <c r="L38" s="50"/>
      <c r="M38" s="50"/>
      <c r="N38" s="50"/>
    </row>
    <row r="39" spans="2:26" x14ac:dyDescent="0.25">
      <c r="B39" s="249" t="s">
        <v>460</v>
      </c>
      <c r="C39" s="41"/>
      <c r="D39" s="41"/>
      <c r="E39" s="41"/>
      <c r="F39" s="41"/>
      <c r="G39" s="50"/>
      <c r="H39" s="50"/>
      <c r="I39" s="50"/>
      <c r="J39" s="50"/>
      <c r="K39" s="50"/>
      <c r="L39" s="50"/>
      <c r="M39" s="50"/>
      <c r="N39" s="50"/>
      <c r="O39" s="39"/>
    </row>
    <row r="40" spans="2:26" x14ac:dyDescent="0.25">
      <c r="B40" s="1" t="s">
        <v>458</v>
      </c>
      <c r="C40" s="41"/>
      <c r="D40" s="41"/>
      <c r="E40" s="41"/>
      <c r="F40" s="41"/>
      <c r="G40" s="50"/>
      <c r="H40" s="223">
        <f>CP_Yr_4</f>
        <v>43800</v>
      </c>
      <c r="I40" s="223">
        <f>CP_Yr_5</f>
        <v>44166</v>
      </c>
      <c r="J40" s="350">
        <f>Stub</f>
        <v>44377</v>
      </c>
      <c r="K40" s="340">
        <f>Yr_1</f>
        <v>44742</v>
      </c>
      <c r="L40" s="223">
        <f>Yr_2</f>
        <v>45107</v>
      </c>
      <c r="M40" s="223">
        <f>Yr_3</f>
        <v>45473</v>
      </c>
      <c r="N40" s="223">
        <f>Yr_4</f>
        <v>45838</v>
      </c>
      <c r="O40" s="223">
        <f>Yr_5</f>
        <v>46203</v>
      </c>
    </row>
    <row r="41" spans="2:26" x14ac:dyDescent="0.25">
      <c r="B41" s="1" t="s">
        <v>44</v>
      </c>
      <c r="C41" s="41"/>
      <c r="D41" s="41"/>
      <c r="E41" s="41"/>
      <c r="F41" s="41"/>
      <c r="G41" s="50"/>
      <c r="H41" s="629"/>
      <c r="I41" s="629"/>
      <c r="J41" s="630"/>
      <c r="K41" s="515"/>
      <c r="L41" s="515"/>
      <c r="M41" s="515"/>
      <c r="N41" s="515"/>
      <c r="O41" s="515"/>
    </row>
    <row r="42" spans="2:26" x14ac:dyDescent="0.25">
      <c r="B42" s="1" t="s">
        <v>45</v>
      </c>
      <c r="C42" s="50"/>
      <c r="D42" s="50"/>
      <c r="E42" s="50"/>
      <c r="F42" s="50"/>
      <c r="G42" s="50"/>
      <c r="H42" s="631"/>
      <c r="I42" s="631"/>
      <c r="J42" s="632"/>
      <c r="K42" s="517"/>
      <c r="L42" s="517"/>
      <c r="M42" s="517"/>
      <c r="N42" s="517"/>
      <c r="O42" s="517"/>
    </row>
    <row r="43" spans="2:26" x14ac:dyDescent="0.25">
      <c r="B43" s="1" t="s">
        <v>686</v>
      </c>
      <c r="C43" s="50"/>
      <c r="D43" s="50"/>
      <c r="E43" s="50"/>
      <c r="F43" s="50"/>
      <c r="G43" s="50"/>
      <c r="H43" s="515"/>
      <c r="I43" s="515"/>
      <c r="J43" s="562"/>
      <c r="K43" s="515"/>
      <c r="L43" s="515"/>
      <c r="M43" s="515"/>
      <c r="N43" s="515"/>
      <c r="O43" s="515"/>
    </row>
    <row r="44" spans="2:26" x14ac:dyDescent="0.25">
      <c r="C44" s="50"/>
      <c r="D44" s="50"/>
      <c r="E44" s="50"/>
      <c r="F44" s="50"/>
      <c r="G44" s="50"/>
      <c r="J44" s="353"/>
      <c r="S44" s="656" t="s">
        <v>770</v>
      </c>
      <c r="T44" s="657"/>
      <c r="U44" s="657"/>
      <c r="V44" s="657"/>
      <c r="W44" s="657"/>
      <c r="X44" s="657"/>
      <c r="Y44" s="657"/>
      <c r="Z44" s="658"/>
    </row>
    <row r="45" spans="2:26" x14ac:dyDescent="0.25">
      <c r="B45" s="249" t="s">
        <v>687</v>
      </c>
      <c r="C45" s="50"/>
      <c r="D45" s="50"/>
      <c r="E45" s="50"/>
      <c r="F45" s="50"/>
      <c r="G45" s="50"/>
      <c r="J45" s="353"/>
      <c r="R45" s="78"/>
      <c r="S45" s="659">
        <f t="shared" ref="S45:Z45" si="11">H40</f>
        <v>43800</v>
      </c>
      <c r="T45" s="660">
        <f t="shared" si="11"/>
        <v>44166</v>
      </c>
      <c r="U45" s="660">
        <f t="shared" si="11"/>
        <v>44377</v>
      </c>
      <c r="V45" s="660">
        <f t="shared" si="11"/>
        <v>44742</v>
      </c>
      <c r="W45" s="660">
        <f t="shared" si="11"/>
        <v>45107</v>
      </c>
      <c r="X45" s="660">
        <f t="shared" si="11"/>
        <v>45473</v>
      </c>
      <c r="Y45" s="660">
        <f t="shared" si="11"/>
        <v>45838</v>
      </c>
      <c r="Z45" s="661">
        <f t="shared" si="11"/>
        <v>46203</v>
      </c>
    </row>
    <row r="46" spans="2:26" x14ac:dyDescent="0.25">
      <c r="B46" s="1" t="s">
        <v>44</v>
      </c>
      <c r="C46" s="50"/>
      <c r="D46" s="50"/>
      <c r="E46" s="50"/>
      <c r="F46" s="50"/>
      <c r="G46" s="50"/>
      <c r="H46" s="815">
        <f>'Input from Connections Model'!D34</f>
        <v>10433.467414217819</v>
      </c>
      <c r="I46" s="815">
        <f>'Input from Connections Model'!E34</f>
        <v>12514.154559518864</v>
      </c>
      <c r="J46" s="815">
        <f>'Input from Connections Model'!F34</f>
        <v>7287.7104398680713</v>
      </c>
      <c r="K46" s="815">
        <f>'Input from Connections Model'!G34</f>
        <v>8447.5334896133827</v>
      </c>
      <c r="L46" s="815">
        <f>'Input from Connections Model'!H34</f>
        <v>12508.672511500261</v>
      </c>
      <c r="M46" s="815">
        <f>'Input from Connections Model'!I34</f>
        <v>10437.965749121195</v>
      </c>
      <c r="N46" s="815">
        <f>'Input from Connections Model'!J34</f>
        <v>10446.522122412818</v>
      </c>
      <c r="O46" s="815">
        <f>'Input from Connections Model'!K34</f>
        <v>10468.945615195204</v>
      </c>
      <c r="S46" s="662">
        <v>5871.7469422383801</v>
      </c>
      <c r="T46" s="663">
        <v>6200.8258693813596</v>
      </c>
      <c r="U46" s="664">
        <v>3120.9321491620512</v>
      </c>
      <c r="V46" s="663">
        <v>6207.0302966273221</v>
      </c>
      <c r="W46" s="663">
        <v>6255.1502257412621</v>
      </c>
      <c r="X46" s="663">
        <v>6335.3008581009626</v>
      </c>
      <c r="Y46" s="663">
        <v>6440.0426007759315</v>
      </c>
      <c r="Z46" s="665">
        <v>6521.3485455229393</v>
      </c>
    </row>
    <row r="47" spans="2:26" x14ac:dyDescent="0.25">
      <c r="B47" s="1" t="s">
        <v>45</v>
      </c>
      <c r="C47" s="50"/>
      <c r="D47" s="50"/>
      <c r="E47" s="50"/>
      <c r="F47" s="50"/>
      <c r="G47" s="50"/>
      <c r="H47" s="816">
        <f>'Input from Connections Model'!D35</f>
        <v>52846.621964465223</v>
      </c>
      <c r="I47" s="816">
        <f>'Input from Connections Model'!E35</f>
        <v>53064.889707542679</v>
      </c>
      <c r="J47" s="816">
        <f>'Input from Connections Model'!F35</f>
        <v>26588.17642563572</v>
      </c>
      <c r="K47" s="816">
        <f>'Input from Connections Model'!G35</f>
        <v>30755.614464961276</v>
      </c>
      <c r="L47" s="816">
        <f>'Input from Connections Model'!H35</f>
        <v>53028.818468167869</v>
      </c>
      <c r="M47" s="816">
        <f>'Input from Connections Model'!I35</f>
        <v>52909.246849839779</v>
      </c>
      <c r="N47" s="816">
        <f>'Input from Connections Model'!J35</f>
        <v>53080.912727417352</v>
      </c>
      <c r="O47" s="816">
        <f>'Input from Connections Model'!K35</f>
        <v>53370.158057101406</v>
      </c>
      <c r="S47" s="666">
        <v>57729.019237361012</v>
      </c>
      <c r="T47" s="667">
        <v>60109.678129528627</v>
      </c>
      <c r="U47" s="668">
        <v>31237.321486435874</v>
      </c>
      <c r="V47" s="667">
        <v>62878.144356095385</v>
      </c>
      <c r="W47" s="667">
        <v>61179.823536479686</v>
      </c>
      <c r="X47" s="667">
        <v>59380.523671961826</v>
      </c>
      <c r="Y47" s="667">
        <v>59892.601772871691</v>
      </c>
      <c r="Z47" s="669">
        <v>60503.49597805753</v>
      </c>
    </row>
    <row r="48" spans="2:26" x14ac:dyDescent="0.25">
      <c r="B48" s="2" t="s">
        <v>685</v>
      </c>
      <c r="C48" s="50"/>
      <c r="D48" s="50"/>
      <c r="E48" s="50"/>
      <c r="F48" s="50"/>
      <c r="G48" s="50"/>
      <c r="H48" s="39">
        <f t="shared" ref="H48:O48" si="12">SUM(H46:H47)</f>
        <v>63280.089378683042</v>
      </c>
      <c r="I48" s="39">
        <f t="shared" si="12"/>
        <v>65579.044267061545</v>
      </c>
      <c r="J48" s="351">
        <f t="shared" si="12"/>
        <v>33875.886865503795</v>
      </c>
      <c r="K48" s="39">
        <f t="shared" si="12"/>
        <v>39203.147954574655</v>
      </c>
      <c r="L48" s="39">
        <f t="shared" si="12"/>
        <v>65537.490979668131</v>
      </c>
      <c r="M48" s="39">
        <f t="shared" si="12"/>
        <v>63347.212598960978</v>
      </c>
      <c r="N48" s="39">
        <f t="shared" si="12"/>
        <v>63527.43484983017</v>
      </c>
      <c r="O48" s="39">
        <f t="shared" si="12"/>
        <v>63839.103672296609</v>
      </c>
      <c r="S48" s="670">
        <f>SUM(S46:S47)</f>
        <v>63600.766179599392</v>
      </c>
      <c r="T48" s="671">
        <f t="shared" ref="T48:Z48" si="13">SUM(T46:T47)</f>
        <v>66310.50399890999</v>
      </c>
      <c r="U48" s="672">
        <f t="shared" si="13"/>
        <v>34358.253635597925</v>
      </c>
      <c r="V48" s="673">
        <f t="shared" si="13"/>
        <v>69085.174652722708</v>
      </c>
      <c r="W48" s="673">
        <f t="shared" si="13"/>
        <v>67434.97376222095</v>
      </c>
      <c r="X48" s="673">
        <f t="shared" si="13"/>
        <v>65715.82453006279</v>
      </c>
      <c r="Y48" s="673">
        <f t="shared" si="13"/>
        <v>66332.644373647621</v>
      </c>
      <c r="Z48" s="674">
        <f t="shared" si="13"/>
        <v>67024.844523580468</v>
      </c>
    </row>
    <row r="49" spans="2:28" x14ac:dyDescent="0.25">
      <c r="B49" s="499" t="s">
        <v>760</v>
      </c>
      <c r="C49" s="41"/>
      <c r="D49" s="41"/>
      <c r="E49" s="41"/>
      <c r="F49" s="41"/>
      <c r="G49" s="41"/>
      <c r="J49" s="353"/>
      <c r="T49" s="41"/>
      <c r="U49" s="41"/>
    </row>
    <row r="50" spans="2:28" x14ac:dyDescent="0.25">
      <c r="C50" s="41"/>
      <c r="D50" s="41"/>
      <c r="E50" s="41"/>
      <c r="F50" s="41"/>
      <c r="G50" s="41"/>
      <c r="J50" s="353"/>
    </row>
    <row r="51" spans="2:28" ht="30" x14ac:dyDescent="0.25">
      <c r="B51" s="428" t="s">
        <v>512</v>
      </c>
      <c r="C51" s="308"/>
      <c r="D51" s="308"/>
      <c r="E51" s="308"/>
      <c r="F51" s="308"/>
      <c r="G51" s="308"/>
      <c r="H51" s="520"/>
      <c r="I51" s="520"/>
      <c r="J51" s="564"/>
      <c r="K51" s="520"/>
      <c r="L51" s="520"/>
      <c r="M51" s="520"/>
      <c r="N51" s="520"/>
      <c r="O51" s="520"/>
      <c r="P51" s="39"/>
    </row>
    <row r="52" spans="2:28" x14ac:dyDescent="0.25">
      <c r="C52" s="50"/>
      <c r="D52" s="50"/>
      <c r="E52" s="50"/>
      <c r="F52" s="50"/>
      <c r="G52" s="50"/>
      <c r="H52" s="39"/>
      <c r="I52" s="39"/>
      <c r="J52" s="39"/>
      <c r="K52" s="39"/>
      <c r="L52" s="39"/>
      <c r="M52" s="39"/>
      <c r="N52" s="39"/>
      <c r="O52" s="39"/>
    </row>
    <row r="53" spans="2:28" x14ac:dyDescent="0.25">
      <c r="C53" s="50"/>
      <c r="D53" s="50"/>
      <c r="E53" s="50"/>
      <c r="F53" s="50"/>
      <c r="G53" s="50"/>
      <c r="H53" s="107"/>
      <c r="I53" s="107"/>
      <c r="J53" s="107"/>
      <c r="K53" s="107"/>
      <c r="L53" s="107"/>
      <c r="M53" s="107"/>
      <c r="N53" s="107"/>
      <c r="O53" s="107"/>
    </row>
    <row r="54" spans="2:28" x14ac:dyDescent="0.25">
      <c r="B54" s="253" t="s">
        <v>482</v>
      </c>
      <c r="C54" s="429"/>
      <c r="D54" s="429"/>
      <c r="E54" s="429"/>
      <c r="F54" s="429"/>
      <c r="G54" s="429"/>
      <c r="H54" s="430">
        <f>CP_Yr_4</f>
        <v>43800</v>
      </c>
      <c r="I54" s="430">
        <f>CP_Yr_5</f>
        <v>44166</v>
      </c>
      <c r="J54" s="431">
        <f>Stub</f>
        <v>44377</v>
      </c>
      <c r="K54" s="430">
        <f>Yr_1</f>
        <v>44742</v>
      </c>
      <c r="L54" s="430">
        <f>Yr_2</f>
        <v>45107</v>
      </c>
      <c r="M54" s="430">
        <f>Yr_3</f>
        <v>45473</v>
      </c>
      <c r="N54" s="430">
        <f>Yr_4</f>
        <v>45838</v>
      </c>
      <c r="O54" s="432">
        <f>Yr_5</f>
        <v>46203</v>
      </c>
      <c r="AB54" s="54"/>
    </row>
    <row r="55" spans="2:28" x14ac:dyDescent="0.25">
      <c r="B55" s="38" t="s">
        <v>32</v>
      </c>
      <c r="C55" s="41"/>
      <c r="D55" s="41"/>
      <c r="E55" s="41"/>
      <c r="F55" s="41"/>
      <c r="G55" s="50"/>
      <c r="H55" s="273">
        <v>5502.8870976383078</v>
      </c>
      <c r="I55" s="273">
        <v>4835.4075393504309</v>
      </c>
      <c r="J55" s="354">
        <v>2598.8966221608007</v>
      </c>
      <c r="K55" s="273">
        <v>4223.0267172595004</v>
      </c>
      <c r="L55" s="273">
        <v>6117.5711464727428</v>
      </c>
      <c r="M55" s="273">
        <v>6074.1638099779066</v>
      </c>
      <c r="N55" s="273">
        <v>6314.6612494029032</v>
      </c>
      <c r="O55" s="433">
        <v>6480.0246287809732</v>
      </c>
    </row>
    <row r="56" spans="2:28" x14ac:dyDescent="0.25">
      <c r="B56" s="38" t="s">
        <v>459</v>
      </c>
      <c r="C56" s="41"/>
      <c r="D56" s="41"/>
      <c r="E56" s="41"/>
      <c r="F56" s="41"/>
      <c r="G56" s="41"/>
      <c r="H56" s="220">
        <v>22654.901481321627</v>
      </c>
      <c r="I56" s="220">
        <v>21598.998063087794</v>
      </c>
      <c r="J56" s="355">
        <v>10385.085131949923</v>
      </c>
      <c r="K56" s="220">
        <v>20424.273196412603</v>
      </c>
      <c r="L56" s="220">
        <v>18772.456029988938</v>
      </c>
      <c r="M56" s="220">
        <v>18771.896736518524</v>
      </c>
      <c r="N56" s="220">
        <v>18494.184096206791</v>
      </c>
      <c r="O56" s="434">
        <v>18295.917880398149</v>
      </c>
    </row>
    <row r="57" spans="2:28" x14ac:dyDescent="0.25">
      <c r="B57" s="303" t="s">
        <v>463</v>
      </c>
      <c r="C57" s="42"/>
      <c r="D57" s="42"/>
      <c r="E57" s="42"/>
      <c r="F57" s="42"/>
      <c r="G57" s="42"/>
      <c r="H57" s="271">
        <v>28157.788578959935</v>
      </c>
      <c r="I57" s="271">
        <v>26434.405602438226</v>
      </c>
      <c r="J57" s="435">
        <v>12983.981754110724</v>
      </c>
      <c r="K57" s="271">
        <v>24647.299913672105</v>
      </c>
      <c r="L57" s="271">
        <v>24890.027176461681</v>
      </c>
      <c r="M57" s="271">
        <v>24846.060546496432</v>
      </c>
      <c r="N57" s="271">
        <v>24808.845345609694</v>
      </c>
      <c r="O57" s="436">
        <v>24775.94250917912</v>
      </c>
    </row>
    <row r="58" spans="2:28" x14ac:dyDescent="0.25">
      <c r="C58" s="41"/>
      <c r="D58" s="41"/>
      <c r="E58" s="41"/>
      <c r="F58" s="41"/>
      <c r="G58" s="41"/>
      <c r="H58" s="1" t="b">
        <f t="shared" ref="H58:K58" si="14">H57=H15</f>
        <v>1</v>
      </c>
      <c r="I58" s="1" t="b">
        <f t="shared" si="14"/>
        <v>1</v>
      </c>
      <c r="J58" s="353" t="b">
        <f t="shared" si="14"/>
        <v>1</v>
      </c>
      <c r="K58" s="1" t="b">
        <f t="shared" si="14"/>
        <v>1</v>
      </c>
      <c r="L58" s="1" t="b">
        <f>L57=L15</f>
        <v>1</v>
      </c>
      <c r="M58" s="1" t="b">
        <f t="shared" ref="M58:O58" si="15">M57=M15</f>
        <v>1</v>
      </c>
      <c r="N58" s="1" t="b">
        <f t="shared" si="15"/>
        <v>1</v>
      </c>
      <c r="O58" s="1" t="b">
        <f t="shared" si="15"/>
        <v>1</v>
      </c>
      <c r="Z58" s="107"/>
    </row>
    <row r="59" spans="2:28" x14ac:dyDescent="0.25">
      <c r="B59" s="1" t="s">
        <v>684</v>
      </c>
      <c r="C59" s="41"/>
      <c r="D59" s="41"/>
      <c r="E59" s="41"/>
      <c r="F59" s="41"/>
      <c r="G59" s="41"/>
      <c r="J59" s="353"/>
      <c r="Z59" s="107"/>
    </row>
    <row r="60" spans="2:28" x14ac:dyDescent="0.25">
      <c r="B60" s="1" t="s">
        <v>752</v>
      </c>
      <c r="C60" s="41"/>
      <c r="D60" s="41"/>
      <c r="E60" s="41"/>
      <c r="F60" s="41"/>
      <c r="G60" s="41"/>
      <c r="H60" s="223">
        <f>CP_Yr_4</f>
        <v>43800</v>
      </c>
      <c r="I60" s="223">
        <f>CP_Yr_5</f>
        <v>44166</v>
      </c>
      <c r="J60" s="350">
        <f>Stub</f>
        <v>44377</v>
      </c>
      <c r="K60" s="340">
        <f>Yr_1</f>
        <v>44742</v>
      </c>
      <c r="L60" s="223">
        <f>Yr_2</f>
        <v>45107</v>
      </c>
      <c r="M60" s="223">
        <f>Yr_3</f>
        <v>45473</v>
      </c>
      <c r="N60" s="223">
        <f>Yr_4</f>
        <v>45838</v>
      </c>
      <c r="O60" s="223">
        <f>Yr_5</f>
        <v>46203</v>
      </c>
      <c r="Z60" s="107"/>
    </row>
    <row r="61" spans="2:28" x14ac:dyDescent="0.25">
      <c r="B61" s="56" t="s">
        <v>511</v>
      </c>
      <c r="C61" s="41"/>
      <c r="D61" s="41"/>
      <c r="E61" s="41"/>
      <c r="F61" s="41"/>
      <c r="G61" s="41"/>
      <c r="H61" s="515"/>
      <c r="I61" s="515"/>
      <c r="J61" s="562"/>
      <c r="K61" s="515"/>
      <c r="L61" s="515"/>
      <c r="M61" s="515"/>
      <c r="N61" s="515"/>
      <c r="O61" s="515"/>
    </row>
    <row r="62" spans="2:28" x14ac:dyDescent="0.25">
      <c r="B62" s="438" t="s">
        <v>464</v>
      </c>
      <c r="C62" s="41"/>
      <c r="D62" s="41"/>
      <c r="E62" s="41"/>
      <c r="F62" s="41"/>
      <c r="G62" s="41"/>
      <c r="H62" s="634"/>
      <c r="I62" s="634"/>
      <c r="J62" s="635"/>
      <c r="K62" s="634"/>
      <c r="L62" s="634"/>
      <c r="M62" s="634"/>
      <c r="N62" s="634"/>
      <c r="O62" s="634"/>
      <c r="P62" s="437" t="s">
        <v>759</v>
      </c>
    </row>
    <row r="63" spans="2:28" x14ac:dyDescent="0.25">
      <c r="B63" s="56" t="s">
        <v>461</v>
      </c>
      <c r="C63" s="41"/>
      <c r="D63" s="41"/>
      <c r="E63" s="41"/>
      <c r="F63" s="41"/>
      <c r="G63" s="41"/>
      <c r="H63" s="515"/>
      <c r="I63" s="515"/>
      <c r="J63" s="562"/>
      <c r="K63" s="515"/>
      <c r="L63" s="515"/>
      <c r="M63" s="515"/>
      <c r="N63" s="515"/>
      <c r="O63" s="515"/>
    </row>
    <row r="64" spans="2:28" x14ac:dyDescent="0.25">
      <c r="B64" s="56" t="s">
        <v>462</v>
      </c>
      <c r="C64" s="41"/>
      <c r="D64" s="41"/>
      <c r="E64" s="41"/>
      <c r="F64" s="41"/>
      <c r="G64" s="41"/>
      <c r="H64" s="517"/>
      <c r="I64" s="517"/>
      <c r="J64" s="563"/>
      <c r="K64" s="517"/>
      <c r="L64" s="517"/>
      <c r="M64" s="517"/>
      <c r="N64" s="517"/>
      <c r="O64" s="517"/>
    </row>
    <row r="65" spans="2:16" x14ac:dyDescent="0.25">
      <c r="B65" s="1" t="s">
        <v>146</v>
      </c>
      <c r="H65" s="515"/>
      <c r="I65" s="515"/>
      <c r="J65" s="562"/>
      <c r="K65" s="515"/>
      <c r="L65" s="515"/>
      <c r="M65" s="515"/>
      <c r="N65" s="515"/>
      <c r="O65" s="515"/>
    </row>
    <row r="66" spans="2:16" x14ac:dyDescent="0.25">
      <c r="B66" s="1" t="s">
        <v>133</v>
      </c>
      <c r="H66" s="361"/>
      <c r="I66" s="420"/>
      <c r="J66" s="421"/>
      <c r="K66" s="279"/>
      <c r="L66" s="279"/>
      <c r="M66" s="279"/>
      <c r="N66" s="279"/>
      <c r="O66" s="279"/>
    </row>
    <row r="67" spans="2:16" x14ac:dyDescent="0.25">
      <c r="H67" s="39"/>
      <c r="I67" s="39"/>
      <c r="J67" s="39"/>
      <c r="K67" s="39"/>
      <c r="L67" s="39"/>
      <c r="M67" s="39"/>
      <c r="N67" s="39"/>
      <c r="O67" s="39"/>
    </row>
    <row r="68" spans="2:16" x14ac:dyDescent="0.25">
      <c r="B68" s="1" t="s">
        <v>32</v>
      </c>
      <c r="H68" s="565"/>
      <c r="I68" s="565"/>
      <c r="J68" s="565"/>
      <c r="K68" s="760"/>
      <c r="L68" s="565"/>
      <c r="M68" s="565"/>
      <c r="N68" s="565"/>
      <c r="O68" s="565"/>
    </row>
    <row r="69" spans="2:16" x14ac:dyDescent="0.25">
      <c r="B69" s="1" t="s">
        <v>465</v>
      </c>
      <c r="H69" s="565"/>
      <c r="I69" s="565"/>
      <c r="J69" s="565"/>
      <c r="K69" s="565"/>
      <c r="L69" s="565"/>
      <c r="M69" s="565"/>
      <c r="N69" s="565"/>
      <c r="O69" s="565"/>
    </row>
    <row r="70" spans="2:16" x14ac:dyDescent="0.25">
      <c r="I70" s="216"/>
      <c r="J70" s="216"/>
      <c r="K70" s="216"/>
      <c r="L70" s="216"/>
      <c r="M70" s="216"/>
      <c r="N70" s="216"/>
    </row>
    <row r="71" spans="2:16" x14ac:dyDescent="0.25">
      <c r="I71" s="84"/>
      <c r="J71" s="84"/>
      <c r="K71" s="84"/>
      <c r="L71" s="84"/>
      <c r="M71" s="84"/>
      <c r="N71" s="84"/>
    </row>
    <row r="72" spans="2:16" x14ac:dyDescent="0.25">
      <c r="I72" s="84"/>
      <c r="J72" s="84"/>
      <c r="K72" s="84"/>
      <c r="L72" s="84"/>
      <c r="M72" s="84"/>
      <c r="N72" s="84"/>
    </row>
    <row r="73" spans="2:16" x14ac:dyDescent="0.25">
      <c r="K73" s="84"/>
    </row>
    <row r="74" spans="2:16" x14ac:dyDescent="0.25">
      <c r="K74" s="84"/>
    </row>
    <row r="75" spans="2:16" ht="15.75" thickBot="1" x14ac:dyDescent="0.3">
      <c r="K75" s="84"/>
    </row>
    <row r="76" spans="2:16" x14ac:dyDescent="0.25">
      <c r="B76" s="725"/>
      <c r="C76" s="726"/>
      <c r="D76" s="726"/>
      <c r="E76" s="726"/>
      <c r="F76" s="726"/>
      <c r="G76" s="726"/>
      <c r="H76" s="726"/>
      <c r="I76" s="726"/>
      <c r="J76" s="726"/>
      <c r="K76" s="726"/>
      <c r="L76" s="726"/>
      <c r="M76" s="726"/>
      <c r="N76" s="726"/>
      <c r="O76" s="726"/>
      <c r="P76" s="727"/>
    </row>
    <row r="77" spans="2:16" x14ac:dyDescent="0.25">
      <c r="B77" s="728" t="str">
        <f>B13</f>
        <v>Forecast Overheads by stream</v>
      </c>
      <c r="C77" s="749"/>
      <c r="D77" s="749"/>
      <c r="E77" s="749"/>
      <c r="F77" s="749"/>
      <c r="G77" s="41"/>
      <c r="H77" s="41"/>
      <c r="I77" s="41"/>
      <c r="J77" s="41"/>
      <c r="K77" s="41"/>
      <c r="L77" s="41"/>
      <c r="M77" s="41"/>
      <c r="N77" s="41"/>
      <c r="O77" s="41"/>
      <c r="P77" s="729"/>
    </row>
    <row r="78" spans="2:16" x14ac:dyDescent="0.25">
      <c r="B78" s="730" t="s">
        <v>559</v>
      </c>
      <c r="C78" s="41"/>
      <c r="D78" s="41"/>
      <c r="E78" s="41"/>
      <c r="F78" s="41"/>
      <c r="G78" s="41"/>
      <c r="H78" s="41"/>
      <c r="I78" s="41"/>
      <c r="J78" s="41"/>
      <c r="K78" s="720"/>
      <c r="L78" s="720"/>
      <c r="M78" s="720"/>
      <c r="N78" s="720"/>
      <c r="O78" s="720"/>
      <c r="P78" s="729"/>
    </row>
    <row r="79" spans="2:16" x14ac:dyDescent="0.25">
      <c r="B79" s="731" t="s">
        <v>787</v>
      </c>
      <c r="C79" s="41"/>
      <c r="D79" s="41"/>
      <c r="E79" s="41"/>
      <c r="F79" s="41"/>
      <c r="G79" s="41"/>
      <c r="H79" s="41"/>
      <c r="I79" s="732">
        <v>0.75</v>
      </c>
      <c r="J79" s="41"/>
      <c r="K79" s="720"/>
      <c r="L79" s="720"/>
      <c r="M79" s="720"/>
      <c r="N79" s="720"/>
      <c r="O79" s="720"/>
      <c r="P79" s="729"/>
    </row>
    <row r="80" spans="2:16" x14ac:dyDescent="0.25">
      <c r="B80" s="733" t="s">
        <v>788</v>
      </c>
      <c r="C80" s="41"/>
      <c r="D80" s="41"/>
      <c r="E80" s="41"/>
      <c r="F80" s="41"/>
      <c r="G80" s="41"/>
      <c r="H80" s="41"/>
      <c r="I80" s="734">
        <f>1-I79</f>
        <v>0.25</v>
      </c>
      <c r="J80" s="41"/>
      <c r="K80" s="720"/>
      <c r="L80" s="720"/>
      <c r="M80" s="720"/>
      <c r="N80" s="720"/>
      <c r="O80" s="720"/>
      <c r="P80" s="729"/>
    </row>
    <row r="81" spans="2:16" x14ac:dyDescent="0.25">
      <c r="B81" s="746"/>
      <c r="C81" s="42"/>
      <c r="D81" s="42"/>
      <c r="E81" s="42"/>
      <c r="F81" s="42"/>
      <c r="G81" s="42"/>
      <c r="H81" s="42"/>
      <c r="I81" s="747"/>
      <c r="J81" s="42"/>
      <c r="K81" s="748"/>
      <c r="L81" s="748"/>
      <c r="M81" s="748"/>
      <c r="N81" s="748"/>
      <c r="O81" s="748"/>
      <c r="P81" s="745"/>
    </row>
    <row r="82" spans="2:16" x14ac:dyDescent="0.25">
      <c r="B82" s="733"/>
      <c r="C82" s="41"/>
      <c r="D82" s="41"/>
      <c r="E82" s="41"/>
      <c r="F82" s="41"/>
      <c r="G82" s="41"/>
      <c r="H82" s="41"/>
      <c r="I82" s="734"/>
      <c r="J82" s="41"/>
      <c r="K82" s="720"/>
      <c r="L82" s="720"/>
      <c r="M82" s="720"/>
      <c r="N82" s="720"/>
      <c r="O82" s="720"/>
      <c r="P82" s="729"/>
    </row>
    <row r="83" spans="2:16" x14ac:dyDescent="0.25">
      <c r="B83" s="735" t="s">
        <v>785</v>
      </c>
      <c r="C83" s="41"/>
      <c r="D83" s="41"/>
      <c r="E83" s="41"/>
      <c r="F83" s="41"/>
      <c r="G83" s="41"/>
      <c r="H83" s="41"/>
      <c r="I83" s="41"/>
      <c r="J83" s="41"/>
      <c r="K83" s="691">
        <f>K$14</f>
        <v>44742</v>
      </c>
      <c r="L83" s="691">
        <f t="shared" ref="L83:O83" si="16">L$14</f>
        <v>45107</v>
      </c>
      <c r="M83" s="691">
        <f t="shared" si="16"/>
        <v>45473</v>
      </c>
      <c r="N83" s="691">
        <f t="shared" si="16"/>
        <v>45838</v>
      </c>
      <c r="O83" s="691">
        <f t="shared" si="16"/>
        <v>46203</v>
      </c>
      <c r="P83" s="729"/>
    </row>
    <row r="84" spans="2:16" x14ac:dyDescent="0.25">
      <c r="B84" s="736" t="str">
        <f>B16</f>
        <v>IT</v>
      </c>
      <c r="C84" s="41"/>
      <c r="D84" s="41"/>
      <c r="E84" s="41"/>
      <c r="F84" s="41"/>
      <c r="G84" s="41"/>
      <c r="H84" s="41"/>
      <c r="I84" s="41"/>
      <c r="J84" s="41"/>
      <c r="K84" s="720"/>
      <c r="L84" s="720"/>
      <c r="M84" s="720"/>
      <c r="N84" s="720"/>
      <c r="O84" s="720"/>
      <c r="P84" s="729"/>
    </row>
    <row r="85" spans="2:16" x14ac:dyDescent="0.25">
      <c r="B85" s="737" t="s">
        <v>786</v>
      </c>
      <c r="C85" s="41"/>
      <c r="D85" s="41"/>
      <c r="E85" s="41"/>
      <c r="F85" s="41"/>
      <c r="G85" s="41"/>
      <c r="H85" s="41"/>
      <c r="I85" s="41"/>
      <c r="J85" s="41"/>
      <c r="K85" s="721">
        <v>42953.952478027786</v>
      </c>
      <c r="L85" s="721">
        <v>29945.937516767473</v>
      </c>
      <c r="M85" s="721">
        <v>34265.678281682689</v>
      </c>
      <c r="N85" s="721">
        <v>26032.447178289302</v>
      </c>
      <c r="O85" s="721">
        <v>25480.906710834213</v>
      </c>
      <c r="P85" s="729"/>
    </row>
    <row r="86" spans="2:16" x14ac:dyDescent="0.25">
      <c r="B86" s="738"/>
      <c r="C86" s="41"/>
      <c r="D86" s="41"/>
      <c r="E86" s="41"/>
      <c r="F86" s="41"/>
      <c r="G86" s="41"/>
      <c r="H86" s="41"/>
      <c r="I86" s="41"/>
      <c r="J86" s="41"/>
      <c r="K86" s="41"/>
      <c r="L86" s="41"/>
      <c r="M86" s="41"/>
      <c r="N86" s="41"/>
      <c r="O86" s="41"/>
      <c r="P86" s="729"/>
    </row>
    <row r="87" spans="2:16" x14ac:dyDescent="0.25">
      <c r="B87" s="737" t="s">
        <v>790</v>
      </c>
      <c r="C87" s="308"/>
      <c r="D87" s="308"/>
      <c r="E87" s="308"/>
      <c r="F87" s="308"/>
      <c r="G87" s="308"/>
      <c r="H87" s="308"/>
      <c r="I87" s="308"/>
      <c r="J87" s="308"/>
      <c r="K87" s="721">
        <v>2538.1800924575759</v>
      </c>
      <c r="L87" s="721">
        <v>2495.0947915740117</v>
      </c>
      <c r="M87" s="721">
        <v>2495.0947915740117</v>
      </c>
      <c r="N87" s="721">
        <v>2495.0947915740117</v>
      </c>
      <c r="O87" s="721">
        <v>2495.0947915740117</v>
      </c>
      <c r="P87" s="729"/>
    </row>
    <row r="88" spans="2:16" x14ac:dyDescent="0.25">
      <c r="B88" s="731" t="s">
        <v>787</v>
      </c>
      <c r="C88" s="41"/>
      <c r="D88" s="41"/>
      <c r="E88" s="41"/>
      <c r="F88" s="41"/>
      <c r="G88" s="41"/>
      <c r="H88" s="41"/>
      <c r="I88" s="41"/>
      <c r="J88" s="41"/>
      <c r="K88" s="273">
        <f>K87*$I$79</f>
        <v>1903.6350693431818</v>
      </c>
      <c r="L88" s="273">
        <f t="shared" ref="L88:O88" si="17">L87*$I$79</f>
        <v>1871.3210936805087</v>
      </c>
      <c r="M88" s="273">
        <f t="shared" si="17"/>
        <v>1871.3210936805087</v>
      </c>
      <c r="N88" s="273">
        <f t="shared" si="17"/>
        <v>1871.3210936805087</v>
      </c>
      <c r="O88" s="273">
        <f t="shared" si="17"/>
        <v>1871.3210936805087</v>
      </c>
      <c r="P88" s="729"/>
    </row>
    <row r="89" spans="2:16" x14ac:dyDescent="0.25">
      <c r="B89" s="733" t="s">
        <v>788</v>
      </c>
      <c r="C89" s="41"/>
      <c r="D89" s="41"/>
      <c r="E89" s="41"/>
      <c r="F89" s="41"/>
      <c r="G89" s="41"/>
      <c r="H89" s="41"/>
      <c r="I89" s="41"/>
      <c r="J89" s="41"/>
      <c r="K89" s="269">
        <f>K87-K88</f>
        <v>634.5450231143941</v>
      </c>
      <c r="L89" s="269">
        <f t="shared" ref="L89:O89" si="18">L87-L88</f>
        <v>623.77369789350291</v>
      </c>
      <c r="M89" s="269">
        <f t="shared" si="18"/>
        <v>623.77369789350291</v>
      </c>
      <c r="N89" s="269">
        <f t="shared" si="18"/>
        <v>623.77369789350291</v>
      </c>
      <c r="O89" s="269">
        <f t="shared" si="18"/>
        <v>623.77369789350291</v>
      </c>
      <c r="P89" s="729"/>
    </row>
    <row r="90" spans="2:16" x14ac:dyDescent="0.25">
      <c r="B90" s="733" t="s">
        <v>789</v>
      </c>
      <c r="C90" s="41"/>
      <c r="D90" s="41"/>
      <c r="E90" s="41"/>
      <c r="F90" s="41"/>
      <c r="G90" s="41"/>
      <c r="H90" s="41"/>
      <c r="I90" s="41"/>
      <c r="J90" s="41"/>
      <c r="K90" s="87">
        <f>K89/K85</f>
        <v>1.4772680661668623E-2</v>
      </c>
      <c r="L90" s="87">
        <f>L89/L85</f>
        <v>2.0829993969774249E-2</v>
      </c>
      <c r="M90" s="87">
        <f>M89/M85</f>
        <v>1.8204037660242433E-2</v>
      </c>
      <c r="N90" s="87">
        <f>N89/N85</f>
        <v>2.3961393011630559E-2</v>
      </c>
      <c r="O90" s="87">
        <f>O89/O85</f>
        <v>2.4480043232852498E-2</v>
      </c>
      <c r="P90" s="729"/>
    </row>
    <row r="91" spans="2:16" x14ac:dyDescent="0.25">
      <c r="B91" s="738"/>
      <c r="C91" s="41"/>
      <c r="D91" s="41"/>
      <c r="E91" s="41"/>
      <c r="F91" s="41"/>
      <c r="G91" s="41"/>
      <c r="H91" s="41"/>
      <c r="I91" s="41"/>
      <c r="J91" s="41"/>
      <c r="K91" s="41"/>
      <c r="L91" s="41"/>
      <c r="M91" s="41"/>
      <c r="N91" s="41"/>
      <c r="O91" s="41"/>
      <c r="P91" s="729"/>
    </row>
    <row r="92" spans="2:16" x14ac:dyDescent="0.25">
      <c r="B92" s="736" t="str">
        <f>B15</f>
        <v>Network</v>
      </c>
      <c r="C92" s="41"/>
      <c r="D92" s="41"/>
      <c r="E92" s="41"/>
      <c r="F92" s="41"/>
      <c r="G92" s="41"/>
      <c r="H92" s="41"/>
      <c r="I92" s="41"/>
      <c r="J92" s="41"/>
      <c r="K92" s="41"/>
      <c r="L92" s="41"/>
      <c r="M92" s="41"/>
      <c r="N92" s="41"/>
      <c r="O92" s="41"/>
      <c r="P92" s="729"/>
    </row>
    <row r="93" spans="2:16" x14ac:dyDescent="0.25">
      <c r="B93" s="737" t="s">
        <v>786</v>
      </c>
      <c r="C93" s="41"/>
      <c r="D93" s="41"/>
      <c r="E93" s="41"/>
      <c r="F93" s="41"/>
      <c r="G93" s="41"/>
      <c r="H93" s="41"/>
      <c r="I93" s="41"/>
      <c r="J93" s="41"/>
      <c r="K93" s="41"/>
      <c r="L93" s="41"/>
      <c r="M93" s="41"/>
      <c r="N93" s="41"/>
      <c r="O93" s="41"/>
      <c r="P93" s="729"/>
    </row>
    <row r="94" spans="2:16" x14ac:dyDescent="0.25">
      <c r="B94" s="738" t="str">
        <f>B61</f>
        <v>Connections - Cash Capex</v>
      </c>
      <c r="C94" s="41"/>
      <c r="D94" s="41"/>
      <c r="E94" s="41"/>
      <c r="F94" s="41"/>
      <c r="G94" s="41"/>
      <c r="H94" s="41"/>
      <c r="I94" s="41"/>
      <c r="J94" s="41"/>
      <c r="K94" s="551"/>
      <c r="L94" s="551"/>
      <c r="M94" s="551"/>
      <c r="N94" s="551"/>
      <c r="O94" s="551"/>
      <c r="P94" s="729"/>
    </row>
    <row r="95" spans="2:16" x14ac:dyDescent="0.25">
      <c r="B95" s="739" t="str">
        <f>B62</f>
        <v>Connections - Gifted</v>
      </c>
      <c r="C95" s="41"/>
      <c r="D95" s="41"/>
      <c r="E95" s="41"/>
      <c r="F95" s="41"/>
      <c r="G95" s="41"/>
      <c r="H95" s="41"/>
      <c r="I95" s="41"/>
      <c r="J95" s="41"/>
      <c r="K95" s="799"/>
      <c r="L95" s="799"/>
      <c r="M95" s="799"/>
      <c r="N95" s="799"/>
      <c r="O95" s="799"/>
      <c r="P95" s="729"/>
    </row>
    <row r="96" spans="2:16" x14ac:dyDescent="0.25">
      <c r="B96" s="738" t="str">
        <f>B63</f>
        <v>Augex</v>
      </c>
      <c r="C96" s="41"/>
      <c r="D96" s="41"/>
      <c r="E96" s="41"/>
      <c r="F96" s="41"/>
      <c r="G96" s="41"/>
      <c r="H96" s="41"/>
      <c r="I96" s="41"/>
      <c r="J96" s="41"/>
      <c r="K96" s="551"/>
      <c r="L96" s="551"/>
      <c r="M96" s="551"/>
      <c r="N96" s="551"/>
      <c r="O96" s="551"/>
      <c r="P96" s="729"/>
    </row>
    <row r="97" spans="2:16" x14ac:dyDescent="0.25">
      <c r="B97" s="738" t="str">
        <f>B64</f>
        <v>Repex</v>
      </c>
      <c r="C97" s="41"/>
      <c r="D97" s="41"/>
      <c r="E97" s="41"/>
      <c r="F97" s="41"/>
      <c r="G97" s="41"/>
      <c r="H97" s="41"/>
      <c r="I97" s="41"/>
      <c r="J97" s="41"/>
      <c r="K97" s="551"/>
      <c r="L97" s="551"/>
      <c r="M97" s="551"/>
      <c r="N97" s="551"/>
      <c r="O97" s="551"/>
      <c r="P97" s="729"/>
    </row>
    <row r="98" spans="2:16" x14ac:dyDescent="0.25">
      <c r="B98" s="738"/>
      <c r="C98" s="41"/>
      <c r="D98" s="41"/>
      <c r="E98" s="41"/>
      <c r="F98" s="41"/>
      <c r="G98" s="41"/>
      <c r="H98" s="41"/>
      <c r="I98" s="41"/>
      <c r="J98" s="41"/>
      <c r="K98" s="789"/>
      <c r="L98" s="789"/>
      <c r="M98" s="789"/>
      <c r="N98" s="789"/>
      <c r="O98" s="789"/>
      <c r="P98" s="729"/>
    </row>
    <row r="99" spans="2:16" x14ac:dyDescent="0.25">
      <c r="B99" s="738"/>
      <c r="C99" s="41"/>
      <c r="D99" s="41"/>
      <c r="E99" s="41"/>
      <c r="F99" s="41"/>
      <c r="G99" s="41"/>
      <c r="H99" s="41"/>
      <c r="I99" s="41"/>
      <c r="J99" s="41"/>
      <c r="K99" s="41"/>
      <c r="L99" s="41"/>
      <c r="M99" s="41"/>
      <c r="N99" s="41"/>
      <c r="O99" s="41"/>
      <c r="P99" s="729"/>
    </row>
    <row r="100" spans="2:16" x14ac:dyDescent="0.25">
      <c r="B100" s="737" t="s">
        <v>791</v>
      </c>
      <c r="C100" s="308"/>
      <c r="D100" s="308"/>
      <c r="E100" s="308"/>
      <c r="F100" s="308"/>
      <c r="G100" s="308"/>
      <c r="H100" s="308"/>
      <c r="I100" s="308"/>
      <c r="J100" s="308"/>
      <c r="K100" s="721">
        <v>25663.820934848824</v>
      </c>
      <c r="L100" s="721">
        <v>25228.180670359448</v>
      </c>
      <c r="M100" s="721">
        <v>25228.180670359448</v>
      </c>
      <c r="N100" s="721">
        <v>25228.180670359448</v>
      </c>
      <c r="O100" s="721">
        <v>25228.180670359448</v>
      </c>
      <c r="P100" s="729"/>
    </row>
    <row r="101" spans="2:16" x14ac:dyDescent="0.25">
      <c r="B101" s="731" t="s">
        <v>787</v>
      </c>
      <c r="C101" s="41"/>
      <c r="D101" s="41"/>
      <c r="E101" s="41"/>
      <c r="F101" s="41"/>
      <c r="G101" s="41"/>
      <c r="H101" s="41"/>
      <c r="I101" s="41"/>
      <c r="J101" s="41"/>
      <c r="K101" s="273">
        <f t="shared" ref="K101:O101" si="19">K100*$I$79</f>
        <v>19247.865701136616</v>
      </c>
      <c r="L101" s="273">
        <f t="shared" si="19"/>
        <v>18921.135502769586</v>
      </c>
      <c r="M101" s="273">
        <f t="shared" si="19"/>
        <v>18921.135502769586</v>
      </c>
      <c r="N101" s="273">
        <f t="shared" si="19"/>
        <v>18921.135502769586</v>
      </c>
      <c r="O101" s="273">
        <f t="shared" si="19"/>
        <v>18921.135502769586</v>
      </c>
      <c r="P101" s="729"/>
    </row>
    <row r="102" spans="2:16" x14ac:dyDescent="0.25">
      <c r="B102" s="733" t="s">
        <v>788</v>
      </c>
      <c r="C102" s="41"/>
      <c r="D102" s="41"/>
      <c r="E102" s="41"/>
      <c r="F102" s="41"/>
      <c r="G102" s="41"/>
      <c r="H102" s="41"/>
      <c r="I102" s="41"/>
      <c r="J102" s="41"/>
      <c r="K102" s="269">
        <f>K100-K101</f>
        <v>6415.9552337122077</v>
      </c>
      <c r="L102" s="269">
        <f t="shared" ref="L102" si="20">L100-L101</f>
        <v>6307.0451675898621</v>
      </c>
      <c r="M102" s="269">
        <f t="shared" ref="M102" si="21">M100-M101</f>
        <v>6307.0451675898621</v>
      </c>
      <c r="N102" s="269">
        <f t="shared" ref="N102" si="22">N100-N101</f>
        <v>6307.0451675898621</v>
      </c>
      <c r="O102" s="269">
        <f t="shared" ref="O102" si="23">O100-O101</f>
        <v>6307.0451675898621</v>
      </c>
      <c r="P102" s="729"/>
    </row>
    <row r="103" spans="2:16" x14ac:dyDescent="0.25">
      <c r="B103" s="733" t="s">
        <v>789</v>
      </c>
      <c r="C103" s="41"/>
      <c r="D103" s="41"/>
      <c r="E103" s="41"/>
      <c r="F103" s="41"/>
      <c r="G103" s="41"/>
      <c r="H103" s="41"/>
      <c r="I103" s="41"/>
      <c r="J103" s="41"/>
      <c r="K103" s="800"/>
      <c r="L103" s="800"/>
      <c r="M103" s="800"/>
      <c r="N103" s="800"/>
      <c r="O103" s="800"/>
      <c r="P103" s="729"/>
    </row>
    <row r="104" spans="2:16" x14ac:dyDescent="0.25">
      <c r="B104" s="744"/>
      <c r="C104" s="42"/>
      <c r="D104" s="42"/>
      <c r="E104" s="42"/>
      <c r="F104" s="42"/>
      <c r="G104" s="42"/>
      <c r="H104" s="42"/>
      <c r="I104" s="42"/>
      <c r="J104" s="42"/>
      <c r="K104" s="42"/>
      <c r="L104" s="42"/>
      <c r="M104" s="42"/>
      <c r="N104" s="42"/>
      <c r="O104" s="42"/>
      <c r="P104" s="745"/>
    </row>
    <row r="105" spans="2:16" x14ac:dyDescent="0.25">
      <c r="B105" s="738"/>
      <c r="C105" s="41"/>
      <c r="D105" s="41"/>
      <c r="E105" s="41"/>
      <c r="F105" s="41"/>
      <c r="G105" s="41"/>
      <c r="H105" s="41"/>
      <c r="I105" s="41"/>
      <c r="J105" s="41"/>
      <c r="K105" s="41"/>
      <c r="L105" s="41"/>
      <c r="M105" s="41"/>
      <c r="N105" s="41"/>
      <c r="O105" s="41"/>
      <c r="P105" s="729"/>
    </row>
    <row r="106" spans="2:16" x14ac:dyDescent="0.25">
      <c r="B106" s="740" t="s">
        <v>792</v>
      </c>
      <c r="C106" s="41"/>
      <c r="D106" s="41"/>
      <c r="E106" s="41"/>
      <c r="F106" s="41"/>
      <c r="G106" s="41"/>
      <c r="H106" s="41"/>
      <c r="I106" s="41"/>
      <c r="J106" s="41"/>
      <c r="K106" s="691">
        <f>K$14</f>
        <v>44742</v>
      </c>
      <c r="L106" s="691">
        <f t="shared" ref="L106:O106" si="24">L$14</f>
        <v>45107</v>
      </c>
      <c r="M106" s="691">
        <f t="shared" si="24"/>
        <v>45473</v>
      </c>
      <c r="N106" s="691">
        <f t="shared" si="24"/>
        <v>45838</v>
      </c>
      <c r="O106" s="691">
        <f t="shared" si="24"/>
        <v>46203</v>
      </c>
      <c r="P106" s="729"/>
    </row>
    <row r="107" spans="2:16" x14ac:dyDescent="0.25">
      <c r="B107" s="736" t="str">
        <f>B84</f>
        <v>IT</v>
      </c>
      <c r="C107" s="41"/>
      <c r="D107" s="41"/>
      <c r="E107" s="41"/>
      <c r="F107" s="41"/>
      <c r="G107" s="41"/>
      <c r="H107" s="41"/>
      <c r="I107" s="41"/>
      <c r="J107" s="41"/>
      <c r="K107" s="41"/>
      <c r="L107" s="41"/>
      <c r="M107" s="41"/>
      <c r="N107" s="41"/>
      <c r="O107" s="41"/>
      <c r="P107" s="729"/>
    </row>
    <row r="108" spans="2:16" x14ac:dyDescent="0.25">
      <c r="B108" s="737" t="str">
        <f>B85</f>
        <v>Direct Capex</v>
      </c>
      <c r="C108" s="41"/>
      <c r="D108" s="41"/>
      <c r="E108" s="41"/>
      <c r="F108" s="41"/>
      <c r="G108" s="41"/>
      <c r="H108" s="41"/>
      <c r="I108" s="41"/>
      <c r="J108" s="41"/>
      <c r="K108" s="722">
        <f>SUM(Reg_Forecast!AU21:AU22)</f>
        <v>41298.214264789502</v>
      </c>
      <c r="L108" s="722">
        <f>SUM(Reg_Forecast!AV21:AV22)</f>
        <v>27871.404425804169</v>
      </c>
      <c r="M108" s="722">
        <f>SUM(Reg_Forecast!AW21:AW22)</f>
        <v>33164.655858985003</v>
      </c>
      <c r="N108" s="722">
        <f>SUM(Reg_Forecast!AX21:AX22)</f>
        <v>25054.753385133903</v>
      </c>
      <c r="O108" s="722">
        <f>SUM(Reg_Forecast!AY21:AY22)</f>
        <v>24424.808581724679</v>
      </c>
      <c r="P108" s="729"/>
    </row>
    <row r="109" spans="2:16" x14ac:dyDescent="0.25">
      <c r="B109" s="738"/>
      <c r="C109" s="41"/>
      <c r="D109" s="41"/>
      <c r="E109" s="41"/>
      <c r="F109" s="41"/>
      <c r="G109" s="41"/>
      <c r="H109" s="41"/>
      <c r="I109" s="41"/>
      <c r="J109" s="41"/>
      <c r="K109" s="41"/>
      <c r="L109" s="41"/>
      <c r="M109" s="41"/>
      <c r="N109" s="41"/>
      <c r="O109" s="41"/>
      <c r="P109" s="729"/>
    </row>
    <row r="110" spans="2:16" x14ac:dyDescent="0.25">
      <c r="B110" s="737" t="s">
        <v>790</v>
      </c>
      <c r="C110" s="41"/>
      <c r="D110" s="41"/>
      <c r="E110" s="41"/>
      <c r="F110" s="41"/>
      <c r="G110" s="41"/>
      <c r="H110" s="41"/>
      <c r="I110" s="41"/>
      <c r="J110" s="41"/>
      <c r="K110" s="723">
        <f>SUM(K111:K112)</f>
        <v>2513.720400574085</v>
      </c>
      <c r="L110" s="723">
        <f>SUM(L111:L112)</f>
        <v>2451.8822797991488</v>
      </c>
      <c r="M110" s="723">
        <f>SUM(M111:M112)</f>
        <v>2475.0517379264516</v>
      </c>
      <c r="N110" s="723">
        <f>SUM(N111:N112)</f>
        <v>2471.6678863511834</v>
      </c>
      <c r="O110" s="723">
        <f>SUM(O111:O112)</f>
        <v>2469.2414637152756</v>
      </c>
      <c r="P110" s="729"/>
    </row>
    <row r="111" spans="2:16" x14ac:dyDescent="0.25">
      <c r="B111" s="731" t="s">
        <v>787</v>
      </c>
      <c r="C111" s="41"/>
      <c r="D111" s="41"/>
      <c r="E111" s="41"/>
      <c r="F111" s="41"/>
      <c r="G111" s="41"/>
      <c r="H111" s="41"/>
      <c r="I111" s="41"/>
      <c r="J111" s="41"/>
      <c r="K111" s="269">
        <f>K88</f>
        <v>1903.6350693431818</v>
      </c>
      <c r="L111" s="269">
        <f>L88</f>
        <v>1871.3210936805087</v>
      </c>
      <c r="M111" s="269">
        <f>M88</f>
        <v>1871.3210936805087</v>
      </c>
      <c r="N111" s="269">
        <f>N88</f>
        <v>1871.3210936805087</v>
      </c>
      <c r="O111" s="269">
        <f>O88</f>
        <v>1871.3210936805087</v>
      </c>
      <c r="P111" s="729"/>
    </row>
    <row r="112" spans="2:16" x14ac:dyDescent="0.25">
      <c r="B112" s="733" t="s">
        <v>788</v>
      </c>
      <c r="C112" s="41"/>
      <c r="D112" s="41"/>
      <c r="E112" s="41"/>
      <c r="F112" s="41"/>
      <c r="G112" s="41"/>
      <c r="H112" s="41"/>
      <c r="I112" s="41"/>
      <c r="J112" s="41"/>
      <c r="K112" s="269">
        <f>K108*K90</f>
        <v>610.08533123090308</v>
      </c>
      <c r="L112" s="269">
        <f>L108*L90</f>
        <v>580.56118611864008</v>
      </c>
      <c r="M112" s="269">
        <f>M108*M90</f>
        <v>603.73064424594281</v>
      </c>
      <c r="N112" s="269">
        <f>N108*N90</f>
        <v>600.34679267067463</v>
      </c>
      <c r="O112" s="269">
        <f>O108*O90</f>
        <v>597.92037003476685</v>
      </c>
      <c r="P112" s="729"/>
    </row>
    <row r="113" spans="2:16" x14ac:dyDescent="0.25">
      <c r="B113" s="738"/>
      <c r="C113" s="41"/>
      <c r="D113" s="41"/>
      <c r="E113" s="41"/>
      <c r="F113" s="41"/>
      <c r="G113" s="41"/>
      <c r="H113" s="41"/>
      <c r="I113" s="41"/>
      <c r="J113" s="41"/>
      <c r="K113" s="41"/>
      <c r="L113" s="41"/>
      <c r="M113" s="41"/>
      <c r="N113" s="41"/>
      <c r="O113" s="41"/>
      <c r="P113" s="729"/>
    </row>
    <row r="114" spans="2:16" x14ac:dyDescent="0.25">
      <c r="B114" s="736" t="str">
        <f>B92</f>
        <v>Network</v>
      </c>
      <c r="C114" s="41"/>
      <c r="D114" s="41"/>
      <c r="E114" s="41"/>
      <c r="F114" s="41"/>
      <c r="G114" s="41"/>
      <c r="H114" s="41"/>
      <c r="I114" s="41"/>
      <c r="J114" s="41"/>
      <c r="K114" s="41"/>
      <c r="L114" s="41"/>
      <c r="M114" s="41"/>
      <c r="N114" s="41"/>
      <c r="O114" s="41"/>
      <c r="P114" s="729"/>
    </row>
    <row r="115" spans="2:16" x14ac:dyDescent="0.25">
      <c r="B115" s="738" t="s">
        <v>793</v>
      </c>
      <c r="C115" s="41"/>
      <c r="D115" s="41"/>
      <c r="E115" s="41"/>
      <c r="F115" s="41"/>
      <c r="G115" s="41"/>
      <c r="H115" s="41"/>
      <c r="I115" s="41"/>
      <c r="J115" s="41"/>
      <c r="K115" s="801"/>
      <c r="L115" s="801"/>
      <c r="M115" s="801"/>
      <c r="N115" s="801"/>
      <c r="O115" s="801"/>
      <c r="P115" s="729"/>
    </row>
    <row r="116" spans="2:16" x14ac:dyDescent="0.25">
      <c r="B116" s="738"/>
      <c r="C116" s="41"/>
      <c r="D116" s="41"/>
      <c r="E116" s="41"/>
      <c r="F116" s="41"/>
      <c r="G116" s="41"/>
      <c r="H116" s="41"/>
      <c r="I116" s="41"/>
      <c r="J116" s="41"/>
      <c r="K116" s="41"/>
      <c r="L116" s="41"/>
      <c r="M116" s="41"/>
      <c r="N116" s="41"/>
      <c r="O116" s="41"/>
      <c r="P116" s="729"/>
    </row>
    <row r="117" spans="2:16" x14ac:dyDescent="0.25">
      <c r="B117" s="737" t="s">
        <v>791</v>
      </c>
      <c r="C117" s="41"/>
      <c r="D117" s="41"/>
      <c r="E117" s="41"/>
      <c r="F117" s="41"/>
      <c r="G117" s="41"/>
      <c r="H117" s="41"/>
      <c r="I117" s="41"/>
      <c r="J117" s="41"/>
      <c r="K117" s="723">
        <f>SUM(K118:K119)</f>
        <v>24647.299913672105</v>
      </c>
      <c r="L117" s="723">
        <f t="shared" ref="L117:O117" si="25">SUM(L118:L119)</f>
        <v>24890.027176461681</v>
      </c>
      <c r="M117" s="723">
        <f t="shared" si="25"/>
        <v>24846.060546496432</v>
      </c>
      <c r="N117" s="723">
        <f t="shared" si="25"/>
        <v>24808.845345609694</v>
      </c>
      <c r="O117" s="723">
        <f t="shared" si="25"/>
        <v>24775.942509179124</v>
      </c>
      <c r="P117" s="729"/>
    </row>
    <row r="118" spans="2:16" x14ac:dyDescent="0.25">
      <c r="B118" s="731" t="s">
        <v>787</v>
      </c>
      <c r="C118" s="41"/>
      <c r="D118" s="41"/>
      <c r="E118" s="41"/>
      <c r="F118" s="41"/>
      <c r="G118" s="41"/>
      <c r="H118" s="41"/>
      <c r="I118" s="41"/>
      <c r="J118" s="41"/>
      <c r="K118" s="269">
        <v>19247.865701136616</v>
      </c>
      <c r="L118" s="269">
        <v>18921.135502769586</v>
      </c>
      <c r="M118" s="269">
        <v>18921.135502769586</v>
      </c>
      <c r="N118" s="269">
        <v>18921.135502769586</v>
      </c>
      <c r="O118" s="269">
        <v>18921.135502769586</v>
      </c>
      <c r="P118" s="729"/>
    </row>
    <row r="119" spans="2:16" x14ac:dyDescent="0.25">
      <c r="B119" s="733" t="s">
        <v>788</v>
      </c>
      <c r="C119" s="41"/>
      <c r="D119" s="41"/>
      <c r="E119" s="41"/>
      <c r="F119" s="41"/>
      <c r="G119" s="41"/>
      <c r="H119" s="41"/>
      <c r="I119" s="41"/>
      <c r="J119" s="41"/>
      <c r="K119" s="269">
        <v>5399.4342125354906</v>
      </c>
      <c r="L119" s="269">
        <v>5968.8916736920937</v>
      </c>
      <c r="M119" s="269">
        <v>5924.9250437268474</v>
      </c>
      <c r="N119" s="269">
        <v>5887.7098428401077</v>
      </c>
      <c r="O119" s="269">
        <v>5854.8070064095382</v>
      </c>
      <c r="P119" s="729"/>
    </row>
    <row r="120" spans="2:16" ht="15.75" thickBot="1" x14ac:dyDescent="0.3">
      <c r="B120" s="741"/>
      <c r="C120" s="742"/>
      <c r="D120" s="742"/>
      <c r="E120" s="742"/>
      <c r="F120" s="742"/>
      <c r="G120" s="742"/>
      <c r="H120" s="742"/>
      <c r="I120" s="742"/>
      <c r="J120" s="742"/>
      <c r="K120" s="742"/>
      <c r="L120" s="742"/>
      <c r="M120" s="742"/>
      <c r="N120" s="742"/>
      <c r="O120" s="742"/>
      <c r="P120" s="743"/>
    </row>
    <row r="121" spans="2:16" x14ac:dyDescent="0.25">
      <c r="K121" s="724"/>
      <c r="L121" s="724"/>
      <c r="M121" s="724"/>
      <c r="N121" s="724"/>
      <c r="O121" s="724"/>
    </row>
    <row r="122" spans="2:16" x14ac:dyDescent="0.25">
      <c r="K122" s="158"/>
      <c r="L122" s="158"/>
      <c r="M122" s="158"/>
      <c r="N122" s="158"/>
      <c r="O122" s="158"/>
    </row>
  </sheetData>
  <mergeCells count="1">
    <mergeCell ref="J1:K1"/>
  </mergeCells>
  <hyperlinks>
    <hyperlink ref="B2" location="Contents!A1" display="Table of Contents"/>
  </hyperlinks>
  <pageMargins left="0.7" right="0.7" top="0.75" bottom="0.75" header="0.3" footer="0.3"/>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499984740745262"/>
  </sheetPr>
  <dimension ref="C3:C4"/>
  <sheetViews>
    <sheetView zoomScaleNormal="100" zoomScalePageLayoutView="125" workbookViewId="0">
      <selection activeCell="V33" sqref="V33"/>
    </sheetView>
  </sheetViews>
  <sheetFormatPr defaultColWidth="8.85546875" defaultRowHeight="15" x14ac:dyDescent="0.25"/>
  <cols>
    <col min="1" max="1" width="8.85546875" style="22"/>
    <col min="2" max="2" width="4" style="22" customWidth="1"/>
    <col min="3" max="16384" width="8.85546875" style="22"/>
  </cols>
  <sheetData>
    <row r="3" spans="3:3" ht="18.75" x14ac:dyDescent="0.3">
      <c r="C3" s="21" t="s">
        <v>0</v>
      </c>
    </row>
    <row r="4" spans="3:3" x14ac:dyDescent="0.25">
      <c r="C4" s="26" t="s">
        <v>6</v>
      </c>
    </row>
  </sheetData>
  <hyperlinks>
    <hyperlink ref="C4" location="Contents!A1" display="Table of Contents"/>
  </hyperlink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CFFFF"/>
  </sheetPr>
  <dimension ref="B1:AF59"/>
  <sheetViews>
    <sheetView topLeftCell="I16" zoomScale="85" zoomScaleNormal="85" zoomScalePageLayoutView="125" workbookViewId="0">
      <selection activeCell="U47" sqref="U47"/>
    </sheetView>
  </sheetViews>
  <sheetFormatPr defaultColWidth="8.85546875" defaultRowHeight="15" outlineLevelCol="1" x14ac:dyDescent="0.25"/>
  <cols>
    <col min="1" max="1" width="4.42578125" style="1" customWidth="1"/>
    <col min="2" max="2" width="4.7109375" style="1" customWidth="1"/>
    <col min="3" max="3" width="41.7109375" style="1" customWidth="1"/>
    <col min="4" max="7" width="9.85546875" style="1" hidden="1" customWidth="1" outlineLevel="1"/>
    <col min="8" max="8" width="8.85546875" style="1" hidden="1" customWidth="1" outlineLevel="1"/>
    <col min="9" max="9" width="8.85546875" style="1" collapsed="1"/>
    <col min="10" max="13" width="8.85546875" style="1"/>
    <col min="14" max="14" width="9.85546875" style="1" customWidth="1"/>
    <col min="15" max="19" width="8.85546875" style="1"/>
    <col min="20" max="20" width="9.28515625" style="1" customWidth="1"/>
    <col min="21" max="21" width="5" style="1" customWidth="1"/>
    <col min="22" max="22" width="6.85546875" style="1" customWidth="1"/>
    <col min="23" max="23" width="7" style="1" customWidth="1"/>
    <col min="24" max="24" width="8.85546875" style="1"/>
    <col min="25" max="25" width="48.42578125" style="1" customWidth="1"/>
    <col min="26" max="26" width="9.28515625" style="1" bestFit="1" customWidth="1"/>
    <col min="27" max="16384" width="8.85546875" style="1"/>
  </cols>
  <sheetData>
    <row r="1" spans="2:32" ht="18.75" x14ac:dyDescent="0.3">
      <c r="B1" s="10" t="s">
        <v>729</v>
      </c>
      <c r="O1" s="108"/>
    </row>
    <row r="2" spans="2:32" x14ac:dyDescent="0.25">
      <c r="B2" s="25" t="s">
        <v>6</v>
      </c>
      <c r="H2" s="88"/>
    </row>
    <row r="3" spans="2:32" x14ac:dyDescent="0.25">
      <c r="B3" s="25"/>
      <c r="H3" s="52"/>
      <c r="L3" s="100">
        <f>Escalators!N14</f>
        <v>1.0207768744354111</v>
      </c>
      <c r="M3" s="100">
        <f>Escalators!O14</f>
        <v>1.0370370370370372</v>
      </c>
      <c r="N3" s="100">
        <f>Escalators!P14</f>
        <v>1.0620720947761066</v>
      </c>
      <c r="O3" s="100">
        <f>Escalators!$P$14</f>
        <v>1.0620720947761066</v>
      </c>
      <c r="P3" s="1" t="s">
        <v>586</v>
      </c>
    </row>
    <row r="4" spans="2:32" x14ac:dyDescent="0.25">
      <c r="C4" s="97" t="s">
        <v>305</v>
      </c>
      <c r="AE4" s="41"/>
    </row>
    <row r="5" spans="2:32" ht="15" customHeight="1" x14ac:dyDescent="0.25">
      <c r="C5" s="96"/>
      <c r="D5" s="843" t="s">
        <v>395</v>
      </c>
      <c r="E5" s="844"/>
      <c r="F5" s="844"/>
      <c r="G5" s="844"/>
      <c r="H5" s="845"/>
      <c r="I5" s="843" t="s">
        <v>395</v>
      </c>
      <c r="J5" s="844"/>
      <c r="K5" s="844"/>
      <c r="L5" s="844"/>
      <c r="M5" s="844"/>
      <c r="N5" s="845"/>
      <c r="O5" s="840" t="s">
        <v>587</v>
      </c>
      <c r="P5" s="841"/>
      <c r="Q5" s="841"/>
      <c r="R5" s="841"/>
      <c r="S5" s="842"/>
      <c r="Z5" s="840" t="s">
        <v>587</v>
      </c>
      <c r="AA5" s="841"/>
      <c r="AB5" s="841"/>
      <c r="AC5" s="841"/>
      <c r="AD5" s="842"/>
      <c r="AE5" s="41"/>
    </row>
    <row r="6" spans="2:32" ht="15" customHeight="1" x14ac:dyDescent="0.25">
      <c r="C6" s="96"/>
      <c r="D6" s="238" t="s">
        <v>287</v>
      </c>
      <c r="E6" s="239" t="s">
        <v>287</v>
      </c>
      <c r="F6" s="239" t="s">
        <v>287</v>
      </c>
      <c r="G6" s="239" t="s">
        <v>287</v>
      </c>
      <c r="H6" s="240" t="s">
        <v>287</v>
      </c>
      <c r="I6" s="238" t="s">
        <v>287</v>
      </c>
      <c r="J6" s="239" t="s">
        <v>287</v>
      </c>
      <c r="K6" s="239" t="s">
        <v>287</v>
      </c>
      <c r="L6" s="239" t="s">
        <v>288</v>
      </c>
      <c r="M6" s="239" t="s">
        <v>288</v>
      </c>
      <c r="N6" s="187" t="s">
        <v>288</v>
      </c>
      <c r="O6" s="238" t="s">
        <v>288</v>
      </c>
      <c r="P6" s="239" t="s">
        <v>288</v>
      </c>
      <c r="Q6" s="239" t="s">
        <v>288</v>
      </c>
      <c r="R6" s="239" t="s">
        <v>288</v>
      </c>
      <c r="S6" s="240" t="s">
        <v>288</v>
      </c>
      <c r="X6" s="719" t="s">
        <v>784</v>
      </c>
      <c r="Z6" s="238" t="s">
        <v>288</v>
      </c>
      <c r="AA6" s="239" t="s">
        <v>288</v>
      </c>
      <c r="AB6" s="239" t="s">
        <v>288</v>
      </c>
      <c r="AC6" s="239" t="s">
        <v>288</v>
      </c>
      <c r="AD6" s="240" t="s">
        <v>288</v>
      </c>
      <c r="AE6" s="41"/>
    </row>
    <row r="7" spans="2:32" x14ac:dyDescent="0.25">
      <c r="C7" s="2" t="s">
        <v>396</v>
      </c>
      <c r="D7" s="238">
        <v>2011</v>
      </c>
      <c r="E7" s="239">
        <v>2012</v>
      </c>
      <c r="F7" s="239">
        <v>2013</v>
      </c>
      <c r="G7" s="239">
        <v>2014</v>
      </c>
      <c r="H7" s="228">
        <v>2015</v>
      </c>
      <c r="I7" s="227">
        <v>2016</v>
      </c>
      <c r="J7" s="228">
        <v>2017</v>
      </c>
      <c r="K7" s="228">
        <v>2018</v>
      </c>
      <c r="L7" s="342">
        <f>CP_Yr_4</f>
        <v>43800</v>
      </c>
      <c r="M7" s="342">
        <f>CP_Yr_5</f>
        <v>44166</v>
      </c>
      <c r="N7" s="29">
        <f>Stub</f>
        <v>44377</v>
      </c>
      <c r="O7" s="344">
        <f>Yr_1</f>
        <v>44742</v>
      </c>
      <c r="P7" s="342">
        <f>Yr_2</f>
        <v>45107</v>
      </c>
      <c r="Q7" s="342">
        <f>Yr_3</f>
        <v>45473</v>
      </c>
      <c r="R7" s="342">
        <f>Yr_4</f>
        <v>45838</v>
      </c>
      <c r="S7" s="343">
        <f>Yr_5</f>
        <v>46203</v>
      </c>
      <c r="T7" s="229" t="str">
        <f>NReg_Period</f>
        <v>2022-26</v>
      </c>
      <c r="X7" s="2" t="s">
        <v>396</v>
      </c>
      <c r="Z7" s="692">
        <f>O7</f>
        <v>44742</v>
      </c>
      <c r="AA7" s="691">
        <f t="shared" ref="AA7:AD7" si="0">P7</f>
        <v>45107</v>
      </c>
      <c r="AB7" s="691">
        <f t="shared" si="0"/>
        <v>45473</v>
      </c>
      <c r="AC7" s="691">
        <f t="shared" si="0"/>
        <v>45838</v>
      </c>
      <c r="AD7" s="693">
        <f t="shared" si="0"/>
        <v>46203</v>
      </c>
      <c r="AE7" s="694" t="str">
        <f>T7</f>
        <v>2022-26</v>
      </c>
    </row>
    <row r="8" spans="2:32" x14ac:dyDescent="0.25">
      <c r="G8" s="41"/>
      <c r="H8" s="41"/>
      <c r="I8" s="38"/>
      <c r="N8" s="32"/>
      <c r="O8" s="253"/>
      <c r="T8" s="38"/>
      <c r="X8" s="1" t="s">
        <v>44</v>
      </c>
      <c r="Z8" s="695">
        <f t="shared" ref="Z8:AD10" si="1">O9</f>
        <v>55.210760942487454</v>
      </c>
      <c r="AA8" s="696">
        <f t="shared" si="1"/>
        <v>71.320431052956238</v>
      </c>
      <c r="AB8" s="696">
        <f t="shared" si="1"/>
        <v>70.207618359194029</v>
      </c>
      <c r="AC8" s="696">
        <f t="shared" si="1"/>
        <v>58.254734096195037</v>
      </c>
      <c r="AD8" s="697">
        <f t="shared" si="1"/>
        <v>47.386205776956025</v>
      </c>
      <c r="AE8" s="698">
        <f t="shared" ref="AE8:AE17" si="2">SUM(Z8:AD8)</f>
        <v>302.3797502277888</v>
      </c>
      <c r="AF8" s="41"/>
    </row>
    <row r="9" spans="2:32" x14ac:dyDescent="0.25">
      <c r="C9" s="1" t="s">
        <v>44</v>
      </c>
      <c r="D9" s="90">
        <v>22.221416972009369</v>
      </c>
      <c r="E9" s="90">
        <v>44.068269104737396</v>
      </c>
      <c r="F9" s="90">
        <v>63.80349995248401</v>
      </c>
      <c r="G9" s="235">
        <v>63.116820701394637</v>
      </c>
      <c r="H9" s="111">
        <v>35.869712198197576</v>
      </c>
      <c r="I9" s="181"/>
      <c r="J9" s="246"/>
      <c r="K9" s="246"/>
      <c r="L9" s="389"/>
      <c r="M9" s="389"/>
      <c r="N9" s="592">
        <v>39.078487873933526</v>
      </c>
      <c r="O9" s="371">
        <f>Reg_Forecast!BO9*$O$3/Thousands</f>
        <v>55.210760942487454</v>
      </c>
      <c r="P9" s="90">
        <f>Reg_Forecast!BP9*$O$3/Thousands</f>
        <v>71.320431052956238</v>
      </c>
      <c r="Q9" s="90">
        <f>Reg_Forecast!BQ9*$O$3/Thousands</f>
        <v>70.207618359194029</v>
      </c>
      <c r="R9" s="90">
        <f>Reg_Forecast!BR9*$O$3/Thousands</f>
        <v>58.254734096195037</v>
      </c>
      <c r="S9" s="251">
        <f>Reg_Forecast!BS9*$O$3/Thousands</f>
        <v>47.386205776956025</v>
      </c>
      <c r="T9" s="368">
        <f t="shared" ref="T9:T16" si="3">SUM(O9:S9)</f>
        <v>302.3797502277888</v>
      </c>
      <c r="V9" s="157"/>
      <c r="X9" s="1" t="s">
        <v>45</v>
      </c>
      <c r="Z9" s="695">
        <f t="shared" si="1"/>
        <v>187.32095874722975</v>
      </c>
      <c r="AA9" s="696">
        <f t="shared" si="1"/>
        <v>219.84493082744331</v>
      </c>
      <c r="AB9" s="696">
        <f t="shared" si="1"/>
        <v>213.23492407612349</v>
      </c>
      <c r="AC9" s="696">
        <f t="shared" si="1"/>
        <v>213.42464730793989</v>
      </c>
      <c r="AD9" s="697">
        <f t="shared" si="1"/>
        <v>222.08686728692931</v>
      </c>
      <c r="AE9" s="698">
        <f t="shared" si="2"/>
        <v>1055.9123282456658</v>
      </c>
      <c r="AF9" s="41"/>
    </row>
    <row r="10" spans="2:32" x14ac:dyDescent="0.25">
      <c r="C10" s="1" t="s">
        <v>45</v>
      </c>
      <c r="D10" s="90">
        <v>214.21892081260307</v>
      </c>
      <c r="E10" s="90">
        <v>229.0560217353418</v>
      </c>
      <c r="F10" s="90">
        <v>264.20522451001659</v>
      </c>
      <c r="G10" s="235">
        <v>326.39358925165811</v>
      </c>
      <c r="H10" s="111">
        <v>285.79277499348507</v>
      </c>
      <c r="I10" s="181"/>
      <c r="J10" s="246"/>
      <c r="K10" s="246"/>
      <c r="L10" s="389"/>
      <c r="M10" s="389"/>
      <c r="N10" s="592">
        <v>140.25961078138209</v>
      </c>
      <c r="O10" s="371">
        <f>Reg_Forecast!BO14*$O$3/Thousands</f>
        <v>187.32095874722975</v>
      </c>
      <c r="P10" s="90">
        <f>Reg_Forecast!BP14*$O$3/Thousands</f>
        <v>219.84493082744331</v>
      </c>
      <c r="Q10" s="90">
        <f>Reg_Forecast!BQ14*$O$3/Thousands</f>
        <v>213.23492407612349</v>
      </c>
      <c r="R10" s="90">
        <f>Reg_Forecast!BR14*$O$3/Thousands</f>
        <v>213.42464730793989</v>
      </c>
      <c r="S10" s="251">
        <f>Reg_Forecast!BS14*$O$3/Thousands</f>
        <v>222.08686728692931</v>
      </c>
      <c r="T10" s="368">
        <f t="shared" si="3"/>
        <v>1055.9123282456658</v>
      </c>
      <c r="V10" s="157"/>
      <c r="X10" s="1" t="s">
        <v>48</v>
      </c>
      <c r="Z10" s="695">
        <f t="shared" si="1"/>
        <v>26.637700984689911</v>
      </c>
      <c r="AA10" s="696">
        <f t="shared" si="1"/>
        <v>18.440443011092441</v>
      </c>
      <c r="AB10" s="696">
        <f t="shared" si="1"/>
        <v>18.121242423947372</v>
      </c>
      <c r="AC10" s="696">
        <f t="shared" si="1"/>
        <v>19.719092102894432</v>
      </c>
      <c r="AD10" s="697">
        <f t="shared" si="1"/>
        <v>16.048965702438753</v>
      </c>
      <c r="AE10" s="698">
        <f t="shared" si="2"/>
        <v>98.967444225062906</v>
      </c>
      <c r="AF10" s="41"/>
    </row>
    <row r="11" spans="2:32" x14ac:dyDescent="0.25">
      <c r="C11" s="1" t="s">
        <v>48</v>
      </c>
      <c r="D11" s="90">
        <v>1.2689451272140742</v>
      </c>
      <c r="E11" s="90">
        <v>5.9134930672221477</v>
      </c>
      <c r="F11" s="90">
        <v>1.9250731948508306</v>
      </c>
      <c r="G11" s="235">
        <v>0.73591031805575635</v>
      </c>
      <c r="H11" s="111">
        <v>0.17932764715778621</v>
      </c>
      <c r="I11" s="181"/>
      <c r="J11" s="246"/>
      <c r="K11" s="246"/>
      <c r="L11" s="389"/>
      <c r="M11" s="389"/>
      <c r="N11" s="592">
        <v>14.325025779527234</v>
      </c>
      <c r="O11" s="371">
        <f>Reg_Forecast!BO19*$O$3/Thousands</f>
        <v>26.637700984689911</v>
      </c>
      <c r="P11" s="90">
        <f>Reg_Forecast!BP19*$O$3/Thousands</f>
        <v>18.440443011092441</v>
      </c>
      <c r="Q11" s="90">
        <f>Reg_Forecast!BQ19*$O$3/Thousands</f>
        <v>18.121242423947372</v>
      </c>
      <c r="R11" s="90">
        <f>Reg_Forecast!BR19*$O$3/Thousands</f>
        <v>19.719092102894432</v>
      </c>
      <c r="S11" s="251">
        <f>Reg_Forecast!BS19*$O$3/Thousands</f>
        <v>16.048965702438753</v>
      </c>
      <c r="T11" s="368">
        <f t="shared" si="3"/>
        <v>98.967444225062906</v>
      </c>
      <c r="V11" s="157"/>
      <c r="X11" s="1" t="s">
        <v>49</v>
      </c>
      <c r="Z11" s="695">
        <f>Reg_Forecast!BO21*Escalators!$P$14/Thousands*Z20</f>
        <v>7.7073839118451426</v>
      </c>
      <c r="AA11" s="696">
        <f>Reg_Forecast!BP21*Escalators!$P$14/Thousands*AA20</f>
        <v>4.208913023932114</v>
      </c>
      <c r="AB11" s="696">
        <f>Reg_Forecast!BQ21*Escalators!$P$14/Thousands*AB20</f>
        <v>6.1222522286543004</v>
      </c>
      <c r="AC11" s="696">
        <f>Reg_Forecast!BR21*Escalators!$P$14/Thousands*AC20</f>
        <v>3.7759397146363867</v>
      </c>
      <c r="AD11" s="697">
        <f>Reg_Forecast!BS21*Escalators!$P$14/Thousands*AD20</f>
        <v>3.6643720805270874</v>
      </c>
      <c r="AE11" s="698">
        <f t="shared" si="2"/>
        <v>25.478860959595032</v>
      </c>
      <c r="AF11" s="41"/>
    </row>
    <row r="12" spans="2:32" x14ac:dyDescent="0.25">
      <c r="C12" s="1" t="s">
        <v>49</v>
      </c>
      <c r="D12" s="90">
        <v>46.619225442675479</v>
      </c>
      <c r="E12" s="90">
        <v>45.516156927547812</v>
      </c>
      <c r="F12" s="90">
        <v>50.208650819470257</v>
      </c>
      <c r="G12" s="235">
        <v>33.026078626827349</v>
      </c>
      <c r="H12" s="111">
        <v>32.021862128714794</v>
      </c>
      <c r="I12" s="181"/>
      <c r="J12" s="246"/>
      <c r="K12" s="246"/>
      <c r="L12" s="389"/>
      <c r="M12" s="389"/>
      <c r="N12" s="592">
        <v>20.102988436245845</v>
      </c>
      <c r="O12" s="89">
        <f>Reg_Forecast!BO21*$O$3/Thousands</f>
        <v>37.827411920191317</v>
      </c>
      <c r="P12" s="90">
        <f>Reg_Forecast!BP21*$O$3/Thousands</f>
        <v>29.447711336089881</v>
      </c>
      <c r="Q12" s="90">
        <f>Reg_Forecast!BQ21*$O$3/Thousands</f>
        <v>37.153867246858439</v>
      </c>
      <c r="R12" s="90">
        <f>Reg_Forecast!BR21*$O$3/Thousands</f>
        <v>29.235043901495747</v>
      </c>
      <c r="S12" s="251">
        <f>Reg_Forecast!BS21*$O$3/Thousands</f>
        <v>27.846368178339901</v>
      </c>
      <c r="T12" s="368">
        <f t="shared" si="3"/>
        <v>161.5104025829753</v>
      </c>
      <c r="V12" s="84"/>
      <c r="X12" s="1" t="s">
        <v>50</v>
      </c>
      <c r="Z12" s="695">
        <f>SUM(Other_NN!BE6:BE7,Other_NN!BE10,Other_NN!BE12)*Escalators!$P$14/Thousands</f>
        <v>4.8893260787639488</v>
      </c>
      <c r="AA12" s="696">
        <f>SUM(Other_NN!BF6:BF7,Other_NN!BF10,Other_NN!BF12)*Escalators!$P$14/Thousands</f>
        <v>4.7271382424151049</v>
      </c>
      <c r="AB12" s="696">
        <f>SUM(Other_NN!BG6:BG7,Other_NN!BG10,Other_NN!BG12)*Escalators!$P$14/Thousands</f>
        <v>5.147755695942025</v>
      </c>
      <c r="AC12" s="696">
        <f>SUM(Other_NN!BH6:BH7,Other_NN!BH10,Other_NN!BH12)*Escalators!$P$14/Thousands</f>
        <v>7.3193935336910814</v>
      </c>
      <c r="AD12" s="697">
        <f>SUM(Other_NN!BI6:BI7,Other_NN!BI10,Other_NN!BI12)*Escalators!$P$14/Thousands</f>
        <v>6.0655205990179084</v>
      </c>
      <c r="AE12" s="698">
        <f t="shared" si="2"/>
        <v>28.149134149830068</v>
      </c>
      <c r="AF12" s="41"/>
    </row>
    <row r="13" spans="2:32" x14ac:dyDescent="0.25">
      <c r="C13" s="1" t="s">
        <v>521</v>
      </c>
      <c r="D13" s="90"/>
      <c r="E13" s="90"/>
      <c r="F13" s="90"/>
      <c r="G13" s="235"/>
      <c r="H13" s="111"/>
      <c r="I13" s="181"/>
      <c r="J13" s="246"/>
      <c r="K13" s="246"/>
      <c r="L13" s="389"/>
      <c r="M13" s="389"/>
      <c r="N13" s="592">
        <v>3.6422279982897927</v>
      </c>
      <c r="O13" s="89">
        <f>Reg_Forecast!BO22*$O$3/Thousands</f>
        <v>8.7040213060453127</v>
      </c>
      <c r="P13" s="90">
        <f>Reg_Forecast!BP22*$O$3/Thousands</f>
        <v>2.7578052958266999</v>
      </c>
      <c r="Q13" s="90">
        <f>Reg_Forecast!BQ22*$O$3/Thousands</f>
        <v>0.69807165780123037</v>
      </c>
      <c r="R13" s="90">
        <f>Reg_Forecast!BR22*$O$3/Thousands</f>
        <v>0</v>
      </c>
      <c r="S13" s="251">
        <f>Reg_Forecast!BS22*$O$3/Thousands</f>
        <v>0.71705189043395856</v>
      </c>
      <c r="T13" s="368">
        <f t="shared" si="3"/>
        <v>12.876950150107202</v>
      </c>
      <c r="V13" s="157"/>
      <c r="X13" s="1" t="s">
        <v>399</v>
      </c>
      <c r="Z13" s="695">
        <f>O16</f>
        <v>3.4463803434522829E-2</v>
      </c>
      <c r="AA13" s="699">
        <f>P16</f>
        <v>0.35957830914901212</v>
      </c>
      <c r="AB13" s="699">
        <f>Q16</f>
        <v>0.62200822944582979</v>
      </c>
      <c r="AC13" s="699">
        <f>R16</f>
        <v>0.89897381785923081</v>
      </c>
      <c r="AD13" s="700">
        <f>S16</f>
        <v>0.97188744019192952</v>
      </c>
      <c r="AE13" s="698">
        <f t="shared" si="2"/>
        <v>2.8869116000805253</v>
      </c>
      <c r="AF13" s="41"/>
    </row>
    <row r="14" spans="2:32" x14ac:dyDescent="0.25">
      <c r="C14" s="1" t="s">
        <v>50</v>
      </c>
      <c r="D14" s="90">
        <v>5.0265670949548289</v>
      </c>
      <c r="E14" s="90">
        <v>6.5548071296747672</v>
      </c>
      <c r="F14" s="90">
        <v>6.1607829749307585</v>
      </c>
      <c r="G14" s="235">
        <v>4.9603971712309995</v>
      </c>
      <c r="H14" s="111">
        <v>6.0558664631467227</v>
      </c>
      <c r="I14" s="181"/>
      <c r="J14" s="246"/>
      <c r="K14" s="246"/>
      <c r="L14" s="389"/>
      <c r="M14" s="389"/>
      <c r="N14" s="592">
        <v>4.0196303404444453</v>
      </c>
      <c r="O14" s="89">
        <f>Reg_Forecast!BO23*$O$3/Thousands</f>
        <v>8.2778246142633236</v>
      </c>
      <c r="P14" s="90">
        <f>Reg_Forecast!BP23*$O$3/Thousands</f>
        <v>6.8578035546292444</v>
      </c>
      <c r="Q14" s="90">
        <f>Reg_Forecast!BQ23*$O$3/Thousands</f>
        <v>6.0096059594109406</v>
      </c>
      <c r="R14" s="90">
        <f>Reg_Forecast!BR23*$O$3/Thousands</f>
        <v>9.8387666118723267</v>
      </c>
      <c r="S14" s="251">
        <f>Reg_Forecast!BS23*$O$3/Thousands</f>
        <v>10.461713138040855</v>
      </c>
      <c r="T14" s="368">
        <f t="shared" si="3"/>
        <v>41.445713878216687</v>
      </c>
      <c r="U14" s="90"/>
      <c r="V14" s="157"/>
      <c r="X14" s="1" t="s">
        <v>795</v>
      </c>
      <c r="Z14" s="695">
        <f>O15</f>
        <v>1.3171051977590322</v>
      </c>
      <c r="AA14" s="701">
        <v>0</v>
      </c>
      <c r="AB14" s="701">
        <v>0</v>
      </c>
      <c r="AC14" s="701">
        <v>0</v>
      </c>
      <c r="AD14" s="702">
        <v>0</v>
      </c>
      <c r="AE14" s="698">
        <f t="shared" si="2"/>
        <v>1.3171051977590322</v>
      </c>
      <c r="AF14" s="41"/>
    </row>
    <row r="15" spans="2:32" x14ac:dyDescent="0.25">
      <c r="C15" s="1" t="s">
        <v>591</v>
      </c>
      <c r="D15" s="90"/>
      <c r="E15" s="90"/>
      <c r="F15" s="90"/>
      <c r="G15" s="235"/>
      <c r="H15" s="111"/>
      <c r="I15" s="181"/>
      <c r="J15" s="246"/>
      <c r="K15" s="246"/>
      <c r="L15" s="389"/>
      <c r="M15" s="389"/>
      <c r="N15" s="592">
        <v>0.16101271048294152</v>
      </c>
      <c r="O15" s="89">
        <f>Reg_Forecast!BO24*$O$3/Thousands</f>
        <v>1.3171051977590322</v>
      </c>
      <c r="P15" s="90">
        <f>Reg_Forecast!BP24*$O$3/Thousands</f>
        <v>0</v>
      </c>
      <c r="Q15" s="90">
        <f>Reg_Forecast!BQ24*$O$3/Thousands</f>
        <v>0</v>
      </c>
      <c r="R15" s="90">
        <f>Reg_Forecast!BR24*$O$3/Thousands</f>
        <v>0</v>
      </c>
      <c r="S15" s="251">
        <f>Reg_Forecast!BS24*$O$3/Thousands</f>
        <v>4.887283365109437</v>
      </c>
      <c r="T15" s="368">
        <f t="shared" ref="T15" si="4">SUM(O15:S15)</f>
        <v>6.204388562868469</v>
      </c>
      <c r="U15" s="90"/>
      <c r="V15" s="157"/>
      <c r="X15" s="1" t="s">
        <v>796</v>
      </c>
      <c r="Z15" s="703">
        <v>0</v>
      </c>
      <c r="AA15" s="701">
        <v>0</v>
      </c>
      <c r="AB15" s="701">
        <v>0</v>
      </c>
      <c r="AC15" s="701">
        <v>0</v>
      </c>
      <c r="AD15" s="697">
        <f>S15</f>
        <v>4.887283365109437</v>
      </c>
      <c r="AE15" s="698">
        <f t="shared" si="2"/>
        <v>4.887283365109437</v>
      </c>
      <c r="AF15" s="41"/>
    </row>
    <row r="16" spans="2:32" x14ac:dyDescent="0.25">
      <c r="C16" s="1" t="s">
        <v>399</v>
      </c>
      <c r="D16" s="91">
        <v>0</v>
      </c>
      <c r="E16" s="91">
        <v>0</v>
      </c>
      <c r="F16" s="91">
        <v>0</v>
      </c>
      <c r="G16" s="233">
        <v>0</v>
      </c>
      <c r="H16" s="91">
        <v>0</v>
      </c>
      <c r="I16" s="182"/>
      <c r="J16" s="247"/>
      <c r="K16" s="247"/>
      <c r="L16" s="390"/>
      <c r="M16" s="390"/>
      <c r="N16" s="593">
        <v>2.0127897242154011E-2</v>
      </c>
      <c r="O16" s="237">
        <f>Reg_Forecast!BO25*$O$3/Thousands</f>
        <v>3.4463803434522829E-2</v>
      </c>
      <c r="P16" s="91">
        <f>Reg_Forecast!BP25*$O$3/Thousands</f>
        <v>0.35957830914901212</v>
      </c>
      <c r="Q16" s="91">
        <f>Reg_Forecast!BQ25*$O$3/Thousands</f>
        <v>0.62200822944582979</v>
      </c>
      <c r="R16" s="91">
        <f>Reg_Forecast!BR25*$O$3/Thousands</f>
        <v>0.89897381785923081</v>
      </c>
      <c r="S16" s="252">
        <f>Reg_Forecast!BS25*$O$3/Thousands</f>
        <v>0.97188744019192952</v>
      </c>
      <c r="T16" s="369">
        <f t="shared" si="3"/>
        <v>2.8869116000805253</v>
      </c>
      <c r="V16" s="157"/>
      <c r="X16" s="1" t="s">
        <v>797</v>
      </c>
      <c r="Z16" s="695">
        <f>SUM(Other_NN!BE8:BE9)*Escalators!$P$14/Thousands</f>
        <v>3.3884985354993771</v>
      </c>
      <c r="AA16" s="696">
        <f>SUM(Other_NN!BF8:BF9)*Escalators!$P$14/Thousands</f>
        <v>2.1306653122141386</v>
      </c>
      <c r="AB16" s="696">
        <f>SUM(Other_NN!BG8:BG9)*Escalators!$P$14/Thousands</f>
        <v>0.86185026346891502</v>
      </c>
      <c r="AC16" s="696">
        <f>SUM(Other_NN!BH8:BH9)*Escalators!$P$14/Thousands</f>
        <v>2.5193730781812458</v>
      </c>
      <c r="AD16" s="697">
        <f>SUM(Other_NN!BI8:BI9)*Escalators!$P$14/Thousands</f>
        <v>4.3961925390229473</v>
      </c>
      <c r="AE16" s="698">
        <f t="shared" si="2"/>
        <v>13.296579728386625</v>
      </c>
      <c r="AF16" s="41"/>
    </row>
    <row r="17" spans="3:32" x14ac:dyDescent="0.25">
      <c r="C17" s="56" t="s">
        <v>146</v>
      </c>
      <c r="D17" s="90">
        <f t="shared" ref="D17:S17" si="5">SUM(D9:D16)</f>
        <v>289.35507544945682</v>
      </c>
      <c r="E17" s="90">
        <f t="shared" si="5"/>
        <v>331.1087479645239</v>
      </c>
      <c r="F17" s="90">
        <f t="shared" si="5"/>
        <v>386.30323145175248</v>
      </c>
      <c r="G17" s="235">
        <f t="shared" si="5"/>
        <v>428.23279606916691</v>
      </c>
      <c r="H17" s="111">
        <f t="shared" si="5"/>
        <v>359.91954343070199</v>
      </c>
      <c r="I17" s="89">
        <f t="shared" si="5"/>
        <v>0</v>
      </c>
      <c r="J17" s="90">
        <f t="shared" si="5"/>
        <v>0</v>
      </c>
      <c r="K17" s="90">
        <f t="shared" si="5"/>
        <v>0</v>
      </c>
      <c r="L17" s="90">
        <f t="shared" si="5"/>
        <v>0</v>
      </c>
      <c r="M17" s="90">
        <f t="shared" si="5"/>
        <v>0</v>
      </c>
      <c r="N17" s="346">
        <f t="shared" si="5"/>
        <v>221.60911181754804</v>
      </c>
      <c r="O17" s="89">
        <f t="shared" si="5"/>
        <v>325.3302475161006</v>
      </c>
      <c r="P17" s="90">
        <f t="shared" si="5"/>
        <v>349.02870338718679</v>
      </c>
      <c r="Q17" s="90">
        <f t="shared" si="5"/>
        <v>346.04733795278133</v>
      </c>
      <c r="R17" s="90">
        <f t="shared" si="5"/>
        <v>331.37125783825667</v>
      </c>
      <c r="S17" s="251">
        <f t="shared" si="5"/>
        <v>330.40634277844021</v>
      </c>
      <c r="T17" s="368">
        <f>SUM(T9:T16)</f>
        <v>1682.1838894727659</v>
      </c>
      <c r="X17" s="1" t="s">
        <v>798</v>
      </c>
      <c r="Z17" s="704">
        <f>(Reg_Forecast!BO21*Escalators!$P$14/Thousands-Z11)+Reg_Forecast!BO22*Escalators!$P$14/Thousands</f>
        <v>38.824049314391488</v>
      </c>
      <c r="AA17" s="705">
        <f>(Reg_Forecast!BP21*Escalators!$P$14/Thousands-AA11)+Reg_Forecast!BP22*Escalators!$P$14/Thousands</f>
        <v>27.996603607984468</v>
      </c>
      <c r="AB17" s="705">
        <f>(Reg_Forecast!BQ21*Escalators!$P$14/Thousands-AB11)+Reg_Forecast!BQ22*Escalators!$P$14/Thousands</f>
        <v>31.729686676005368</v>
      </c>
      <c r="AC17" s="705">
        <f>(Reg_Forecast!BR21*Escalators!$P$14/Thousands-AC11)+Reg_Forecast!BR22*Escalators!$P$14/Thousands</f>
        <v>25.45910418685936</v>
      </c>
      <c r="AD17" s="706">
        <f>(Reg_Forecast!BS21*Escalators!$P$14/Thousands-AD11)+Reg_Forecast!BS22*Escalators!$P$14/Thousands</f>
        <v>24.899047988246771</v>
      </c>
      <c r="AE17" s="707">
        <f t="shared" si="2"/>
        <v>148.90849177348747</v>
      </c>
      <c r="AF17" s="41"/>
    </row>
    <row r="18" spans="3:32" x14ac:dyDescent="0.25">
      <c r="C18" s="53" t="s">
        <v>133</v>
      </c>
      <c r="D18" s="53"/>
      <c r="E18" s="53"/>
      <c r="F18" s="53"/>
      <c r="G18" s="244"/>
      <c r="H18" s="244"/>
      <c r="I18" s="53"/>
      <c r="J18" s="53"/>
      <c r="K18" s="53"/>
      <c r="L18" s="245"/>
      <c r="M18" s="245"/>
      <c r="N18" s="245"/>
      <c r="O18" s="245">
        <f>O17-Reg_Forecast!BO28*$O$3/Thousands</f>
        <v>0</v>
      </c>
      <c r="P18" s="245">
        <f>P17-Reg_Forecast!BP28*$O$3/Thousands</f>
        <v>0</v>
      </c>
      <c r="Q18" s="245">
        <f>Q17-Reg_Forecast!BQ28*$O$3/Thousands</f>
        <v>0</v>
      </c>
      <c r="R18" s="245">
        <f>R17-Reg_Forecast!BR28*$O$3/Thousands</f>
        <v>0</v>
      </c>
      <c r="S18" s="245">
        <f>S17-Reg_Forecast!BS28*$O$3/Thousands</f>
        <v>0</v>
      </c>
      <c r="T18" s="51"/>
      <c r="X18" s="56" t="s">
        <v>146</v>
      </c>
      <c r="Z18" s="708">
        <f>SUM(Z8:Z17)</f>
        <v>325.3302475161006</v>
      </c>
      <c r="AA18" s="696">
        <f t="shared" ref="AA18:AD18" si="6">SUM(AA8:AA17)</f>
        <v>349.02870338718679</v>
      </c>
      <c r="AB18" s="696">
        <f t="shared" si="6"/>
        <v>346.04733795278133</v>
      </c>
      <c r="AC18" s="696">
        <f t="shared" si="6"/>
        <v>331.37125783825661</v>
      </c>
      <c r="AD18" s="697">
        <f t="shared" si="6"/>
        <v>330.40634277844021</v>
      </c>
      <c r="AE18" s="698">
        <f>SUM(AE8:AE17)</f>
        <v>1682.1838894727659</v>
      </c>
      <c r="AF18" s="41"/>
    </row>
    <row r="19" spans="3:32" x14ac:dyDescent="0.25">
      <c r="C19" s="2" t="s">
        <v>397</v>
      </c>
      <c r="D19" s="43">
        <v>2011</v>
      </c>
      <c r="E19" s="43">
        <v>2012</v>
      </c>
      <c r="F19" s="43">
        <v>2013</v>
      </c>
      <c r="G19" s="236">
        <v>2014</v>
      </c>
      <c r="H19" s="86">
        <v>2015</v>
      </c>
      <c r="I19" s="234">
        <v>2016</v>
      </c>
      <c r="J19" s="43">
        <v>2017</v>
      </c>
      <c r="K19" s="36">
        <v>2018</v>
      </c>
      <c r="L19" s="223">
        <f>CP_Yr_4</f>
        <v>43800</v>
      </c>
      <c r="M19" s="223">
        <f>CP_Yr_5</f>
        <v>44166</v>
      </c>
      <c r="N19" s="347">
        <f>Stub</f>
        <v>44377</v>
      </c>
      <c r="O19" s="339">
        <f>Yr_1</f>
        <v>44742</v>
      </c>
      <c r="P19" s="223">
        <f>Yr_2</f>
        <v>45107</v>
      </c>
      <c r="Q19" s="223">
        <f>Yr_3</f>
        <v>45473</v>
      </c>
      <c r="R19" s="223">
        <f>Yr_4</f>
        <v>45838</v>
      </c>
      <c r="S19" s="223">
        <f>Yr_5</f>
        <v>46203</v>
      </c>
      <c r="T19" s="37" t="str">
        <f>NReg_Period</f>
        <v>2022-26</v>
      </c>
      <c r="X19" s="34" t="s">
        <v>133</v>
      </c>
      <c r="Z19" s="713">
        <f t="shared" ref="Z19:AE19" si="7">Z18-O17</f>
        <v>0</v>
      </c>
      <c r="AA19" s="712">
        <f t="shared" si="7"/>
        <v>0</v>
      </c>
      <c r="AB19" s="712">
        <f t="shared" si="7"/>
        <v>0</v>
      </c>
      <c r="AC19" s="712">
        <f t="shared" si="7"/>
        <v>0</v>
      </c>
      <c r="AD19" s="714">
        <f t="shared" si="7"/>
        <v>0</v>
      </c>
      <c r="AE19" s="712">
        <f t="shared" si="7"/>
        <v>0</v>
      </c>
      <c r="AF19" s="41"/>
    </row>
    <row r="20" spans="3:32" x14ac:dyDescent="0.25">
      <c r="G20" s="41"/>
      <c r="H20" s="41"/>
      <c r="I20" s="38"/>
      <c r="N20" s="32"/>
      <c r="O20" s="38"/>
      <c r="T20" s="38"/>
      <c r="X20" s="1" t="s">
        <v>783</v>
      </c>
      <c r="Z20" s="711">
        <v>0.20375128830135841</v>
      </c>
      <c r="AA20" s="709">
        <v>0.14292835785760527</v>
      </c>
      <c r="AB20" s="709">
        <v>0.16478102233548703</v>
      </c>
      <c r="AC20" s="709">
        <v>0.12915799707224654</v>
      </c>
      <c r="AD20" s="710">
        <v>0.1315924596363483</v>
      </c>
      <c r="AF20" s="41"/>
    </row>
    <row r="21" spans="3:32" x14ac:dyDescent="0.25">
      <c r="C21" s="1" t="s">
        <v>44</v>
      </c>
      <c r="D21" s="90">
        <v>0</v>
      </c>
      <c r="E21" s="90">
        <v>0</v>
      </c>
      <c r="F21" s="90">
        <v>0</v>
      </c>
      <c r="G21" s="235">
        <v>0</v>
      </c>
      <c r="H21" s="111">
        <v>20.463685802895935</v>
      </c>
      <c r="I21" s="181"/>
      <c r="J21" s="246"/>
      <c r="K21" s="246"/>
      <c r="L21" s="389"/>
      <c r="M21" s="389"/>
      <c r="N21" s="592">
        <v>8.3543240491890423</v>
      </c>
      <c r="O21" s="586">
        <f>'Input from Connections Model'!G47</f>
        <v>9.6726426825158587</v>
      </c>
      <c r="P21" s="587">
        <f>'Input from Connections Model'!H47</f>
        <v>14.307623714435568</v>
      </c>
      <c r="Q21" s="587">
        <f>'Input from Connections Model'!I47</f>
        <v>11.959865386610414</v>
      </c>
      <c r="R21" s="587">
        <f>'Input from Connections Model'!J47</f>
        <v>12.001158985416295</v>
      </c>
      <c r="S21" s="588">
        <f>'Input from Connections Model'!K47</f>
        <v>12.044040461146144</v>
      </c>
      <c r="T21" s="90">
        <f>SUM(O21:S21)</f>
        <v>59.985331230124281</v>
      </c>
      <c r="U21" s="54"/>
      <c r="AF21" s="41"/>
    </row>
    <row r="22" spans="3:32" x14ac:dyDescent="0.25">
      <c r="C22" s="1" t="s">
        <v>45</v>
      </c>
      <c r="D22" s="90">
        <v>29.614305869999999</v>
      </c>
      <c r="E22" s="90">
        <v>24.698322760000003</v>
      </c>
      <c r="F22" s="90">
        <v>22.796053150000002</v>
      </c>
      <c r="G22" s="235">
        <v>44.588195179126274</v>
      </c>
      <c r="H22" s="111">
        <v>25.80343545241022</v>
      </c>
      <c r="I22" s="181"/>
      <c r="J22" s="246"/>
      <c r="K22" s="246"/>
      <c r="L22" s="389"/>
      <c r="M22" s="389"/>
      <c r="N22" s="592">
        <v>27.473509049979015</v>
      </c>
      <c r="O22" s="586">
        <f>'Input from Connections Model'!G48</f>
        <v>30.940262658123125</v>
      </c>
      <c r="P22" s="587">
        <f>'Input from Connections Model'!H48</f>
        <v>53.375609731544621</v>
      </c>
      <c r="Q22" s="587">
        <f>'Input from Connections Model'!I48</f>
        <v>53.531906843924801</v>
      </c>
      <c r="R22" s="587">
        <f>'Input from Connections Model'!J48</f>
        <v>54.02079384955092</v>
      </c>
      <c r="S22" s="588">
        <f>'Input from Connections Model'!K48</f>
        <v>54.437505016684547</v>
      </c>
      <c r="T22" s="90">
        <f t="shared" ref="T22:T28" si="8">SUM(O22:S22)</f>
        <v>246.30607809982803</v>
      </c>
      <c r="U22" s="54"/>
      <c r="X22" s="2" t="s">
        <v>397</v>
      </c>
      <c r="Z22" s="692">
        <f t="shared" ref="Z22:AE22" si="9">O19</f>
        <v>44742</v>
      </c>
      <c r="AA22" s="691">
        <f t="shared" si="9"/>
        <v>45107</v>
      </c>
      <c r="AB22" s="691">
        <f t="shared" si="9"/>
        <v>45473</v>
      </c>
      <c r="AC22" s="691">
        <f t="shared" si="9"/>
        <v>45838</v>
      </c>
      <c r="AD22" s="693">
        <f t="shared" si="9"/>
        <v>46203</v>
      </c>
      <c r="AE22" s="690" t="str">
        <f t="shared" si="9"/>
        <v>2022-26</v>
      </c>
    </row>
    <row r="23" spans="3:32" x14ac:dyDescent="0.25">
      <c r="C23" s="1" t="s">
        <v>48</v>
      </c>
      <c r="D23" s="90">
        <v>0</v>
      </c>
      <c r="E23" s="90">
        <v>0</v>
      </c>
      <c r="F23" s="90">
        <v>0</v>
      </c>
      <c r="G23" s="235">
        <v>0</v>
      </c>
      <c r="H23" s="111">
        <v>0</v>
      </c>
      <c r="I23" s="181"/>
      <c r="J23" s="246"/>
      <c r="K23" s="246"/>
      <c r="L23" s="389"/>
      <c r="M23" s="389"/>
      <c r="N23" s="592">
        <v>0</v>
      </c>
      <c r="O23" s="586">
        <f>'Input from Connections Model'!G49</f>
        <v>0</v>
      </c>
      <c r="P23" s="587">
        <f>'Input from Connections Model'!H49</f>
        <v>0</v>
      </c>
      <c r="Q23" s="587">
        <f>'Input from Connections Model'!I49</f>
        <v>0</v>
      </c>
      <c r="R23" s="587">
        <f>'Input from Connections Model'!J49</f>
        <v>0</v>
      </c>
      <c r="S23" s="588">
        <f>'Input from Connections Model'!K49</f>
        <v>0</v>
      </c>
      <c r="T23" s="90">
        <f t="shared" si="8"/>
        <v>0</v>
      </c>
      <c r="X23" s="1" t="str">
        <f>X8</f>
        <v>Subtransmission</v>
      </c>
      <c r="Z23" s="708">
        <f t="shared" ref="Z23:AD28" si="10">O21</f>
        <v>9.6726426825158587</v>
      </c>
      <c r="AA23" s="316">
        <f t="shared" si="10"/>
        <v>14.307623714435568</v>
      </c>
      <c r="AB23" s="316">
        <f t="shared" si="10"/>
        <v>11.959865386610414</v>
      </c>
      <c r="AC23" s="316">
        <f t="shared" si="10"/>
        <v>12.001158985416295</v>
      </c>
      <c r="AD23" s="697">
        <f t="shared" si="10"/>
        <v>12.044040461146144</v>
      </c>
      <c r="AE23" s="698">
        <f t="shared" ref="AE23:AE32" si="11">SUM(Z23:AD23)</f>
        <v>59.985331230124281</v>
      </c>
    </row>
    <row r="24" spans="3:32" x14ac:dyDescent="0.25">
      <c r="C24" s="1" t="s">
        <v>49</v>
      </c>
      <c r="D24" s="90">
        <v>0</v>
      </c>
      <c r="E24" s="90">
        <v>0</v>
      </c>
      <c r="F24" s="90">
        <v>0</v>
      </c>
      <c r="G24" s="235">
        <v>0</v>
      </c>
      <c r="H24" s="111">
        <v>0</v>
      </c>
      <c r="I24" s="181"/>
      <c r="J24" s="246"/>
      <c r="K24" s="246"/>
      <c r="L24" s="389"/>
      <c r="M24" s="389"/>
      <c r="N24" s="592">
        <v>0</v>
      </c>
      <c r="O24" s="586">
        <f>'Input from Connections Model'!G50</f>
        <v>0</v>
      </c>
      <c r="P24" s="587">
        <f>'Input from Connections Model'!H50</f>
        <v>0</v>
      </c>
      <c r="Q24" s="587">
        <f>'Input from Connections Model'!I50</f>
        <v>0</v>
      </c>
      <c r="R24" s="587">
        <f>'Input from Connections Model'!J50</f>
        <v>0</v>
      </c>
      <c r="S24" s="588">
        <f>'Input from Connections Model'!K50</f>
        <v>0</v>
      </c>
      <c r="T24" s="90">
        <f t="shared" si="8"/>
        <v>0</v>
      </c>
      <c r="X24" s="1" t="str">
        <f t="shared" ref="X24:X33" si="12">X9</f>
        <v>Distribution system assets</v>
      </c>
      <c r="Z24" s="708">
        <f t="shared" si="10"/>
        <v>30.940262658123125</v>
      </c>
      <c r="AA24" s="316">
        <f t="shared" si="10"/>
        <v>53.375609731544621</v>
      </c>
      <c r="AB24" s="316">
        <f t="shared" si="10"/>
        <v>53.531906843924801</v>
      </c>
      <c r="AC24" s="316">
        <f t="shared" si="10"/>
        <v>54.02079384955092</v>
      </c>
      <c r="AD24" s="697">
        <f t="shared" si="10"/>
        <v>54.437505016684547</v>
      </c>
      <c r="AE24" s="698">
        <f t="shared" si="11"/>
        <v>246.30607809982803</v>
      </c>
    </row>
    <row r="25" spans="3:32" x14ac:dyDescent="0.25">
      <c r="C25" s="1" t="s">
        <v>521</v>
      </c>
      <c r="D25" s="90"/>
      <c r="E25" s="90"/>
      <c r="F25" s="90"/>
      <c r="G25" s="235"/>
      <c r="H25" s="111"/>
      <c r="I25" s="181"/>
      <c r="J25" s="246"/>
      <c r="K25" s="246"/>
      <c r="L25" s="389"/>
      <c r="M25" s="389"/>
      <c r="N25" s="592">
        <v>0</v>
      </c>
      <c r="O25" s="586">
        <f>'Input from Connections Model'!G51</f>
        <v>0</v>
      </c>
      <c r="P25" s="587">
        <f>'Input from Connections Model'!H51</f>
        <v>0</v>
      </c>
      <c r="Q25" s="587">
        <f>'Input from Connections Model'!I51</f>
        <v>0</v>
      </c>
      <c r="R25" s="587">
        <f>'Input from Connections Model'!J51</f>
        <v>0</v>
      </c>
      <c r="S25" s="588">
        <f>'Input from Connections Model'!K51</f>
        <v>0</v>
      </c>
      <c r="T25" s="90">
        <f t="shared" ref="T25" si="13">SUM(O25:S25)</f>
        <v>0</v>
      </c>
      <c r="X25" s="1" t="str">
        <f t="shared" si="12"/>
        <v>SCADA/Network control</v>
      </c>
      <c r="Z25" s="708">
        <f t="shared" si="10"/>
        <v>0</v>
      </c>
      <c r="AA25" s="316">
        <f t="shared" si="10"/>
        <v>0</v>
      </c>
      <c r="AB25" s="316">
        <f t="shared" si="10"/>
        <v>0</v>
      </c>
      <c r="AC25" s="316">
        <f t="shared" si="10"/>
        <v>0</v>
      </c>
      <c r="AD25" s="697">
        <f t="shared" si="10"/>
        <v>0</v>
      </c>
      <c r="AE25" s="698">
        <f t="shared" si="11"/>
        <v>0</v>
      </c>
    </row>
    <row r="26" spans="3:32" x14ac:dyDescent="0.25">
      <c r="C26" s="1" t="s">
        <v>50</v>
      </c>
      <c r="D26" s="90">
        <v>0</v>
      </c>
      <c r="E26" s="90">
        <v>0</v>
      </c>
      <c r="F26" s="90">
        <v>0</v>
      </c>
      <c r="G26" s="235">
        <v>0</v>
      </c>
      <c r="H26" s="111">
        <v>0</v>
      </c>
      <c r="I26" s="181"/>
      <c r="J26" s="246"/>
      <c r="K26" s="246"/>
      <c r="L26" s="389"/>
      <c r="M26" s="389"/>
      <c r="N26" s="592">
        <v>0</v>
      </c>
      <c r="O26" s="586">
        <f>'Input from Connections Model'!G52</f>
        <v>0</v>
      </c>
      <c r="P26" s="587">
        <f>'Input from Connections Model'!H52</f>
        <v>0</v>
      </c>
      <c r="Q26" s="587">
        <f>'Input from Connections Model'!I52</f>
        <v>0</v>
      </c>
      <c r="R26" s="587">
        <f>'Input from Connections Model'!J52</f>
        <v>0</v>
      </c>
      <c r="S26" s="588">
        <f>'Input from Connections Model'!K52</f>
        <v>0</v>
      </c>
      <c r="T26" s="90">
        <f t="shared" si="8"/>
        <v>0</v>
      </c>
      <c r="X26" s="1" t="str">
        <f t="shared" si="12"/>
        <v>Non-network general assets - IT</v>
      </c>
      <c r="Z26" s="708">
        <f t="shared" si="10"/>
        <v>0</v>
      </c>
      <c r="AA26" s="316">
        <f t="shared" si="10"/>
        <v>0</v>
      </c>
      <c r="AB26" s="316">
        <f t="shared" si="10"/>
        <v>0</v>
      </c>
      <c r="AC26" s="316">
        <f t="shared" si="10"/>
        <v>0</v>
      </c>
      <c r="AD26" s="697">
        <f t="shared" si="10"/>
        <v>0</v>
      </c>
      <c r="AE26" s="698">
        <f t="shared" si="11"/>
        <v>0</v>
      </c>
    </row>
    <row r="27" spans="3:32" x14ac:dyDescent="0.25">
      <c r="C27" s="1" t="s">
        <v>591</v>
      </c>
      <c r="D27" s="90"/>
      <c r="E27" s="90"/>
      <c r="F27" s="90"/>
      <c r="G27" s="235"/>
      <c r="H27" s="111"/>
      <c r="I27" s="181"/>
      <c r="J27" s="246"/>
      <c r="K27" s="246"/>
      <c r="L27" s="389"/>
      <c r="M27" s="389"/>
      <c r="N27" s="592">
        <v>0</v>
      </c>
      <c r="O27" s="586">
        <f>'Input from Connections Model'!G53</f>
        <v>0</v>
      </c>
      <c r="P27" s="587">
        <f>'Input from Connections Model'!H53</f>
        <v>0</v>
      </c>
      <c r="Q27" s="587">
        <f>'Input from Connections Model'!I53</f>
        <v>0</v>
      </c>
      <c r="R27" s="587">
        <f>'Input from Connections Model'!J53</f>
        <v>0</v>
      </c>
      <c r="S27" s="588">
        <f>'Input from Connections Model'!K53</f>
        <v>0</v>
      </c>
      <c r="T27" s="90">
        <f t="shared" si="8"/>
        <v>0</v>
      </c>
      <c r="X27" s="1" t="str">
        <f t="shared" si="12"/>
        <v>Non-network general assets - Other</v>
      </c>
      <c r="Z27" s="708">
        <f t="shared" si="10"/>
        <v>0</v>
      </c>
      <c r="AA27" s="316">
        <f t="shared" si="10"/>
        <v>0</v>
      </c>
      <c r="AB27" s="316">
        <f t="shared" si="10"/>
        <v>0</v>
      </c>
      <c r="AC27" s="316">
        <f t="shared" si="10"/>
        <v>0</v>
      </c>
      <c r="AD27" s="697">
        <f t="shared" si="10"/>
        <v>0</v>
      </c>
      <c r="AE27" s="698">
        <f t="shared" si="11"/>
        <v>0</v>
      </c>
    </row>
    <row r="28" spans="3:32" x14ac:dyDescent="0.25">
      <c r="C28" s="1" t="s">
        <v>399</v>
      </c>
      <c r="D28" s="91">
        <v>0</v>
      </c>
      <c r="E28" s="91">
        <v>0</v>
      </c>
      <c r="F28" s="91">
        <v>0</v>
      </c>
      <c r="G28" s="233">
        <v>0</v>
      </c>
      <c r="H28" s="91">
        <v>0</v>
      </c>
      <c r="I28" s="182"/>
      <c r="J28" s="247"/>
      <c r="K28" s="247"/>
      <c r="L28" s="390"/>
      <c r="M28" s="390"/>
      <c r="N28" s="594">
        <v>0</v>
      </c>
      <c r="O28" s="589">
        <f>'Input from Connections Model'!G54</f>
        <v>0</v>
      </c>
      <c r="P28" s="590">
        <f>'Input from Connections Model'!H54</f>
        <v>0</v>
      </c>
      <c r="Q28" s="590">
        <f>'Input from Connections Model'!I54</f>
        <v>0</v>
      </c>
      <c r="R28" s="590">
        <f>'Input from Connections Model'!J54</f>
        <v>0</v>
      </c>
      <c r="S28" s="591">
        <f>'Input from Connections Model'!K54</f>
        <v>0</v>
      </c>
      <c r="T28" s="91">
        <f t="shared" si="8"/>
        <v>0</v>
      </c>
      <c r="X28" s="1" t="str">
        <f t="shared" si="12"/>
        <v>Land</v>
      </c>
      <c r="Z28" s="708">
        <f t="shared" si="10"/>
        <v>0</v>
      </c>
      <c r="AA28" s="316">
        <f t="shared" si="10"/>
        <v>0</v>
      </c>
      <c r="AB28" s="316">
        <f t="shared" si="10"/>
        <v>0</v>
      </c>
      <c r="AC28" s="316">
        <f t="shared" si="10"/>
        <v>0</v>
      </c>
      <c r="AD28" s="697">
        <f t="shared" si="10"/>
        <v>0</v>
      </c>
      <c r="AE28" s="698">
        <f t="shared" si="11"/>
        <v>0</v>
      </c>
    </row>
    <row r="29" spans="3:32" x14ac:dyDescent="0.25">
      <c r="C29" s="56" t="s">
        <v>146</v>
      </c>
      <c r="D29" s="90">
        <f t="shared" ref="D29:T29" si="14">SUM(D21:D28)</f>
        <v>29.614305869999999</v>
      </c>
      <c r="E29" s="90">
        <f t="shared" si="14"/>
        <v>24.698322760000003</v>
      </c>
      <c r="F29" s="90">
        <f t="shared" si="14"/>
        <v>22.796053150000002</v>
      </c>
      <c r="G29" s="235">
        <f t="shared" si="14"/>
        <v>44.588195179126274</v>
      </c>
      <c r="H29" s="111">
        <f t="shared" si="14"/>
        <v>46.267121255306151</v>
      </c>
      <c r="I29" s="89">
        <f t="shared" si="14"/>
        <v>0</v>
      </c>
      <c r="J29" s="90">
        <f t="shared" si="14"/>
        <v>0</v>
      </c>
      <c r="K29" s="90">
        <f t="shared" si="14"/>
        <v>0</v>
      </c>
      <c r="L29" s="90">
        <f t="shared" si="14"/>
        <v>0</v>
      </c>
      <c r="M29" s="90">
        <f t="shared" si="14"/>
        <v>0</v>
      </c>
      <c r="N29" s="346">
        <f t="shared" si="14"/>
        <v>35.82783309916806</v>
      </c>
      <c r="O29" s="89">
        <f t="shared" si="14"/>
        <v>40.612905340638981</v>
      </c>
      <c r="P29" s="90">
        <f t="shared" si="14"/>
        <v>67.683233445980193</v>
      </c>
      <c r="Q29" s="90">
        <f t="shared" si="14"/>
        <v>65.491772230535219</v>
      </c>
      <c r="R29" s="90">
        <f t="shared" si="14"/>
        <v>66.021952834967209</v>
      </c>
      <c r="S29" s="251">
        <f t="shared" si="14"/>
        <v>66.481545477830693</v>
      </c>
      <c r="T29" s="90">
        <f t="shared" si="14"/>
        <v>306.29140932995233</v>
      </c>
      <c r="X29" s="1" t="str">
        <f t="shared" si="12"/>
        <v>Non- Network Leasehold Land &amp; Buildings - 2021-22</v>
      </c>
      <c r="Z29" s="708">
        <f>Z28</f>
        <v>0</v>
      </c>
      <c r="AA29" s="316">
        <f t="shared" ref="AA29:AA32" si="15">AA28</f>
        <v>0</v>
      </c>
      <c r="AB29" s="316">
        <f t="shared" ref="AB29:AB32" si="16">AB28</f>
        <v>0</v>
      </c>
      <c r="AC29" s="316">
        <f t="shared" ref="AC29:AC32" si="17">AC28</f>
        <v>0</v>
      </c>
      <c r="AD29" s="697">
        <f t="shared" ref="AD29:AD32" si="18">AD28</f>
        <v>0</v>
      </c>
      <c r="AE29" s="698">
        <f t="shared" si="11"/>
        <v>0</v>
      </c>
    </row>
    <row r="30" spans="3:32" x14ac:dyDescent="0.25">
      <c r="C30" s="53" t="s">
        <v>133</v>
      </c>
      <c r="G30" s="41"/>
      <c r="H30" s="41"/>
      <c r="L30" s="245">
        <v>0</v>
      </c>
      <c r="M30" s="245">
        <v>0</v>
      </c>
      <c r="N30" s="245">
        <v>0</v>
      </c>
      <c r="O30" s="245">
        <v>0</v>
      </c>
      <c r="P30" s="245">
        <v>0</v>
      </c>
      <c r="Q30" s="245">
        <v>0</v>
      </c>
      <c r="R30" s="245">
        <v>0</v>
      </c>
      <c r="S30" s="245">
        <v>0</v>
      </c>
      <c r="X30" s="1" t="str">
        <f t="shared" si="12"/>
        <v>Non- Network Leasehold Land &amp; Buildings - 2025-26</v>
      </c>
      <c r="Z30" s="708">
        <f t="shared" ref="Z30:Z32" si="19">Z29</f>
        <v>0</v>
      </c>
      <c r="AA30" s="316">
        <f t="shared" si="15"/>
        <v>0</v>
      </c>
      <c r="AB30" s="316">
        <f t="shared" si="16"/>
        <v>0</v>
      </c>
      <c r="AC30" s="316">
        <f t="shared" si="17"/>
        <v>0</v>
      </c>
      <c r="AD30" s="697">
        <f t="shared" si="18"/>
        <v>0</v>
      </c>
      <c r="AE30" s="698">
        <f t="shared" si="11"/>
        <v>0</v>
      </c>
    </row>
    <row r="31" spans="3:32" x14ac:dyDescent="0.25">
      <c r="C31" s="2" t="s">
        <v>398</v>
      </c>
      <c r="D31" s="43">
        <v>2011</v>
      </c>
      <c r="E31" s="43">
        <v>2012</v>
      </c>
      <c r="F31" s="43">
        <v>2013</v>
      </c>
      <c r="G31" s="236">
        <v>2014</v>
      </c>
      <c r="H31" s="86">
        <v>2015</v>
      </c>
      <c r="I31" s="234">
        <v>2016</v>
      </c>
      <c r="J31" s="43">
        <v>2017</v>
      </c>
      <c r="K31" s="36">
        <v>2018</v>
      </c>
      <c r="L31" s="223">
        <f>CP_Yr_4</f>
        <v>43800</v>
      </c>
      <c r="M31" s="223">
        <f>CP_Yr_5</f>
        <v>44166</v>
      </c>
      <c r="N31" s="347">
        <f>Stub</f>
        <v>44377</v>
      </c>
      <c r="O31" s="339">
        <f>Yr_1</f>
        <v>44742</v>
      </c>
      <c r="P31" s="223">
        <f>Yr_2</f>
        <v>45107</v>
      </c>
      <c r="Q31" s="223">
        <f>Yr_3</f>
        <v>45473</v>
      </c>
      <c r="R31" s="223">
        <f>Yr_4</f>
        <v>45838</v>
      </c>
      <c r="S31" s="345">
        <f>Yr_5</f>
        <v>46203</v>
      </c>
      <c r="T31" s="229" t="str">
        <f>NReg_Period</f>
        <v>2022-26</v>
      </c>
      <c r="X31" s="1" t="str">
        <f t="shared" si="12"/>
        <v>Buildings</v>
      </c>
      <c r="Z31" s="708">
        <f t="shared" si="19"/>
        <v>0</v>
      </c>
      <c r="AA31" s="316">
        <f t="shared" si="15"/>
        <v>0</v>
      </c>
      <c r="AB31" s="316">
        <f t="shared" si="16"/>
        <v>0</v>
      </c>
      <c r="AC31" s="316">
        <f t="shared" si="17"/>
        <v>0</v>
      </c>
      <c r="AD31" s="697">
        <f t="shared" si="18"/>
        <v>0</v>
      </c>
      <c r="AE31" s="698">
        <f t="shared" si="11"/>
        <v>0</v>
      </c>
    </row>
    <row r="32" spans="3:32" x14ac:dyDescent="0.25">
      <c r="G32" s="41"/>
      <c r="H32" s="41"/>
      <c r="I32" s="38"/>
      <c r="N32" s="32"/>
      <c r="O32" s="38"/>
      <c r="S32" s="250"/>
      <c r="X32" s="1" t="str">
        <f t="shared" si="12"/>
        <v>in-house software</v>
      </c>
      <c r="Z32" s="708">
        <f t="shared" si="19"/>
        <v>0</v>
      </c>
      <c r="AA32" s="316">
        <f t="shared" si="15"/>
        <v>0</v>
      </c>
      <c r="AB32" s="316">
        <f t="shared" si="16"/>
        <v>0</v>
      </c>
      <c r="AC32" s="316">
        <f t="shared" si="17"/>
        <v>0</v>
      </c>
      <c r="AD32" s="697">
        <f t="shared" si="18"/>
        <v>0</v>
      </c>
      <c r="AE32" s="698">
        <f t="shared" si="11"/>
        <v>0</v>
      </c>
    </row>
    <row r="33" spans="3:31" x14ac:dyDescent="0.25">
      <c r="C33" s="1" t="s">
        <v>44</v>
      </c>
      <c r="D33" s="90">
        <f>ROUND(D9-D21,8)</f>
        <v>22.22141697</v>
      </c>
      <c r="E33" s="90">
        <f t="shared" ref="E33:S33" si="20">E9-E21</f>
        <v>44.068269104737396</v>
      </c>
      <c r="F33" s="90">
        <f t="shared" si="20"/>
        <v>63.80349995248401</v>
      </c>
      <c r="G33" s="235">
        <f t="shared" si="20"/>
        <v>63.116820701394637</v>
      </c>
      <c r="H33" s="111">
        <f t="shared" si="20"/>
        <v>15.406026395301641</v>
      </c>
      <c r="I33" s="181">
        <f t="shared" si="20"/>
        <v>0</v>
      </c>
      <c r="J33" s="246">
        <f t="shared" si="20"/>
        <v>0</v>
      </c>
      <c r="K33" s="246">
        <f t="shared" si="20"/>
        <v>0</v>
      </c>
      <c r="L33" s="389">
        <f t="shared" si="20"/>
        <v>0</v>
      </c>
      <c r="M33" s="389">
        <f t="shared" si="20"/>
        <v>0</v>
      </c>
      <c r="N33" s="592">
        <f t="shared" si="20"/>
        <v>30.724163824744483</v>
      </c>
      <c r="O33" s="89">
        <f t="shared" si="20"/>
        <v>45.538118259971597</v>
      </c>
      <c r="P33" s="90">
        <f t="shared" si="20"/>
        <v>57.012807338520673</v>
      </c>
      <c r="Q33" s="90">
        <f t="shared" si="20"/>
        <v>58.247752972583612</v>
      </c>
      <c r="R33" s="90">
        <f t="shared" si="20"/>
        <v>46.253575110778741</v>
      </c>
      <c r="S33" s="251">
        <f t="shared" si="20"/>
        <v>35.342165315809879</v>
      </c>
      <c r="T33" s="90">
        <f>SUM(O33:S33)</f>
        <v>242.3944189976645</v>
      </c>
      <c r="X33" s="56" t="str">
        <f t="shared" si="12"/>
        <v>Total</v>
      </c>
      <c r="Z33" s="715">
        <f>SUM(Z23:Z32)</f>
        <v>40.612905340638981</v>
      </c>
      <c r="AA33" s="716">
        <f t="shared" ref="AA33" si="21">SUM(AA23:AA32)</f>
        <v>67.683233445980193</v>
      </c>
      <c r="AB33" s="716">
        <f t="shared" ref="AB33" si="22">SUM(AB23:AB32)</f>
        <v>65.491772230535219</v>
      </c>
      <c r="AC33" s="716">
        <f t="shared" ref="AC33" si="23">SUM(AC23:AC32)</f>
        <v>66.021952834967209</v>
      </c>
      <c r="AD33" s="717">
        <f t="shared" ref="AD33" si="24">SUM(AD23:AD32)</f>
        <v>66.481545477830693</v>
      </c>
      <c r="AE33" s="718">
        <f>SUM(AE23:AE32)</f>
        <v>306.29140932995233</v>
      </c>
    </row>
    <row r="34" spans="3:31" x14ac:dyDescent="0.25">
      <c r="C34" s="1" t="s">
        <v>45</v>
      </c>
      <c r="D34" s="90">
        <f>D10-D22</f>
        <v>184.60461494260306</v>
      </c>
      <c r="E34" s="90">
        <f t="shared" ref="E34:S34" si="25">E10-E22</f>
        <v>204.3576989753418</v>
      </c>
      <c r="F34" s="90">
        <f t="shared" si="25"/>
        <v>241.40917136001659</v>
      </c>
      <c r="G34" s="235">
        <f t="shared" si="25"/>
        <v>281.80539407253184</v>
      </c>
      <c r="H34" s="111">
        <f t="shared" si="25"/>
        <v>259.98933954107486</v>
      </c>
      <c r="I34" s="181">
        <f t="shared" si="25"/>
        <v>0</v>
      </c>
      <c r="J34" s="246">
        <f t="shared" si="25"/>
        <v>0</v>
      </c>
      <c r="K34" s="246">
        <f t="shared" si="25"/>
        <v>0</v>
      </c>
      <c r="L34" s="389">
        <f t="shared" si="25"/>
        <v>0</v>
      </c>
      <c r="M34" s="389">
        <f t="shared" si="25"/>
        <v>0</v>
      </c>
      <c r="N34" s="592">
        <f t="shared" si="25"/>
        <v>112.78610173140308</v>
      </c>
      <c r="O34" s="89">
        <f t="shared" si="25"/>
        <v>156.38069608910664</v>
      </c>
      <c r="P34" s="90">
        <f t="shared" si="25"/>
        <v>166.46932109589869</v>
      </c>
      <c r="Q34" s="90">
        <f t="shared" si="25"/>
        <v>159.7030172321987</v>
      </c>
      <c r="R34" s="90">
        <f t="shared" si="25"/>
        <v>159.40385345838897</v>
      </c>
      <c r="S34" s="251">
        <f t="shared" si="25"/>
        <v>167.64936227024475</v>
      </c>
      <c r="T34" s="90">
        <f t="shared" ref="T34:T40" si="26">SUM(O34:S34)</f>
        <v>809.60625014583775</v>
      </c>
    </row>
    <row r="35" spans="3:31" x14ac:dyDescent="0.25">
      <c r="C35" s="1" t="s">
        <v>48</v>
      </c>
      <c r="D35" s="90">
        <f>D11-D23</f>
        <v>1.2689451272140742</v>
      </c>
      <c r="E35" s="90">
        <f t="shared" ref="E35:S35" si="27">E11-E23</f>
        <v>5.9134930672221477</v>
      </c>
      <c r="F35" s="90">
        <f t="shared" si="27"/>
        <v>1.9250731948508306</v>
      </c>
      <c r="G35" s="235">
        <f t="shared" si="27"/>
        <v>0.73591031805575635</v>
      </c>
      <c r="H35" s="111">
        <f t="shared" si="27"/>
        <v>0.17932764715778621</v>
      </c>
      <c r="I35" s="181">
        <f t="shared" si="27"/>
        <v>0</v>
      </c>
      <c r="J35" s="246">
        <f t="shared" si="27"/>
        <v>0</v>
      </c>
      <c r="K35" s="246">
        <f t="shared" si="27"/>
        <v>0</v>
      </c>
      <c r="L35" s="389">
        <f t="shared" si="27"/>
        <v>0</v>
      </c>
      <c r="M35" s="389">
        <f t="shared" si="27"/>
        <v>0</v>
      </c>
      <c r="N35" s="592">
        <f t="shared" si="27"/>
        <v>14.325025779527234</v>
      </c>
      <c r="O35" s="89">
        <f t="shared" si="27"/>
        <v>26.637700984689911</v>
      </c>
      <c r="P35" s="90">
        <f t="shared" si="27"/>
        <v>18.440443011092441</v>
      </c>
      <c r="Q35" s="90">
        <f t="shared" si="27"/>
        <v>18.121242423947372</v>
      </c>
      <c r="R35" s="90">
        <f t="shared" si="27"/>
        <v>19.719092102894432</v>
      </c>
      <c r="S35" s="251">
        <f t="shared" si="27"/>
        <v>16.048965702438753</v>
      </c>
      <c r="T35" s="90">
        <f t="shared" si="26"/>
        <v>98.967444225062906</v>
      </c>
      <c r="X35" s="308" t="s">
        <v>794</v>
      </c>
      <c r="Z35" s="692">
        <f>Yr_1</f>
        <v>44742</v>
      </c>
      <c r="AA35" s="691">
        <f>Yr_2</f>
        <v>45107</v>
      </c>
      <c r="AB35" s="691">
        <f>Yr_3</f>
        <v>45473</v>
      </c>
      <c r="AC35" s="691">
        <f>Yr_4</f>
        <v>45838</v>
      </c>
      <c r="AD35" s="693">
        <f>Yr_5</f>
        <v>46203</v>
      </c>
      <c r="AE35" s="690" t="str">
        <f>NReg_Period</f>
        <v>2022-26</v>
      </c>
    </row>
    <row r="36" spans="3:31" x14ac:dyDescent="0.25">
      <c r="C36" s="1" t="s">
        <v>49</v>
      </c>
      <c r="D36" s="90">
        <f>D12-D24</f>
        <v>46.619225442675479</v>
      </c>
      <c r="E36" s="90">
        <f t="shared" ref="E36:S36" si="28">E12-E24</f>
        <v>45.516156927547812</v>
      </c>
      <c r="F36" s="90">
        <f t="shared" si="28"/>
        <v>50.208650819470257</v>
      </c>
      <c r="G36" s="235">
        <f t="shared" si="28"/>
        <v>33.026078626827349</v>
      </c>
      <c r="H36" s="111">
        <f t="shared" si="28"/>
        <v>32.021862128714794</v>
      </c>
      <c r="I36" s="181">
        <f t="shared" si="28"/>
        <v>0</v>
      </c>
      <c r="J36" s="246">
        <f t="shared" si="28"/>
        <v>0</v>
      </c>
      <c r="K36" s="246">
        <f t="shared" si="28"/>
        <v>0</v>
      </c>
      <c r="L36" s="389">
        <f t="shared" si="28"/>
        <v>0</v>
      </c>
      <c r="M36" s="389">
        <f t="shared" si="28"/>
        <v>0</v>
      </c>
      <c r="N36" s="592">
        <f t="shared" si="28"/>
        <v>20.102988436245845</v>
      </c>
      <c r="O36" s="89">
        <f t="shared" si="28"/>
        <v>37.827411920191317</v>
      </c>
      <c r="P36" s="90">
        <f t="shared" si="28"/>
        <v>29.447711336089881</v>
      </c>
      <c r="Q36" s="90">
        <f t="shared" si="28"/>
        <v>37.153867246858439</v>
      </c>
      <c r="R36" s="90">
        <f t="shared" si="28"/>
        <v>29.235043901495747</v>
      </c>
      <c r="S36" s="251">
        <f t="shared" si="28"/>
        <v>27.846368178339901</v>
      </c>
      <c r="T36" s="90">
        <f t="shared" si="26"/>
        <v>161.5104025829753</v>
      </c>
      <c r="X36" s="41" t="str">
        <f t="shared" ref="X36:X45" si="29">X23</f>
        <v>Subtransmission</v>
      </c>
      <c r="Z36" s="802"/>
      <c r="AA36" s="803"/>
      <c r="AB36" s="803"/>
      <c r="AC36" s="803"/>
      <c r="AD36" s="804"/>
      <c r="AE36" s="805"/>
    </row>
    <row r="37" spans="3:31" x14ac:dyDescent="0.25">
      <c r="C37" s="1" t="s">
        <v>521</v>
      </c>
      <c r="D37" s="90"/>
      <c r="E37" s="90"/>
      <c r="F37" s="90"/>
      <c r="G37" s="235"/>
      <c r="H37" s="111"/>
      <c r="I37" s="181">
        <v>0</v>
      </c>
      <c r="J37" s="246">
        <v>0</v>
      </c>
      <c r="K37" s="246">
        <v>0</v>
      </c>
      <c r="L37" s="389">
        <f t="shared" ref="L37:S40" si="30">L13-L25</f>
        <v>0</v>
      </c>
      <c r="M37" s="389">
        <f t="shared" si="30"/>
        <v>0</v>
      </c>
      <c r="N37" s="592">
        <f t="shared" si="30"/>
        <v>3.6422279982897927</v>
      </c>
      <c r="O37" s="89">
        <f t="shared" si="30"/>
        <v>8.7040213060453127</v>
      </c>
      <c r="P37" s="90">
        <f t="shared" si="30"/>
        <v>2.7578052958266999</v>
      </c>
      <c r="Q37" s="90">
        <f t="shared" si="30"/>
        <v>0.69807165780123037</v>
      </c>
      <c r="R37" s="90">
        <f t="shared" si="30"/>
        <v>0</v>
      </c>
      <c r="S37" s="251">
        <f t="shared" si="30"/>
        <v>0.71705189043395856</v>
      </c>
      <c r="T37" s="90">
        <f t="shared" ref="T37" si="31">SUM(O37:S37)</f>
        <v>12.876950150107202</v>
      </c>
      <c r="X37" s="41" t="str">
        <f t="shared" si="29"/>
        <v>Distribution system assets</v>
      </c>
      <c r="Z37" s="802"/>
      <c r="AA37" s="803"/>
      <c r="AB37" s="803"/>
      <c r="AC37" s="803"/>
      <c r="AD37" s="804"/>
      <c r="AE37" s="805"/>
    </row>
    <row r="38" spans="3:31" x14ac:dyDescent="0.25">
      <c r="C38" s="1" t="s">
        <v>50</v>
      </c>
      <c r="D38" s="90">
        <f t="shared" ref="D38:K38" si="32">D14-D26</f>
        <v>5.0265670949548289</v>
      </c>
      <c r="E38" s="90">
        <f t="shared" si="32"/>
        <v>6.5548071296747672</v>
      </c>
      <c r="F38" s="90">
        <f t="shared" si="32"/>
        <v>6.1607829749307585</v>
      </c>
      <c r="G38" s="235">
        <f t="shared" si="32"/>
        <v>4.9603971712309995</v>
      </c>
      <c r="H38" s="111">
        <f t="shared" si="32"/>
        <v>6.0558664631467227</v>
      </c>
      <c r="I38" s="181">
        <f t="shared" si="32"/>
        <v>0</v>
      </c>
      <c r="J38" s="246">
        <f t="shared" si="32"/>
        <v>0</v>
      </c>
      <c r="K38" s="246">
        <f t="shared" si="32"/>
        <v>0</v>
      </c>
      <c r="L38" s="389">
        <f t="shared" si="30"/>
        <v>0</v>
      </c>
      <c r="M38" s="389">
        <f t="shared" si="30"/>
        <v>0</v>
      </c>
      <c r="N38" s="592">
        <f t="shared" si="30"/>
        <v>4.0196303404444453</v>
      </c>
      <c r="O38" s="89">
        <f t="shared" si="30"/>
        <v>8.2778246142633236</v>
      </c>
      <c r="P38" s="90">
        <f t="shared" si="30"/>
        <v>6.8578035546292444</v>
      </c>
      <c r="Q38" s="90">
        <f t="shared" si="30"/>
        <v>6.0096059594109406</v>
      </c>
      <c r="R38" s="90">
        <f t="shared" si="30"/>
        <v>9.8387666118723267</v>
      </c>
      <c r="S38" s="251">
        <f t="shared" si="30"/>
        <v>10.461713138040855</v>
      </c>
      <c r="T38" s="90">
        <f t="shared" si="26"/>
        <v>41.445713878216687</v>
      </c>
      <c r="X38" s="41" t="str">
        <f t="shared" si="29"/>
        <v>SCADA/Network control</v>
      </c>
      <c r="Z38" s="802"/>
      <c r="AA38" s="803"/>
      <c r="AB38" s="803"/>
      <c r="AC38" s="803"/>
      <c r="AD38" s="804"/>
      <c r="AE38" s="805"/>
    </row>
    <row r="39" spans="3:31" x14ac:dyDescent="0.25">
      <c r="C39" s="1" t="s">
        <v>591</v>
      </c>
      <c r="D39" s="90"/>
      <c r="E39" s="90"/>
      <c r="F39" s="90"/>
      <c r="G39" s="235"/>
      <c r="H39" s="111"/>
      <c r="I39" s="181">
        <f t="shared" ref="I39:K40" si="33">I15-I27</f>
        <v>0</v>
      </c>
      <c r="J39" s="246">
        <f t="shared" si="33"/>
        <v>0</v>
      </c>
      <c r="K39" s="246">
        <f t="shared" si="33"/>
        <v>0</v>
      </c>
      <c r="L39" s="389">
        <f t="shared" si="30"/>
        <v>0</v>
      </c>
      <c r="M39" s="389">
        <f t="shared" si="30"/>
        <v>0</v>
      </c>
      <c r="N39" s="592">
        <f t="shared" si="30"/>
        <v>0.16101271048294152</v>
      </c>
      <c r="O39" s="89">
        <f t="shared" si="30"/>
        <v>1.3171051977590322</v>
      </c>
      <c r="P39" s="90">
        <f t="shared" si="30"/>
        <v>0</v>
      </c>
      <c r="Q39" s="90">
        <f t="shared" si="30"/>
        <v>0</v>
      </c>
      <c r="R39" s="90">
        <f t="shared" si="30"/>
        <v>0</v>
      </c>
      <c r="S39" s="251">
        <f t="shared" si="30"/>
        <v>4.887283365109437</v>
      </c>
      <c r="T39" s="90">
        <f t="shared" ref="T39" si="34">SUM(O39:S39)</f>
        <v>6.204388562868469</v>
      </c>
      <c r="X39" s="41" t="str">
        <f t="shared" si="29"/>
        <v>Non-network general assets - IT</v>
      </c>
      <c r="Z39" s="802"/>
      <c r="AA39" s="803"/>
      <c r="AB39" s="803"/>
      <c r="AC39" s="803"/>
      <c r="AD39" s="804"/>
      <c r="AE39" s="805"/>
    </row>
    <row r="40" spans="3:31" x14ac:dyDescent="0.25">
      <c r="C40" s="1" t="s">
        <v>399</v>
      </c>
      <c r="D40" s="91">
        <f>D16-D28</f>
        <v>0</v>
      </c>
      <c r="E40" s="91">
        <f>E16-E28</f>
        <v>0</v>
      </c>
      <c r="F40" s="91">
        <f>F16-F28</f>
        <v>0</v>
      </c>
      <c r="G40" s="233">
        <f>G16-G28</f>
        <v>0</v>
      </c>
      <c r="H40" s="91">
        <f>H16-H28</f>
        <v>0</v>
      </c>
      <c r="I40" s="182">
        <f t="shared" si="33"/>
        <v>0</v>
      </c>
      <c r="J40" s="247">
        <f t="shared" si="33"/>
        <v>0</v>
      </c>
      <c r="K40" s="247">
        <f t="shared" si="33"/>
        <v>0</v>
      </c>
      <c r="L40" s="390">
        <f t="shared" si="30"/>
        <v>0</v>
      </c>
      <c r="M40" s="390">
        <f t="shared" si="30"/>
        <v>0</v>
      </c>
      <c r="N40" s="594">
        <f t="shared" si="30"/>
        <v>2.0127897242154011E-2</v>
      </c>
      <c r="O40" s="237">
        <f t="shared" si="30"/>
        <v>3.4463803434522829E-2</v>
      </c>
      <c r="P40" s="91">
        <f t="shared" si="30"/>
        <v>0.35957830914901212</v>
      </c>
      <c r="Q40" s="91">
        <f t="shared" si="30"/>
        <v>0.62200822944582979</v>
      </c>
      <c r="R40" s="91">
        <f t="shared" si="30"/>
        <v>0.89897381785923081</v>
      </c>
      <c r="S40" s="252">
        <f t="shared" si="30"/>
        <v>0.97188744019192952</v>
      </c>
      <c r="T40" s="91">
        <f t="shared" si="26"/>
        <v>2.8869116000805253</v>
      </c>
      <c r="X40" s="41" t="str">
        <f t="shared" si="29"/>
        <v>Non-network general assets - Other</v>
      </c>
      <c r="Z40" s="802"/>
      <c r="AA40" s="803"/>
      <c r="AB40" s="803"/>
      <c r="AC40" s="803"/>
      <c r="AD40" s="804"/>
      <c r="AE40" s="805"/>
    </row>
    <row r="41" spans="3:31" x14ac:dyDescent="0.25">
      <c r="C41" s="56" t="s">
        <v>146</v>
      </c>
      <c r="D41" s="90">
        <f>SUM(D33:D40)</f>
        <v>259.74076957744745</v>
      </c>
      <c r="E41" s="90">
        <f>SUM(E33:E40)</f>
        <v>306.4104252045239</v>
      </c>
      <c r="F41" s="90">
        <f>SUM(F33:F40)</f>
        <v>363.5071783017525</v>
      </c>
      <c r="G41" s="235">
        <f>SUM(G33:G40)</f>
        <v>383.64460089004064</v>
      </c>
      <c r="H41" s="111">
        <f>SUM(H33:H40)</f>
        <v>313.65242217539583</v>
      </c>
      <c r="I41" s="89">
        <f t="shared" ref="I41:T41" si="35">SUM(I33:I40)</f>
        <v>0</v>
      </c>
      <c r="J41" s="90">
        <f t="shared" si="35"/>
        <v>0</v>
      </c>
      <c r="K41" s="90">
        <f t="shared" si="35"/>
        <v>0</v>
      </c>
      <c r="L41" s="90">
        <f t="shared" si="35"/>
        <v>0</v>
      </c>
      <c r="M41" s="90">
        <f t="shared" si="35"/>
        <v>0</v>
      </c>
      <c r="N41" s="346">
        <f t="shared" si="35"/>
        <v>185.78127871838001</v>
      </c>
      <c r="O41" s="89">
        <f t="shared" si="35"/>
        <v>284.71734217546157</v>
      </c>
      <c r="P41" s="90">
        <f t="shared" si="35"/>
        <v>281.34546994120666</v>
      </c>
      <c r="Q41" s="90">
        <f t="shared" si="35"/>
        <v>280.55556572224612</v>
      </c>
      <c r="R41" s="90">
        <f t="shared" si="35"/>
        <v>265.34930500328943</v>
      </c>
      <c r="S41" s="251">
        <f t="shared" si="35"/>
        <v>263.9247973006095</v>
      </c>
      <c r="T41" s="90">
        <f t="shared" si="35"/>
        <v>1375.8924801428136</v>
      </c>
      <c r="X41" s="41" t="str">
        <f t="shared" si="29"/>
        <v>Land</v>
      </c>
      <c r="Z41" s="802"/>
      <c r="AA41" s="803"/>
      <c r="AB41" s="803"/>
      <c r="AC41" s="803"/>
      <c r="AD41" s="804"/>
      <c r="AE41" s="805"/>
    </row>
    <row r="42" spans="3:31" x14ac:dyDescent="0.25">
      <c r="C42" s="53" t="s">
        <v>133</v>
      </c>
      <c r="L42" s="245"/>
      <c r="M42" s="245"/>
      <c r="N42" s="245"/>
      <c r="O42" s="245">
        <v>0</v>
      </c>
      <c r="P42" s="245">
        <v>0</v>
      </c>
      <c r="Q42" s="245">
        <v>0</v>
      </c>
      <c r="R42" s="245">
        <v>0</v>
      </c>
      <c r="S42" s="245">
        <v>0</v>
      </c>
      <c r="X42" s="41" t="str">
        <f t="shared" si="29"/>
        <v>Non- Network Leasehold Land &amp; Buildings - 2021-22</v>
      </c>
      <c r="Z42" s="806"/>
      <c r="AA42" s="807"/>
      <c r="AB42" s="807"/>
      <c r="AC42" s="807"/>
      <c r="AD42" s="808"/>
      <c r="AE42" s="805"/>
    </row>
    <row r="43" spans="3:31" x14ac:dyDescent="0.25">
      <c r="D43" s="752"/>
      <c r="E43" s="752"/>
      <c r="F43" s="752"/>
      <c r="G43" s="752"/>
      <c r="H43" s="752"/>
      <c r="I43" s="752"/>
      <c r="J43" s="752"/>
      <c r="K43" s="752"/>
      <c r="L43" s="752"/>
      <c r="M43" s="752"/>
      <c r="N43" s="752"/>
      <c r="X43" s="41" t="str">
        <f t="shared" si="29"/>
        <v>Non- Network Leasehold Land &amp; Buildings - 2025-26</v>
      </c>
      <c r="Z43" s="806"/>
      <c r="AA43" s="807"/>
      <c r="AB43" s="807"/>
      <c r="AC43" s="807"/>
      <c r="AD43" s="808"/>
      <c r="AE43" s="805"/>
    </row>
    <row r="44" spans="3:31" x14ac:dyDescent="0.25">
      <c r="D44" s="41"/>
      <c r="E44" s="41"/>
      <c r="F44" s="41"/>
      <c r="G44" s="41"/>
      <c r="H44" s="41"/>
      <c r="I44" s="41"/>
      <c r="J44" s="41"/>
      <c r="K44" s="41"/>
      <c r="L44" s="41"/>
      <c r="M44" s="41"/>
      <c r="N44" s="41"/>
      <c r="X44" s="41" t="str">
        <f t="shared" si="29"/>
        <v>Buildings</v>
      </c>
      <c r="Z44" s="802"/>
      <c r="AA44" s="803"/>
      <c r="AB44" s="803"/>
      <c r="AC44" s="803"/>
      <c r="AD44" s="804"/>
      <c r="AE44" s="805"/>
    </row>
    <row r="45" spans="3:31" x14ac:dyDescent="0.25">
      <c r="D45" s="41"/>
      <c r="E45" s="41"/>
      <c r="F45" s="41"/>
      <c r="G45" s="41"/>
      <c r="H45" s="41"/>
      <c r="I45" s="41"/>
      <c r="J45" s="41"/>
      <c r="K45" s="41"/>
      <c r="L45" s="41"/>
      <c r="M45" s="41"/>
      <c r="N45" s="41"/>
      <c r="X45" s="41" t="str">
        <f t="shared" si="29"/>
        <v>in-house software</v>
      </c>
      <c r="Z45" s="809"/>
      <c r="AA45" s="810"/>
      <c r="AB45" s="810"/>
      <c r="AC45" s="810"/>
      <c r="AD45" s="811"/>
      <c r="AE45" s="805"/>
    </row>
    <row r="46" spans="3:31" x14ac:dyDescent="0.25">
      <c r="D46" s="41"/>
      <c r="E46" s="41"/>
      <c r="F46" s="41"/>
      <c r="G46" s="41"/>
      <c r="H46" s="41"/>
      <c r="I46" s="41"/>
      <c r="J46" s="41"/>
      <c r="K46" s="41"/>
      <c r="L46" s="41"/>
      <c r="M46" s="41"/>
      <c r="N46" s="41"/>
      <c r="X46" s="753" t="s">
        <v>146</v>
      </c>
      <c r="Z46" s="812"/>
      <c r="AA46" s="813"/>
      <c r="AB46" s="813"/>
      <c r="AC46" s="813"/>
      <c r="AD46" s="814"/>
      <c r="AE46" s="813"/>
    </row>
    <row r="47" spans="3:31" x14ac:dyDescent="0.25">
      <c r="D47" s="41"/>
      <c r="E47" s="41"/>
      <c r="F47" s="41"/>
      <c r="G47" s="41"/>
      <c r="H47" s="41"/>
      <c r="I47" s="41"/>
      <c r="J47" s="41"/>
      <c r="K47" s="41"/>
      <c r="L47" s="41"/>
      <c r="M47" s="41"/>
      <c r="N47" s="41"/>
    </row>
    <row r="48" spans="3:31" x14ac:dyDescent="0.25">
      <c r="D48" s="41"/>
      <c r="E48" s="41"/>
      <c r="F48" s="41"/>
      <c r="G48" s="41"/>
      <c r="H48" s="41"/>
      <c r="I48" s="41"/>
      <c r="J48" s="41"/>
      <c r="K48" s="41"/>
      <c r="L48" s="41"/>
      <c r="M48" s="41"/>
      <c r="N48" s="41"/>
      <c r="X48" s="2" t="s">
        <v>800</v>
      </c>
      <c r="Z48" s="692">
        <v>44742</v>
      </c>
      <c r="AA48" s="691">
        <v>45107</v>
      </c>
      <c r="AB48" s="691">
        <v>45473</v>
      </c>
      <c r="AC48" s="691">
        <v>45838</v>
      </c>
      <c r="AD48" s="693">
        <v>46203</v>
      </c>
      <c r="AE48" s="690" t="s">
        <v>594</v>
      </c>
    </row>
    <row r="49" spans="4:31" x14ac:dyDescent="0.25">
      <c r="D49" s="41"/>
      <c r="E49" s="41"/>
      <c r="F49" s="41"/>
      <c r="G49" s="41"/>
      <c r="H49" s="41"/>
      <c r="I49" s="41"/>
      <c r="J49" s="41"/>
      <c r="K49" s="41"/>
      <c r="L49" s="41"/>
      <c r="M49" s="41"/>
      <c r="N49" s="41"/>
      <c r="X49" s="1" t="s">
        <v>44</v>
      </c>
      <c r="Z49" s="708">
        <v>0</v>
      </c>
      <c r="AA49" s="316">
        <v>0</v>
      </c>
      <c r="AB49" s="316">
        <v>0</v>
      </c>
      <c r="AC49" s="316">
        <v>0</v>
      </c>
      <c r="AD49" s="697">
        <v>0</v>
      </c>
      <c r="AE49" s="698">
        <f>SUM(Z49:AD49)</f>
        <v>0</v>
      </c>
    </row>
    <row r="50" spans="4:31" x14ac:dyDescent="0.25">
      <c r="D50" s="41"/>
      <c r="E50" s="41"/>
      <c r="F50" s="41"/>
      <c r="G50" s="41"/>
      <c r="H50" s="41"/>
      <c r="I50" s="41"/>
      <c r="J50" s="41"/>
      <c r="K50" s="41"/>
      <c r="L50" s="41"/>
      <c r="M50" s="41"/>
      <c r="N50" s="41"/>
      <c r="X50" s="1" t="s">
        <v>45</v>
      </c>
      <c r="Z50" s="708">
        <v>0</v>
      </c>
      <c r="AA50" s="316">
        <v>0</v>
      </c>
      <c r="AB50" s="316">
        <v>0</v>
      </c>
      <c r="AC50" s="316">
        <v>0</v>
      </c>
      <c r="AD50" s="697">
        <v>0</v>
      </c>
      <c r="AE50" s="698">
        <f t="shared" ref="AE50:AE58" si="36">SUM(Z50:AD50)</f>
        <v>0</v>
      </c>
    </row>
    <row r="51" spans="4:31" x14ac:dyDescent="0.25">
      <c r="D51" s="41"/>
      <c r="E51" s="41"/>
      <c r="F51" s="41"/>
      <c r="G51" s="41"/>
      <c r="H51" s="41"/>
      <c r="I51" s="41"/>
      <c r="J51" s="41"/>
      <c r="K51" s="41"/>
      <c r="L51" s="41"/>
      <c r="M51" s="41"/>
      <c r="N51" s="41"/>
      <c r="X51" s="1" t="s">
        <v>48</v>
      </c>
      <c r="Z51" s="708">
        <v>0</v>
      </c>
      <c r="AA51" s="316">
        <v>0</v>
      </c>
      <c r="AB51" s="316">
        <v>0</v>
      </c>
      <c r="AC51" s="316">
        <v>0</v>
      </c>
      <c r="AD51" s="697">
        <v>0</v>
      </c>
      <c r="AE51" s="698">
        <f t="shared" si="36"/>
        <v>0</v>
      </c>
    </row>
    <row r="52" spans="4:31" x14ac:dyDescent="0.25">
      <c r="D52" s="41"/>
      <c r="E52" s="41"/>
      <c r="F52" s="41"/>
      <c r="G52" s="41"/>
      <c r="H52" s="41"/>
      <c r="I52" s="41"/>
      <c r="J52" s="41"/>
      <c r="K52" s="41"/>
      <c r="L52" s="41"/>
      <c r="M52" s="41"/>
      <c r="N52" s="41"/>
      <c r="X52" s="1" t="s">
        <v>49</v>
      </c>
      <c r="Z52" s="708">
        <v>8.1668895774459627E-3</v>
      </c>
      <c r="AA52" s="316">
        <v>8.1668895774459627E-3</v>
      </c>
      <c r="AB52" s="316">
        <v>8.1668895774459627E-3</v>
      </c>
      <c r="AC52" s="316">
        <v>8.1668895774459627E-3</v>
      </c>
      <c r="AD52" s="697">
        <v>8.1668895774459627E-3</v>
      </c>
      <c r="AE52" s="698">
        <f t="shared" si="36"/>
        <v>4.0834447887229813E-2</v>
      </c>
    </row>
    <row r="53" spans="4:31" x14ac:dyDescent="0.25">
      <c r="D53" s="42"/>
      <c r="E53" s="42"/>
      <c r="F53" s="42"/>
      <c r="G53" s="42"/>
      <c r="H53" s="42"/>
      <c r="I53" s="42"/>
      <c r="J53" s="42"/>
      <c r="K53" s="42"/>
      <c r="L53" s="42"/>
      <c r="M53" s="42"/>
      <c r="N53" s="42"/>
      <c r="X53" s="1" t="s">
        <v>50</v>
      </c>
      <c r="Z53" s="708">
        <v>1.3403850859577433</v>
      </c>
      <c r="AA53" s="316">
        <v>1.3403850859577433</v>
      </c>
      <c r="AB53" s="316">
        <v>1.3403850859577433</v>
      </c>
      <c r="AC53" s="316">
        <v>1.3403850859577433</v>
      </c>
      <c r="AD53" s="697">
        <v>1.3403850859577433</v>
      </c>
      <c r="AE53" s="698">
        <f t="shared" si="36"/>
        <v>6.7019254297887167</v>
      </c>
    </row>
    <row r="54" spans="4:31" x14ac:dyDescent="0.25">
      <c r="X54" s="1" t="s">
        <v>399</v>
      </c>
      <c r="Z54" s="708">
        <v>0</v>
      </c>
      <c r="AA54" s="316">
        <v>0</v>
      </c>
      <c r="AB54" s="316">
        <v>0</v>
      </c>
      <c r="AC54" s="316">
        <v>0</v>
      </c>
      <c r="AD54" s="697">
        <v>0</v>
      </c>
      <c r="AE54" s="698">
        <f t="shared" si="36"/>
        <v>0</v>
      </c>
    </row>
    <row r="55" spans="4:31" x14ac:dyDescent="0.25">
      <c r="X55" s="1" t="s">
        <v>795</v>
      </c>
      <c r="Z55" s="708">
        <v>0</v>
      </c>
      <c r="AA55" s="316">
        <v>0</v>
      </c>
      <c r="AB55" s="316">
        <v>0</v>
      </c>
      <c r="AC55" s="316">
        <v>0</v>
      </c>
      <c r="AD55" s="697">
        <v>0</v>
      </c>
      <c r="AE55" s="698">
        <f t="shared" si="36"/>
        <v>0</v>
      </c>
    </row>
    <row r="56" spans="4:31" x14ac:dyDescent="0.25">
      <c r="X56" s="1" t="s">
        <v>796</v>
      </c>
      <c r="Z56" s="708">
        <v>0</v>
      </c>
      <c r="AA56" s="316">
        <v>0</v>
      </c>
      <c r="AB56" s="316">
        <v>0</v>
      </c>
      <c r="AC56" s="316">
        <v>0</v>
      </c>
      <c r="AD56" s="697">
        <v>0</v>
      </c>
      <c r="AE56" s="698">
        <f t="shared" si="36"/>
        <v>0</v>
      </c>
    </row>
    <row r="57" spans="4:31" x14ac:dyDescent="0.25">
      <c r="X57" s="1" t="s">
        <v>797</v>
      </c>
      <c r="Z57" s="708">
        <v>0</v>
      </c>
      <c r="AA57" s="316">
        <v>0</v>
      </c>
      <c r="AB57" s="316">
        <v>0</v>
      </c>
      <c r="AC57" s="316">
        <v>0</v>
      </c>
      <c r="AD57" s="697">
        <v>0</v>
      </c>
      <c r="AE57" s="698">
        <f t="shared" si="36"/>
        <v>0</v>
      </c>
    </row>
    <row r="58" spans="4:31" x14ac:dyDescent="0.25">
      <c r="X58" s="1" t="s">
        <v>798</v>
      </c>
      <c r="Z58" s="708">
        <v>0</v>
      </c>
      <c r="AA58" s="316">
        <v>0</v>
      </c>
      <c r="AB58" s="316">
        <v>0</v>
      </c>
      <c r="AC58" s="316">
        <v>0</v>
      </c>
      <c r="AD58" s="697">
        <v>0</v>
      </c>
      <c r="AE58" s="698">
        <f t="shared" si="36"/>
        <v>0</v>
      </c>
    </row>
    <row r="59" spans="4:31" x14ac:dyDescent="0.25">
      <c r="X59" s="56" t="s">
        <v>146</v>
      </c>
      <c r="Z59" s="715">
        <f>SUM(Z49:Z58)</f>
        <v>1.3485519755351894</v>
      </c>
      <c r="AA59" s="716">
        <f t="shared" ref="AA59:AE59" si="37">SUM(AA49:AA58)</f>
        <v>1.3485519755351894</v>
      </c>
      <c r="AB59" s="716">
        <f t="shared" si="37"/>
        <v>1.3485519755351894</v>
      </c>
      <c r="AC59" s="716">
        <f t="shared" si="37"/>
        <v>1.3485519755351894</v>
      </c>
      <c r="AD59" s="717">
        <f t="shared" si="37"/>
        <v>1.3485519755351894</v>
      </c>
      <c r="AE59" s="718">
        <f t="shared" si="37"/>
        <v>6.7427598776759465</v>
      </c>
    </row>
  </sheetData>
  <mergeCells count="4">
    <mergeCell ref="O5:S5"/>
    <mergeCell ref="D5:H5"/>
    <mergeCell ref="I5:N5"/>
    <mergeCell ref="Z5:AD5"/>
  </mergeCells>
  <hyperlinks>
    <hyperlink ref="B2" location="Contents!A1" display="Table of Contents"/>
  </hyperlinks>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9"/>
  <sheetViews>
    <sheetView zoomScale="85" zoomScaleNormal="85" workbookViewId="0">
      <pane ySplit="3" topLeftCell="A4" activePane="bottomLeft" state="frozen"/>
      <selection activeCell="V33" sqref="V33"/>
      <selection pane="bottomLeft" activeCell="J11" sqref="J11"/>
    </sheetView>
  </sheetViews>
  <sheetFormatPr defaultColWidth="8.85546875" defaultRowHeight="15" outlineLevelCol="1" x14ac:dyDescent="0.25"/>
  <cols>
    <col min="1" max="1" width="4.5703125" style="1" customWidth="1"/>
    <col min="2" max="2" width="4.42578125" style="1" customWidth="1"/>
    <col min="3" max="3" width="39.42578125" style="1" customWidth="1"/>
    <col min="4" max="4" width="8.85546875" style="1" hidden="1" customWidth="1" outlineLevel="1"/>
    <col min="5" max="5" width="8.85546875" style="1" collapsed="1"/>
    <col min="6" max="9" width="8.85546875" style="1"/>
    <col min="10" max="10" width="9.5703125" style="1" customWidth="1"/>
    <col min="11" max="15" width="8.85546875" style="1"/>
    <col min="16" max="16" width="9.42578125" style="1" bestFit="1" customWidth="1"/>
    <col min="17" max="16384" width="8.85546875" style="1"/>
  </cols>
  <sheetData>
    <row r="1" spans="2:24" ht="18.75" x14ac:dyDescent="0.3">
      <c r="B1" s="10" t="s">
        <v>730</v>
      </c>
      <c r="D1"/>
    </row>
    <row r="2" spans="2:24" x14ac:dyDescent="0.25">
      <c r="B2" s="25" t="s">
        <v>6</v>
      </c>
      <c r="D2"/>
    </row>
    <row r="3" spans="2:24" x14ac:dyDescent="0.25">
      <c r="D3" s="846" t="s">
        <v>721</v>
      </c>
      <c r="E3" s="847"/>
      <c r="F3" s="847"/>
      <c r="G3" s="847"/>
      <c r="H3" s="847"/>
      <c r="I3" s="847"/>
      <c r="J3" s="847"/>
      <c r="K3" s="847"/>
      <c r="L3" s="847"/>
      <c r="M3" s="847"/>
      <c r="N3" s="847"/>
      <c r="O3" s="848"/>
    </row>
    <row r="4" spans="2:24" x14ac:dyDescent="0.25">
      <c r="C4" s="463" t="s">
        <v>722</v>
      </c>
      <c r="D4" s="849" t="s">
        <v>704</v>
      </c>
      <c r="E4" s="850"/>
      <c r="F4" s="850"/>
      <c r="G4" s="851"/>
      <c r="H4" s="849" t="s">
        <v>288</v>
      </c>
      <c r="I4" s="850"/>
      <c r="J4" s="851"/>
      <c r="K4" s="852" t="s">
        <v>728</v>
      </c>
      <c r="L4" s="853"/>
      <c r="M4" s="853"/>
      <c r="N4" s="853"/>
      <c r="O4" s="854"/>
      <c r="P4" s="17" t="s">
        <v>146</v>
      </c>
    </row>
    <row r="5" spans="2:24" x14ac:dyDescent="0.25">
      <c r="C5" s="6" t="s">
        <v>727</v>
      </c>
      <c r="D5" s="461">
        <v>2015</v>
      </c>
      <c r="E5" s="459">
        <v>2016</v>
      </c>
      <c r="F5" s="460">
        <v>2017</v>
      </c>
      <c r="G5" s="461">
        <v>2018</v>
      </c>
      <c r="H5" s="460">
        <v>2019</v>
      </c>
      <c r="I5" s="461">
        <v>2020</v>
      </c>
      <c r="J5" s="460" t="s">
        <v>705</v>
      </c>
      <c r="K5" s="459" t="s">
        <v>624</v>
      </c>
      <c r="L5" s="460" t="s">
        <v>625</v>
      </c>
      <c r="M5" s="460" t="s">
        <v>626</v>
      </c>
      <c r="N5" s="460" t="s">
        <v>627</v>
      </c>
      <c r="O5" s="461" t="s">
        <v>628</v>
      </c>
      <c r="P5" s="17" t="s">
        <v>594</v>
      </c>
    </row>
    <row r="6" spans="2:24" x14ac:dyDescent="0.25">
      <c r="C6" s="32" t="s">
        <v>453</v>
      </c>
      <c r="D6" s="477">
        <v>20.51363056224319</v>
      </c>
      <c r="E6" s="599">
        <v>26.04310374371941</v>
      </c>
      <c r="F6" s="595">
        <v>28.067325766109576</v>
      </c>
      <c r="G6" s="600">
        <v>37.865597666616083</v>
      </c>
      <c r="H6" s="595">
        <v>32.163039719733497</v>
      </c>
      <c r="I6" s="600">
        <v>27.91148240452307</v>
      </c>
      <c r="J6" s="595">
        <v>11.384188199013863</v>
      </c>
      <c r="K6" s="480">
        <f>Capex_by_Driver!BL5+Capex_by_Driver!BL10</f>
        <v>19.629648239430157</v>
      </c>
      <c r="L6" s="289">
        <f>Capex_by_Driver!BM5+Capex_by_Driver!BM10</f>
        <v>21.733372481427306</v>
      </c>
      <c r="M6" s="289">
        <f>Capex_by_Driver!BN5+Capex_by_Driver!BN10</f>
        <v>19.041320928640509</v>
      </c>
      <c r="N6" s="289">
        <f>Capex_by_Driver!BO5+Capex_by_Driver!BO10</f>
        <v>15.338476018419053</v>
      </c>
      <c r="O6" s="289">
        <f>Capex_by_Driver!BP5+Capex_by_Driver!BP10</f>
        <v>15.018798047665785</v>
      </c>
      <c r="P6" s="481">
        <f>SUM(K6:O6)</f>
        <v>90.761615715582806</v>
      </c>
    </row>
    <row r="7" spans="2:24" x14ac:dyDescent="0.25">
      <c r="C7" s="32" t="s">
        <v>26</v>
      </c>
      <c r="D7" s="482">
        <v>88.659792506645246</v>
      </c>
      <c r="E7" s="599">
        <v>82.506407972026537</v>
      </c>
      <c r="F7" s="595">
        <v>84.850384362130526</v>
      </c>
      <c r="G7" s="600">
        <v>106.41776599605795</v>
      </c>
      <c r="H7" s="595">
        <v>108.3590114181135</v>
      </c>
      <c r="I7" s="600">
        <v>110.06850103579464</v>
      </c>
      <c r="J7" s="595">
        <v>56.121055179185639</v>
      </c>
      <c r="K7" s="480">
        <f>Capex_by_Driver!BL14</f>
        <v>64.888140888208426</v>
      </c>
      <c r="L7" s="289">
        <f>Capex_by_Driver!BM14</f>
        <v>108.56906480170674</v>
      </c>
      <c r="M7" s="289">
        <f>Capex_by_Driver!BN14</f>
        <v>106.43425190591833</v>
      </c>
      <c r="N7" s="289">
        <f>Capex_by_Driver!BO14</f>
        <v>107.25555475985962</v>
      </c>
      <c r="O7" s="289">
        <f>Capex_by_Driver!BP14</f>
        <v>108.03673148843806</v>
      </c>
      <c r="P7" s="481">
        <f t="shared" ref="P7:P20" si="0">SUM(K7:O7)</f>
        <v>495.18374384413113</v>
      </c>
    </row>
    <row r="8" spans="2:24" x14ac:dyDescent="0.25">
      <c r="C8" s="32" t="s">
        <v>150</v>
      </c>
      <c r="D8" s="482">
        <v>100.87946038035201</v>
      </c>
      <c r="E8" s="599">
        <v>87.556951871062722</v>
      </c>
      <c r="F8" s="595">
        <v>93.558711775296175</v>
      </c>
      <c r="G8" s="600">
        <v>113.6121889194022</v>
      </c>
      <c r="H8" s="595">
        <v>89.374966863970727</v>
      </c>
      <c r="I8" s="600">
        <v>92.1912915299026</v>
      </c>
      <c r="J8" s="595">
        <v>52.586600224570482</v>
      </c>
      <c r="K8" s="480">
        <f>Capex_by_Driver!BL18-K14</f>
        <v>134.59617255963889</v>
      </c>
      <c r="L8" s="289">
        <f>Capex_by_Driver!BM18-L14</f>
        <v>140.05282280049423</v>
      </c>
      <c r="M8" s="289">
        <f>Capex_by_Driver!BN18-M14</f>
        <v>139.72430411606777</v>
      </c>
      <c r="N8" s="289">
        <f>Capex_by_Driver!BO18-N14</f>
        <v>117.10472036838495</v>
      </c>
      <c r="O8" s="289">
        <f>Capex_by_Driver!BP18-O14</f>
        <v>95.65426291021015</v>
      </c>
      <c r="P8" s="481">
        <f t="shared" si="0"/>
        <v>627.13228275479594</v>
      </c>
      <c r="T8" s="675" t="s">
        <v>770</v>
      </c>
      <c r="U8" s="657"/>
      <c r="V8" s="657"/>
      <c r="W8" s="657"/>
      <c r="X8" s="658"/>
    </row>
    <row r="9" spans="2:24" x14ac:dyDescent="0.25">
      <c r="C9" s="32" t="s">
        <v>706</v>
      </c>
      <c r="D9" s="482">
        <v>139.33481082951229</v>
      </c>
      <c r="E9" s="599">
        <v>114.72610233566239</v>
      </c>
      <c r="F9" s="595">
        <v>84.796769154755182</v>
      </c>
      <c r="G9" s="600">
        <v>56.593608173395118</v>
      </c>
      <c r="H9" s="595">
        <v>47.171479897825627</v>
      </c>
      <c r="I9" s="600">
        <v>40.082192387259852</v>
      </c>
      <c r="J9" s="595">
        <v>16.676131571969442</v>
      </c>
      <c r="K9" s="480">
        <f>Capex_by_Driver!BL22-K10</f>
        <v>10.079453741447264</v>
      </c>
      <c r="L9" s="289">
        <f>Capex_by_Driver!BM22-L10</f>
        <v>11.041375817075204</v>
      </c>
      <c r="M9" s="289">
        <f>Capex_by_Driver!BN22-M10</f>
        <v>13.429768667668469</v>
      </c>
      <c r="N9" s="289">
        <f>Capex_by_Driver!BO22-N10</f>
        <v>18.825023243219405</v>
      </c>
      <c r="O9" s="289">
        <f>Capex_by_Driver!BP22-O10</f>
        <v>30.929470692339287</v>
      </c>
      <c r="P9" s="481">
        <f t="shared" si="0"/>
        <v>84.305092161749627</v>
      </c>
      <c r="T9" s="685" t="str">
        <f>K5</f>
        <v>2021-22</v>
      </c>
      <c r="U9" s="686" t="str">
        <f t="shared" ref="U9:X9" si="1">L5</f>
        <v>2022-23</v>
      </c>
      <c r="V9" s="686" t="str">
        <f t="shared" si="1"/>
        <v>2023-24</v>
      </c>
      <c r="W9" s="686" t="str">
        <f t="shared" si="1"/>
        <v>2024-25</v>
      </c>
      <c r="X9" s="687" t="str">
        <f t="shared" si="1"/>
        <v>2025-26</v>
      </c>
    </row>
    <row r="10" spans="2:24" x14ac:dyDescent="0.25">
      <c r="C10" s="32" t="s">
        <v>726</v>
      </c>
      <c r="D10" s="482">
        <v>0</v>
      </c>
      <c r="E10" s="599">
        <v>0</v>
      </c>
      <c r="F10" s="595">
        <v>0</v>
      </c>
      <c r="G10" s="600">
        <v>0</v>
      </c>
      <c r="H10" s="595">
        <v>0</v>
      </c>
      <c r="I10" s="600">
        <v>0</v>
      </c>
      <c r="J10" s="595">
        <v>0</v>
      </c>
      <c r="K10" s="681">
        <f>(SUM(Augmentation!CT27:CT28)*(1+AusNet_Overheads!K20)+Augmentation!CT29)*Escalators!$P$14/Thousands</f>
        <v>0</v>
      </c>
      <c r="L10" s="682">
        <f>(SUM(Augmentation!CU27:CU28)*(1+AusNet_Overheads!L20)+Augmentation!CU29)*Escalators!$P$14/Thousands</f>
        <v>13.050769360304274</v>
      </c>
      <c r="M10" s="682">
        <f>(SUM(Augmentation!CV27:CV28)*(1+AusNet_Overheads!M20)+Augmentation!CV29)*Escalators!$P$14/Thousands</f>
        <v>23.126397427818183</v>
      </c>
      <c r="N10" s="682">
        <f>(SUM(Augmentation!CW27:CW28)*(1+AusNet_Overheads!N20)+Augmentation!CW29)*Escalators!$P$14/Thousands</f>
        <v>33.343763504316357</v>
      </c>
      <c r="O10" s="682">
        <f>(SUM(Augmentation!CX27:CX28)*(1+AusNet_Overheads!O20)+Augmentation!CX29)*Escalators!$P$14/Thousands</f>
        <v>36.425253472673909</v>
      </c>
      <c r="P10" s="481">
        <f t="shared" si="0"/>
        <v>105.94618376511272</v>
      </c>
      <c r="T10" s="683">
        <v>0</v>
      </c>
      <c r="U10" s="684">
        <v>12.005835724716793</v>
      </c>
      <c r="V10" s="684">
        <v>21.343613480876435</v>
      </c>
      <c r="W10" s="684">
        <v>30.775991688868444</v>
      </c>
      <c r="X10" s="688">
        <v>33.637208861343751</v>
      </c>
    </row>
    <row r="11" spans="2:24" x14ac:dyDescent="0.25">
      <c r="C11" s="32" t="s">
        <v>732</v>
      </c>
      <c r="D11" s="482">
        <v>0</v>
      </c>
      <c r="E11" s="599">
        <v>1.3127896293857328</v>
      </c>
      <c r="F11" s="595">
        <v>40.354727120998433</v>
      </c>
      <c r="G11" s="600">
        <v>72.347563701597267</v>
      </c>
      <c r="H11" s="595">
        <v>95.873381179290817</v>
      </c>
      <c r="I11" s="600">
        <v>138.33286929479007</v>
      </c>
      <c r="J11" s="595">
        <v>48.014427902930102</v>
      </c>
      <c r="K11" s="480">
        <f>Capex_by_Driver!BL27</f>
        <v>39.688268654825627</v>
      </c>
      <c r="L11" s="289">
        <f>Capex_by_Driver!BM27</f>
        <v>15.022332686897041</v>
      </c>
      <c r="M11" s="289">
        <f>Capex_by_Driver!BN27</f>
        <v>0</v>
      </c>
      <c r="N11" s="289">
        <f>Capex_by_Driver!BO27</f>
        <v>0</v>
      </c>
      <c r="O11" s="289">
        <f>Capex_by_Driver!BP27</f>
        <v>0</v>
      </c>
      <c r="P11" s="481">
        <f t="shared" si="0"/>
        <v>54.710601341722665</v>
      </c>
    </row>
    <row r="12" spans="2:24" x14ac:dyDescent="0.25">
      <c r="C12" s="32" t="s">
        <v>286</v>
      </c>
      <c r="D12" s="482">
        <v>34.871073104131561</v>
      </c>
      <c r="E12" s="599">
        <v>15.802741416305853</v>
      </c>
      <c r="F12" s="595">
        <v>42.829779603343653</v>
      </c>
      <c r="G12" s="600">
        <v>31.471100815171035</v>
      </c>
      <c r="H12" s="595">
        <v>48.849198346598072</v>
      </c>
      <c r="I12" s="600">
        <v>49.449052457324505</v>
      </c>
      <c r="J12" s="595">
        <v>20.102988436245845</v>
      </c>
      <c r="K12" s="480">
        <f>Capex_by_Driver!BL34</f>
        <v>0</v>
      </c>
      <c r="L12" s="289">
        <f>Capex_by_Driver!BM34</f>
        <v>0</v>
      </c>
      <c r="M12" s="289">
        <f>Capex_by_Driver!BN34</f>
        <v>0</v>
      </c>
      <c r="N12" s="289">
        <f>Capex_by_Driver!BO34</f>
        <v>0</v>
      </c>
      <c r="O12" s="289">
        <f>Capex_by_Driver!BP34</f>
        <v>0</v>
      </c>
      <c r="P12" s="481">
        <f t="shared" si="0"/>
        <v>0</v>
      </c>
    </row>
    <row r="13" spans="2:24" x14ac:dyDescent="0.25">
      <c r="C13" s="32" t="s">
        <v>742</v>
      </c>
      <c r="D13" s="482"/>
      <c r="E13" s="599">
        <v>0</v>
      </c>
      <c r="F13" s="595">
        <v>0</v>
      </c>
      <c r="G13" s="600">
        <v>0</v>
      </c>
      <c r="H13" s="595">
        <v>13.868386443597197</v>
      </c>
      <c r="I13" s="600">
        <v>14.36450480970144</v>
      </c>
      <c r="J13" s="595">
        <v>3.6422279982897927</v>
      </c>
      <c r="K13" s="480">
        <f>Capex_by_Driver!BL35</f>
        <v>0</v>
      </c>
      <c r="L13" s="289">
        <f>Capex_by_Driver!BM35</f>
        <v>0</v>
      </c>
      <c r="M13" s="289">
        <f>Capex_by_Driver!BN35</f>
        <v>0</v>
      </c>
      <c r="N13" s="289">
        <f>Capex_by_Driver!BO35</f>
        <v>0</v>
      </c>
      <c r="O13" s="289">
        <f>Capex_by_Driver!BP35</f>
        <v>0</v>
      </c>
      <c r="P13" s="481">
        <f t="shared" si="0"/>
        <v>0</v>
      </c>
    </row>
    <row r="14" spans="2:24" x14ac:dyDescent="0.25">
      <c r="C14" s="32" t="s">
        <v>745</v>
      </c>
      <c r="D14" s="482"/>
      <c r="E14" s="599">
        <v>0</v>
      </c>
      <c r="F14" s="595">
        <v>0</v>
      </c>
      <c r="G14" s="600">
        <v>0</v>
      </c>
      <c r="H14" s="595">
        <v>0</v>
      </c>
      <c r="I14" s="600">
        <v>0</v>
      </c>
      <c r="J14" s="595">
        <v>8.8807213571732131</v>
      </c>
      <c r="K14" s="480">
        <f>Base_Forecast!T30/Thousands*(1+AusNet_Overheads!K$20)*RFM_PTRM!$N$3</f>
        <v>0</v>
      </c>
      <c r="L14" s="289">
        <f>Base_Forecast!U30/Thousands*(1+AusNet_Overheads!L$20)*RFM_PTRM!$N$3</f>
        <v>0</v>
      </c>
      <c r="M14" s="289">
        <f>Base_Forecast!V30/Thousands*(1+AusNet_Overheads!M$20)*RFM_PTRM!$N$3</f>
        <v>0</v>
      </c>
      <c r="N14" s="289">
        <f>Base_Forecast!W30/Thousands*(1+AusNet_Overheads!N$20)*RFM_PTRM!$N$3</f>
        <v>0</v>
      </c>
      <c r="O14" s="289">
        <f>Base_Forecast!X30/Thousands*(1+AusNet_Overheads!O$20)*RFM_PTRM!$N$3</f>
        <v>0</v>
      </c>
      <c r="P14" s="481">
        <f t="shared" si="0"/>
        <v>0</v>
      </c>
    </row>
    <row r="15" spans="2:24" x14ac:dyDescent="0.25">
      <c r="C15" s="32" t="s">
        <v>454</v>
      </c>
      <c r="D15" s="482">
        <v>6.5579739014325185</v>
      </c>
      <c r="E15" s="599">
        <v>6.9591759887120457</v>
      </c>
      <c r="F15" s="595">
        <v>5.8500983837028775</v>
      </c>
      <c r="G15" s="600">
        <v>18.140076984437712</v>
      </c>
      <c r="H15" s="595">
        <v>7.2781096350025098</v>
      </c>
      <c r="I15" s="600">
        <v>7.3581061591215304</v>
      </c>
      <c r="J15" s="595">
        <v>4.0397582376865993</v>
      </c>
      <c r="K15" s="480">
        <f>Capex_by_Driver!BL36</f>
        <v>0</v>
      </c>
      <c r="L15" s="289">
        <f>Capex_by_Driver!BM36</f>
        <v>0</v>
      </c>
      <c r="M15" s="289">
        <f>Capex_by_Driver!BN36</f>
        <v>0</v>
      </c>
      <c r="N15" s="289">
        <f>Capex_by_Driver!BO36</f>
        <v>0</v>
      </c>
      <c r="O15" s="289">
        <f>Capex_by_Driver!BP36</f>
        <v>0</v>
      </c>
      <c r="P15" s="481">
        <f t="shared" si="0"/>
        <v>0</v>
      </c>
    </row>
    <row r="16" spans="2:24" x14ac:dyDescent="0.25">
      <c r="C16" s="32" t="s">
        <v>457</v>
      </c>
      <c r="D16" s="482">
        <v>0</v>
      </c>
      <c r="E16" s="599">
        <v>0</v>
      </c>
      <c r="F16" s="595">
        <v>0</v>
      </c>
      <c r="G16" s="600">
        <v>0</v>
      </c>
      <c r="H16" s="595">
        <v>0</v>
      </c>
      <c r="I16" s="600">
        <v>0</v>
      </c>
      <c r="J16" s="595">
        <v>0</v>
      </c>
      <c r="K16" s="480">
        <f>Capex_by_Driver!BL39</f>
        <v>0</v>
      </c>
      <c r="L16" s="289">
        <f>Capex_by_Driver!BM39</f>
        <v>0</v>
      </c>
      <c r="M16" s="289">
        <f>Capex_by_Driver!BN39</f>
        <v>0</v>
      </c>
      <c r="N16" s="289">
        <f>Capex_by_Driver!BO39</f>
        <v>0</v>
      </c>
      <c r="O16" s="289">
        <f>Capex_by_Driver!BP39</f>
        <v>0</v>
      </c>
      <c r="P16" s="481">
        <f t="shared" si="0"/>
        <v>0</v>
      </c>
    </row>
    <row r="17" spans="3:17" x14ac:dyDescent="0.25">
      <c r="C17" s="33" t="s">
        <v>593</v>
      </c>
      <c r="D17" s="483">
        <v>0</v>
      </c>
      <c r="E17" s="601">
        <v>0</v>
      </c>
      <c r="F17" s="596">
        <v>0</v>
      </c>
      <c r="G17" s="602">
        <v>0</v>
      </c>
      <c r="H17" s="596">
        <v>32.880740921025627</v>
      </c>
      <c r="I17" s="602">
        <v>0.33805833626946652</v>
      </c>
      <c r="J17" s="596">
        <v>0.16101271048294152</v>
      </c>
      <c r="K17" s="487">
        <f>Capex_by_Driver!BL37</f>
        <v>0</v>
      </c>
      <c r="L17" s="488">
        <f>Capex_by_Driver!BM37</f>
        <v>0</v>
      </c>
      <c r="M17" s="488">
        <f>Capex_by_Driver!BN37</f>
        <v>0</v>
      </c>
      <c r="N17" s="488">
        <f>Capex_by_Driver!BO37</f>
        <v>0</v>
      </c>
      <c r="O17" s="488">
        <f>Capex_by_Driver!BP37</f>
        <v>0</v>
      </c>
      <c r="P17" s="489">
        <f t="shared" si="0"/>
        <v>0</v>
      </c>
    </row>
    <row r="18" spans="3:17" x14ac:dyDescent="0.25">
      <c r="C18" s="68" t="s">
        <v>707</v>
      </c>
      <c r="D18" s="490">
        <f t="shared" ref="D18:O18" si="2">SUM(D6:D17)</f>
        <v>390.81674128431678</v>
      </c>
      <c r="E18" s="491">
        <f t="shared" si="2"/>
        <v>334.90727295687475</v>
      </c>
      <c r="F18" s="492">
        <f t="shared" si="2"/>
        <v>380.30779616633635</v>
      </c>
      <c r="G18" s="490">
        <f t="shared" si="2"/>
        <v>436.44790225667737</v>
      </c>
      <c r="H18" s="492">
        <f t="shared" si="2"/>
        <v>475.81831442515767</v>
      </c>
      <c r="I18" s="490">
        <f t="shared" si="2"/>
        <v>480.09605841468715</v>
      </c>
      <c r="J18" s="490">
        <f t="shared" si="2"/>
        <v>221.60911181754793</v>
      </c>
      <c r="K18" s="491">
        <f t="shared" si="2"/>
        <v>268.88168408355034</v>
      </c>
      <c r="L18" s="492">
        <f t="shared" si="2"/>
        <v>309.46973794790483</v>
      </c>
      <c r="M18" s="492">
        <f t="shared" si="2"/>
        <v>301.75604304611323</v>
      </c>
      <c r="N18" s="492">
        <f t="shared" si="2"/>
        <v>291.86753789419942</v>
      </c>
      <c r="O18" s="492">
        <f t="shared" si="2"/>
        <v>286.06451661132718</v>
      </c>
      <c r="P18" s="493">
        <f>SUM(P6:P17)</f>
        <v>1458.0395195830947</v>
      </c>
      <c r="Q18" s="466" t="b">
        <f>P18=RFM_PTRM!T17</f>
        <v>0</v>
      </c>
    </row>
    <row r="19" spans="3:17" x14ac:dyDescent="0.25">
      <c r="C19" s="32" t="s">
        <v>133</v>
      </c>
      <c r="D19" s="250"/>
      <c r="E19" s="603">
        <v>0</v>
      </c>
      <c r="F19" s="604">
        <v>0</v>
      </c>
      <c r="G19" s="605">
        <v>0</v>
      </c>
      <c r="H19" s="604">
        <v>0</v>
      </c>
      <c r="I19" s="605">
        <v>0</v>
      </c>
      <c r="J19" s="604">
        <v>0</v>
      </c>
      <c r="K19" s="277">
        <f>K18-Capex_by_Driver!BL51</f>
        <v>0</v>
      </c>
      <c r="L19" s="467">
        <f>L18-Capex_by_Driver!BM51</f>
        <v>0</v>
      </c>
      <c r="M19" s="467">
        <f>M18-Capex_by_Driver!BN51</f>
        <v>0</v>
      </c>
      <c r="N19" s="467">
        <f>N18-Capex_by_Driver!BO51</f>
        <v>0</v>
      </c>
      <c r="O19" s="467">
        <f>O18-Capex_by_Driver!BP51</f>
        <v>0</v>
      </c>
      <c r="P19" s="468">
        <f>P18-Capex_by_Driver!BQ51</f>
        <v>0</v>
      </c>
    </row>
    <row r="20" spans="3:17" x14ac:dyDescent="0.25">
      <c r="C20" s="32" t="s">
        <v>723</v>
      </c>
      <c r="D20" s="479">
        <f>D34</f>
        <v>51.158591411816161</v>
      </c>
      <c r="E20" s="599">
        <f t="shared" ref="E20:O20" si="3">E34</f>
        <v>22.571443194298055</v>
      </c>
      <c r="F20" s="595">
        <f t="shared" si="3"/>
        <v>36.104027146097245</v>
      </c>
      <c r="G20" s="600">
        <f t="shared" si="3"/>
        <v>57.944956731822238</v>
      </c>
      <c r="H20" s="595">
        <f t="shared" si="3"/>
        <v>67.636703119476167</v>
      </c>
      <c r="I20" s="600">
        <f t="shared" si="3"/>
        <v>69.288325463039797</v>
      </c>
      <c r="J20" s="595">
        <f t="shared" si="3"/>
        <v>35.82783309916806</v>
      </c>
      <c r="K20" s="478">
        <f t="shared" si="3"/>
        <v>40.612905340638981</v>
      </c>
      <c r="L20" s="285">
        <f t="shared" si="3"/>
        <v>67.683233445980193</v>
      </c>
      <c r="M20" s="285">
        <f t="shared" si="3"/>
        <v>65.491772230535219</v>
      </c>
      <c r="N20" s="285">
        <f t="shared" si="3"/>
        <v>66.021952834967209</v>
      </c>
      <c r="O20" s="285">
        <f t="shared" si="3"/>
        <v>66.481545477830693</v>
      </c>
      <c r="P20" s="494">
        <f t="shared" si="0"/>
        <v>306.29140932995227</v>
      </c>
    </row>
    <row r="21" spans="3:17" x14ac:dyDescent="0.25">
      <c r="C21" s="32"/>
      <c r="D21" s="479"/>
      <c r="E21" s="478"/>
      <c r="F21" s="285"/>
      <c r="G21" s="479"/>
      <c r="H21" s="285"/>
      <c r="I21" s="479"/>
      <c r="J21" s="285"/>
      <c r="K21" s="478"/>
      <c r="L21" s="285"/>
      <c r="M21" s="285"/>
      <c r="N21" s="285"/>
      <c r="O21" s="285"/>
      <c r="P21" s="494"/>
    </row>
    <row r="22" spans="3:17" x14ac:dyDescent="0.25">
      <c r="C22" s="8" t="s">
        <v>708</v>
      </c>
      <c r="D22" s="503">
        <f t="shared" ref="D22:O22" si="4">D18-D20</f>
        <v>339.65814987250064</v>
      </c>
      <c r="E22" s="504">
        <f t="shared" si="4"/>
        <v>312.33582976257668</v>
      </c>
      <c r="F22" s="505">
        <f t="shared" si="4"/>
        <v>344.20376902023912</v>
      </c>
      <c r="G22" s="503">
        <f t="shared" si="4"/>
        <v>378.50294552485514</v>
      </c>
      <c r="H22" s="505">
        <f t="shared" si="4"/>
        <v>408.18161130568149</v>
      </c>
      <c r="I22" s="503">
        <f t="shared" si="4"/>
        <v>410.80773295164738</v>
      </c>
      <c r="J22" s="505">
        <f t="shared" si="4"/>
        <v>185.78127871837987</v>
      </c>
      <c r="K22" s="504">
        <f t="shared" si="4"/>
        <v>228.26877874291137</v>
      </c>
      <c r="L22" s="505">
        <f t="shared" si="4"/>
        <v>241.78650450192464</v>
      </c>
      <c r="M22" s="505">
        <f t="shared" si="4"/>
        <v>236.26427081557802</v>
      </c>
      <c r="N22" s="505">
        <f t="shared" si="4"/>
        <v>225.84558505923221</v>
      </c>
      <c r="O22" s="505">
        <f t="shared" si="4"/>
        <v>219.58297113349647</v>
      </c>
      <c r="P22" s="506">
        <f>P18-P20</f>
        <v>1151.7481102531424</v>
      </c>
      <c r="Q22" s="466" t="b">
        <f>P22=RFM_PTRM!T41</f>
        <v>0</v>
      </c>
    </row>
    <row r="23" spans="3:17" x14ac:dyDescent="0.25">
      <c r="C23" s="2"/>
      <c r="D23" s="2"/>
      <c r="E23" s="262"/>
      <c r="F23" s="262"/>
      <c r="G23" s="262"/>
      <c r="H23" s="469" t="s">
        <v>724</v>
      </c>
      <c r="I23" s="262">
        <v>1854.0318885649999</v>
      </c>
      <c r="J23" s="262"/>
      <c r="K23" s="262"/>
      <c r="L23" s="262"/>
      <c r="M23" s="262"/>
      <c r="N23" s="262"/>
      <c r="O23" s="262"/>
      <c r="P23" s="262">
        <f>P22-I23</f>
        <v>-702.28377831185753</v>
      </c>
    </row>
    <row r="24" spans="3:17" x14ac:dyDescent="0.25">
      <c r="C24" s="470" t="s">
        <v>709</v>
      </c>
      <c r="D24" s="470"/>
      <c r="E24" s="262"/>
      <c r="F24" s="262"/>
      <c r="G24" s="262"/>
      <c r="H24" s="262"/>
      <c r="J24" s="262"/>
      <c r="K24" s="262"/>
      <c r="L24" s="262"/>
      <c r="M24" s="262"/>
      <c r="N24" s="262"/>
      <c r="O24" s="469" t="s">
        <v>725</v>
      </c>
      <c r="P24" s="471">
        <f>P23/I23</f>
        <v>-0.37878732434069262</v>
      </c>
    </row>
    <row r="25" spans="3:17" x14ac:dyDescent="0.25">
      <c r="C25" s="470" t="s">
        <v>710</v>
      </c>
      <c r="D25" s="472"/>
      <c r="E25" s="262"/>
      <c r="F25" s="262"/>
      <c r="G25" s="262"/>
      <c r="H25" s="262"/>
      <c r="I25" s="262"/>
    </row>
    <row r="26" spans="3:17" x14ac:dyDescent="0.25">
      <c r="C26" s="470" t="s">
        <v>711</v>
      </c>
      <c r="D26" s="470"/>
      <c r="E26" s="262"/>
      <c r="F26" s="262"/>
      <c r="G26" s="262"/>
      <c r="H26" s="262"/>
      <c r="I26" s="262"/>
      <c r="P26" s="473"/>
    </row>
    <row r="28" spans="3:17" x14ac:dyDescent="0.25">
      <c r="C28" s="2" t="s">
        <v>712</v>
      </c>
      <c r="D28" s="843" t="s">
        <v>704</v>
      </c>
      <c r="E28" s="844"/>
      <c r="F28" s="844"/>
      <c r="G28" s="845"/>
      <c r="H28" s="843" t="s">
        <v>288</v>
      </c>
      <c r="I28" s="844"/>
      <c r="J28" s="845"/>
      <c r="K28" s="843" t="s">
        <v>728</v>
      </c>
      <c r="L28" s="844"/>
      <c r="M28" s="844"/>
      <c r="N28" s="844"/>
      <c r="O28" s="845"/>
      <c r="P28" s="17" t="s">
        <v>146</v>
      </c>
    </row>
    <row r="29" spans="3:17" x14ac:dyDescent="0.25">
      <c r="C29" s="8" t="s">
        <v>713</v>
      </c>
      <c r="D29" s="461">
        <v>2015</v>
      </c>
      <c r="E29" s="459">
        <v>2016</v>
      </c>
      <c r="F29" s="460">
        <v>2017</v>
      </c>
      <c r="G29" s="461">
        <v>2018</v>
      </c>
      <c r="H29" s="460">
        <v>2019</v>
      </c>
      <c r="I29" s="461">
        <v>2020</v>
      </c>
      <c r="J29" s="460" t="s">
        <v>705</v>
      </c>
      <c r="K29" s="459" t="s">
        <v>624</v>
      </c>
      <c r="L29" s="460" t="s">
        <v>625</v>
      </c>
      <c r="M29" s="460" t="s">
        <v>626</v>
      </c>
      <c r="N29" s="460" t="s">
        <v>627</v>
      </c>
      <c r="O29" s="461" t="s">
        <v>628</v>
      </c>
      <c r="P29" s="17" t="s">
        <v>594</v>
      </c>
    </row>
    <row r="30" spans="3:17" x14ac:dyDescent="0.25">
      <c r="C30" s="32" t="s">
        <v>10</v>
      </c>
      <c r="D30" s="477">
        <v>6.5663275634968858</v>
      </c>
      <c r="E30" s="478">
        <v>7.2673837835720976</v>
      </c>
      <c r="F30" s="285">
        <v>8.2526177164176797</v>
      </c>
      <c r="G30" s="479">
        <v>6.4898941887111112</v>
      </c>
      <c r="H30" s="285">
        <v>0</v>
      </c>
      <c r="I30" s="479">
        <v>0</v>
      </c>
      <c r="J30" s="285"/>
      <c r="K30" s="478">
        <v>0</v>
      </c>
      <c r="L30" s="285">
        <v>0</v>
      </c>
      <c r="M30" s="285">
        <v>0</v>
      </c>
      <c r="N30" s="285">
        <v>0</v>
      </c>
      <c r="O30" s="479">
        <v>0</v>
      </c>
      <c r="P30" s="481">
        <f t="shared" ref="P30" si="5">SUM(K30:O30)</f>
        <v>0</v>
      </c>
    </row>
    <row r="31" spans="3:17" x14ac:dyDescent="0.25">
      <c r="C31" s="32" t="s">
        <v>26</v>
      </c>
      <c r="D31" s="482">
        <v>33.35270895361149</v>
      </c>
      <c r="E31" s="478">
        <v>15.304059410725957</v>
      </c>
      <c r="F31" s="285">
        <v>27.849090249593377</v>
      </c>
      <c r="G31" s="479">
        <v>51.386533833111123</v>
      </c>
      <c r="H31" s="285">
        <v>67.636703119476167</v>
      </c>
      <c r="I31" s="479">
        <v>69.288325463039797</v>
      </c>
      <c r="J31" s="595">
        <v>35.82783309916806</v>
      </c>
      <c r="K31" s="478">
        <f>RFM_PTRM!O29</f>
        <v>40.612905340638981</v>
      </c>
      <c r="L31" s="285">
        <f>RFM_PTRM!P29</f>
        <v>67.683233445980193</v>
      </c>
      <c r="M31" s="285">
        <f>RFM_PTRM!Q29</f>
        <v>65.491772230535219</v>
      </c>
      <c r="N31" s="285">
        <f>RFM_PTRM!R29</f>
        <v>66.021952834967209</v>
      </c>
      <c r="O31" s="479">
        <f>RFM_PTRM!S29</f>
        <v>66.481545477830693</v>
      </c>
      <c r="P31" s="481">
        <f>SUM(K31:O31)</f>
        <v>306.29140932995227</v>
      </c>
    </row>
    <row r="32" spans="3:17" x14ac:dyDescent="0.25">
      <c r="C32" s="32" t="s">
        <v>714</v>
      </c>
      <c r="D32" s="482">
        <v>11.239554894707787</v>
      </c>
      <c r="E32" s="478">
        <v>0</v>
      </c>
      <c r="F32" s="285">
        <v>0</v>
      </c>
      <c r="G32" s="479"/>
      <c r="H32" s="285"/>
      <c r="I32" s="479"/>
      <c r="J32" s="285"/>
      <c r="K32" s="478"/>
      <c r="L32" s="285"/>
      <c r="M32" s="285"/>
      <c r="N32" s="285"/>
      <c r="O32" s="479"/>
      <c r="P32" s="481">
        <f t="shared" ref="P32:P33" si="6">SUM(K32:O32)</f>
        <v>0</v>
      </c>
    </row>
    <row r="33" spans="3:17" x14ac:dyDescent="0.25">
      <c r="C33" s="33" t="s">
        <v>5</v>
      </c>
      <c r="D33" s="483"/>
      <c r="E33" s="484">
        <v>0</v>
      </c>
      <c r="F33" s="485">
        <v>2.3191800861894762E-3</v>
      </c>
      <c r="G33" s="486">
        <v>6.8528709999999993E-2</v>
      </c>
      <c r="H33" s="485">
        <v>0</v>
      </c>
      <c r="I33" s="486">
        <v>0</v>
      </c>
      <c r="J33" s="485"/>
      <c r="K33" s="484">
        <v>0</v>
      </c>
      <c r="L33" s="485">
        <v>0</v>
      </c>
      <c r="M33" s="485">
        <v>0</v>
      </c>
      <c r="N33" s="485">
        <v>0</v>
      </c>
      <c r="O33" s="486">
        <v>0</v>
      </c>
      <c r="P33" s="489">
        <f t="shared" si="6"/>
        <v>0</v>
      </c>
    </row>
    <row r="34" spans="3:17" x14ac:dyDescent="0.25">
      <c r="C34" s="8" t="s">
        <v>715</v>
      </c>
      <c r="D34" s="503">
        <f t="shared" ref="D34:O34" si="7">SUM(D30:D33)</f>
        <v>51.158591411816161</v>
      </c>
      <c r="E34" s="504">
        <f t="shared" si="7"/>
        <v>22.571443194298055</v>
      </c>
      <c r="F34" s="505">
        <f t="shared" si="7"/>
        <v>36.104027146097245</v>
      </c>
      <c r="G34" s="503">
        <f t="shared" si="7"/>
        <v>57.944956731822238</v>
      </c>
      <c r="H34" s="505">
        <f t="shared" si="7"/>
        <v>67.636703119476167</v>
      </c>
      <c r="I34" s="503">
        <f t="shared" si="7"/>
        <v>69.288325463039797</v>
      </c>
      <c r="J34" s="503">
        <f t="shared" si="7"/>
        <v>35.82783309916806</v>
      </c>
      <c r="K34" s="507">
        <f t="shared" si="7"/>
        <v>40.612905340638981</v>
      </c>
      <c r="L34" s="508">
        <f t="shared" si="7"/>
        <v>67.683233445980193</v>
      </c>
      <c r="M34" s="508">
        <f t="shared" si="7"/>
        <v>65.491772230535219</v>
      </c>
      <c r="N34" s="508">
        <f t="shared" si="7"/>
        <v>66.021952834967209</v>
      </c>
      <c r="O34" s="509">
        <f t="shared" si="7"/>
        <v>66.481545477830693</v>
      </c>
      <c r="P34" s="506">
        <f>SUM(P30:P33)</f>
        <v>306.29140932995227</v>
      </c>
      <c r="Q34" s="466" t="b">
        <f>P34=RFM_PTRM!T29</f>
        <v>1</v>
      </c>
    </row>
    <row r="35" spans="3:17" x14ac:dyDescent="0.25">
      <c r="C35" s="32"/>
      <c r="D35" s="250"/>
      <c r="E35" s="464"/>
      <c r="F35" s="278"/>
      <c r="G35" s="465"/>
      <c r="H35" s="278"/>
      <c r="I35" s="465"/>
      <c r="J35" s="278"/>
      <c r="K35" s="464"/>
      <c r="L35" s="278"/>
      <c r="M35" s="278"/>
      <c r="N35" s="278"/>
      <c r="O35" s="465"/>
      <c r="P35" s="32"/>
    </row>
    <row r="36" spans="3:17" x14ac:dyDescent="0.25">
      <c r="C36" s="69" t="s">
        <v>716</v>
      </c>
      <c r="D36" s="462">
        <v>2015</v>
      </c>
      <c r="E36" s="474">
        <v>2016</v>
      </c>
      <c r="F36" s="462">
        <v>2017</v>
      </c>
      <c r="G36" s="475">
        <v>2018</v>
      </c>
      <c r="H36" s="462">
        <v>2019</v>
      </c>
      <c r="I36" s="475">
        <v>2020</v>
      </c>
      <c r="J36" s="462" t="s">
        <v>705</v>
      </c>
      <c r="K36" s="474" t="s">
        <v>624</v>
      </c>
      <c r="L36" s="462" t="s">
        <v>625</v>
      </c>
      <c r="M36" s="462" t="s">
        <v>626</v>
      </c>
      <c r="N36" s="462" t="s">
        <v>627</v>
      </c>
      <c r="O36" s="475" t="s">
        <v>628</v>
      </c>
      <c r="P36" s="476" t="s">
        <v>717</v>
      </c>
    </row>
    <row r="37" spans="3:17" x14ac:dyDescent="0.25">
      <c r="C37" s="32" t="s">
        <v>718</v>
      </c>
      <c r="D37" s="482">
        <f>D6-D30</f>
        <v>13.947302998746304</v>
      </c>
      <c r="E37" s="480">
        <f t="shared" ref="E37:P37" si="8">E6-E30</f>
        <v>18.775719960147313</v>
      </c>
      <c r="F37" s="495">
        <f t="shared" si="8"/>
        <v>19.814708049691895</v>
      </c>
      <c r="G37" s="482">
        <f t="shared" si="8"/>
        <v>31.37570347790497</v>
      </c>
      <c r="H37" s="495">
        <f t="shared" si="8"/>
        <v>32.163039719733497</v>
      </c>
      <c r="I37" s="482">
        <f t="shared" si="8"/>
        <v>27.91148240452307</v>
      </c>
      <c r="J37" s="495">
        <f t="shared" si="8"/>
        <v>11.384188199013863</v>
      </c>
      <c r="K37" s="480">
        <f t="shared" si="8"/>
        <v>19.629648239430157</v>
      </c>
      <c r="L37" s="495">
        <f t="shared" si="8"/>
        <v>21.733372481427306</v>
      </c>
      <c r="M37" s="495">
        <f t="shared" si="8"/>
        <v>19.041320928640509</v>
      </c>
      <c r="N37" s="495">
        <f t="shared" si="8"/>
        <v>15.338476018419053</v>
      </c>
      <c r="O37" s="482">
        <f t="shared" si="8"/>
        <v>15.018798047665785</v>
      </c>
      <c r="P37" s="481">
        <f t="shared" si="8"/>
        <v>90.761615715582806</v>
      </c>
    </row>
    <row r="38" spans="3:17" x14ac:dyDescent="0.25">
      <c r="C38" s="32" t="s">
        <v>719</v>
      </c>
      <c r="D38" s="482">
        <f>D9-D32</f>
        <v>128.0952559348045</v>
      </c>
      <c r="E38" s="480">
        <f t="shared" ref="E38:P38" si="9">E9-E32</f>
        <v>114.72610233566239</v>
      </c>
      <c r="F38" s="495">
        <f t="shared" si="9"/>
        <v>84.796769154755182</v>
      </c>
      <c r="G38" s="482">
        <f t="shared" si="9"/>
        <v>56.593608173395118</v>
      </c>
      <c r="H38" s="495">
        <f t="shared" si="9"/>
        <v>47.171479897825627</v>
      </c>
      <c r="I38" s="482">
        <f t="shared" si="9"/>
        <v>40.082192387259852</v>
      </c>
      <c r="J38" s="495">
        <f t="shared" si="9"/>
        <v>16.676131571969442</v>
      </c>
      <c r="K38" s="480">
        <f t="shared" si="9"/>
        <v>10.079453741447264</v>
      </c>
      <c r="L38" s="495">
        <f t="shared" si="9"/>
        <v>11.041375817075204</v>
      </c>
      <c r="M38" s="495">
        <f t="shared" si="9"/>
        <v>13.429768667668469</v>
      </c>
      <c r="N38" s="495">
        <f t="shared" si="9"/>
        <v>18.825023243219405</v>
      </c>
      <c r="O38" s="482">
        <f t="shared" si="9"/>
        <v>30.929470692339287</v>
      </c>
      <c r="P38" s="481">
        <f t="shared" si="9"/>
        <v>84.305092161749627</v>
      </c>
    </row>
    <row r="39" spans="3:17" x14ac:dyDescent="0.25">
      <c r="C39" s="33" t="s">
        <v>720</v>
      </c>
      <c r="D39" s="483">
        <f>D7-D31</f>
        <v>55.307083553033756</v>
      </c>
      <c r="E39" s="487">
        <f t="shared" ref="E39:P39" si="10">E7-E31</f>
        <v>67.202348561300582</v>
      </c>
      <c r="F39" s="488">
        <f t="shared" si="10"/>
        <v>57.001294112537153</v>
      </c>
      <c r="G39" s="483">
        <f t="shared" si="10"/>
        <v>55.031232162946829</v>
      </c>
      <c r="H39" s="488">
        <f t="shared" si="10"/>
        <v>40.72230829863733</v>
      </c>
      <c r="I39" s="483">
        <f t="shared" si="10"/>
        <v>40.780175572754843</v>
      </c>
      <c r="J39" s="488">
        <f t="shared" si="10"/>
        <v>20.293222080017578</v>
      </c>
      <c r="K39" s="487">
        <f t="shared" si="10"/>
        <v>24.275235547569444</v>
      </c>
      <c r="L39" s="488">
        <f t="shared" si="10"/>
        <v>40.885831355726552</v>
      </c>
      <c r="M39" s="488">
        <f t="shared" si="10"/>
        <v>40.942479675383112</v>
      </c>
      <c r="N39" s="488">
        <f t="shared" si="10"/>
        <v>41.233601924892412</v>
      </c>
      <c r="O39" s="483">
        <f t="shared" si="10"/>
        <v>41.555186010607372</v>
      </c>
      <c r="P39" s="489">
        <f t="shared" si="10"/>
        <v>188.89233451417886</v>
      </c>
    </row>
  </sheetData>
  <dataConsolidate/>
  <mergeCells count="7">
    <mergeCell ref="D3:O3"/>
    <mergeCell ref="H4:J4"/>
    <mergeCell ref="K4:O4"/>
    <mergeCell ref="D4:G4"/>
    <mergeCell ref="H28:J28"/>
    <mergeCell ref="K28:O28"/>
    <mergeCell ref="D28:G28"/>
  </mergeCells>
  <hyperlinks>
    <hyperlink ref="B2" location="Contents!A1" display="Table of Contents"/>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18"/>
  <sheetViews>
    <sheetView zoomScale="85" zoomScaleNormal="85" workbookViewId="0">
      <selection activeCell="J8" sqref="J8:K9"/>
    </sheetView>
  </sheetViews>
  <sheetFormatPr defaultColWidth="8.85546875" defaultRowHeight="15" x14ac:dyDescent="0.25"/>
  <cols>
    <col min="1" max="2" width="3.42578125" style="1" customWidth="1"/>
    <col min="3" max="3" width="8.85546875" style="1"/>
    <col min="4" max="4" width="46.140625" style="1" customWidth="1"/>
    <col min="5" max="10" width="8.85546875" style="1"/>
    <col min="11" max="11" width="10" style="1" customWidth="1"/>
    <col min="12" max="16384" width="8.85546875" style="1"/>
  </cols>
  <sheetData>
    <row r="1" spans="3:11" ht="18.75" x14ac:dyDescent="0.3">
      <c r="C1" s="10" t="s">
        <v>657</v>
      </c>
    </row>
    <row r="2" spans="3:11" x14ac:dyDescent="0.25">
      <c r="C2" s="25" t="s">
        <v>6</v>
      </c>
      <c r="G2" s="100">
        <f>Escalators!$P$14</f>
        <v>1.0620720947761066</v>
      </c>
      <c r="H2" s="1" t="s">
        <v>586</v>
      </c>
    </row>
    <row r="3" spans="3:11" x14ac:dyDescent="0.25">
      <c r="C3" s="25"/>
    </row>
    <row r="4" spans="3:11" x14ac:dyDescent="0.25">
      <c r="C4" s="2" t="s">
        <v>702</v>
      </c>
      <c r="E4" s="411" t="s">
        <v>610</v>
      </c>
      <c r="K4" s="17" t="s">
        <v>146</v>
      </c>
    </row>
    <row r="5" spans="3:11" x14ac:dyDescent="0.25">
      <c r="E5" s="362">
        <f>Stub</f>
        <v>44377</v>
      </c>
      <c r="F5" s="362">
        <f>Yr_1</f>
        <v>44742</v>
      </c>
      <c r="G5" s="362">
        <f>Yr_2</f>
        <v>45107</v>
      </c>
      <c r="H5" s="362">
        <f>Yr_3</f>
        <v>45473</v>
      </c>
      <c r="I5" s="362">
        <f>Yr_4</f>
        <v>45838</v>
      </c>
      <c r="J5" s="362">
        <f>Yr_5</f>
        <v>46203</v>
      </c>
      <c r="K5" s="17" t="str">
        <f>NReg_Period</f>
        <v>2022-26</v>
      </c>
    </row>
    <row r="6" spans="3:11" x14ac:dyDescent="0.25">
      <c r="C6" s="6" t="s">
        <v>285</v>
      </c>
      <c r="D6" s="6" t="s">
        <v>420</v>
      </c>
      <c r="E6" s="47">
        <f>Augmentation!CS13</f>
        <v>0</v>
      </c>
      <c r="F6" s="47">
        <f>Augmentation!CT13</f>
        <v>3850.7410776688944</v>
      </c>
      <c r="G6" s="47">
        <f>Augmentation!CU13</f>
        <v>3849.2286197221406</v>
      </c>
      <c r="H6" s="47">
        <f>Augmentation!CV13</f>
        <v>3848.7899167684814</v>
      </c>
      <c r="I6" s="47">
        <f>Augmentation!CW13</f>
        <v>3851.0067151959274</v>
      </c>
      <c r="J6" s="47">
        <f>Augmentation!CX13</f>
        <v>3857.044048689379</v>
      </c>
      <c r="K6" s="47">
        <f t="shared" ref="K6:K9" si="0">SUM(F6:J6)</f>
        <v>19256.810378044822</v>
      </c>
    </row>
    <row r="7" spans="3:11" x14ac:dyDescent="0.25">
      <c r="C7" s="6" t="s">
        <v>285</v>
      </c>
      <c r="D7" s="6" t="s">
        <v>582</v>
      </c>
      <c r="E7" s="47">
        <f>Augmentation!CS14</f>
        <v>0</v>
      </c>
      <c r="F7" s="47">
        <f>Augmentation!CT14</f>
        <v>3790.5732483303177</v>
      </c>
      <c r="G7" s="47">
        <f>Augmentation!CU14</f>
        <v>3789.0844225389819</v>
      </c>
      <c r="H7" s="47">
        <f>Augmentation!CV14</f>
        <v>3788.6525743189736</v>
      </c>
      <c r="I7" s="47">
        <f>Augmentation!CW14</f>
        <v>3790.8347352709911</v>
      </c>
      <c r="J7" s="47">
        <f>Augmentation!CX14</f>
        <v>3796.7777354286072</v>
      </c>
      <c r="K7" s="47">
        <f t="shared" si="0"/>
        <v>18955.922715887871</v>
      </c>
    </row>
    <row r="8" spans="3:11" x14ac:dyDescent="0.25">
      <c r="C8" s="6" t="s">
        <v>285</v>
      </c>
      <c r="D8" s="6" t="s">
        <v>568</v>
      </c>
      <c r="E8" s="47">
        <f>Augmentation!CS15</f>
        <v>0</v>
      </c>
      <c r="F8" s="47">
        <f>Augmentation!CT15</f>
        <v>0</v>
      </c>
      <c r="G8" s="47">
        <f>Augmentation!CU15</f>
        <v>0</v>
      </c>
      <c r="H8" s="47">
        <f>Augmentation!CV15</f>
        <v>0</v>
      </c>
      <c r="I8" s="47">
        <f>Augmentation!CW15</f>
        <v>0</v>
      </c>
      <c r="J8" s="47">
        <f>Augmentation!CX15</f>
        <v>0</v>
      </c>
      <c r="K8" s="47">
        <f t="shared" si="0"/>
        <v>0</v>
      </c>
    </row>
    <row r="9" spans="3:11" x14ac:dyDescent="0.25">
      <c r="C9" s="6" t="s">
        <v>608</v>
      </c>
      <c r="D9" s="6" t="s">
        <v>607</v>
      </c>
      <c r="E9" s="47">
        <f>ICT!BE9</f>
        <v>0</v>
      </c>
      <c r="F9" s="47">
        <f>ICT!BF9</f>
        <v>1253.1188105910205</v>
      </c>
      <c r="G9" s="47">
        <f>ICT!BG9</f>
        <v>1609.2827766189002</v>
      </c>
      <c r="H9" s="47">
        <f>ICT!BH9</f>
        <v>1899.9086955654891</v>
      </c>
      <c r="I9" s="47">
        <f>ICT!BI9</f>
        <v>2265.4353455420442</v>
      </c>
      <c r="J9" s="47">
        <f>ICT!BJ9</f>
        <v>2634.4910547590989</v>
      </c>
      <c r="K9" s="47">
        <f t="shared" si="0"/>
        <v>9662.2366830765532</v>
      </c>
    </row>
    <row r="10" spans="3:11" x14ac:dyDescent="0.25">
      <c r="C10" s="422" t="s">
        <v>146</v>
      </c>
      <c r="D10" s="306"/>
      <c r="E10" s="48">
        <f>SUM(E6:E9)</f>
        <v>0</v>
      </c>
      <c r="F10" s="48">
        <f t="shared" ref="F10:K10" si="1">SUM(F6:F9)</f>
        <v>8894.4331365902326</v>
      </c>
      <c r="G10" s="48">
        <f t="shared" si="1"/>
        <v>9247.5958188800232</v>
      </c>
      <c r="H10" s="48">
        <f t="shared" si="1"/>
        <v>9537.3511866529443</v>
      </c>
      <c r="I10" s="48">
        <f t="shared" si="1"/>
        <v>9907.2767960089623</v>
      </c>
      <c r="J10" s="48">
        <f t="shared" si="1"/>
        <v>10288.312838877086</v>
      </c>
      <c r="K10" s="48">
        <f t="shared" si="1"/>
        <v>47874.969777009246</v>
      </c>
    </row>
    <row r="12" spans="3:11" x14ac:dyDescent="0.25">
      <c r="C12" s="2" t="s">
        <v>703</v>
      </c>
      <c r="E12" s="411" t="s">
        <v>610</v>
      </c>
      <c r="K12" s="17" t="s">
        <v>146</v>
      </c>
    </row>
    <row r="13" spans="3:11" x14ac:dyDescent="0.25">
      <c r="E13" s="362">
        <v>44377</v>
      </c>
      <c r="F13" s="362">
        <v>44742</v>
      </c>
      <c r="G13" s="362">
        <v>45107</v>
      </c>
      <c r="H13" s="362">
        <v>45473</v>
      </c>
      <c r="I13" s="362">
        <v>45838</v>
      </c>
      <c r="J13" s="362">
        <v>46203</v>
      </c>
      <c r="K13" s="17" t="str">
        <f>NReg_Period</f>
        <v>2022-26</v>
      </c>
    </row>
    <row r="14" spans="3:11" x14ac:dyDescent="0.25">
      <c r="C14" s="6" t="s">
        <v>285</v>
      </c>
      <c r="D14" s="6" t="s">
        <v>420</v>
      </c>
      <c r="E14" s="47">
        <f>E6*$G$2</f>
        <v>0</v>
      </c>
      <c r="F14" s="47">
        <f t="shared" ref="F14:J14" si="2">F6*$G$2</f>
        <v>4089.7646428002049</v>
      </c>
      <c r="G14" s="47">
        <f t="shared" si="2"/>
        <v>4088.1583034204355</v>
      </c>
      <c r="H14" s="47">
        <f t="shared" si="2"/>
        <v>4087.6923692554583</v>
      </c>
      <c r="I14" s="47">
        <f t="shared" si="2"/>
        <v>4090.0467690049923</v>
      </c>
      <c r="J14" s="47">
        <f t="shared" si="2"/>
        <v>4096.4588524352439</v>
      </c>
      <c r="K14" s="47">
        <f>SUM(F14:J14)</f>
        <v>20452.120936916333</v>
      </c>
    </row>
    <row r="15" spans="3:11" x14ac:dyDescent="0.25">
      <c r="C15" s="6" t="s">
        <v>285</v>
      </c>
      <c r="D15" s="6" t="s">
        <v>582</v>
      </c>
      <c r="E15" s="47">
        <f t="shared" ref="E15:J15" si="3">E7*$G$2</f>
        <v>0</v>
      </c>
      <c r="F15" s="47">
        <f t="shared" si="3"/>
        <v>4025.8620702564517</v>
      </c>
      <c r="G15" s="47">
        <f t="shared" si="3"/>
        <v>4024.2808299294911</v>
      </c>
      <c r="H15" s="47">
        <f t="shared" si="3"/>
        <v>4023.8221759858416</v>
      </c>
      <c r="I15" s="47">
        <f t="shared" si="3"/>
        <v>4026.1397882392894</v>
      </c>
      <c r="J15" s="47">
        <f t="shared" si="3"/>
        <v>4032.4516828659434</v>
      </c>
      <c r="K15" s="47">
        <f t="shared" ref="K15:K17" si="4">SUM(F15:J15)</f>
        <v>20132.556547277018</v>
      </c>
    </row>
    <row r="16" spans="3:11" x14ac:dyDescent="0.25">
      <c r="C16" s="6" t="s">
        <v>285</v>
      </c>
      <c r="D16" s="6" t="s">
        <v>568</v>
      </c>
      <c r="E16" s="47">
        <f t="shared" ref="E16:J16" si="5">E8*$G$2</f>
        <v>0</v>
      </c>
      <c r="F16" s="47">
        <f t="shared" si="5"/>
        <v>0</v>
      </c>
      <c r="G16" s="47">
        <f t="shared" si="5"/>
        <v>0</v>
      </c>
      <c r="H16" s="47">
        <f t="shared" si="5"/>
        <v>0</v>
      </c>
      <c r="I16" s="47">
        <f t="shared" si="5"/>
        <v>0</v>
      </c>
      <c r="J16" s="47">
        <f t="shared" si="5"/>
        <v>0</v>
      </c>
      <c r="K16" s="47">
        <f t="shared" si="4"/>
        <v>0</v>
      </c>
    </row>
    <row r="17" spans="3:11" x14ac:dyDescent="0.25">
      <c r="C17" s="6" t="s">
        <v>608</v>
      </c>
      <c r="D17" s="6" t="s">
        <v>607</v>
      </c>
      <c r="E17" s="47">
        <f t="shared" ref="E17:J17" si="6">E9*$G$2</f>
        <v>0</v>
      </c>
      <c r="F17" s="47">
        <f t="shared" si="6"/>
        <v>1330.9025201677484</v>
      </c>
      <c r="G17" s="47">
        <f t="shared" si="6"/>
        <v>1709.1743296507448</v>
      </c>
      <c r="H17" s="47">
        <f t="shared" si="6"/>
        <v>2017.8400081825794</v>
      </c>
      <c r="I17" s="47">
        <f t="shared" si="6"/>
        <v>2406.055663019672</v>
      </c>
      <c r="J17" s="47">
        <f t="shared" si="6"/>
        <v>2798.019433196911</v>
      </c>
      <c r="K17" s="47">
        <f t="shared" si="4"/>
        <v>10261.991954217656</v>
      </c>
    </row>
    <row r="18" spans="3:11" x14ac:dyDescent="0.25">
      <c r="C18" s="422" t="s">
        <v>146</v>
      </c>
      <c r="D18" s="306"/>
      <c r="E18" s="48">
        <f>SUM(E14:E17)</f>
        <v>0</v>
      </c>
      <c r="F18" s="48">
        <f t="shared" ref="F18" si="7">SUM(F14:F17)</f>
        <v>9446.5292332244044</v>
      </c>
      <c r="G18" s="48">
        <f t="shared" ref="G18" si="8">SUM(G14:G17)</f>
        <v>9821.6134630006709</v>
      </c>
      <c r="H18" s="48">
        <f t="shared" ref="H18" si="9">SUM(H14:H17)</f>
        <v>10129.35455342388</v>
      </c>
      <c r="I18" s="48">
        <f t="shared" ref="I18" si="10">SUM(I14:I17)</f>
        <v>10522.242220263954</v>
      </c>
      <c r="J18" s="48">
        <f t="shared" ref="J18:K18" si="11">SUM(J14:J17)</f>
        <v>10926.929968498098</v>
      </c>
      <c r="K18" s="48">
        <f t="shared" si="11"/>
        <v>50846.669438411009</v>
      </c>
    </row>
  </sheetData>
  <hyperlinks>
    <hyperlink ref="C2" location="Contents!A1" display="Table of Contents"/>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52"/>
  <sheetViews>
    <sheetView zoomScale="85" zoomScaleNormal="85" workbookViewId="0">
      <selection activeCell="P18" sqref="P18"/>
    </sheetView>
  </sheetViews>
  <sheetFormatPr defaultColWidth="8.85546875" defaultRowHeight="15" x14ac:dyDescent="0.25"/>
  <cols>
    <col min="1" max="1" width="4.28515625" style="1" customWidth="1"/>
    <col min="2" max="2" width="3.85546875" style="1" customWidth="1"/>
    <col min="3" max="3" width="23.85546875" style="1" customWidth="1"/>
    <col min="4" max="4" width="11" style="1" customWidth="1"/>
    <col min="5" max="5" width="10.7109375" style="1" customWidth="1"/>
    <col min="6" max="6" width="10.7109375" style="1" bestFit="1" customWidth="1"/>
    <col min="7" max="10" width="10.5703125" style="1" bestFit="1" customWidth="1"/>
    <col min="11" max="11" width="11.140625" style="1" customWidth="1"/>
    <col min="12" max="12" width="2" style="1" customWidth="1"/>
    <col min="13" max="16384" width="8.85546875" style="1"/>
  </cols>
  <sheetData>
    <row r="1" spans="3:11" ht="18.75" x14ac:dyDescent="0.3">
      <c r="C1" s="10" t="s">
        <v>655</v>
      </c>
    </row>
    <row r="2" spans="3:11" x14ac:dyDescent="0.25">
      <c r="C2" s="25" t="s">
        <v>6</v>
      </c>
      <c r="G2" s="100">
        <f>Escalators!$P$14</f>
        <v>1.0620720947761066</v>
      </c>
      <c r="H2" s="1" t="s">
        <v>586</v>
      </c>
    </row>
    <row r="4" spans="3:11" x14ac:dyDescent="0.25">
      <c r="C4" s="2" t="s">
        <v>733</v>
      </c>
      <c r="G4" s="129"/>
    </row>
    <row r="5" spans="3:11" x14ac:dyDescent="0.25">
      <c r="C5" s="1" t="s">
        <v>735</v>
      </c>
    </row>
    <row r="6" spans="3:11" x14ac:dyDescent="0.25">
      <c r="C6" s="6" t="s">
        <v>298</v>
      </c>
      <c r="D6" s="17">
        <v>2019</v>
      </c>
      <c r="E6" s="17">
        <v>2020</v>
      </c>
      <c r="F6" s="17" t="s">
        <v>705</v>
      </c>
      <c r="G6" s="17" t="s">
        <v>624</v>
      </c>
      <c r="H6" s="17" t="s">
        <v>625</v>
      </c>
      <c r="I6" s="17" t="s">
        <v>626</v>
      </c>
      <c r="J6" s="17" t="s">
        <v>627</v>
      </c>
      <c r="K6" s="17" t="s">
        <v>628</v>
      </c>
    </row>
    <row r="7" spans="3:11" x14ac:dyDescent="0.25">
      <c r="C7" s="6" t="s">
        <v>696</v>
      </c>
      <c r="D7" s="458">
        <v>21491.998789212746</v>
      </c>
      <c r="E7" s="458">
        <v>16781.821857567571</v>
      </c>
      <c r="F7" s="458">
        <v>4848.7605067567565</v>
      </c>
      <c r="G7" s="376">
        <f>SUMIFS(REFCL!CT$6:CT$36,REFCL!$D$6:$D$36,$C7)*$G$2</f>
        <v>0</v>
      </c>
      <c r="H7" s="376">
        <f>SUMIFS(REFCL!CU$6:CU$36,REFCL!$D$6:$D$36,$C7)*$G$2</f>
        <v>0</v>
      </c>
      <c r="I7" s="376">
        <f>SUMIFS(REFCL!CV$6:CV$36,REFCL!$D$6:$D$36,$C7)*$G$2</f>
        <v>0</v>
      </c>
      <c r="J7" s="376">
        <f>SUMIFS(REFCL!CW$6:CW$36,REFCL!$D$6:$D$36,$C7)*$G$2</f>
        <v>0</v>
      </c>
      <c r="K7" s="376">
        <f>SUMIFS(REFCL!CX$6:CX$36,REFCL!$D$6:$D$36,$C7)*$G$2</f>
        <v>0</v>
      </c>
    </row>
    <row r="8" spans="3:11" x14ac:dyDescent="0.25">
      <c r="C8" s="6" t="s">
        <v>697</v>
      </c>
      <c r="D8" s="458">
        <v>59570.885570795275</v>
      </c>
      <c r="E8" s="458">
        <v>88033.459266891878</v>
      </c>
      <c r="F8" s="458">
        <v>18098.806083333333</v>
      </c>
      <c r="G8" s="376">
        <f>SUMIFS(REFCL!CT$6:CT$36,REFCL!$D$6:$D$36,$C8)*$G$2</f>
        <v>8320.80038281423</v>
      </c>
      <c r="H8" s="376">
        <f>SUMIFS(REFCL!CU$6:CU$36,REFCL!$D$6:$D$36,$C8)*$G$2</f>
        <v>3556.4203990242108</v>
      </c>
      <c r="I8" s="376">
        <f>SUMIFS(REFCL!CV$6:CV$36,REFCL!$D$6:$D$36,$C8)*$G$2</f>
        <v>0</v>
      </c>
      <c r="J8" s="376">
        <f>SUMIFS(REFCL!CW$6:CW$36,REFCL!$D$6:$D$36,$C8)*$G$2</f>
        <v>0</v>
      </c>
      <c r="K8" s="376">
        <f>SUMIFS(REFCL!CX$6:CX$36,REFCL!$D$6:$D$36,$C8)*$G$2</f>
        <v>0</v>
      </c>
    </row>
    <row r="9" spans="3:11" x14ac:dyDescent="0.25">
      <c r="C9" s="6" t="s">
        <v>409</v>
      </c>
      <c r="D9" s="458">
        <v>6906.8838619479529</v>
      </c>
      <c r="E9" s="458">
        <v>25388.233964771869</v>
      </c>
      <c r="F9" s="458">
        <v>21263.216041109255</v>
      </c>
      <c r="G9" s="376">
        <f>SUMIFS(REFCL!CT$6:CT$36,REFCL!$D$6:$D$36,$C9)*$G$2</f>
        <v>27150.091214824417</v>
      </c>
      <c r="H9" s="376">
        <f>SUMIFS(REFCL!CU$6:CU$36,REFCL!$D$6:$D$36,$C9)*$G$2</f>
        <v>9973.7887748191479</v>
      </c>
      <c r="I9" s="376">
        <f>SUMIFS(REFCL!CV$6:CV$36,REFCL!$D$6:$D$36,$C9)*$G$2</f>
        <v>0</v>
      </c>
      <c r="J9" s="376">
        <f>SUMIFS(REFCL!CW$6:CW$36,REFCL!$D$6:$D$36,$C9)*$G$2</f>
        <v>0</v>
      </c>
      <c r="K9" s="376">
        <f>SUMIFS(REFCL!CX$6:CX$36,REFCL!$D$6:$D$36,$C9)*$G$2</f>
        <v>0</v>
      </c>
    </row>
    <row r="10" spans="3:11" x14ac:dyDescent="0.25">
      <c r="C10" s="8" t="s">
        <v>740</v>
      </c>
      <c r="D10" s="497">
        <f>SUM(D7:D9)</f>
        <v>87969.768221955979</v>
      </c>
      <c r="E10" s="497">
        <f t="shared" ref="E10:K10" si="0">SUM(E7:E9)</f>
        <v>130203.51508923131</v>
      </c>
      <c r="F10" s="497">
        <f t="shared" si="0"/>
        <v>44210.782631199341</v>
      </c>
      <c r="G10" s="497">
        <f t="shared" si="0"/>
        <v>35470.891597638649</v>
      </c>
      <c r="H10" s="497">
        <f t="shared" si="0"/>
        <v>13530.209173843359</v>
      </c>
      <c r="I10" s="497">
        <f t="shared" si="0"/>
        <v>0</v>
      </c>
      <c r="J10" s="497">
        <f t="shared" si="0"/>
        <v>0</v>
      </c>
      <c r="K10" s="497">
        <f t="shared" si="0"/>
        <v>0</v>
      </c>
    </row>
    <row r="11" spans="3:11" x14ac:dyDescent="0.25">
      <c r="C11" s="6" t="s">
        <v>654</v>
      </c>
      <c r="D11" s="458">
        <f>SUMIFS(Augmentation!CQ$6:CQ$36,Augmentation!$B$6:$B$36,$C11)</f>
        <v>0</v>
      </c>
      <c r="E11" s="376">
        <f>SUMIFS(Augmentation!CR$6:CR$36,Augmentation!$B$6:$B$36,$C11)</f>
        <v>0</v>
      </c>
      <c r="F11" s="376">
        <f>SUMIFS(Augmentation!CS$6:CS$36,Augmentation!$B$6:$B$36,$C11)</f>
        <v>0</v>
      </c>
      <c r="G11" s="376">
        <f>SUMIFS(Augmentation!CT$6:CT$36,Augmentation!$B$6:$B$36,$C11)*$G$2</f>
        <v>0</v>
      </c>
      <c r="H11" s="376">
        <f>SUMIFS(Augmentation!CU$6:CU$36,Augmentation!$B$6:$B$36,$C11)*$G$2</f>
        <v>11787.627326461827</v>
      </c>
      <c r="I11" s="376">
        <f>SUMIFS(Augmentation!CV$6:CV$36,Augmentation!$B$6:$B$36,$C11)*$G$2</f>
        <v>20821.965320934523</v>
      </c>
      <c r="J11" s="376">
        <f>SUMIFS(Augmentation!CW$6:CW$36,Augmentation!$B$6:$B$36,$C11)*$G$2</f>
        <v>29874.843964156255</v>
      </c>
      <c r="K11" s="376">
        <f>SUMIFS(Augmentation!CX$6:CX$36,Augmentation!$B$6:$B$36,$C11)*$G$2</f>
        <v>32534.306810631308</v>
      </c>
    </row>
    <row r="12" spans="3:11" x14ac:dyDescent="0.25">
      <c r="C12" s="8" t="s">
        <v>656</v>
      </c>
      <c r="D12" s="419">
        <f>SUM(D10:D11)</f>
        <v>87969.768221955979</v>
      </c>
      <c r="E12" s="419">
        <f t="shared" ref="E12:K12" si="1">SUM(E10:E11)</f>
        <v>130203.51508923131</v>
      </c>
      <c r="F12" s="419">
        <f t="shared" si="1"/>
        <v>44210.782631199341</v>
      </c>
      <c r="G12" s="419">
        <f t="shared" si="1"/>
        <v>35470.891597638649</v>
      </c>
      <c r="H12" s="419">
        <f t="shared" si="1"/>
        <v>25317.836500305188</v>
      </c>
      <c r="I12" s="419">
        <f t="shared" si="1"/>
        <v>20821.965320934523</v>
      </c>
      <c r="J12" s="419">
        <f t="shared" si="1"/>
        <v>29874.843964156255</v>
      </c>
      <c r="K12" s="419">
        <f t="shared" si="1"/>
        <v>32534.306810631308</v>
      </c>
    </row>
    <row r="14" spans="3:11" x14ac:dyDescent="0.25">
      <c r="C14" s="2" t="s">
        <v>734</v>
      </c>
    </row>
    <row r="15" spans="3:11" x14ac:dyDescent="0.25">
      <c r="C15" s="1" t="s">
        <v>735</v>
      </c>
      <c r="K15" s="17" t="s">
        <v>146</v>
      </c>
    </row>
    <row r="16" spans="3:11" x14ac:dyDescent="0.25">
      <c r="C16" s="6" t="s">
        <v>298</v>
      </c>
      <c r="D16" s="17" t="s">
        <v>629</v>
      </c>
      <c r="E16" s="17" t="s">
        <v>623</v>
      </c>
      <c r="F16" s="17" t="s">
        <v>624</v>
      </c>
      <c r="G16" s="17" t="s">
        <v>625</v>
      </c>
      <c r="H16" s="17" t="s">
        <v>626</v>
      </c>
      <c r="I16" s="17" t="s">
        <v>627</v>
      </c>
      <c r="J16" s="17" t="s">
        <v>628</v>
      </c>
      <c r="K16" s="17" t="str">
        <f>NReg_Period</f>
        <v>2022-26</v>
      </c>
    </row>
    <row r="17" spans="3:11" x14ac:dyDescent="0.25">
      <c r="C17" s="6" t="s">
        <v>696</v>
      </c>
      <c r="D17" s="449">
        <f>0.5*E7+0.5*D7</f>
        <v>19136.910323390159</v>
      </c>
      <c r="E17" s="449">
        <f>F7+0.5*E7</f>
        <v>13239.671435540542</v>
      </c>
      <c r="F17" s="449">
        <f>G7</f>
        <v>0</v>
      </c>
      <c r="G17" s="449">
        <f t="shared" ref="G17:J17" si="2">H7</f>
        <v>0</v>
      </c>
      <c r="H17" s="449">
        <f t="shared" si="2"/>
        <v>0</v>
      </c>
      <c r="I17" s="449">
        <f t="shared" si="2"/>
        <v>0</v>
      </c>
      <c r="J17" s="449">
        <f t="shared" si="2"/>
        <v>0</v>
      </c>
      <c r="K17" s="418">
        <f>SUM(F17:J17)</f>
        <v>0</v>
      </c>
    </row>
    <row r="18" spans="3:11" x14ac:dyDescent="0.25">
      <c r="C18" s="6" t="s">
        <v>697</v>
      </c>
      <c r="D18" s="449">
        <f>0.5*E8+0.5*D8</f>
        <v>73802.172418843576</v>
      </c>
      <c r="E18" s="449">
        <f>F8+0.5*E8</f>
        <v>62115.535716779268</v>
      </c>
      <c r="F18" s="449">
        <f t="shared" ref="F18:J18" si="3">G8</f>
        <v>8320.80038281423</v>
      </c>
      <c r="G18" s="449">
        <f t="shared" si="3"/>
        <v>3556.4203990242108</v>
      </c>
      <c r="H18" s="449">
        <f t="shared" si="3"/>
        <v>0</v>
      </c>
      <c r="I18" s="449">
        <f t="shared" si="3"/>
        <v>0</v>
      </c>
      <c r="J18" s="449">
        <f t="shared" si="3"/>
        <v>0</v>
      </c>
      <c r="K18" s="418">
        <f t="shared" ref="K18:K21" si="4">SUM(F18:J18)</f>
        <v>11877.220781838441</v>
      </c>
    </row>
    <row r="19" spans="3:11" x14ac:dyDescent="0.25">
      <c r="C19" s="6" t="s">
        <v>409</v>
      </c>
      <c r="D19" s="449">
        <f>0.5*E9+0.5*D9</f>
        <v>16147.558913359911</v>
      </c>
      <c r="E19" s="449">
        <f>F9+0.5*E9</f>
        <v>33957.333023495186</v>
      </c>
      <c r="F19" s="449">
        <f t="shared" ref="F19:J19" si="5">G9</f>
        <v>27150.091214824417</v>
      </c>
      <c r="G19" s="449">
        <f t="shared" si="5"/>
        <v>9973.7887748191479</v>
      </c>
      <c r="H19" s="449">
        <f t="shared" si="5"/>
        <v>0</v>
      </c>
      <c r="I19" s="449">
        <f t="shared" si="5"/>
        <v>0</v>
      </c>
      <c r="J19" s="449">
        <f t="shared" si="5"/>
        <v>0</v>
      </c>
      <c r="K19" s="418">
        <f t="shared" si="4"/>
        <v>37123.879989643567</v>
      </c>
    </row>
    <row r="20" spans="3:11" x14ac:dyDescent="0.25">
      <c r="C20" s="8" t="s">
        <v>740</v>
      </c>
      <c r="D20" s="497">
        <f>SUM(D17:D19)</f>
        <v>109086.64165559364</v>
      </c>
      <c r="E20" s="497">
        <f t="shared" ref="E20" si="6">SUM(E17:E19)</f>
        <v>109312.540175815</v>
      </c>
      <c r="F20" s="497">
        <f t="shared" ref="F20" si="7">SUM(F17:F19)</f>
        <v>35470.891597638649</v>
      </c>
      <c r="G20" s="497">
        <f t="shared" ref="G20" si="8">SUM(G17:G19)</f>
        <v>13530.209173843359</v>
      </c>
      <c r="H20" s="497">
        <f t="shared" ref="H20" si="9">SUM(H17:H19)</f>
        <v>0</v>
      </c>
      <c r="I20" s="497">
        <f t="shared" ref="I20" si="10">SUM(I17:I19)</f>
        <v>0</v>
      </c>
      <c r="J20" s="497">
        <f t="shared" ref="J20:K20" si="11">SUM(J17:J19)</f>
        <v>0</v>
      </c>
      <c r="K20" s="497">
        <f t="shared" si="11"/>
        <v>49001.100771482008</v>
      </c>
    </row>
    <row r="21" spans="3:11" x14ac:dyDescent="0.25">
      <c r="C21" s="6" t="s">
        <v>654</v>
      </c>
      <c r="D21" s="449">
        <f t="shared" ref="D21" si="12">0.5*E11+0.5*D11</f>
        <v>0</v>
      </c>
      <c r="E21" s="449">
        <f t="shared" ref="E21" si="13">F11+0.5*E11</f>
        <v>0</v>
      </c>
      <c r="F21" s="449">
        <f t="shared" ref="F21:J21" si="14">G11</f>
        <v>0</v>
      </c>
      <c r="G21" s="449">
        <f t="shared" si="14"/>
        <v>11787.627326461827</v>
      </c>
      <c r="H21" s="449">
        <f t="shared" si="14"/>
        <v>20821.965320934523</v>
      </c>
      <c r="I21" s="449">
        <f t="shared" si="14"/>
        <v>29874.843964156255</v>
      </c>
      <c r="J21" s="449">
        <f t="shared" si="14"/>
        <v>32534.306810631308</v>
      </c>
      <c r="K21" s="418">
        <f t="shared" si="4"/>
        <v>95018.743422183907</v>
      </c>
    </row>
    <row r="22" spans="3:11" x14ac:dyDescent="0.25">
      <c r="C22" s="8" t="s">
        <v>656</v>
      </c>
      <c r="D22" s="419">
        <f>SUM(D20:D21)</f>
        <v>109086.64165559364</v>
      </c>
      <c r="E22" s="419">
        <f t="shared" ref="E22:K22" si="15">SUM(E20:E21)</f>
        <v>109312.540175815</v>
      </c>
      <c r="F22" s="419">
        <f t="shared" si="15"/>
        <v>35470.891597638649</v>
      </c>
      <c r="G22" s="419">
        <f t="shared" si="15"/>
        <v>25317.836500305188</v>
      </c>
      <c r="H22" s="419">
        <f t="shared" si="15"/>
        <v>20821.965320934523</v>
      </c>
      <c r="I22" s="419">
        <f t="shared" si="15"/>
        <v>29874.843964156255</v>
      </c>
      <c r="J22" s="419">
        <f t="shared" si="15"/>
        <v>32534.306810631308</v>
      </c>
      <c r="K22" s="419">
        <f t="shared" si="15"/>
        <v>144019.84419366592</v>
      </c>
    </row>
    <row r="24" spans="3:11" x14ac:dyDescent="0.25">
      <c r="C24" s="2" t="s">
        <v>738</v>
      </c>
    </row>
    <row r="25" spans="3:11" x14ac:dyDescent="0.25">
      <c r="C25" s="568" t="s">
        <v>741</v>
      </c>
      <c r="D25" s="570"/>
    </row>
    <row r="26" spans="3:11" x14ac:dyDescent="0.25">
      <c r="D26" s="17">
        <v>2019</v>
      </c>
      <c r="E26" s="17">
        <v>2020</v>
      </c>
      <c r="F26" s="17" t="s">
        <v>705</v>
      </c>
      <c r="G26" s="17" t="s">
        <v>624</v>
      </c>
      <c r="H26" s="17" t="s">
        <v>625</v>
      </c>
      <c r="I26" s="17" t="s">
        <v>626</v>
      </c>
      <c r="J26" s="17" t="s">
        <v>627</v>
      </c>
      <c r="K26" s="17" t="s">
        <v>628</v>
      </c>
    </row>
    <row r="27" spans="3:11" x14ac:dyDescent="0.25">
      <c r="C27" s="6" t="s">
        <v>33</v>
      </c>
      <c r="D27" s="376">
        <v>75845.295547493093</v>
      </c>
      <c r="E27" s="376">
        <v>98479.795875572978</v>
      </c>
      <c r="F27" s="376">
        <v>29760.367066441439</v>
      </c>
      <c r="G27" s="376">
        <f>SUM(Safety!Q28:Q30)*$G$2</f>
        <v>24635.404514086495</v>
      </c>
      <c r="H27" s="376">
        <f>SUM(Safety!R28:R30)*$G$2</f>
        <v>8685.9211048735742</v>
      </c>
      <c r="I27" s="376">
        <f>SUM(Safety!S28:S30)*$G$2</f>
        <v>0</v>
      </c>
      <c r="J27" s="376">
        <f>SUM(Safety!T28:T30)*$G$2</f>
        <v>0</v>
      </c>
      <c r="K27" s="376">
        <f>SUM(Safety!U28:U30)*$G$2</f>
        <v>0</v>
      </c>
    </row>
    <row r="28" spans="3:11" x14ac:dyDescent="0.25">
      <c r="C28" s="6" t="s">
        <v>736</v>
      </c>
      <c r="D28" s="376">
        <v>11536.568370310089</v>
      </c>
      <c r="E28" s="376">
        <v>29802.206977027021</v>
      </c>
      <c r="F28" s="376">
        <v>14429.907761261262</v>
      </c>
      <c r="G28" s="376">
        <f>SUM(Safety!G28:G30)*$G$2</f>
        <v>10801.023280117632</v>
      </c>
      <c r="H28" s="376">
        <f>SUM(Safety!H28:H30)*$G$2</f>
        <v>4830.3092758392513</v>
      </c>
      <c r="I28" s="376">
        <f>SUM(Safety!I28:I30)*$G$2</f>
        <v>0</v>
      </c>
      <c r="J28" s="376">
        <f>SUM(Safety!J28:J30)*$G$2</f>
        <v>0</v>
      </c>
      <c r="K28" s="376">
        <f>SUM(Safety!K28:K30)*$G$2</f>
        <v>0</v>
      </c>
    </row>
    <row r="29" spans="3:11" x14ac:dyDescent="0.25">
      <c r="C29" s="6" t="s">
        <v>34</v>
      </c>
      <c r="D29" s="376">
        <v>558.98943561367287</v>
      </c>
      <c r="E29" s="376">
        <v>224.4</v>
      </c>
      <c r="F29" s="376">
        <v>0</v>
      </c>
      <c r="G29" s="376">
        <f>Safety!G42*$G$2</f>
        <v>0</v>
      </c>
      <c r="H29" s="376">
        <f>Safety!H42*$G$2</f>
        <v>0</v>
      </c>
      <c r="I29" s="496">
        <v>0</v>
      </c>
      <c r="J29" s="496">
        <v>0</v>
      </c>
      <c r="K29" s="496">
        <v>0</v>
      </c>
    </row>
    <row r="30" spans="3:11" x14ac:dyDescent="0.25">
      <c r="C30" s="6" t="s">
        <v>399</v>
      </c>
      <c r="D30" s="376">
        <v>28.91486853910196</v>
      </c>
      <c r="E30" s="376">
        <v>1697.11223663133</v>
      </c>
      <c r="F30" s="376">
        <v>20.507803496642804</v>
      </c>
      <c r="G30" s="376">
        <f>Safety!G43*$G$2</f>
        <v>34.463803434522831</v>
      </c>
      <c r="H30" s="376">
        <f>Safety!H43*$G$2</f>
        <v>13.978793130532621</v>
      </c>
      <c r="I30" s="376">
        <f>Safety!I43*$G$2</f>
        <v>0</v>
      </c>
      <c r="J30" s="376">
        <f>Safety!J43*$G$2</f>
        <v>0</v>
      </c>
      <c r="K30" s="376">
        <f>Safety!K43*$G$2</f>
        <v>0</v>
      </c>
    </row>
    <row r="31" spans="3:11" x14ac:dyDescent="0.25">
      <c r="C31" s="8" t="s">
        <v>739</v>
      </c>
      <c r="D31" s="377">
        <f>SUM(D27:D30)</f>
        <v>87969.768221955965</v>
      </c>
      <c r="E31" s="377">
        <f t="shared" ref="E31:K31" si="16">SUM(E27:E30)</f>
        <v>130203.51508923132</v>
      </c>
      <c r="F31" s="377">
        <f t="shared" si="16"/>
        <v>44210.782631199341</v>
      </c>
      <c r="G31" s="377">
        <f t="shared" si="16"/>
        <v>35470.891597638649</v>
      </c>
      <c r="H31" s="377">
        <f t="shared" si="16"/>
        <v>13530.209173843359</v>
      </c>
      <c r="I31" s="377">
        <f t="shared" si="16"/>
        <v>0</v>
      </c>
      <c r="J31" s="377">
        <f t="shared" si="16"/>
        <v>0</v>
      </c>
      <c r="K31" s="377">
        <f t="shared" si="16"/>
        <v>0</v>
      </c>
    </row>
    <row r="32" spans="3:11" x14ac:dyDescent="0.25">
      <c r="D32" s="158">
        <f>D31-D10</f>
        <v>0</v>
      </c>
      <c r="E32" s="158">
        <f t="shared" ref="E32:H32" si="17">E31-E10</f>
        <v>0</v>
      </c>
      <c r="F32" s="158">
        <f t="shared" si="17"/>
        <v>0</v>
      </c>
      <c r="G32" s="158">
        <f t="shared" si="17"/>
        <v>0</v>
      </c>
      <c r="H32" s="158">
        <f t="shared" si="17"/>
        <v>0</v>
      </c>
      <c r="I32" s="158">
        <f t="shared" ref="I32" si="18">I31-I10</f>
        <v>0</v>
      </c>
      <c r="J32" s="158">
        <f t="shared" ref="J32" si="19">J31-J10</f>
        <v>0</v>
      </c>
      <c r="K32" s="158">
        <f t="shared" ref="K32" si="20">K31-K10</f>
        <v>0</v>
      </c>
    </row>
    <row r="33" spans="3:11" ht="9.6" customHeight="1" x14ac:dyDescent="0.25">
      <c r="D33" s="158"/>
      <c r="E33" s="158"/>
      <c r="F33" s="158"/>
      <c r="G33" s="158"/>
      <c r="H33" s="158"/>
    </row>
    <row r="34" spans="3:11" x14ac:dyDescent="0.25">
      <c r="C34" s="2" t="s">
        <v>737</v>
      </c>
      <c r="D34" s="158"/>
      <c r="E34" s="158"/>
    </row>
    <row r="35" spans="3:11" x14ac:dyDescent="0.25">
      <c r="C35" s="568" t="s">
        <v>741</v>
      </c>
      <c r="D35" s="569"/>
      <c r="E35" s="158"/>
      <c r="K35" s="17" t="s">
        <v>146</v>
      </c>
    </row>
    <row r="36" spans="3:11" x14ac:dyDescent="0.25">
      <c r="D36" s="386" t="s">
        <v>629</v>
      </c>
      <c r="E36" s="386" t="s">
        <v>623</v>
      </c>
      <c r="F36" s="386" t="s">
        <v>624</v>
      </c>
      <c r="G36" s="386" t="s">
        <v>625</v>
      </c>
      <c r="H36" s="386" t="s">
        <v>626</v>
      </c>
      <c r="I36" s="386" t="s">
        <v>627</v>
      </c>
      <c r="J36" s="386" t="s">
        <v>628</v>
      </c>
      <c r="K36" s="17" t="str">
        <f>NReg_Period</f>
        <v>2022-26</v>
      </c>
    </row>
    <row r="37" spans="3:11" x14ac:dyDescent="0.25">
      <c r="C37" s="6" t="s">
        <v>33</v>
      </c>
      <c r="D37" s="376">
        <f>0.5*D27+0.5*E27</f>
        <v>87162.545711533036</v>
      </c>
      <c r="E37" s="376">
        <f>0.5*E27+F27</f>
        <v>79000.265004227927</v>
      </c>
      <c r="F37" s="376">
        <f>G27</f>
        <v>24635.404514086495</v>
      </c>
      <c r="G37" s="376">
        <f t="shared" ref="G37:J37" si="21">H27</f>
        <v>8685.9211048735742</v>
      </c>
      <c r="H37" s="376">
        <f t="shared" si="21"/>
        <v>0</v>
      </c>
      <c r="I37" s="376">
        <f t="shared" si="21"/>
        <v>0</v>
      </c>
      <c r="J37" s="376">
        <f t="shared" si="21"/>
        <v>0</v>
      </c>
      <c r="K37" s="418">
        <f t="shared" ref="K37:K40" si="22">SUM(F37:J37)</f>
        <v>33321.325618960065</v>
      </c>
    </row>
    <row r="38" spans="3:11" x14ac:dyDescent="0.25">
      <c r="C38" s="6" t="s">
        <v>736</v>
      </c>
      <c r="D38" s="376">
        <f>0.5*D28+0.5*E28</f>
        <v>20669.387673668556</v>
      </c>
      <c r="E38" s="376">
        <f>0.5*E28+F28</f>
        <v>29331.011249774772</v>
      </c>
      <c r="F38" s="376">
        <f t="shared" ref="F38:J38" si="23">G28</f>
        <v>10801.023280117632</v>
      </c>
      <c r="G38" s="376">
        <f t="shared" si="23"/>
        <v>4830.3092758392513</v>
      </c>
      <c r="H38" s="376">
        <f t="shared" si="23"/>
        <v>0</v>
      </c>
      <c r="I38" s="376">
        <f t="shared" si="23"/>
        <v>0</v>
      </c>
      <c r="J38" s="376">
        <f t="shared" si="23"/>
        <v>0</v>
      </c>
      <c r="K38" s="418">
        <f t="shared" si="22"/>
        <v>15631.332555956884</v>
      </c>
    </row>
    <row r="39" spans="3:11" x14ac:dyDescent="0.25">
      <c r="C39" s="6" t="s">
        <v>34</v>
      </c>
      <c r="D39" s="376">
        <f>0.5*D29+0.5*E29</f>
        <v>391.69471780683642</v>
      </c>
      <c r="E39" s="376">
        <f>0.5*E29+F29</f>
        <v>112.2</v>
      </c>
      <c r="F39" s="376">
        <f t="shared" ref="F39:J40" si="24">G29</f>
        <v>0</v>
      </c>
      <c r="G39" s="376">
        <f t="shared" si="24"/>
        <v>0</v>
      </c>
      <c r="H39" s="376">
        <f t="shared" si="24"/>
        <v>0</v>
      </c>
      <c r="I39" s="376">
        <f t="shared" si="24"/>
        <v>0</v>
      </c>
      <c r="J39" s="376">
        <f t="shared" si="24"/>
        <v>0</v>
      </c>
      <c r="K39" s="418">
        <f t="shared" si="22"/>
        <v>0</v>
      </c>
    </row>
    <row r="40" spans="3:11" x14ac:dyDescent="0.25">
      <c r="C40" s="6" t="s">
        <v>399</v>
      </c>
      <c r="D40" s="376">
        <f>0.5*D30+0.5*E30</f>
        <v>863.01355258521596</v>
      </c>
      <c r="E40" s="376">
        <f>0.5*E30+F30</f>
        <v>869.06392181230785</v>
      </c>
      <c r="F40" s="376">
        <f t="shared" si="24"/>
        <v>34.463803434522831</v>
      </c>
      <c r="G40" s="376">
        <f t="shared" si="24"/>
        <v>13.978793130532621</v>
      </c>
      <c r="H40" s="376">
        <f t="shared" si="24"/>
        <v>0</v>
      </c>
      <c r="I40" s="376">
        <f t="shared" si="24"/>
        <v>0</v>
      </c>
      <c r="J40" s="376">
        <f t="shared" si="24"/>
        <v>0</v>
      </c>
      <c r="K40" s="418">
        <f t="shared" si="22"/>
        <v>48.442596565055453</v>
      </c>
    </row>
    <row r="41" spans="3:11" x14ac:dyDescent="0.25">
      <c r="C41" s="8" t="s">
        <v>739</v>
      </c>
      <c r="D41" s="377">
        <f>SUM(D37:D40)</f>
        <v>109086.64165559363</v>
      </c>
      <c r="E41" s="377">
        <f t="shared" ref="E41:K41" si="25">SUM(E37:E40)</f>
        <v>109312.54017581501</v>
      </c>
      <c r="F41" s="377">
        <f t="shared" si="25"/>
        <v>35470.891597638649</v>
      </c>
      <c r="G41" s="377">
        <f t="shared" si="25"/>
        <v>13530.209173843359</v>
      </c>
      <c r="H41" s="377">
        <f t="shared" si="25"/>
        <v>0</v>
      </c>
      <c r="I41" s="377">
        <f t="shared" si="25"/>
        <v>0</v>
      </c>
      <c r="J41" s="377">
        <f t="shared" si="25"/>
        <v>0</v>
      </c>
      <c r="K41" s="377">
        <f t="shared" si="25"/>
        <v>49001.100771482008</v>
      </c>
    </row>
    <row r="42" spans="3:11" x14ac:dyDescent="0.25">
      <c r="D42" s="158">
        <f>D41-D20</f>
        <v>0</v>
      </c>
      <c r="E42" s="158">
        <f t="shared" ref="E42:H42" si="26">E41-E20</f>
        <v>0</v>
      </c>
      <c r="F42" s="158">
        <f t="shared" si="26"/>
        <v>0</v>
      </c>
      <c r="G42" s="158">
        <f t="shared" si="26"/>
        <v>0</v>
      </c>
      <c r="H42" s="158">
        <f t="shared" si="26"/>
        <v>0</v>
      </c>
      <c r="I42" s="158">
        <f t="shared" ref="I42" si="27">I41-I20</f>
        <v>0</v>
      </c>
      <c r="J42" s="158">
        <f t="shared" ref="J42" si="28">J41-J20</f>
        <v>0</v>
      </c>
      <c r="K42" s="158">
        <f t="shared" ref="K42" si="29">K41-K20</f>
        <v>0</v>
      </c>
    </row>
    <row r="44" spans="3:11" x14ac:dyDescent="0.25">
      <c r="C44" s="2" t="s">
        <v>748</v>
      </c>
      <c r="D44" s="158"/>
      <c r="E44" s="158"/>
    </row>
    <row r="45" spans="3:11" x14ac:dyDescent="0.25">
      <c r="C45" s="567" t="s">
        <v>654</v>
      </c>
      <c r="D45" s="158"/>
      <c r="E45" s="158"/>
      <c r="K45" s="17" t="s">
        <v>146</v>
      </c>
    </row>
    <row r="46" spans="3:11" x14ac:dyDescent="0.25">
      <c r="D46" s="386" t="s">
        <v>629</v>
      </c>
      <c r="E46" s="386" t="s">
        <v>623</v>
      </c>
      <c r="F46" s="386" t="s">
        <v>624</v>
      </c>
      <c r="G46" s="386" t="s">
        <v>625</v>
      </c>
      <c r="H46" s="386" t="s">
        <v>626</v>
      </c>
      <c r="I46" s="386" t="s">
        <v>627</v>
      </c>
      <c r="J46" s="386" t="s">
        <v>628</v>
      </c>
      <c r="K46" s="17" t="str">
        <f>NReg_Period</f>
        <v>2022-26</v>
      </c>
    </row>
    <row r="47" spans="3:11" x14ac:dyDescent="0.25">
      <c r="C47" s="6" t="s">
        <v>33</v>
      </c>
      <c r="D47" s="514"/>
      <c r="E47" s="514"/>
      <c r="F47" s="376">
        <f>SUM(Safety!Q7:Q9)*$G$2</f>
        <v>0</v>
      </c>
      <c r="G47" s="376">
        <f>SUM(Safety!R7:R9)*$G$2</f>
        <v>11442.027810443346</v>
      </c>
      <c r="H47" s="376">
        <f>SUM(Safety!S7:S9)*$G$2</f>
        <v>20199.957091488694</v>
      </c>
      <c r="I47" s="376">
        <f>SUM(Safety!T7:T9)*$G$2</f>
        <v>28975.870146297024</v>
      </c>
      <c r="J47" s="376">
        <f>SUM(Safety!U7:U9)*$G$2</f>
        <v>31562.41937043938</v>
      </c>
      <c r="K47" s="418">
        <f t="shared" ref="K47:K50" si="30">SUM(F47:J47)</f>
        <v>92180.274418668443</v>
      </c>
    </row>
    <row r="48" spans="3:11" x14ac:dyDescent="0.25">
      <c r="C48" s="6" t="s">
        <v>736</v>
      </c>
      <c r="D48" s="514"/>
      <c r="E48" s="514"/>
      <c r="F48" s="376">
        <v>0</v>
      </c>
      <c r="G48" s="376">
        <v>0</v>
      </c>
      <c r="H48" s="376">
        <v>0</v>
      </c>
      <c r="I48" s="376">
        <v>0</v>
      </c>
      <c r="J48" s="376">
        <v>0</v>
      </c>
      <c r="K48" s="418">
        <f t="shared" si="30"/>
        <v>0</v>
      </c>
    </row>
    <row r="49" spans="3:11" x14ac:dyDescent="0.25">
      <c r="C49" s="6" t="s">
        <v>34</v>
      </c>
      <c r="D49" s="514"/>
      <c r="E49" s="514"/>
      <c r="F49" s="376">
        <v>0</v>
      </c>
      <c r="G49" s="376">
        <v>0</v>
      </c>
      <c r="H49" s="376">
        <v>0</v>
      </c>
      <c r="I49" s="376">
        <v>0</v>
      </c>
      <c r="J49" s="376">
        <v>0</v>
      </c>
      <c r="K49" s="418">
        <f t="shared" si="30"/>
        <v>0</v>
      </c>
    </row>
    <row r="50" spans="3:11" x14ac:dyDescent="0.25">
      <c r="C50" s="6" t="s">
        <v>399</v>
      </c>
      <c r="D50" s="514"/>
      <c r="E50" s="514"/>
      <c r="F50" s="376">
        <f>Safety!Q10*$G$2</f>
        <v>0</v>
      </c>
      <c r="G50" s="376">
        <f>Safety!R10*$G$2</f>
        <v>345.59951601847951</v>
      </c>
      <c r="H50" s="376">
        <f>Safety!S10*$G$2</f>
        <v>622.00822944582978</v>
      </c>
      <c r="I50" s="376">
        <f>Safety!T10*$G$2</f>
        <v>898.97381785923085</v>
      </c>
      <c r="J50" s="376">
        <f>Safety!U10*$G$2</f>
        <v>971.8874401919295</v>
      </c>
      <c r="K50" s="418">
        <f t="shared" si="30"/>
        <v>2838.4690035154699</v>
      </c>
    </row>
    <row r="51" spans="3:11" x14ac:dyDescent="0.25">
      <c r="C51" s="8" t="s">
        <v>739</v>
      </c>
      <c r="D51" s="377">
        <f>SUM(D47:D50)</f>
        <v>0</v>
      </c>
      <c r="E51" s="377">
        <f t="shared" ref="E51:K51" si="31">SUM(E47:E50)</f>
        <v>0</v>
      </c>
      <c r="F51" s="377">
        <f t="shared" si="31"/>
        <v>0</v>
      </c>
      <c r="G51" s="377">
        <f t="shared" si="31"/>
        <v>11787.627326461825</v>
      </c>
      <c r="H51" s="377">
        <f t="shared" si="31"/>
        <v>20821.965320934523</v>
      </c>
      <c r="I51" s="377">
        <f t="shared" si="31"/>
        <v>29874.843964156255</v>
      </c>
      <c r="J51" s="377">
        <f t="shared" si="31"/>
        <v>32534.306810631311</v>
      </c>
      <c r="K51" s="377">
        <f t="shared" si="31"/>
        <v>95018.743422183907</v>
      </c>
    </row>
    <row r="52" spans="3:11" x14ac:dyDescent="0.25">
      <c r="D52" s="158">
        <f>D51-D21</f>
        <v>0</v>
      </c>
      <c r="E52" s="158">
        <f t="shared" ref="E52:K52" si="32">E51-E21</f>
        <v>0</v>
      </c>
      <c r="F52" s="158">
        <f t="shared" si="32"/>
        <v>0</v>
      </c>
      <c r="G52" s="158">
        <f t="shared" si="32"/>
        <v>0</v>
      </c>
      <c r="H52" s="158">
        <f t="shared" si="32"/>
        <v>0</v>
      </c>
      <c r="I52" s="158">
        <f t="shared" si="32"/>
        <v>0</v>
      </c>
      <c r="J52" s="158">
        <f t="shared" si="32"/>
        <v>0</v>
      </c>
      <c r="K52" s="158">
        <f t="shared" si="32"/>
        <v>0</v>
      </c>
    </row>
  </sheetData>
  <phoneticPr fontId="49" type="noConversion"/>
  <hyperlinks>
    <hyperlink ref="C2" location="Contents!A1" display="Table of Contents"/>
  </hyperlinks>
  <pageMargins left="0.7" right="0.7" top="0.75" bottom="0.75" header="0.3" footer="0.3"/>
  <pageSetup paperSize="9" orientation="portrait" r:id="rId1"/>
  <ignoredErrors>
    <ignoredError sqref="D20:J20" formula="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8" tint="-0.499984740745262"/>
  </sheetPr>
  <dimension ref="C3:C4"/>
  <sheetViews>
    <sheetView zoomScale="85" zoomScaleNormal="85" zoomScalePageLayoutView="125" workbookViewId="0">
      <selection activeCell="V33" sqref="V33"/>
    </sheetView>
  </sheetViews>
  <sheetFormatPr defaultColWidth="8.85546875" defaultRowHeight="15" x14ac:dyDescent="0.25"/>
  <cols>
    <col min="1" max="1" width="8.85546875" style="22"/>
    <col min="2" max="2" width="5" style="22" customWidth="1"/>
    <col min="3" max="16384" width="8.85546875" style="22"/>
  </cols>
  <sheetData>
    <row r="3" spans="3:3" ht="18.75" x14ac:dyDescent="0.3">
      <c r="C3" s="21" t="s">
        <v>28</v>
      </c>
    </row>
    <row r="4" spans="3:3" x14ac:dyDescent="0.25">
      <c r="C4" s="26" t="s">
        <v>6</v>
      </c>
    </row>
  </sheetData>
  <hyperlinks>
    <hyperlink ref="C4" location="Contents!A1" display="Table of Contents"/>
  </hyperlink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AA54"/>
  <sheetViews>
    <sheetView zoomScale="85" zoomScaleNormal="85" zoomScalePageLayoutView="125" workbookViewId="0">
      <selection activeCell="L30" sqref="L30"/>
    </sheetView>
  </sheetViews>
  <sheetFormatPr defaultColWidth="8.85546875" defaultRowHeight="15" outlineLevelCol="1" x14ac:dyDescent="0.25"/>
  <cols>
    <col min="1" max="1" width="4.7109375" style="1" customWidth="1"/>
    <col min="2" max="2" width="5.85546875" style="1" customWidth="1"/>
    <col min="3" max="3" width="37.85546875" style="1" customWidth="1"/>
    <col min="4" max="4" width="13.5703125" style="1" hidden="1" customWidth="1"/>
    <col min="5" max="5" width="15.140625" style="1" customWidth="1"/>
    <col min="6" max="6" width="14.5703125" style="1" customWidth="1"/>
    <col min="7" max="7" width="13.85546875" style="1" customWidth="1"/>
    <col min="8" max="11" width="13.140625" style="1" customWidth="1"/>
    <col min="12" max="12" width="14.7109375" style="1" customWidth="1"/>
    <col min="13" max="13" width="16.42578125" style="1" customWidth="1"/>
    <col min="14" max="14" width="8.7109375" style="1" customWidth="1"/>
    <col min="15" max="16" width="9.7109375" style="1" customWidth="1" outlineLevel="1"/>
    <col min="17" max="19" width="9.140625" style="1" customWidth="1" outlineLevel="1"/>
    <col min="20" max="22" width="8.140625" style="1" customWidth="1"/>
    <col min="23" max="27" width="12.28515625" style="1" customWidth="1"/>
    <col min="28" max="16384" width="8.85546875" style="1"/>
  </cols>
  <sheetData>
    <row r="1" spans="2:27" ht="18.75" x14ac:dyDescent="0.3">
      <c r="B1" s="10" t="s">
        <v>29</v>
      </c>
    </row>
    <row r="2" spans="2:27" x14ac:dyDescent="0.25">
      <c r="B2" s="25" t="s">
        <v>6</v>
      </c>
    </row>
    <row r="3" spans="2:27" x14ac:dyDescent="0.25">
      <c r="F3" s="301"/>
      <c r="G3" s="301"/>
      <c r="H3" s="301"/>
      <c r="I3" s="301"/>
      <c r="J3" s="301"/>
      <c r="K3" s="301"/>
      <c r="O3" s="41"/>
      <c r="P3" s="41"/>
      <c r="Q3" s="86"/>
      <c r="R3" s="86"/>
      <c r="S3" s="86"/>
      <c r="T3" s="86"/>
      <c r="U3" s="86"/>
      <c r="V3" s="86"/>
    </row>
    <row r="4" spans="2:27" x14ac:dyDescent="0.25">
      <c r="B4" s="12"/>
      <c r="F4" s="157"/>
      <c r="G4" s="157"/>
      <c r="H4" s="157"/>
      <c r="I4" s="157"/>
      <c r="J4" s="157"/>
      <c r="K4" s="157"/>
      <c r="O4" s="41"/>
      <c r="P4" s="41"/>
      <c r="Q4" s="307"/>
      <c r="R4" s="307"/>
      <c r="S4" s="307"/>
      <c r="T4" s="307"/>
      <c r="U4" s="307"/>
      <c r="V4" s="307"/>
    </row>
    <row r="5" spans="2:27" x14ac:dyDescent="0.25">
      <c r="B5" s="12" t="s">
        <v>30</v>
      </c>
      <c r="O5" s="41"/>
      <c r="P5" s="41"/>
      <c r="Q5" s="41"/>
      <c r="R5" s="41"/>
      <c r="S5" s="41"/>
      <c r="T5" s="41"/>
      <c r="U5" s="41"/>
      <c r="V5" s="41"/>
    </row>
    <row r="6" spans="2:27" x14ac:dyDescent="0.25">
      <c r="B6" s="2"/>
      <c r="G6" s="54"/>
      <c r="O6" s="41" t="s">
        <v>550</v>
      </c>
      <c r="P6" s="41"/>
      <c r="Q6" s="41"/>
      <c r="R6" s="41"/>
      <c r="S6" s="41"/>
      <c r="T6" s="41"/>
      <c r="U6" s="41"/>
      <c r="V6" s="41"/>
    </row>
    <row r="7" spans="2:27" ht="27" customHeight="1" x14ac:dyDescent="0.25">
      <c r="C7" s="2"/>
      <c r="D7" s="2"/>
      <c r="E7" s="855" t="s">
        <v>602</v>
      </c>
      <c r="F7" s="856"/>
      <c r="G7" s="856"/>
      <c r="H7" s="856"/>
      <c r="I7" s="856"/>
      <c r="J7" s="856"/>
      <c r="K7" s="857"/>
      <c r="O7" s="323">
        <f>1+Escalators!Q12</f>
        <v>1.0237430867891084</v>
      </c>
      <c r="P7" s="323">
        <f>1+Escalators!R12</f>
        <v>1.0237430867891084</v>
      </c>
      <c r="Q7" s="323">
        <f>1+Escalators!S12</f>
        <v>1.0237430867891084</v>
      </c>
      <c r="R7" s="323">
        <f>1+Escalators!T12</f>
        <v>1.0237430867891084</v>
      </c>
      <c r="S7" s="323">
        <f>1+Escalators!U12</f>
        <v>1.0237430867891084</v>
      </c>
      <c r="T7" s="41"/>
      <c r="U7" s="41"/>
      <c r="V7" s="41"/>
    </row>
    <row r="8" spans="2:27" ht="15.75" thickBot="1" x14ac:dyDescent="0.3">
      <c r="D8" s="386"/>
      <c r="E8" s="17" t="s">
        <v>629</v>
      </c>
      <c r="F8" s="335" t="s">
        <v>623</v>
      </c>
      <c r="G8" s="335">
        <f>Yr_1</f>
        <v>44742</v>
      </c>
      <c r="H8" s="335">
        <f>Yr_2</f>
        <v>45107</v>
      </c>
      <c r="I8" s="335">
        <f>Yr_3</f>
        <v>45473</v>
      </c>
      <c r="J8" s="335">
        <f>Yr_4</f>
        <v>45838</v>
      </c>
      <c r="K8" s="335">
        <f>Yr_5</f>
        <v>46203</v>
      </c>
      <c r="L8" s="18" t="str">
        <f>NReg_Period</f>
        <v>2022-26</v>
      </c>
      <c r="O8" s="322" t="s">
        <v>402</v>
      </c>
      <c r="P8" s="328" t="s">
        <v>403</v>
      </c>
      <c r="Q8" s="328" t="s">
        <v>596</v>
      </c>
      <c r="R8" s="328" t="s">
        <v>597</v>
      </c>
      <c r="S8" s="328" t="s">
        <v>598</v>
      </c>
      <c r="T8" s="308"/>
      <c r="U8" s="308"/>
      <c r="V8" s="308"/>
    </row>
    <row r="9" spans="2:27" x14ac:dyDescent="0.25">
      <c r="C9" s="165" t="s">
        <v>31</v>
      </c>
      <c r="D9" s="383"/>
      <c r="E9" s="395">
        <f>0.5*E25*Escalators!N$17+0.5*F25*Escalators!O$17</f>
        <v>132889937.42202574</v>
      </c>
      <c r="F9" s="166">
        <f>0.5*F25*Escalators!O$17+G25*Escalators!P$17</f>
        <v>160222104.93317148</v>
      </c>
      <c r="G9" s="166">
        <f>Reg_Forecast!AU32*Thousands*Escalators!$P$14</f>
        <v>139216350.43861559</v>
      </c>
      <c r="H9" s="166">
        <f>Reg_Forecast!AV32*Thousands*Escalators!$P$14</f>
        <v>140029801.31325674</v>
      </c>
      <c r="I9" s="166">
        <f>Reg_Forecast!AW32*Thousands*Escalators!$P$14</f>
        <v>136598321.14488909</v>
      </c>
      <c r="J9" s="166">
        <f>Reg_Forecast!AX32*Thousands*Escalators!$P$14</f>
        <v>120523064.18100105</v>
      </c>
      <c r="K9" s="167">
        <f>Reg_Forecast!AY32*Thousands*Escalators!$P$14</f>
        <v>111816619.34303287</v>
      </c>
      <c r="L9" s="47">
        <f t="shared" ref="L9:L14" si="0">SUM(G9:K9)</f>
        <v>648184156.42079532</v>
      </c>
      <c r="O9" s="111">
        <f t="shared" ref="O9:S14" si="1">G9/Millions*O$7</f>
        <v>142.52177632954258</v>
      </c>
      <c r="P9" s="111">
        <f t="shared" si="1"/>
        <v>143.35454103889901</v>
      </c>
      <c r="Q9" s="111">
        <f t="shared" si="1"/>
        <v>139.8415869390787</v>
      </c>
      <c r="R9" s="111">
        <f t="shared" si="1"/>
        <v>123.38465375393984</v>
      </c>
      <c r="S9" s="111">
        <f t="shared" si="1"/>
        <v>114.4714910405592</v>
      </c>
      <c r="T9" s="50"/>
      <c r="U9" s="50"/>
      <c r="V9" s="50"/>
      <c r="W9" s="216"/>
      <c r="X9" s="216"/>
      <c r="Y9" s="216"/>
      <c r="Z9" s="216"/>
      <c r="AA9" s="216"/>
    </row>
    <row r="10" spans="2:27" x14ac:dyDescent="0.25">
      <c r="C10" s="168" t="s">
        <v>32</v>
      </c>
      <c r="D10" s="384"/>
      <c r="E10" s="396">
        <f>0.5*E26*Escalators!N$17+0.5*F26*Escalators!O$17</f>
        <v>102083174.86852828</v>
      </c>
      <c r="F10" s="169">
        <f>0.5*F26*Escalators!O$17+G26*Escalators!P$17</f>
        <v>104797033.9045383</v>
      </c>
      <c r="G10" s="169">
        <f>Reg_Forecast!AU33*Thousands*Escalators!$P$14</f>
        <v>60725182.450604446</v>
      </c>
      <c r="H10" s="169">
        <f>Reg_Forecast!AV33*Thousands*Escalators!$P$14</f>
        <v>102567408.45196673</v>
      </c>
      <c r="I10" s="169">
        <f>Reg_Forecast!AW33*Thousands*Escalators!$P$14</f>
        <v>100412802.06683937</v>
      </c>
      <c r="J10" s="169">
        <f>Reg_Forecast!AX33*Thousands*Escalators!$P$14</f>
        <v>100978838.68959396</v>
      </c>
      <c r="K10" s="170">
        <f>Reg_Forecast!AY33*Thousands*Escalators!$P$14</f>
        <v>101583887.75193667</v>
      </c>
      <c r="L10" s="47">
        <f t="shared" si="0"/>
        <v>466268119.41094118</v>
      </c>
      <c r="O10" s="111">
        <f t="shared" si="1"/>
        <v>62.166985727813589</v>
      </c>
      <c r="P10" s="111">
        <f t="shared" si="1"/>
        <v>105.00267533257571</v>
      </c>
      <c r="Q10" s="111">
        <f t="shared" si="1"/>
        <v>102.7969119410499</v>
      </c>
      <c r="R10" s="111">
        <f t="shared" si="1"/>
        <v>103.37638802046436</v>
      </c>
      <c r="S10" s="111">
        <f t="shared" si="1"/>
        <v>103.99580281520595</v>
      </c>
      <c r="T10" s="50"/>
      <c r="U10" s="50"/>
      <c r="V10" s="50"/>
      <c r="W10" s="216"/>
      <c r="X10" s="216"/>
      <c r="Y10" s="216"/>
      <c r="Z10" s="216"/>
      <c r="AA10" s="216"/>
    </row>
    <row r="11" spans="2:27" x14ac:dyDescent="0.25">
      <c r="C11" s="168" t="s">
        <v>33</v>
      </c>
      <c r="D11" s="384"/>
      <c r="E11" s="396">
        <f>0.5*E27*Escalators!N$17+0.5*F27*Escalators!O$17</f>
        <v>124116884.61824775</v>
      </c>
      <c r="F11" s="169">
        <f>0.5*F27*Escalators!O$17+G27*Escalators!P$17</f>
        <v>103720373.08382443</v>
      </c>
      <c r="G11" s="169">
        <f>Reg_Forecast!AU31*Thousands*Escalators!$P$14</f>
        <v>43050678.335298389</v>
      </c>
      <c r="H11" s="169">
        <f>Reg_Forecast!AV31*Thousands*Escalators!$P$14</f>
        <v>40573591.8239296</v>
      </c>
      <c r="I11" s="169">
        <f>Reg_Forecast!AW31*Thousands*Escalators!$P$14</f>
        <v>38164354.075985007</v>
      </c>
      <c r="J11" s="169">
        <f>Reg_Forecast!AX31*Thousands*Escalators!$P$14</f>
        <v>43547788.291246183</v>
      </c>
      <c r="K11" s="170">
        <f>Reg_Forecast!AY31*Thousands*Escalators!$P$14</f>
        <v>45807694.51057823</v>
      </c>
      <c r="L11" s="47">
        <f t="shared" si="0"/>
        <v>211144107.03703743</v>
      </c>
      <c r="O11" s="111">
        <f t="shared" si="1"/>
        <v>44.072834327343365</v>
      </c>
      <c r="P11" s="111">
        <f t="shared" si="1"/>
        <v>41.536934135951014</v>
      </c>
      <c r="Q11" s="111">
        <f t="shared" si="1"/>
        <v>39.070493647061383</v>
      </c>
      <c r="R11" s="111">
        <f t="shared" si="1"/>
        <v>44.581747208118962</v>
      </c>
      <c r="S11" s="111">
        <f t="shared" si="1"/>
        <v>46.895310576951857</v>
      </c>
      <c r="T11" s="50"/>
      <c r="U11" s="50"/>
      <c r="V11" s="50"/>
      <c r="W11" s="216"/>
      <c r="X11" s="216"/>
      <c r="Y11" s="216"/>
      <c r="Z11" s="216"/>
      <c r="AA11" s="216"/>
    </row>
    <row r="12" spans="2:27" x14ac:dyDescent="0.25">
      <c r="C12" s="168" t="s">
        <v>34</v>
      </c>
      <c r="D12" s="384"/>
      <c r="E12" s="396">
        <f>0.5*E28*Escalators!N$17+0.5*F28*Escalators!O$17</f>
        <v>83723924.104336977</v>
      </c>
      <c r="F12" s="169">
        <f>0.5*F28*Escalators!O$17+G28*Escalators!P$17</f>
        <v>60742301.645889349</v>
      </c>
      <c r="G12" s="169">
        <f>Reg_Forecast!AU34*Thousands*Escalators!$P$14</f>
        <v>53491074.550174348</v>
      </c>
      <c r="H12" s="169">
        <f>Reg_Forecast!AV34*Thousands*Escalators!$P$14</f>
        <v>36818822.746644139</v>
      </c>
      <c r="I12" s="169">
        <f>Reg_Forecast!AW34*Thousands*Escalators!$P$14</f>
        <v>41854869.709537648</v>
      </c>
      <c r="J12" s="169">
        <f>Reg_Forecast!AX34*Thousands*Escalators!$P$14</f>
        <v>37347694.841579482</v>
      </c>
      <c r="K12" s="170">
        <f>Reg_Forecast!AY34*Thousands*Escalators!$P$14</f>
        <v>42261791.558239982</v>
      </c>
      <c r="L12" s="47">
        <f t="shared" si="0"/>
        <v>211774253.40617561</v>
      </c>
      <c r="O12" s="111">
        <f t="shared" si="1"/>
        <v>54.761117775661802</v>
      </c>
      <c r="P12" s="111">
        <f t="shared" si="1"/>
        <v>37.693015250590506</v>
      </c>
      <c r="Q12" s="111">
        <f t="shared" si="1"/>
        <v>42.848633513598024</v>
      </c>
      <c r="R12" s="111">
        <f t="shared" si="1"/>
        <v>38.234444401576241</v>
      </c>
      <c r="S12" s="111">
        <f t="shared" si="1"/>
        <v>43.265216943070484</v>
      </c>
      <c r="T12" s="50"/>
      <c r="U12" s="50"/>
      <c r="V12" s="50"/>
      <c r="W12" s="216"/>
      <c r="X12" s="216"/>
      <c r="Y12" s="216"/>
      <c r="Z12" s="216"/>
      <c r="AA12" s="216"/>
    </row>
    <row r="13" spans="2:27" x14ac:dyDescent="0.25">
      <c r="C13" s="168" t="s">
        <v>35</v>
      </c>
      <c r="D13" s="384"/>
      <c r="E13" s="397">
        <f>AusNet_Overheads!I32*Thousands*Escalators!$P$14</f>
        <v>26784535.974661212</v>
      </c>
      <c r="F13" s="169">
        <f>AusNet_Overheads!J32*Thousands*Escalators!$P$14</f>
        <v>25710143.394093424</v>
      </c>
      <c r="G13" s="169">
        <f>AusNet_Overheads!K32*Thousands*Escalators!$P$14</f>
        <v>24253311.533926968</v>
      </c>
      <c r="H13" s="169">
        <f>AusNet_Overheads!L32*Thousands*Escalators!$P$14</f>
        <v>24414835.683742676</v>
      </c>
      <c r="I13" s="169">
        <f>AusNet_Overheads!M32*Thousands*Escalators!$P$14</f>
        <v>24396264.942225073</v>
      </c>
      <c r="J13" s="169">
        <f>AusNet_Overheads!N32*Thousands*Escalators!$P$14</f>
        <v>24360012.200024996</v>
      </c>
      <c r="K13" s="170">
        <f>AusNet_Overheads!O32*Thousands*Escalators!$P$14</f>
        <v>24328465.096253175</v>
      </c>
      <c r="L13" s="47">
        <f t="shared" si="0"/>
        <v>121752889.45617288</v>
      </c>
      <c r="O13" s="111">
        <f t="shared" si="1"/>
        <v>24.82916001460028</v>
      </c>
      <c r="P13" s="111">
        <f t="shared" si="1"/>
        <v>24.994519246323602</v>
      </c>
      <c r="Q13" s="111">
        <f t="shared" si="1"/>
        <v>24.975507578078407</v>
      </c>
      <c r="R13" s="111">
        <f t="shared" si="1"/>
        <v>24.938394083873931</v>
      </c>
      <c r="S13" s="111">
        <f t="shared" si="1"/>
        <v>24.906097954479311</v>
      </c>
      <c r="T13" s="50"/>
      <c r="U13" s="50"/>
      <c r="V13" s="50"/>
      <c r="W13" s="216"/>
      <c r="X13" s="216"/>
      <c r="Y13" s="216"/>
      <c r="Z13" s="216"/>
      <c r="AA13" s="216"/>
    </row>
    <row r="14" spans="2:27" ht="15.75" thickBot="1" x14ac:dyDescent="0.3">
      <c r="C14" s="382" t="s">
        <v>36</v>
      </c>
      <c r="D14" s="385"/>
      <c r="E14" s="397">
        <f>AusNet_Overheads!I33*Thousands*Escalators!$P$14</f>
        <v>5073071.7355923736</v>
      </c>
      <c r="F14" s="169">
        <f>AusNet_Overheads!J33*Thousands*Escalators!$P$14</f>
        <v>4869578.5468895761</v>
      </c>
      <c r="G14" s="169">
        <f>AusNet_Overheads!K33*Thousands*Escalators!$P$14</f>
        <v>4593650.2074808739</v>
      </c>
      <c r="H14" s="169">
        <f>AusNet_Overheads!L33*Thousands*Escalators!$P$14</f>
        <v>4624243.3676469056</v>
      </c>
      <c r="I14" s="169">
        <f>AusNet_Overheads!M33*Thousands*Escalators!$P$14</f>
        <v>4620726.0133051658</v>
      </c>
      <c r="J14" s="169">
        <f>AusNet_Overheads!N33*Thousands*Escalators!$P$14</f>
        <v>4613859.6348109888</v>
      </c>
      <c r="K14" s="170">
        <f>AusNet_Overheads!O33*Thousands*Escalators!$P$14</f>
        <v>4607884.5183991902</v>
      </c>
      <c r="L14" s="47">
        <f t="shared" si="0"/>
        <v>23060363.741643123</v>
      </c>
      <c r="O14" s="111">
        <f t="shared" si="1"/>
        <v>4.7027176430358981</v>
      </c>
      <c r="P14" s="111">
        <f t="shared" si="1"/>
        <v>4.7340371792589053</v>
      </c>
      <c r="Q14" s="111">
        <f t="shared" si="1"/>
        <v>4.7304363120677619</v>
      </c>
      <c r="R14" s="111">
        <f t="shared" si="1"/>
        <v>4.7234069045530696</v>
      </c>
      <c r="S14" s="111">
        <f t="shared" si="1"/>
        <v>4.717289920433732</v>
      </c>
      <c r="T14" s="50"/>
      <c r="U14" s="50"/>
      <c r="V14" s="50"/>
      <c r="W14" s="216"/>
      <c r="X14" s="216"/>
      <c r="Y14" s="216"/>
      <c r="Z14" s="216"/>
      <c r="AA14" s="216"/>
    </row>
    <row r="15" spans="2:27" ht="26.25" thickBot="1" x14ac:dyDescent="0.3">
      <c r="C15" s="387" t="s">
        <v>37</v>
      </c>
      <c r="D15" s="381"/>
      <c r="E15" s="398">
        <f t="shared" ref="E15:K15" si="2">SUM(E9:E14)</f>
        <v>474671528.72339237</v>
      </c>
      <c r="F15" s="171">
        <f t="shared" si="2"/>
        <v>460061535.50840658</v>
      </c>
      <c r="G15" s="171">
        <f t="shared" si="2"/>
        <v>325330247.51610059</v>
      </c>
      <c r="H15" s="171">
        <f t="shared" si="2"/>
        <v>349028703.38718683</v>
      </c>
      <c r="I15" s="171">
        <f t="shared" si="2"/>
        <v>346047337.95278138</v>
      </c>
      <c r="J15" s="171">
        <f t="shared" si="2"/>
        <v>331371257.83825666</v>
      </c>
      <c r="K15" s="172">
        <f t="shared" si="2"/>
        <v>330406342.77844012</v>
      </c>
      <c r="L15" s="174">
        <f>SUM(L9:L14)</f>
        <v>1682183889.4727657</v>
      </c>
      <c r="M15" s="248">
        <f>L15-RFM_PTRM!T17*Millions</f>
        <v>0</v>
      </c>
      <c r="O15" s="324">
        <f>SUM(O9:O14)</f>
        <v>333.05459181799756</v>
      </c>
      <c r="P15" s="324">
        <f t="shared" ref="P15:S15" si="3">SUM(P9:P14)</f>
        <v>357.31572218359872</v>
      </c>
      <c r="Q15" s="324">
        <f t="shared" si="3"/>
        <v>354.26356993093418</v>
      </c>
      <c r="R15" s="324">
        <f t="shared" si="3"/>
        <v>339.23903437252642</v>
      </c>
      <c r="S15" s="324">
        <f t="shared" si="3"/>
        <v>338.25120925070058</v>
      </c>
      <c r="T15" s="309"/>
      <c r="U15" s="309"/>
      <c r="V15" s="309"/>
    </row>
    <row r="16" spans="2:27" ht="15.75" thickBot="1" x14ac:dyDescent="0.3">
      <c r="C16" s="173" t="s">
        <v>38</v>
      </c>
      <c r="D16" s="173"/>
      <c r="E16" s="399">
        <f>(RFM_PTRM!L29*0.5/RFM_PTRM!L3*RFM_PTRM!$N$3+RFM_PTRM!M29*0.5/RFM_PTRM!M3*RFM_PTRM!$N$3)*Millions</f>
        <v>0</v>
      </c>
      <c r="F16" s="394">
        <f>(RFM_PTRM!M29*0.5/RFM_PTRM!M3*RFM_PTRM!$N$3+RFM_PTRM!N29)*Millions</f>
        <v>35827833.099168062</v>
      </c>
      <c r="G16" s="175">
        <f>RFM_PTRM!O29*Millions</f>
        <v>40612905.34063898</v>
      </c>
      <c r="H16" s="175">
        <f>RFM_PTRM!P29*Millions</f>
        <v>67683233.445980191</v>
      </c>
      <c r="I16" s="175">
        <f>RFM_PTRM!Q29*Millions</f>
        <v>65491772.230535217</v>
      </c>
      <c r="J16" s="175">
        <f>RFM_PTRM!R29*Millions</f>
        <v>66021952.834967211</v>
      </c>
      <c r="K16" s="176">
        <f>RFM_PTRM!S29*Millions</f>
        <v>66481545.477830693</v>
      </c>
      <c r="L16" s="47">
        <f>SUM(G16:K16)</f>
        <v>306291409.3299523</v>
      </c>
      <c r="M16" s="39">
        <f>L16-RFM_PTRM!T29*Millions</f>
        <v>0</v>
      </c>
      <c r="O16" s="289">
        <f>G16/Millions*O7</f>
        <v>41.57718107689962</v>
      </c>
      <c r="P16" s="289">
        <f>H16/Millions*P7</f>
        <v>69.29024233185558</v>
      </c>
      <c r="Q16" s="289">
        <f>I16/Millions*Q7</f>
        <v>67.046749062577334</v>
      </c>
      <c r="R16" s="289">
        <f>J16/Millions*R7</f>
        <v>67.589517791114261</v>
      </c>
      <c r="S16" s="289">
        <f>K16/Millions*S7</f>
        <v>68.060022581984882</v>
      </c>
      <c r="T16" s="157"/>
      <c r="U16" s="107"/>
      <c r="V16" s="216"/>
      <c r="W16" s="216"/>
      <c r="X16" s="216"/>
      <c r="Y16" s="216"/>
      <c r="Z16" s="216"/>
      <c r="AA16" s="216"/>
    </row>
    <row r="17" spans="3:23" x14ac:dyDescent="0.25">
      <c r="O17" s="157"/>
      <c r="P17" s="157"/>
      <c r="Q17" s="157"/>
      <c r="R17" s="157"/>
      <c r="S17" s="157"/>
      <c r="T17" s="157"/>
      <c r="U17" s="107"/>
      <c r="V17" s="107"/>
      <c r="W17" s="107"/>
    </row>
    <row r="18" spans="3:23" x14ac:dyDescent="0.25">
      <c r="C18" s="817" t="s">
        <v>311</v>
      </c>
      <c r="D18" s="818">
        <f t="shared" ref="D18:E18" si="4">D15-D16</f>
        <v>0</v>
      </c>
      <c r="E18" s="818">
        <f t="shared" si="4"/>
        <v>474671528.72339237</v>
      </c>
      <c r="F18" s="818">
        <f>F15-F16</f>
        <v>424233702.40923852</v>
      </c>
      <c r="G18" s="818">
        <f t="shared" ref="G18:L18" si="5">G15-G16</f>
        <v>284717342.17546159</v>
      </c>
      <c r="H18" s="818">
        <f t="shared" si="5"/>
        <v>281345469.94120663</v>
      </c>
      <c r="I18" s="818">
        <f t="shared" si="5"/>
        <v>280555565.72224617</v>
      </c>
      <c r="J18" s="818">
        <f t="shared" si="5"/>
        <v>265349305.00328946</v>
      </c>
      <c r="K18" s="818">
        <f t="shared" si="5"/>
        <v>263924797.30060941</v>
      </c>
      <c r="L18" s="819">
        <f t="shared" si="5"/>
        <v>1375892480.1428134</v>
      </c>
      <c r="O18" s="325">
        <f>O15-O16</f>
        <v>291.47741074109797</v>
      </c>
      <c r="P18" s="325">
        <f t="shared" ref="P18:S18" si="6">P15-P16</f>
        <v>288.02547985174317</v>
      </c>
      <c r="Q18" s="325">
        <f t="shared" si="6"/>
        <v>287.21682086835688</v>
      </c>
      <c r="R18" s="325">
        <f t="shared" si="6"/>
        <v>271.64951658141217</v>
      </c>
      <c r="S18" s="325">
        <f t="shared" si="6"/>
        <v>270.19118666871572</v>
      </c>
      <c r="T18" s="157"/>
      <c r="U18" s="107"/>
      <c r="V18" s="107"/>
      <c r="W18" s="107"/>
    </row>
    <row r="19" spans="3:23" x14ac:dyDescent="0.25">
      <c r="C19" s="284" t="s">
        <v>799</v>
      </c>
      <c r="D19" s="244"/>
      <c r="E19" s="542"/>
      <c r="F19" s="542"/>
      <c r="G19" s="50">
        <f>RFM_PTRM!Z59*1000000</f>
        <v>1348551.9755351893</v>
      </c>
      <c r="H19" s="50">
        <f>RFM_PTRM!AA59*1000000</f>
        <v>1348551.9755351893</v>
      </c>
      <c r="I19" s="50">
        <f>RFM_PTRM!AB59*1000000</f>
        <v>1348551.9755351893</v>
      </c>
      <c r="J19" s="50">
        <f>RFM_PTRM!AC59*1000000</f>
        <v>1348551.9755351893</v>
      </c>
      <c r="K19" s="50">
        <f>RFM_PTRM!AD59*1000000</f>
        <v>1348551.9755351893</v>
      </c>
      <c r="L19" s="820">
        <f>SUM(G19:K19)</f>
        <v>6742759.8776759468</v>
      </c>
      <c r="O19" s="157"/>
      <c r="P19" s="157"/>
      <c r="Q19" s="157"/>
      <c r="R19" s="157"/>
      <c r="S19" s="157"/>
      <c r="T19" s="157"/>
      <c r="U19" s="107"/>
      <c r="V19" s="107"/>
      <c r="W19" s="107"/>
    </row>
    <row r="20" spans="3:23" x14ac:dyDescent="0.25">
      <c r="C20" s="821" t="s">
        <v>809</v>
      </c>
      <c r="D20" s="822"/>
      <c r="E20" s="823"/>
      <c r="F20" s="823"/>
      <c r="G20" s="40">
        <f>G18-G19</f>
        <v>283368790.19992638</v>
      </c>
      <c r="H20" s="40">
        <f t="shared" ref="H20:K20" si="7">H18-H19</f>
        <v>279996917.96567142</v>
      </c>
      <c r="I20" s="40">
        <f t="shared" si="7"/>
        <v>279207013.74671096</v>
      </c>
      <c r="J20" s="40">
        <f t="shared" si="7"/>
        <v>264000753.02775428</v>
      </c>
      <c r="K20" s="40">
        <f t="shared" si="7"/>
        <v>262576245.32507423</v>
      </c>
      <c r="L20" s="824">
        <f>SUM(G20:K20)</f>
        <v>1369149720.2651372</v>
      </c>
      <c r="M20" s="39"/>
      <c r="O20" s="157"/>
      <c r="P20" s="157"/>
      <c r="Q20" s="157"/>
      <c r="R20" s="157"/>
      <c r="S20" s="157"/>
      <c r="T20" s="157"/>
      <c r="U20" s="107"/>
      <c r="V20" s="107"/>
      <c r="W20" s="107"/>
    </row>
    <row r="21" spans="3:23" x14ac:dyDescent="0.25">
      <c r="O21" s="157"/>
      <c r="P21" s="157"/>
      <c r="Q21" s="157"/>
      <c r="R21" s="157"/>
      <c r="S21" s="157"/>
      <c r="T21" s="157"/>
      <c r="U21" s="107"/>
      <c r="V21" s="107"/>
      <c r="W21" s="107"/>
    </row>
    <row r="22" spans="3:23" x14ac:dyDescent="0.25">
      <c r="C22" s="127" t="s">
        <v>630</v>
      </c>
      <c r="E22" s="409">
        <f>Escalators!N14</f>
        <v>1.0207768744354111</v>
      </c>
      <c r="F22" s="409">
        <f>Escalators!O14</f>
        <v>1.0370370370370372</v>
      </c>
      <c r="G22" s="100">
        <f>Escalators!P14</f>
        <v>1.0620720947761066</v>
      </c>
      <c r="H22" s="92"/>
      <c r="I22" s="92"/>
      <c r="J22" s="92"/>
      <c r="K22" s="92"/>
      <c r="M22" s="39"/>
      <c r="O22" s="157"/>
      <c r="P22" s="157"/>
      <c r="Q22" s="157"/>
      <c r="R22" s="157"/>
      <c r="S22" s="157"/>
      <c r="T22" s="157"/>
      <c r="U22" s="107"/>
      <c r="V22" s="107"/>
      <c r="W22" s="107"/>
    </row>
    <row r="23" spans="3:23" x14ac:dyDescent="0.25">
      <c r="E23" s="264" t="s">
        <v>631</v>
      </c>
      <c r="F23" s="264" t="s">
        <v>632</v>
      </c>
      <c r="G23" s="408" t="s">
        <v>658</v>
      </c>
      <c r="H23" s="92"/>
      <c r="I23" s="92"/>
      <c r="J23" s="92"/>
      <c r="K23" s="92"/>
    </row>
    <row r="24" spans="3:23" x14ac:dyDescent="0.25">
      <c r="C24" s="392" t="s">
        <v>633</v>
      </c>
      <c r="E24" s="2"/>
      <c r="F24" s="2"/>
      <c r="G24" s="41"/>
      <c r="H24" s="41"/>
      <c r="I24" s="41"/>
      <c r="J24" s="41"/>
      <c r="K24" s="41"/>
    </row>
    <row r="25" spans="3:23" x14ac:dyDescent="0.25">
      <c r="C25" s="391" t="s">
        <v>31</v>
      </c>
      <c r="E25" s="606">
        <v>114607725.27108265</v>
      </c>
      <c r="F25" s="606">
        <v>146144372.62309384</v>
      </c>
      <c r="G25" s="607">
        <v>86258794.398313016</v>
      </c>
      <c r="H25" s="50"/>
      <c r="I25" s="50"/>
      <c r="J25" s="50"/>
      <c r="K25" s="50"/>
    </row>
    <row r="26" spans="3:23" x14ac:dyDescent="0.25">
      <c r="C26" s="56" t="s">
        <v>32</v>
      </c>
      <c r="E26" s="607">
        <v>98417487.251842946</v>
      </c>
      <c r="F26" s="607">
        <v>101721314.75990039</v>
      </c>
      <c r="G26" s="607">
        <v>53316124.605320416</v>
      </c>
      <c r="H26" s="50"/>
      <c r="I26" s="50"/>
      <c r="J26" s="50"/>
      <c r="K26" s="50"/>
    </row>
    <row r="27" spans="3:23" x14ac:dyDescent="0.25">
      <c r="C27" s="56" t="s">
        <v>33</v>
      </c>
      <c r="E27" s="608">
        <v>118105659.63656119</v>
      </c>
      <c r="F27" s="606">
        <v>125256012.20432432</v>
      </c>
      <c r="G27" s="607">
        <v>40328610.809684686</v>
      </c>
      <c r="H27" s="50"/>
      <c r="I27" s="50"/>
      <c r="J27" s="50"/>
      <c r="K27" s="50"/>
    </row>
    <row r="28" spans="3:23" x14ac:dyDescent="0.25">
      <c r="C28" s="56" t="s">
        <v>34</v>
      </c>
      <c r="E28" s="609">
        <v>96457875.25249508</v>
      </c>
      <c r="F28" s="609">
        <v>67436031.873941675</v>
      </c>
      <c r="G28" s="609">
        <v>26613090.392613992</v>
      </c>
      <c r="H28" s="50"/>
      <c r="I28" s="50"/>
      <c r="J28" s="50"/>
      <c r="K28" s="50"/>
    </row>
    <row r="29" spans="3:23" x14ac:dyDescent="0.25">
      <c r="C29" s="2" t="s">
        <v>146</v>
      </c>
      <c r="E29" s="201">
        <f>SUM(E25:E28)</f>
        <v>427588747.41198182</v>
      </c>
      <c r="F29" s="201">
        <f>SUM(F25:F28)</f>
        <v>440557731.4612602</v>
      </c>
      <c r="G29" s="201">
        <f>SUM(G25:G28)</f>
        <v>206516620.20593214</v>
      </c>
      <c r="H29" s="112"/>
      <c r="I29" s="112"/>
      <c r="J29" s="112"/>
      <c r="K29" s="112"/>
    </row>
    <row r="30" spans="3:23" x14ac:dyDescent="0.25">
      <c r="E30" s="1" t="b">
        <v>1</v>
      </c>
      <c r="F30" s="1" t="b">
        <v>1</v>
      </c>
      <c r="G30" s="365" t="b">
        <v>1</v>
      </c>
      <c r="H30" s="39"/>
      <c r="I30" s="39"/>
      <c r="J30" s="39"/>
      <c r="K30" s="39"/>
    </row>
    <row r="31" spans="3:23" x14ac:dyDescent="0.25">
      <c r="C31" s="1" t="s">
        <v>646</v>
      </c>
      <c r="D31" s="308"/>
      <c r="E31" s="308"/>
      <c r="F31" s="50"/>
      <c r="G31" s="50"/>
      <c r="H31" s="50"/>
      <c r="I31" s="50"/>
      <c r="J31" s="50"/>
      <c r="K31" s="50"/>
    </row>
    <row r="32" spans="3:23" x14ac:dyDescent="0.25">
      <c r="C32" s="401" t="s">
        <v>31</v>
      </c>
      <c r="D32" s="393"/>
      <c r="E32" s="610">
        <v>11137247.865926402</v>
      </c>
      <c r="F32" s="610">
        <v>11450379.147885276</v>
      </c>
      <c r="G32" s="611">
        <v>7425557.3212055424</v>
      </c>
      <c r="H32" s="50"/>
      <c r="I32" s="50"/>
      <c r="J32" s="50"/>
      <c r="K32" s="50"/>
    </row>
    <row r="33" spans="3:11" x14ac:dyDescent="0.25">
      <c r="C33" s="393" t="s">
        <v>32</v>
      </c>
      <c r="D33" s="393"/>
      <c r="E33" s="610">
        <v>6151142.677845709</v>
      </c>
      <c r="F33" s="610">
        <v>6188980.3732316</v>
      </c>
      <c r="G33" s="611">
        <v>2804930.5738652321</v>
      </c>
      <c r="H33" s="50"/>
      <c r="I33" s="50"/>
      <c r="J33" s="50"/>
      <c r="K33" s="50"/>
    </row>
    <row r="34" spans="3:11" x14ac:dyDescent="0.25">
      <c r="C34" s="393" t="s">
        <v>33</v>
      </c>
      <c r="D34" s="393"/>
      <c r="E34" s="610">
        <v>11477167.028922876</v>
      </c>
      <c r="F34" s="610">
        <v>9813780.7467314061</v>
      </c>
      <c r="G34" s="611">
        <v>3503679.4714996833</v>
      </c>
      <c r="H34" s="50"/>
      <c r="I34" s="50"/>
      <c r="J34" s="50"/>
      <c r="K34" s="50"/>
    </row>
    <row r="35" spans="3:11" x14ac:dyDescent="0.25">
      <c r="C35" s="393" t="s">
        <v>34</v>
      </c>
      <c r="D35" s="41"/>
      <c r="E35" s="607">
        <v>2819958.2697707866</v>
      </c>
      <c r="F35" s="607">
        <v>2671538.4813690479</v>
      </c>
      <c r="G35" s="611">
        <v>1358324.2450454298</v>
      </c>
      <c r="H35" s="50"/>
      <c r="I35" s="50"/>
      <c r="J35" s="50"/>
      <c r="K35" s="50"/>
    </row>
    <row r="36" spans="3:11" x14ac:dyDescent="0.25">
      <c r="C36" s="2" t="s">
        <v>146</v>
      </c>
      <c r="D36" s="308"/>
      <c r="E36" s="402">
        <f>SUM(E32:E35)</f>
        <v>31585515.842465773</v>
      </c>
      <c r="F36" s="402">
        <f>SUM(F32:F35)</f>
        <v>30124678.749217331</v>
      </c>
      <c r="G36" s="500">
        <f>SUM(G32:G35)</f>
        <v>15092491.611615887</v>
      </c>
      <c r="H36" s="112"/>
      <c r="I36" s="112"/>
      <c r="J36" s="112"/>
      <c r="K36" s="112"/>
    </row>
    <row r="37" spans="3:11" x14ac:dyDescent="0.25">
      <c r="C37" s="41"/>
      <c r="D37" s="41"/>
      <c r="E37" s="41" t="b">
        <v>1</v>
      </c>
      <c r="F37" s="41" t="b">
        <v>1</v>
      </c>
      <c r="G37" s="41" t="b">
        <v>1</v>
      </c>
      <c r="H37" s="50"/>
      <c r="I37" s="50"/>
      <c r="J37" s="50"/>
      <c r="K37" s="50"/>
    </row>
    <row r="38" spans="3:11" x14ac:dyDescent="0.25">
      <c r="C38" s="1" t="s">
        <v>491</v>
      </c>
      <c r="D38" s="308"/>
      <c r="E38" s="308"/>
      <c r="F38" s="112"/>
      <c r="G38" s="112"/>
      <c r="H38" s="112"/>
      <c r="I38" s="112"/>
      <c r="J38" s="112"/>
      <c r="K38" s="112"/>
    </row>
    <row r="39" spans="3:11" x14ac:dyDescent="0.25">
      <c r="C39" s="401" t="s">
        <v>31</v>
      </c>
      <c r="D39" s="41"/>
      <c r="E39" s="269">
        <f>E32/E$22</f>
        <v>10910560.519982766</v>
      </c>
      <c r="F39" s="423">
        <f>F32/F$22</f>
        <v>11041437.0354608</v>
      </c>
      <c r="G39" s="423">
        <f>G32/G$22</f>
        <v>6991575.5792180095</v>
      </c>
      <c r="H39" s="50"/>
      <c r="I39" s="50"/>
      <c r="J39" s="50"/>
      <c r="K39" s="50"/>
    </row>
    <row r="40" spans="3:11" x14ac:dyDescent="0.25">
      <c r="C40" s="393" t="s">
        <v>32</v>
      </c>
      <c r="D40" s="41"/>
      <c r="E40" s="269">
        <f t="shared" ref="E40:F42" si="8">E33/E$22</f>
        <v>6025942.4286506185</v>
      </c>
      <c r="F40" s="269">
        <f t="shared" si="8"/>
        <v>5967945.3599018995</v>
      </c>
      <c r="G40" s="269">
        <f t="shared" ref="G40" si="9">G33/G$22</f>
        <v>2640998.2784234001</v>
      </c>
      <c r="H40" s="50"/>
      <c r="I40" s="50"/>
      <c r="J40" s="50"/>
      <c r="K40" s="50"/>
    </row>
    <row r="41" spans="3:11" x14ac:dyDescent="0.25">
      <c r="C41" s="393" t="s">
        <v>33</v>
      </c>
      <c r="D41" s="41"/>
      <c r="E41" s="269">
        <f t="shared" si="8"/>
        <v>11243560.974351879</v>
      </c>
      <c r="F41" s="269">
        <f t="shared" si="8"/>
        <v>9463288.5772052836</v>
      </c>
      <c r="G41" s="269">
        <f t="shared" ref="G41" si="10">G34/G$22</f>
        <v>3298909.2630649405</v>
      </c>
      <c r="H41" s="50"/>
      <c r="I41" s="50"/>
      <c r="J41" s="50"/>
      <c r="K41" s="50"/>
    </row>
    <row r="42" spans="3:11" x14ac:dyDescent="0.25">
      <c r="C42" s="393" t="s">
        <v>34</v>
      </c>
      <c r="E42" s="269">
        <f t="shared" si="8"/>
        <v>2762560.8890586379</v>
      </c>
      <c r="F42" s="269">
        <f t="shared" si="8"/>
        <v>2576126.3927487242</v>
      </c>
      <c r="G42" s="269">
        <f t="shared" ref="G42" si="11">G35/G$22</f>
        <v>1278937.8910588697</v>
      </c>
    </row>
    <row r="43" spans="3:11" x14ac:dyDescent="0.25">
      <c r="C43" s="2" t="s">
        <v>146</v>
      </c>
      <c r="E43" s="402">
        <f>SUM(E39:E42)</f>
        <v>30942624.812043902</v>
      </c>
      <c r="F43" s="402">
        <f>SUM(F39:F42)</f>
        <v>29048797.365316708</v>
      </c>
      <c r="G43" s="402">
        <f>SUM(G39:G42)</f>
        <v>14210421.011765219</v>
      </c>
    </row>
    <row r="44" spans="3:11" x14ac:dyDescent="0.25">
      <c r="E44" s="278">
        <f>E43-AusNet_Overheads!H28*Thousands</f>
        <v>0</v>
      </c>
      <c r="F44" s="278">
        <f>F43-AusNet_Overheads!I28*Thousands</f>
        <v>0</v>
      </c>
      <c r="G44" s="278">
        <f>G43-AusNet_Overheads!J28*Thousands</f>
        <v>-57690.80593887344</v>
      </c>
    </row>
    <row r="46" spans="3:11" x14ac:dyDescent="0.25">
      <c r="E46" s="158"/>
      <c r="F46" s="158"/>
      <c r="G46" s="158"/>
    </row>
    <row r="47" spans="3:11" x14ac:dyDescent="0.25">
      <c r="E47" s="158"/>
      <c r="F47" s="158"/>
      <c r="G47" s="158"/>
    </row>
    <row r="48" spans="3:11" x14ac:dyDescent="0.25">
      <c r="E48" s="158"/>
      <c r="F48" s="158"/>
      <c r="G48" s="158"/>
    </row>
    <row r="49" spans="5:7" x14ac:dyDescent="0.25">
      <c r="E49" s="158"/>
      <c r="F49" s="158"/>
      <c r="G49" s="158"/>
    </row>
    <row r="51" spans="5:7" x14ac:dyDescent="0.25">
      <c r="E51" s="278"/>
      <c r="F51" s="278"/>
      <c r="G51" s="278"/>
    </row>
    <row r="52" spans="5:7" x14ac:dyDescent="0.25">
      <c r="E52" s="278"/>
      <c r="F52" s="278"/>
      <c r="G52" s="278"/>
    </row>
    <row r="53" spans="5:7" x14ac:dyDescent="0.25">
      <c r="E53" s="278"/>
      <c r="F53" s="278"/>
      <c r="G53" s="755"/>
    </row>
    <row r="54" spans="5:7" x14ac:dyDescent="0.25">
      <c r="E54" s="278"/>
      <c r="F54" s="278"/>
      <c r="G54" s="755"/>
    </row>
  </sheetData>
  <mergeCells count="1">
    <mergeCell ref="E7:K7"/>
  </mergeCells>
  <hyperlinks>
    <hyperlink ref="B2" location="Contents!A1" display="Table of Contents"/>
  </hyperlinks>
  <pageMargins left="0.7" right="0.7" top="0.75" bottom="0.75" header="0.3" footer="0.3"/>
  <pageSetup paperSize="9" orientation="portrait" verticalDpi="0" r:id="rId1"/>
  <ignoredErrors>
    <ignoredError sqref="F15:K15" formulaRange="1"/>
  </ignoredErrors>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45"/>
  <sheetViews>
    <sheetView zoomScale="85" zoomScaleNormal="85" workbookViewId="0">
      <selection activeCell="J21" sqref="J21"/>
    </sheetView>
  </sheetViews>
  <sheetFormatPr defaultColWidth="8.85546875" defaultRowHeight="15" x14ac:dyDescent="0.25"/>
  <cols>
    <col min="1" max="1" width="5" style="1" customWidth="1"/>
    <col min="2" max="2" width="4.7109375" style="1" customWidth="1"/>
    <col min="3" max="3" width="37.85546875" style="1" customWidth="1"/>
    <col min="4" max="5" width="12.5703125" style="1" bestFit="1" customWidth="1"/>
    <col min="6" max="6" width="14.28515625" style="1" bestFit="1" customWidth="1"/>
    <col min="7" max="7" width="13" style="1" customWidth="1"/>
    <col min="8" max="10" width="12.5703125" style="1" bestFit="1" customWidth="1"/>
    <col min="11" max="11" width="39.28515625" style="1" customWidth="1"/>
    <col min="12" max="13" width="8.85546875" style="1"/>
    <col min="14" max="18" width="10.5703125" style="1" customWidth="1"/>
    <col min="19" max="16384" width="8.85546875" style="1"/>
  </cols>
  <sheetData>
    <row r="1" spans="3:11" ht="18.75" x14ac:dyDescent="0.3">
      <c r="C1" s="10" t="s">
        <v>642</v>
      </c>
    </row>
    <row r="2" spans="3:11" x14ac:dyDescent="0.25">
      <c r="C2" s="25" t="s">
        <v>6</v>
      </c>
      <c r="F2" s="100">
        <f>Escalators!$P$14</f>
        <v>1.0620720947761066</v>
      </c>
      <c r="G2" s="1" t="s">
        <v>586</v>
      </c>
    </row>
    <row r="4" spans="3:11" x14ac:dyDescent="0.25">
      <c r="D4" s="843" t="s">
        <v>644</v>
      </c>
      <c r="E4" s="844"/>
      <c r="F4" s="844"/>
      <c r="G4" s="844"/>
      <c r="H4" s="844"/>
      <c r="I4" s="844"/>
      <c r="J4" s="845"/>
    </row>
    <row r="5" spans="3:11" x14ac:dyDescent="0.25">
      <c r="C5" s="6"/>
      <c r="D5" s="17" t="s">
        <v>629</v>
      </c>
      <c r="E5" s="17" t="s">
        <v>623</v>
      </c>
      <c r="F5" s="17" t="s">
        <v>624</v>
      </c>
      <c r="G5" s="17" t="s">
        <v>625</v>
      </c>
      <c r="H5" s="17" t="s">
        <v>626</v>
      </c>
      <c r="I5" s="17" t="s">
        <v>627</v>
      </c>
      <c r="J5" s="17" t="s">
        <v>628</v>
      </c>
    </row>
    <row r="6" spans="3:11" x14ac:dyDescent="0.25">
      <c r="C6" s="6" t="s">
        <v>31</v>
      </c>
      <c r="D6" s="376">
        <f>0.5*'2.1 Exp Summary'!F39+0.5*'2.1 Exp Summary'!E39</f>
        <v>10975998.777721783</v>
      </c>
      <c r="E6" s="458">
        <f>'2.1 Exp Summary'!G39+0.5*'2.1 Exp Summary'!F39</f>
        <v>12512294.096948409</v>
      </c>
      <c r="F6" s="376">
        <f>Reg_Forecast!BE32*Thousands</f>
        <v>15600148.825011989</v>
      </c>
      <c r="G6" s="376">
        <f>Reg_Forecast!BF32*Thousands</f>
        <v>14555115.728332059</v>
      </c>
      <c r="H6" s="376">
        <f>Reg_Forecast!BG32*Thousands</f>
        <v>14672524.185572648</v>
      </c>
      <c r="I6" s="376">
        <f>Reg_Forecast!BH32*Thousands</f>
        <v>13585446.185082836</v>
      </c>
      <c r="J6" s="376">
        <f>Reg_Forecast!BI32*Thousands</f>
        <v>12978884.000496481</v>
      </c>
    </row>
    <row r="7" spans="3:11" x14ac:dyDescent="0.25">
      <c r="C7" s="6" t="s">
        <v>32</v>
      </c>
      <c r="D7" s="376">
        <f>0.5*'2.1 Exp Summary'!F40+0.5*'2.1 Exp Summary'!E40</f>
        <v>5996943.8942762595</v>
      </c>
      <c r="E7" s="458">
        <f>'2.1 Exp Summary'!G40+0.5*'2.1 Exp Summary'!F40</f>
        <v>5624970.9583743494</v>
      </c>
      <c r="F7" s="376">
        <f>Reg_Forecast!BE33*Thousands</f>
        <v>4223026.7172595002</v>
      </c>
      <c r="G7" s="376">
        <f>Reg_Forecast!BF33*Thousands</f>
        <v>6117571.1464727428</v>
      </c>
      <c r="H7" s="376">
        <f>Reg_Forecast!BG33*Thousands</f>
        <v>6074163.8099779058</v>
      </c>
      <c r="I7" s="376">
        <f>Reg_Forecast!BH33*Thousands</f>
        <v>6314661.249402903</v>
      </c>
      <c r="J7" s="376">
        <f>Reg_Forecast!BI33*Thousands</f>
        <v>6480024.6287809731</v>
      </c>
    </row>
    <row r="8" spans="3:11" x14ac:dyDescent="0.25">
      <c r="C8" s="6" t="s">
        <v>33</v>
      </c>
      <c r="D8" s="376">
        <f>0.5*'2.1 Exp Summary'!F41+0.5*'2.1 Exp Summary'!E41</f>
        <v>10353424.77577858</v>
      </c>
      <c r="E8" s="458">
        <f>'2.1 Exp Summary'!G41+0.5*'2.1 Exp Summary'!F41</f>
        <v>8030553.5516675822</v>
      </c>
      <c r="F8" s="376">
        <f>Reg_Forecast!BE31*Thousands</f>
        <v>4824124.3714006161</v>
      </c>
      <c r="G8" s="376">
        <f>Reg_Forecast!BF31*Thousands</f>
        <v>4217340.3016568786</v>
      </c>
      <c r="H8" s="376">
        <f>Reg_Forecast!BG31*Thousands</f>
        <v>4099372.5509458762</v>
      </c>
      <c r="I8" s="376">
        <f>Reg_Forecast!BH31*Thousands</f>
        <v>4908737.9111239556</v>
      </c>
      <c r="J8" s="376">
        <f>Reg_Forecast!BI31*Thousands</f>
        <v>5317033.8799016709</v>
      </c>
    </row>
    <row r="9" spans="3:11" x14ac:dyDescent="0.25">
      <c r="C9" s="6" t="s">
        <v>34</v>
      </c>
      <c r="D9" s="376">
        <f>0.5*'2.1 Exp Summary'!F42+0.5*'2.1 Exp Summary'!E42</f>
        <v>2669343.6409036811</v>
      </c>
      <c r="E9" s="458">
        <f>'2.1 Exp Summary'!G42+0.5*'2.1 Exp Summary'!F42</f>
        <v>2567001.087433232</v>
      </c>
      <c r="F9" s="376">
        <f>Reg_Forecast!BE34*Thousands</f>
        <v>2513720.4005740848</v>
      </c>
      <c r="G9" s="376">
        <f>Reg_Forecast!BF34*Thousands</f>
        <v>2451882.2797991494</v>
      </c>
      <c r="H9" s="376">
        <f>Reg_Forecast!BG34*Thousands</f>
        <v>2475051.7379264515</v>
      </c>
      <c r="I9" s="376">
        <f>Reg_Forecast!BH34*Thousands</f>
        <v>2471667.8863511835</v>
      </c>
      <c r="J9" s="376">
        <f>Reg_Forecast!BI34*Thousands</f>
        <v>2469241.4637152757</v>
      </c>
    </row>
    <row r="10" spans="3:11" x14ac:dyDescent="0.25">
      <c r="C10" s="6" t="s">
        <v>643</v>
      </c>
      <c r="D10" s="416">
        <v>2861740.1104416251</v>
      </c>
      <c r="E10" s="416">
        <v>2780542.2482817834</v>
      </c>
      <c r="F10" s="761">
        <v>2230140.106192329</v>
      </c>
      <c r="G10" s="761">
        <v>3119447.3335984983</v>
      </c>
      <c r="H10" s="761">
        <v>2988728.1509020631</v>
      </c>
      <c r="I10" s="761">
        <v>3113388.7668375694</v>
      </c>
      <c r="J10" s="761">
        <v>3197571.4289717288</v>
      </c>
      <c r="K10" s="1" t="s">
        <v>647</v>
      </c>
    </row>
    <row r="11" spans="3:11" x14ac:dyDescent="0.25">
      <c r="C11" s="8" t="s">
        <v>146</v>
      </c>
      <c r="D11" s="377">
        <f>SUM(D6:D9)</f>
        <v>29995711.088680305</v>
      </c>
      <c r="E11" s="377">
        <f t="shared" ref="E11:J11" si="0">SUM(E6:E9)</f>
        <v>28734819.694423571</v>
      </c>
      <c r="F11" s="377">
        <f t="shared" si="0"/>
        <v>27161020.314246189</v>
      </c>
      <c r="G11" s="377">
        <f t="shared" si="0"/>
        <v>27341909.45626083</v>
      </c>
      <c r="H11" s="377">
        <f t="shared" si="0"/>
        <v>27321112.284422882</v>
      </c>
      <c r="I11" s="377">
        <f t="shared" si="0"/>
        <v>27280513.231960878</v>
      </c>
      <c r="J11" s="377">
        <f t="shared" si="0"/>
        <v>27245183.9728944</v>
      </c>
    </row>
    <row r="12" spans="3:11" x14ac:dyDescent="0.25">
      <c r="D12" s="1" t="b">
        <f>ROUND(D11,5)=ROUND(AusNet_Overheads!I34*Thousands,5)</f>
        <v>1</v>
      </c>
      <c r="E12" s="1" t="b">
        <f>ROUND(E11,5)=ROUND(AusNet_Overheads!J34*Thousands,5)</f>
        <v>0</v>
      </c>
      <c r="F12" s="1" t="b">
        <f>ROUND(F11,5)=ROUND(AusNet_Overheads!K34*Thousands,5)</f>
        <v>1</v>
      </c>
      <c r="G12" s="1" t="b">
        <f>ROUND(G11,5)=ROUND(AusNet_Overheads!L34*Thousands,5)</f>
        <v>1</v>
      </c>
      <c r="H12" s="1" t="b">
        <f>ROUND(H11,5)=ROUND(AusNet_Overheads!M34*Thousands,5)</f>
        <v>1</v>
      </c>
      <c r="I12" s="1" t="b">
        <f>ROUND(I11,5)=ROUND(AusNet_Overheads!N34*Thousands,5)</f>
        <v>1</v>
      </c>
      <c r="J12" s="1" t="b">
        <f>ROUND(J11,5)=ROUND(AusNet_Overheads!O34*Thousands,5)</f>
        <v>1</v>
      </c>
    </row>
    <row r="13" spans="3:11" x14ac:dyDescent="0.25">
      <c r="D13" s="84"/>
      <c r="E13" s="84"/>
    </row>
    <row r="15" spans="3:11" x14ac:dyDescent="0.25">
      <c r="D15" s="843" t="s">
        <v>602</v>
      </c>
      <c r="E15" s="844"/>
      <c r="F15" s="844"/>
      <c r="G15" s="844"/>
      <c r="H15" s="844"/>
      <c r="I15" s="844"/>
      <c r="J15" s="845"/>
    </row>
    <row r="16" spans="3:11" x14ac:dyDescent="0.25">
      <c r="C16" s="6"/>
      <c r="D16" s="17" t="s">
        <v>629</v>
      </c>
      <c r="E16" s="17" t="s">
        <v>623</v>
      </c>
      <c r="F16" s="17" t="s">
        <v>624</v>
      </c>
      <c r="G16" s="17" t="s">
        <v>625</v>
      </c>
      <c r="H16" s="17" t="s">
        <v>626</v>
      </c>
      <c r="I16" s="17" t="s">
        <v>627</v>
      </c>
      <c r="J16" s="17" t="s">
        <v>628</v>
      </c>
    </row>
    <row r="17" spans="3:11" x14ac:dyDescent="0.25">
      <c r="C17" s="6" t="s">
        <v>31</v>
      </c>
      <c r="D17" s="376">
        <f t="shared" ref="D17:J21" si="1">D6*$F$2</f>
        <v>11657302.014114961</v>
      </c>
      <c r="E17" s="376">
        <f t="shared" si="1"/>
        <v>13288958.40200071</v>
      </c>
      <c r="F17" s="376">
        <f t="shared" si="1"/>
        <v>16568482.741399502</v>
      </c>
      <c r="G17" s="376">
        <f t="shared" si="1"/>
        <v>15458582.251298288</v>
      </c>
      <c r="H17" s="376">
        <f t="shared" si="1"/>
        <v>15583278.49742423</v>
      </c>
      <c r="I17" s="376">
        <f t="shared" si="1"/>
        <v>14428723.288258994</v>
      </c>
      <c r="J17" s="376">
        <f t="shared" si="1"/>
        <v>13784510.518263392</v>
      </c>
    </row>
    <row r="18" spans="3:11" x14ac:dyDescent="0.25">
      <c r="C18" s="6" t="s">
        <v>32</v>
      </c>
      <c r="D18" s="376">
        <f t="shared" si="1"/>
        <v>6369186.7640487691</v>
      </c>
      <c r="E18" s="376">
        <f t="shared" si="1"/>
        <v>5974124.6888154093</v>
      </c>
      <c r="F18" s="376">
        <f t="shared" si="1"/>
        <v>4485158.831895262</v>
      </c>
      <c r="G18" s="376">
        <f t="shared" si="1"/>
        <v>6497301.602476174</v>
      </c>
      <c r="H18" s="376">
        <f t="shared" si="1"/>
        <v>6451199.8816764513</v>
      </c>
      <c r="I18" s="376">
        <f t="shared" si="1"/>
        <v>6706625.5009548478</v>
      </c>
      <c r="J18" s="376">
        <f t="shared" si="1"/>
        <v>6882253.3316901708</v>
      </c>
    </row>
    <row r="19" spans="3:11" x14ac:dyDescent="0.25">
      <c r="C19" s="6" t="s">
        <v>33</v>
      </c>
      <c r="D19" s="376">
        <f t="shared" si="1"/>
        <v>10996083.539717998</v>
      </c>
      <c r="E19" s="376">
        <f t="shared" si="1"/>
        <v>8529026.8328312915</v>
      </c>
      <c r="F19" s="376">
        <f t="shared" si="1"/>
        <v>5123567.8765939213</v>
      </c>
      <c r="G19" s="376">
        <f t="shared" si="1"/>
        <v>4479119.4485644186</v>
      </c>
      <c r="H19" s="376">
        <f t="shared" si="1"/>
        <v>4353829.192450759</v>
      </c>
      <c r="I19" s="376">
        <f t="shared" si="1"/>
        <v>5213433.5559743093</v>
      </c>
      <c r="J19" s="376">
        <f t="shared" si="1"/>
        <v>5647073.3108226974</v>
      </c>
    </row>
    <row r="20" spans="3:11" x14ac:dyDescent="0.25">
      <c r="C20" s="6" t="s">
        <v>34</v>
      </c>
      <c r="D20" s="376">
        <f t="shared" si="1"/>
        <v>2835035.392371852</v>
      </c>
      <c r="E20" s="376">
        <f t="shared" si="1"/>
        <v>2726340.2222227566</v>
      </c>
      <c r="F20" s="376">
        <f t="shared" si="1"/>
        <v>2669752.291519152</v>
      </c>
      <c r="G20" s="376">
        <f t="shared" si="1"/>
        <v>2604075.7490506987</v>
      </c>
      <c r="H20" s="376">
        <f t="shared" si="1"/>
        <v>2628683.3839787897</v>
      </c>
      <c r="I20" s="376">
        <f t="shared" si="1"/>
        <v>2625089.4896478332</v>
      </c>
      <c r="J20" s="376">
        <f t="shared" si="1"/>
        <v>2622512.4538761028</v>
      </c>
    </row>
    <row r="21" spans="3:11" x14ac:dyDescent="0.25">
      <c r="C21" s="6" t="s">
        <v>643</v>
      </c>
      <c r="D21" s="376">
        <f t="shared" si="1"/>
        <v>3039374.3138015438</v>
      </c>
      <c r="E21" s="376">
        <f t="shared" si="1"/>
        <v>2953136.3302460988</v>
      </c>
      <c r="F21" s="376">
        <f t="shared" si="1"/>
        <v>2368569.5742278956</v>
      </c>
      <c r="G21" s="376">
        <f t="shared" si="1"/>
        <v>3313077.9641386974</v>
      </c>
      <c r="H21" s="376">
        <f t="shared" si="1"/>
        <v>3174244.7679448738</v>
      </c>
      <c r="I21" s="376">
        <f t="shared" si="1"/>
        <v>3306643.3294475768</v>
      </c>
      <c r="J21" s="376">
        <f t="shared" si="1"/>
        <v>3396051.3857642328</v>
      </c>
      <c r="K21" s="1" t="s">
        <v>647</v>
      </c>
    </row>
    <row r="22" spans="3:11" x14ac:dyDescent="0.25">
      <c r="C22" s="8" t="s">
        <v>146</v>
      </c>
      <c r="D22" s="377">
        <f>SUM(D17:D20)</f>
        <v>31857607.710253581</v>
      </c>
      <c r="E22" s="377">
        <f t="shared" ref="E22:J22" si="2">SUM(E17:E20)</f>
        <v>30518450.145870168</v>
      </c>
      <c r="F22" s="377">
        <f t="shared" si="2"/>
        <v>28846961.741407841</v>
      </c>
      <c r="G22" s="377">
        <f t="shared" si="2"/>
        <v>29039079.051389579</v>
      </c>
      <c r="H22" s="377">
        <f t="shared" si="2"/>
        <v>29016990.955530226</v>
      </c>
      <c r="I22" s="377">
        <f t="shared" si="2"/>
        <v>28973871.834835984</v>
      </c>
      <c r="J22" s="377">
        <f t="shared" si="2"/>
        <v>28936349.614652362</v>
      </c>
    </row>
    <row r="23" spans="3:11" x14ac:dyDescent="0.25">
      <c r="D23" s="1" t="b">
        <f t="shared" ref="D23:J23" si="3">D22=D11*$F$2</f>
        <v>1</v>
      </c>
      <c r="E23" s="1" t="b">
        <f t="shared" si="3"/>
        <v>1</v>
      </c>
      <c r="F23" s="1" t="b">
        <f t="shared" si="3"/>
        <v>1</v>
      </c>
      <c r="G23" s="1" t="b">
        <f t="shared" si="3"/>
        <v>1</v>
      </c>
      <c r="H23" s="1" t="b">
        <f t="shared" si="3"/>
        <v>1</v>
      </c>
      <c r="I23" s="1" t="b">
        <f t="shared" si="3"/>
        <v>1</v>
      </c>
      <c r="J23" s="1" t="b">
        <f t="shared" si="3"/>
        <v>1</v>
      </c>
    </row>
    <row r="29" spans="3:11" x14ac:dyDescent="0.25">
      <c r="F29" s="39"/>
    </row>
    <row r="30" spans="3:11" x14ac:dyDescent="0.25">
      <c r="F30" s="39"/>
    </row>
    <row r="32" spans="3:11" x14ac:dyDescent="0.25">
      <c r="F32" s="158"/>
    </row>
    <row r="33" spans="6:6" x14ac:dyDescent="0.25">
      <c r="F33" s="39"/>
    </row>
    <row r="34" spans="6:6" x14ac:dyDescent="0.25">
      <c r="F34" s="39"/>
    </row>
    <row r="35" spans="6:6" x14ac:dyDescent="0.25">
      <c r="F35" s="39"/>
    </row>
    <row r="36" spans="6:6" x14ac:dyDescent="0.25">
      <c r="F36" s="39"/>
    </row>
    <row r="37" spans="6:6" x14ac:dyDescent="0.25">
      <c r="F37" s="39"/>
    </row>
    <row r="42" spans="6:6" x14ac:dyDescent="0.25">
      <c r="F42" s="158"/>
    </row>
    <row r="45" spans="6:6" x14ac:dyDescent="0.25">
      <c r="F45" s="278"/>
    </row>
  </sheetData>
  <mergeCells count="2">
    <mergeCell ref="D4:J4"/>
    <mergeCell ref="D15:J15"/>
  </mergeCells>
  <hyperlinks>
    <hyperlink ref="C2" location="Contents!A1" display="Table of Contents"/>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V44"/>
  <sheetViews>
    <sheetView zoomScale="80" zoomScaleNormal="80" zoomScalePageLayoutView="125" workbookViewId="0">
      <pane ySplit="8" topLeftCell="A9" activePane="bottomLeft" state="frozen"/>
      <selection activeCell="V33" sqref="V33"/>
      <selection pane="bottomLeft" activeCell="V33" sqref="V33"/>
    </sheetView>
  </sheetViews>
  <sheetFormatPr defaultColWidth="8.85546875" defaultRowHeight="15" x14ac:dyDescent="0.25"/>
  <cols>
    <col min="1" max="1" width="4.42578125" style="1" customWidth="1"/>
    <col min="2" max="2" width="8.85546875" style="1"/>
    <col min="3" max="3" width="43.42578125" style="1" bestFit="1" customWidth="1"/>
    <col min="4" max="4" width="38.7109375" style="1" bestFit="1" customWidth="1"/>
    <col min="5" max="5" width="16" style="1" customWidth="1"/>
    <col min="6" max="7" width="17.28515625" style="1" customWidth="1"/>
    <col min="8" max="8" width="17" style="1" customWidth="1"/>
    <col min="9" max="9" width="17.42578125" style="1" bestFit="1" customWidth="1"/>
    <col min="10" max="10" width="16.42578125" style="1" customWidth="1"/>
    <col min="11" max="11" width="17.42578125" style="1" bestFit="1" customWidth="1"/>
    <col min="12" max="12" width="16.42578125" style="1" customWidth="1"/>
    <col min="13" max="13" width="19.5703125" style="1" customWidth="1"/>
    <col min="14" max="14" width="2.28515625" style="1" customWidth="1"/>
    <col min="15" max="15" width="1.28515625" style="1" customWidth="1"/>
    <col min="16" max="16" width="31.28515625" style="1" customWidth="1"/>
    <col min="17" max="17" width="14.28515625" style="1" bestFit="1" customWidth="1"/>
    <col min="18" max="22" width="13.140625" style="1" customWidth="1"/>
    <col min="23" max="16384" width="8.85546875" style="1"/>
  </cols>
  <sheetData>
    <row r="1" spans="1:22" ht="18.75" x14ac:dyDescent="0.3">
      <c r="B1" s="10" t="s">
        <v>40</v>
      </c>
    </row>
    <row r="2" spans="1:22" x14ac:dyDescent="0.25">
      <c r="A2" s="3"/>
      <c r="B2" s="25" t="s">
        <v>6</v>
      </c>
    </row>
    <row r="3" spans="1:22" x14ac:dyDescent="0.25">
      <c r="G3" s="200" t="s">
        <v>356</v>
      </c>
      <c r="I3" s="100">
        <f>Escalators!$P$14</f>
        <v>1.0620720947761066</v>
      </c>
      <c r="J3" s="1" t="s">
        <v>586</v>
      </c>
    </row>
    <row r="5" spans="1:22" ht="15.75" x14ac:dyDescent="0.25">
      <c r="C5" s="130" t="s">
        <v>327</v>
      </c>
      <c r="D5" s="130"/>
      <c r="E5" s="130"/>
      <c r="F5" s="130"/>
      <c r="G5" s="130"/>
      <c r="H5" s="130"/>
      <c r="I5" s="130"/>
      <c r="J5" s="130"/>
      <c r="K5" s="130"/>
      <c r="L5" s="130"/>
    </row>
    <row r="6" spans="1:22" ht="18.75" thickBot="1" x14ac:dyDescent="0.3">
      <c r="C6" s="161" t="s">
        <v>621</v>
      </c>
      <c r="D6" s="131"/>
      <c r="E6" s="406"/>
      <c r="F6" s="406"/>
      <c r="G6" s="407"/>
      <c r="H6" s="407"/>
      <c r="I6" s="407"/>
      <c r="J6" s="407"/>
      <c r="K6" s="407"/>
      <c r="L6" s="407"/>
    </row>
    <row r="7" spans="1:22" ht="37.9" customHeight="1" thickBot="1" x14ac:dyDescent="0.3">
      <c r="C7" s="132"/>
      <c r="D7" s="133"/>
      <c r="E7" s="134"/>
      <c r="F7" s="858" t="s">
        <v>620</v>
      </c>
      <c r="G7" s="859"/>
      <c r="H7" s="859"/>
      <c r="I7" s="859"/>
      <c r="J7" s="859"/>
      <c r="K7" s="859"/>
      <c r="L7" s="860"/>
    </row>
    <row r="8" spans="1:22" ht="67.900000000000006" customHeight="1" thickBot="1" x14ac:dyDescent="0.3">
      <c r="C8" s="135" t="s">
        <v>328</v>
      </c>
      <c r="D8" s="135" t="s">
        <v>43</v>
      </c>
      <c r="E8" s="136" t="s">
        <v>329</v>
      </c>
      <c r="F8" s="378" t="s">
        <v>629</v>
      </c>
      <c r="G8" s="379" t="s">
        <v>623</v>
      </c>
      <c r="H8" s="379">
        <f>Yr_1</f>
        <v>44742</v>
      </c>
      <c r="I8" s="379">
        <f>Yr_2</f>
        <v>45107</v>
      </c>
      <c r="J8" s="379">
        <f>Yr_3</f>
        <v>45473</v>
      </c>
      <c r="K8" s="379">
        <f>Yr_4</f>
        <v>45838</v>
      </c>
      <c r="L8" s="380">
        <f>Yr_5</f>
        <v>46203</v>
      </c>
      <c r="N8" s="214"/>
      <c r="O8" s="205"/>
    </row>
    <row r="9" spans="1:22" x14ac:dyDescent="0.25">
      <c r="C9" s="137" t="s">
        <v>330</v>
      </c>
      <c r="D9" s="138" t="s">
        <v>331</v>
      </c>
      <c r="E9" s="139" t="s">
        <v>332</v>
      </c>
      <c r="F9" s="140"/>
      <c r="G9" s="141"/>
      <c r="H9" s="141"/>
      <c r="I9" s="141"/>
      <c r="J9" s="141"/>
      <c r="K9" s="141"/>
      <c r="L9" s="142"/>
    </row>
    <row r="10" spans="1:22" x14ac:dyDescent="0.25">
      <c r="C10" s="143"/>
      <c r="D10" s="144"/>
      <c r="E10" s="145" t="s">
        <v>333</v>
      </c>
      <c r="F10" s="146">
        <f>(SUMIFS(ICT!BC$6:BC$36,ICT!$I$6:$I$36,$D9)*0.5+SUMIFS(Metering_SCS!BC$6:BC$36,Metering_SCS!$I$6:$I$36,$D9)*0.5+SUMIFS(ICT!BD$6:BD$36,ICT!$I$6:$I$36,$D9)*0.5+SUMIFS(Metering_SCS!BD$6:BD$36,Metering_SCS!$I$6:$I$36,$D9)*0.5)*Thousands*$I$3</f>
        <v>0</v>
      </c>
      <c r="G10" s="147">
        <f>(SUMIFS(ICT!BD$6:BD$36,ICT!$I$6:$I$36,$D9)*0.5+SUMIFS(Metering_SCS!BD$6:BD$36,Metering_SCS!$I$6:$I$36,$D9)*0.5+SUMIFS(ICT!BE$6:BE$36,ICT!$I$6:$I$36,$D9)+SUMIFS(Metering_SCS!BE$6:BE$36,Metering_SCS!$I$6:$I$36,$D9))*Thousands*$I$3</f>
        <v>0</v>
      </c>
      <c r="H10" s="147">
        <f>(SUMIFS(ICT!BF$6:BF$36,ICT!$I$6:$I$36,$D9)+SUMIFS(Metering_SCS!BF$6:BF$36,Metering_SCS!$I$6:$I$36,$D9))*Thousands*$I$3</f>
        <v>660632.22079740989</v>
      </c>
      <c r="I10" s="147">
        <f>(SUMIFS(ICT!BG$6:BG$36,ICT!$I$6:$I$36,$D9)+SUMIFS(Metering_SCS!BG$6:BG$36,Metering_SCS!$I$6:$I$36,$D9))*Thousands*$I$3</f>
        <v>149106.73509739427</v>
      </c>
      <c r="J10" s="147">
        <f>(SUMIFS(ICT!BH$6:BH$36,ICT!$I$6:$I$36,$D9)+SUMIFS(Metering_SCS!BH$6:BH$36,Metering_SCS!$I$6:$I$36,$D9))*Thousands*$I$3</f>
        <v>873223.44188239798</v>
      </c>
      <c r="K10" s="147">
        <f>(SUMIFS(ICT!BI$6:BI$36,ICT!$I$6:$I$36,$D9)+SUMIFS(Metering_SCS!BI$6:BI$36,Metering_SCS!$I$6:$I$36,$D9))*Thousands*$I$3</f>
        <v>213124.30037159123</v>
      </c>
      <c r="L10" s="148">
        <f>(SUMIFS(ICT!BJ$6:BJ$36,ICT!$I$6:$I$36,$D9)+SUMIFS(Metering_SCS!BJ$6:BJ$36,Metering_SCS!$I$6:$I$36,$D9))*Thousands*$I$3</f>
        <v>234865.04801783286</v>
      </c>
      <c r="M10" s="34"/>
    </row>
    <row r="11" spans="1:22" x14ac:dyDescent="0.25">
      <c r="C11" s="143"/>
      <c r="D11" s="149" t="s">
        <v>334</v>
      </c>
      <c r="E11" s="150" t="s">
        <v>332</v>
      </c>
      <c r="F11" s="151"/>
      <c r="G11" s="152"/>
      <c r="H11" s="152"/>
      <c r="I11" s="152"/>
      <c r="J11" s="152"/>
      <c r="K11" s="152"/>
      <c r="L11" s="153"/>
    </row>
    <row r="12" spans="1:22" x14ac:dyDescent="0.25">
      <c r="C12" s="143"/>
      <c r="D12" s="154"/>
      <c r="E12" s="145" t="s">
        <v>333</v>
      </c>
      <c r="F12" s="146">
        <v>24279171.991757546</v>
      </c>
      <c r="G12" s="147">
        <v>10495159.728894679</v>
      </c>
      <c r="H12" s="147">
        <f>(SUMIFS(ICT!BF$6:BF$36,ICT!$I$6:$I$36,$D11)+SUMIFS(Metering_SCS!BF$6:BF$36,Metering_SCS!$I$6:$I$36,$D11))*Thousands*$I$3</f>
        <v>15034025.260894118</v>
      </c>
      <c r="I12" s="147">
        <f>(SUMIFS(ICT!BG$6:BG$36,ICT!$I$6:$I$36,$D11)+SUMIFS(Metering_SCS!BG$6:BG$36,Metering_SCS!$I$6:$I$36,$D11))*Thousands*$I$3</f>
        <v>8902534.969540609</v>
      </c>
      <c r="J12" s="147">
        <f>(SUMIFS(ICT!BH$6:BH$36,ICT!$I$6:$I$36,$D11)+SUMIFS(Metering_SCS!BH$6:BH$36,Metering_SCS!$I$6:$I$36,$D11))*Thousands*$I$3</f>
        <v>14824337.271649068</v>
      </c>
      <c r="K12" s="147">
        <f>(SUMIFS(ICT!BI$6:BI$36,ICT!$I$6:$I$36,$D11)+SUMIFS(Metering_SCS!BI$6:BI$36,Metering_SCS!$I$6:$I$36,$D11))*Thousands*$I$3</f>
        <v>7489054.0019556498</v>
      </c>
      <c r="L12" s="148">
        <f>(SUMIFS(ICT!BJ$6:BJ$36,ICT!$I$6:$I$36,$D11)+SUMIFS(Metering_SCS!BJ$6:BJ$36,Metering_SCS!$I$6:$I$36,$D11))*Thousands*$I$3</f>
        <v>7408020.3415780319</v>
      </c>
    </row>
    <row r="13" spans="1:22" x14ac:dyDescent="0.25">
      <c r="C13" s="143"/>
      <c r="D13" s="403" t="s">
        <v>335</v>
      </c>
      <c r="E13" s="150" t="s">
        <v>332</v>
      </c>
      <c r="F13" s="151"/>
      <c r="G13" s="152"/>
      <c r="H13" s="152"/>
      <c r="I13" s="152"/>
      <c r="J13" s="152"/>
      <c r="K13" s="152"/>
      <c r="L13" s="153"/>
    </row>
    <row r="14" spans="1:22" x14ac:dyDescent="0.25">
      <c r="C14" s="155"/>
      <c r="D14" s="154"/>
      <c r="E14" s="145" t="s">
        <v>333</v>
      </c>
      <c r="F14" s="146">
        <v>36857600.737728745</v>
      </c>
      <c r="G14" s="147">
        <v>43342706.530296862</v>
      </c>
      <c r="H14" s="147">
        <f>(SUMIFS(ICT!BF$6:BF$36,ICT!$I$6:$I$36,$D13)+SUMIFS(Metering_SCS!BF$6:BF$36,Metering_SCS!$I$6:$I$36,$D13))*Thousands*$I$3</f>
        <v>28167023.453025945</v>
      </c>
      <c r="I14" s="147">
        <f>(SUMIFS(ICT!BG$6:BG$36,ICT!$I$6:$I$36,$D13)+SUMIFS(Metering_SCS!BG$6:BG$36,Metering_SCS!$I$6:$I$36,$D13))*Thousands*$I$3</f>
        <v>20549799.178227883</v>
      </c>
      <c r="J14" s="147">
        <f>(SUMIFS(ICT!BH$6:BH$36,ICT!$I$6:$I$36,$D13)+SUMIFS(Metering_SCS!BH$6:BH$36,Metering_SCS!$I$6:$I$36,$D13))*Thousands*$I$3</f>
        <v>19525694.807149418</v>
      </c>
      <c r="K14" s="147">
        <f>(SUMIFS(ICT!BI$6:BI$36,ICT!$I$6:$I$36,$D13)+SUMIFS(Metering_SCS!BI$6:BI$36,Metering_SCS!$I$6:$I$36,$D13))*Thousands*$I$3</f>
        <v>18907776.109520674</v>
      </c>
      <c r="L14" s="148">
        <f>(SUMIFS(ICT!BJ$6:BJ$36,ICT!$I$6:$I$36,$D13)+SUMIFS(Metering_SCS!BJ$6:BJ$36,Metering_SCS!$I$6:$I$36,$D13))*Thousands*$I$3</f>
        <v>18298022.225301895</v>
      </c>
      <c r="P14" s="41"/>
      <c r="Q14" s="86"/>
      <c r="R14" s="41"/>
      <c r="S14" s="41"/>
      <c r="T14" s="41"/>
      <c r="U14" s="41"/>
      <c r="V14" s="41"/>
    </row>
    <row r="15" spans="1:22" x14ac:dyDescent="0.25">
      <c r="C15" s="143" t="s">
        <v>237</v>
      </c>
      <c r="D15" s="156" t="s">
        <v>336</v>
      </c>
      <c r="E15" s="150" t="s">
        <v>332</v>
      </c>
      <c r="F15" s="151"/>
      <c r="G15" s="152"/>
      <c r="H15" s="152"/>
      <c r="I15" s="152"/>
      <c r="J15" s="152"/>
      <c r="K15" s="152"/>
      <c r="L15" s="153"/>
      <c r="N15" s="213"/>
      <c r="P15" s="41"/>
      <c r="Q15" s="86"/>
      <c r="R15" s="41"/>
      <c r="S15" s="41"/>
      <c r="T15" s="41"/>
      <c r="U15" s="41"/>
      <c r="V15" s="41"/>
    </row>
    <row r="16" spans="1:22" x14ac:dyDescent="0.25">
      <c r="C16" s="143"/>
      <c r="D16" s="154"/>
      <c r="E16" s="145" t="s">
        <v>333</v>
      </c>
      <c r="F16" s="146">
        <v>804734.72066120047</v>
      </c>
      <c r="G16" s="147">
        <v>1039496.5145140061</v>
      </c>
      <c r="H16" s="147">
        <f>SUMIFS(Other_NN!BE$6:BE$36,Other_NN!$H$6:$H$36,$D$15)*Thousands*$I$3*R23</f>
        <v>1231318.4025987363</v>
      </c>
      <c r="I16" s="147">
        <f>SUMIFS(Other_NN!BF$6:BF$36,Other_NN!$H$6:$H$36,$D$15)*Thousands*$I$3*S23</f>
        <v>1267853.2188245968</v>
      </c>
      <c r="J16" s="147">
        <f>SUMIFS(Other_NN!BG$6:BG$36,Other_NN!$H$6:$H$36,$D$15)*Thousands*$I$3*T23</f>
        <v>1440364.0571378882</v>
      </c>
      <c r="K16" s="147">
        <f>SUMIFS(Other_NN!BH$6:BH$36,Other_NN!$H$6:$H$36,$D$15)*Thousands*$I$3*U23</f>
        <v>2481772.3373238104</v>
      </c>
      <c r="L16" s="148">
        <f>SUMIFS(Other_NN!BI$6:BI$36,Other_NN!$H$6:$H$36,$D$15)*Thousands*$I$3*V23</f>
        <v>1702898.4130243668</v>
      </c>
      <c r="N16" s="215"/>
      <c r="O16" s="84"/>
      <c r="P16" s="41"/>
      <c r="Q16" s="273"/>
      <c r="R16" s="273"/>
      <c r="S16" s="273"/>
      <c r="T16" s="273"/>
      <c r="U16" s="273"/>
      <c r="V16" s="273"/>
    </row>
    <row r="17" spans="3:22" x14ac:dyDescent="0.25">
      <c r="C17" s="143"/>
      <c r="D17" s="149" t="s">
        <v>337</v>
      </c>
      <c r="E17" s="150" t="s">
        <v>332</v>
      </c>
      <c r="F17" s="151"/>
      <c r="G17" s="152"/>
      <c r="H17" s="152"/>
      <c r="I17" s="152"/>
      <c r="J17" s="152"/>
      <c r="K17" s="152"/>
      <c r="L17" s="153"/>
      <c r="N17" s="215"/>
      <c r="O17" s="84"/>
      <c r="P17" s="41"/>
      <c r="Q17" s="273"/>
      <c r="R17" s="273"/>
      <c r="S17" s="273"/>
      <c r="T17" s="273"/>
      <c r="U17" s="273"/>
      <c r="V17" s="273"/>
    </row>
    <row r="18" spans="3:22" x14ac:dyDescent="0.25">
      <c r="C18" s="143"/>
      <c r="D18" s="154"/>
      <c r="E18" s="145" t="s">
        <v>333</v>
      </c>
      <c r="F18" s="146">
        <v>677056.8370242439</v>
      </c>
      <c r="G18" s="147">
        <v>874571.71182611806</v>
      </c>
      <c r="H18" s="147">
        <f>SUMIFS(Other_NN!BE$6:BE$36,Other_NN!$H$6:$H$36,$D$15)*Thousands*$I$3*R24</f>
        <v>670036.69573599682</v>
      </c>
      <c r="I18" s="147">
        <f>SUMIFS(Other_NN!BF$6:BF$36,Other_NN!$H$6:$H$36,$D$15)*Thousands*$I$3*S24</f>
        <v>453982.68432741199</v>
      </c>
      <c r="J18" s="147">
        <f>SUMIFS(Other_NN!BG$6:BG$36,Other_NN!$H$6:$H$36,$D$15)*Thousands*$I$3*T24</f>
        <v>532570.86487045302</v>
      </c>
      <c r="K18" s="147">
        <f>SUMIFS(Other_NN!BH$6:BH$36,Other_NN!$H$6:$H$36,$D$15)*Thousands*$I$3*U24</f>
        <v>1397204.8794201594</v>
      </c>
      <c r="L18" s="148">
        <f>SUMIFS(Other_NN!BI$6:BI$36,Other_NN!$H$6:$H$36,$D$15)*Thousands*$I$3*V24</f>
        <v>1160862.5099533931</v>
      </c>
      <c r="N18" s="215"/>
      <c r="O18" s="84"/>
      <c r="P18" s="41"/>
      <c r="Q18" s="273"/>
      <c r="R18" s="273"/>
      <c r="S18" s="273"/>
      <c r="T18" s="273"/>
      <c r="U18" s="273"/>
      <c r="V18" s="273"/>
    </row>
    <row r="19" spans="3:22" x14ac:dyDescent="0.25">
      <c r="C19" s="143"/>
      <c r="D19" s="149" t="s">
        <v>338</v>
      </c>
      <c r="E19" s="150" t="s">
        <v>332</v>
      </c>
      <c r="F19" s="151"/>
      <c r="G19" s="152"/>
      <c r="H19" s="152"/>
      <c r="I19" s="152"/>
      <c r="J19" s="152"/>
      <c r="K19" s="152"/>
      <c r="L19" s="153"/>
      <c r="N19" s="215"/>
      <c r="O19" s="84"/>
      <c r="P19" s="41"/>
      <c r="Q19" s="273"/>
      <c r="R19" s="273"/>
      <c r="S19" s="273"/>
      <c r="T19" s="273"/>
      <c r="U19" s="273"/>
      <c r="V19" s="273"/>
    </row>
    <row r="20" spans="3:22" x14ac:dyDescent="0.25">
      <c r="C20" s="143"/>
      <c r="D20" s="154"/>
      <c r="E20" s="145" t="s">
        <v>333</v>
      </c>
      <c r="F20" s="146">
        <v>0</v>
      </c>
      <c r="G20" s="147">
        <v>0</v>
      </c>
      <c r="H20" s="147">
        <f>SUMIFS(Other_NN!BE$6:BE$36,Other_NN!$H$6:$H$36,$D$15)*Thousands*$I$3*R25</f>
        <v>0</v>
      </c>
      <c r="I20" s="147">
        <f>SUMIFS(Other_NN!BF$6:BF$36,Other_NN!$H$6:$H$36,$D$15)*Thousands*$I$3*S25</f>
        <v>0</v>
      </c>
      <c r="J20" s="147">
        <f>SUMIFS(Other_NN!BG$6:BG$36,Other_NN!$H$6:$H$36,$D$15)*Thousands*$I$3*T25</f>
        <v>0</v>
      </c>
      <c r="K20" s="147">
        <f>SUMIFS(Other_NN!BH$6:BH$36,Other_NN!$H$6:$H$36,$D$15)*Thousands*$I$3*U25</f>
        <v>0</v>
      </c>
      <c r="L20" s="148">
        <f>SUMIFS(Other_NN!BI$6:BI$36,Other_NN!$H$6:$H$36,$D$15)*Thousands*$I$3*V25</f>
        <v>0</v>
      </c>
      <c r="N20" s="215"/>
      <c r="O20" s="84"/>
      <c r="P20" s="41"/>
      <c r="Q20" s="273"/>
      <c r="R20" s="273"/>
      <c r="S20" s="273"/>
      <c r="T20" s="273"/>
      <c r="U20" s="273"/>
      <c r="V20" s="273"/>
    </row>
    <row r="21" spans="3:22" x14ac:dyDescent="0.25">
      <c r="C21" s="143"/>
      <c r="D21" s="149" t="s">
        <v>339</v>
      </c>
      <c r="E21" s="150" t="s">
        <v>332</v>
      </c>
      <c r="F21" s="151"/>
      <c r="G21" s="152"/>
      <c r="H21" s="152"/>
      <c r="I21" s="152"/>
      <c r="J21" s="152"/>
      <c r="K21" s="152"/>
      <c r="L21" s="153"/>
      <c r="N21" s="215"/>
      <c r="O21" s="84"/>
      <c r="P21" s="41"/>
      <c r="Q21" s="273"/>
      <c r="R21" s="273"/>
      <c r="S21" s="273"/>
      <c r="T21" s="273"/>
      <c r="U21" s="273"/>
      <c r="V21" s="273"/>
    </row>
    <row r="22" spans="3:22" x14ac:dyDescent="0.25">
      <c r="C22" s="143"/>
      <c r="D22" s="154"/>
      <c r="E22" s="145" t="s">
        <v>333</v>
      </c>
      <c r="F22" s="146">
        <v>141219.21371453573</v>
      </c>
      <c r="G22" s="147">
        <v>182416.48666290249</v>
      </c>
      <c r="H22" s="147">
        <f>SUMIFS(Other_NN!BE$6:BE$36,Other_NN!$H$6:$H$36,$D$15)*Thousands*$I$3*R26</f>
        <v>0</v>
      </c>
      <c r="I22" s="147">
        <f>SUMIFS(Other_NN!BF$6:BF$36,Other_NN!$H$6:$H$36,$D$15)*Thousands*$I$3*S26</f>
        <v>0</v>
      </c>
      <c r="J22" s="147">
        <f>SUMIFS(Other_NN!BG$6:BG$36,Other_NN!$H$6:$H$36,$D$15)*Thousands*$I$3*T26</f>
        <v>169643.62098658504</v>
      </c>
      <c r="K22" s="147">
        <f>SUMIFS(Other_NN!BH$6:BH$36,Other_NN!$H$6:$H$36,$D$15)*Thousands*$I$3*U26</f>
        <v>369718.55385199498</v>
      </c>
      <c r="L22" s="148">
        <f>SUMIFS(Other_NN!BI$6:BI$36,Other_NN!$H$6:$H$36,$D$15)*Thousands*$I$3*V26</f>
        <v>178146.88223424417</v>
      </c>
      <c r="N22" s="215"/>
      <c r="O22" s="84"/>
      <c r="P22" s="1" t="s">
        <v>744</v>
      </c>
      <c r="Q22" s="411" t="s">
        <v>623</v>
      </c>
      <c r="R22" s="411" t="s">
        <v>624</v>
      </c>
      <c r="S22" s="411" t="s">
        <v>625</v>
      </c>
      <c r="T22" s="411" t="s">
        <v>626</v>
      </c>
      <c r="U22" s="411" t="s">
        <v>627</v>
      </c>
      <c r="V22" s="411" t="s">
        <v>628</v>
      </c>
    </row>
    <row r="23" spans="3:22" x14ac:dyDescent="0.25">
      <c r="C23" s="143"/>
      <c r="D23" s="149" t="s">
        <v>340</v>
      </c>
      <c r="E23" s="150" t="s">
        <v>332</v>
      </c>
      <c r="F23" s="151"/>
      <c r="G23" s="152"/>
      <c r="H23" s="152"/>
      <c r="I23" s="152"/>
      <c r="J23" s="152"/>
      <c r="K23" s="152"/>
      <c r="L23" s="153"/>
      <c r="N23" s="215"/>
      <c r="O23" s="84"/>
      <c r="P23" s="1" t="s">
        <v>336</v>
      </c>
      <c r="Q23" s="107">
        <v>0.46737485802767526</v>
      </c>
      <c r="R23" s="107">
        <v>0.60553333683309463</v>
      </c>
      <c r="S23" s="107">
        <v>0.67743200959886629</v>
      </c>
      <c r="T23" s="107">
        <v>0.62835906265232944</v>
      </c>
      <c r="U23" s="107">
        <v>0.55601997069735098</v>
      </c>
      <c r="V23" s="107">
        <v>0.53076523887886584</v>
      </c>
    </row>
    <row r="24" spans="3:22" x14ac:dyDescent="0.25">
      <c r="C24" s="155"/>
      <c r="D24" s="154"/>
      <c r="E24" s="145" t="s">
        <v>333</v>
      </c>
      <c r="F24" s="146">
        <v>98807.822045944456</v>
      </c>
      <c r="G24" s="147">
        <v>127632.60237993546</v>
      </c>
      <c r="H24" s="147">
        <f>SUMIFS(Other_NN!BE$6:BE$36,Other_NN!$H$6:$H$36,$D$15)*Thousands*$I$3*R27</f>
        <v>132089.35088165948</v>
      </c>
      <c r="I24" s="147">
        <f>SUMIFS(Other_NN!BF$6:BF$36,Other_NN!$H$6:$H$36,$D$15)*Thousands*$I$3*S27</f>
        <v>149721.98141760536</v>
      </c>
      <c r="J24" s="147">
        <f>SUMIFS(Other_NN!BG$6:BG$36,Other_NN!$H$6:$H$36,$D$15)*Thousands*$I$3*T27</f>
        <v>149684.18185231689</v>
      </c>
      <c r="K24" s="147">
        <f>SUMIFS(Other_NN!BH$6:BH$36,Other_NN!$H$6:$H$36,$D$15)*Thousands*$I$3*U27</f>
        <v>214763.2202946195</v>
      </c>
      <c r="L24" s="148">
        <f>SUMIFS(Other_NN!BI$6:BI$36,Other_NN!$H$6:$H$36,$D$15)*Thousands*$I$3*V27</f>
        <v>166475.65377524079</v>
      </c>
      <c r="N24" s="215"/>
      <c r="O24" s="84"/>
      <c r="P24" s="1" t="s">
        <v>337</v>
      </c>
      <c r="Q24" s="107">
        <v>0.39322193383289628</v>
      </c>
      <c r="R24" s="107">
        <v>0.32950823711668242</v>
      </c>
      <c r="S24" s="107">
        <v>0.2425694059854368</v>
      </c>
      <c r="T24" s="107">
        <v>0.23233412954701502</v>
      </c>
      <c r="U24" s="107">
        <v>0.31303186212121514</v>
      </c>
      <c r="V24" s="107">
        <v>0.36182162288039904</v>
      </c>
    </row>
    <row r="25" spans="3:22" x14ac:dyDescent="0.25">
      <c r="C25" s="143" t="s">
        <v>238</v>
      </c>
      <c r="D25" s="156" t="s">
        <v>341</v>
      </c>
      <c r="E25" s="150" t="s">
        <v>332</v>
      </c>
      <c r="F25" s="151"/>
      <c r="G25" s="152"/>
      <c r="H25" s="152"/>
      <c r="I25" s="152"/>
      <c r="J25" s="152"/>
      <c r="K25" s="152"/>
      <c r="L25" s="153"/>
      <c r="N25" s="92"/>
      <c r="O25" s="84"/>
      <c r="P25" s="84" t="s">
        <v>338</v>
      </c>
      <c r="Q25" s="107">
        <v>0</v>
      </c>
      <c r="R25" s="107">
        <v>0</v>
      </c>
      <c r="S25" s="107">
        <v>0</v>
      </c>
      <c r="T25" s="107">
        <v>0</v>
      </c>
      <c r="U25" s="107">
        <v>0</v>
      </c>
      <c r="V25" s="107">
        <v>0</v>
      </c>
    </row>
    <row r="26" spans="3:22" x14ac:dyDescent="0.25">
      <c r="C26" s="155"/>
      <c r="D26" s="154"/>
      <c r="E26" s="145" t="s">
        <v>333</v>
      </c>
      <c r="F26" s="146">
        <v>18571114.13782401</v>
      </c>
      <c r="G26" s="147">
        <v>2327558.4328926932</v>
      </c>
      <c r="H26" s="147">
        <f>SUMIFS(Other_NN!BE$6:BE$36,Other_NN!$H$6:$H$36,$D25)*Thousands*$I$3</f>
        <v>4705603.7332584094</v>
      </c>
      <c r="I26" s="147">
        <f>SUMIFS(Other_NN!BF$6:BF$36,Other_NN!$H$6:$H$36,$D25)*Thousands*$I$3</f>
        <v>2130665.3122141385</v>
      </c>
      <c r="J26" s="147">
        <f>SUMIFS(Other_NN!BG$6:BG$36,Other_NN!$H$6:$H$36,$D25)*Thousands*$I$3</f>
        <v>861850.26346891501</v>
      </c>
      <c r="K26" s="147">
        <f>SUMIFS(Other_NN!BH$6:BH$36,Other_NN!$H$6:$H$36,$D25)*Thousands*$I$3</f>
        <v>2519373.0781812458</v>
      </c>
      <c r="L26" s="148">
        <f>SUMIFS(Other_NN!BI$6:BI$36,Other_NN!$H$6:$H$36,$D25)*Thousands*$I$3</f>
        <v>9283475.9041323848</v>
      </c>
      <c r="N26" s="92"/>
      <c r="O26" s="84"/>
      <c r="P26" s="84" t="s">
        <v>339</v>
      </c>
      <c r="Q26" s="107">
        <v>8.201747515800123E-2</v>
      </c>
      <c r="R26" s="107">
        <v>0</v>
      </c>
      <c r="S26" s="107">
        <v>0</v>
      </c>
      <c r="T26" s="107">
        <v>7.4007058243243093E-2</v>
      </c>
      <c r="U26" s="107">
        <v>8.2832295447667112E-2</v>
      </c>
      <c r="V26" s="107">
        <v>5.5525433450052085E-2</v>
      </c>
    </row>
    <row r="27" spans="3:22" x14ac:dyDescent="0.25">
      <c r="C27" s="143" t="s">
        <v>236</v>
      </c>
      <c r="D27" s="405" t="s">
        <v>342</v>
      </c>
      <c r="E27" s="150" t="s">
        <v>332</v>
      </c>
      <c r="F27" s="151"/>
      <c r="G27" s="152"/>
      <c r="H27" s="152"/>
      <c r="I27" s="152"/>
      <c r="J27" s="152"/>
      <c r="K27" s="152"/>
      <c r="L27" s="153"/>
      <c r="N27" s="92"/>
      <c r="O27" s="84"/>
      <c r="P27" s="84" t="s">
        <v>340</v>
      </c>
      <c r="Q27" s="107">
        <v>5.738573298142724E-2</v>
      </c>
      <c r="R27" s="107">
        <v>6.4958426050223006E-2</v>
      </c>
      <c r="S27" s="107">
        <v>7.9998584415696877E-2</v>
      </c>
      <c r="T27" s="107">
        <v>6.5299749557412481E-2</v>
      </c>
      <c r="U27" s="107">
        <v>4.8115871733766795E-2</v>
      </c>
      <c r="V27" s="107">
        <v>5.1887704790683074E-2</v>
      </c>
    </row>
    <row r="28" spans="3:22" x14ac:dyDescent="0.25">
      <c r="C28" s="155"/>
      <c r="D28" s="154"/>
      <c r="E28" s="145" t="s">
        <v>333</v>
      </c>
      <c r="F28" s="146">
        <v>0</v>
      </c>
      <c r="G28" s="147">
        <v>0</v>
      </c>
      <c r="H28" s="147">
        <f>SUMIFS(Other_NN!BE$6:BE$36,Other_NN!$H$6:$H$36,$D27)*Thousands*$I$3</f>
        <v>1274333.497807303</v>
      </c>
      <c r="I28" s="147">
        <f>SUMIFS(Other_NN!BF$6:BF$36,Other_NN!$H$6:$H$36,$D27)*Thousands*$I$3</f>
        <v>1274199.0662475668</v>
      </c>
      <c r="J28" s="147">
        <f>SUMIFS(Other_NN!BG$6:BG$36,Other_NN!$H$6:$H$36,$D27)*Thousands*$I$3</f>
        <v>1274160.0730825348</v>
      </c>
      <c r="K28" s="147">
        <f>SUMIFS(Other_NN!BH$6:BH$36,Other_NN!$H$6:$H$36,$D27)*Thousands*$I$3</f>
        <v>1274357.1084254761</v>
      </c>
      <c r="L28" s="148">
        <f>SUMIFS(Other_NN!BI$6:BI$36,Other_NN!$H$6:$H$36,$D27)*Thousands*$I$3</f>
        <v>1274893.723780578</v>
      </c>
      <c r="N28" s="92"/>
      <c r="O28" s="84"/>
      <c r="P28" s="84"/>
    </row>
    <row r="29" spans="3:22" x14ac:dyDescent="0.25">
      <c r="C29" s="209" t="s">
        <v>360</v>
      </c>
      <c r="D29" s="210" t="s">
        <v>363</v>
      </c>
      <c r="E29" s="150" t="s">
        <v>332</v>
      </c>
      <c r="F29" s="151"/>
      <c r="G29" s="152"/>
      <c r="H29" s="152"/>
      <c r="I29" s="152"/>
      <c r="J29" s="152"/>
      <c r="K29" s="152"/>
      <c r="L29" s="153"/>
      <c r="N29" s="92"/>
      <c r="O29" s="84"/>
      <c r="P29" s="84"/>
    </row>
    <row r="30" spans="3:22" x14ac:dyDescent="0.25">
      <c r="C30" s="209"/>
      <c r="D30" s="211"/>
      <c r="E30" s="145" t="s">
        <v>333</v>
      </c>
      <c r="F30" s="146">
        <v>1685092.4385715781</v>
      </c>
      <c r="G30" s="147">
        <v>1634660.719044741</v>
      </c>
      <c r="H30" s="147">
        <f>SUMIFS(Other_NN!BE$6:BE$36,Other_NN!$H$6:$H$36,$D29)*Thousands*$I$3</f>
        <v>1581548.131740253</v>
      </c>
      <c r="I30" s="147">
        <f>SUMIFS(Other_NN!BF$6:BF$36,Other_NN!$H$6:$H$36,$D29)*Thousands*$I$3</f>
        <v>1581381.2915979242</v>
      </c>
      <c r="J30" s="147">
        <f>SUMIFS(Other_NN!BG$6:BG$36,Other_NN!$H$6:$H$36,$D29)*Thousands*$I$3</f>
        <v>1581332.8980122474</v>
      </c>
      <c r="K30" s="147">
        <f>SUMIFS(Other_NN!BH$6:BH$36,Other_NN!$H$6:$H$36,$D29)*Thousands*$I$3</f>
        <v>1581577.4343750223</v>
      </c>
      <c r="L30" s="148">
        <f>SUMIFS(Other_NN!BI$6:BI$36,Other_NN!$H$6:$H$36,$D29)*Thousands*$I$3</f>
        <v>1582243.4162500845</v>
      </c>
      <c r="N30" s="92"/>
      <c r="O30" s="84"/>
      <c r="P30" s="84"/>
    </row>
    <row r="31" spans="3:22" x14ac:dyDescent="0.25">
      <c r="C31" s="209"/>
      <c r="D31" s="210" t="s">
        <v>652</v>
      </c>
      <c r="E31" s="150" t="s">
        <v>332</v>
      </c>
      <c r="F31" s="151"/>
      <c r="G31" s="152"/>
      <c r="H31" s="152"/>
      <c r="I31" s="152"/>
      <c r="J31" s="152"/>
      <c r="K31" s="152"/>
      <c r="L31" s="153"/>
      <c r="N31" s="92"/>
      <c r="O31" s="84"/>
      <c r="P31" s="84"/>
    </row>
    <row r="32" spans="3:22" x14ac:dyDescent="0.25">
      <c r="C32" s="209"/>
      <c r="D32" s="211"/>
      <c r="E32" s="145" t="s">
        <v>333</v>
      </c>
      <c r="F32" s="146">
        <f>REFCL_view!D40*Thousands</f>
        <v>863013.55258521601</v>
      </c>
      <c r="G32" s="147">
        <f>REFCL_view!E40*Thousands</f>
        <v>869063.9218123079</v>
      </c>
      <c r="H32" s="147">
        <f>Reg_Forecast!AU25*Thousands*$I$3</f>
        <v>34463.80343452283</v>
      </c>
      <c r="I32" s="147">
        <f>Reg_Forecast!AV25*Thousands*$I$3</f>
        <v>359578.30914901214</v>
      </c>
      <c r="J32" s="147">
        <f>Reg_Forecast!AW25*Thousands*$I$3</f>
        <v>622008.22944582975</v>
      </c>
      <c r="K32" s="147">
        <f>Reg_Forecast!AX25*Thousands*$I$3</f>
        <v>898973.8178592308</v>
      </c>
      <c r="L32" s="148">
        <f>Reg_Forecast!AY25*Thousands*$I$3</f>
        <v>971887.44019192958</v>
      </c>
      <c r="N32" s="92"/>
      <c r="O32" s="84"/>
      <c r="P32" s="84"/>
    </row>
    <row r="33" spans="3:15" x14ac:dyDescent="0.25">
      <c r="C33" s="209"/>
      <c r="D33" s="210" t="s">
        <v>653</v>
      </c>
      <c r="E33" s="150" t="s">
        <v>332</v>
      </c>
      <c r="F33" s="151"/>
      <c r="G33" s="152"/>
      <c r="H33" s="152"/>
      <c r="I33" s="152"/>
      <c r="J33" s="152"/>
      <c r="K33" s="152"/>
      <c r="L33" s="153"/>
      <c r="N33" s="92"/>
      <c r="O33" s="84"/>
    </row>
    <row r="34" spans="3:15" x14ac:dyDescent="0.25">
      <c r="C34" s="209"/>
      <c r="D34" s="211"/>
      <c r="E34" s="145" t="s">
        <v>333</v>
      </c>
      <c r="F34" s="146">
        <f>REFCL_view!D39*Thousands</f>
        <v>391694.71780683642</v>
      </c>
      <c r="G34" s="147">
        <f>REFCL_view!E39*Thousands</f>
        <v>112200</v>
      </c>
      <c r="H34" s="147"/>
      <c r="I34" s="147"/>
      <c r="J34" s="147"/>
      <c r="K34" s="147"/>
      <c r="L34" s="148"/>
      <c r="N34" s="92"/>
      <c r="O34" s="84"/>
    </row>
    <row r="35" spans="3:15" x14ac:dyDescent="0.25">
      <c r="C35" s="206"/>
      <c r="D35" s="207"/>
      <c r="E35" s="208"/>
      <c r="F35" s="208"/>
      <c r="G35" s="212"/>
      <c r="H35" s="212"/>
      <c r="I35" s="212"/>
      <c r="J35" s="212"/>
      <c r="K35" s="212"/>
      <c r="L35" s="212"/>
      <c r="N35" s="92"/>
      <c r="O35" s="84"/>
    </row>
    <row r="36" spans="3:15" x14ac:dyDescent="0.25">
      <c r="M36" s="447" t="str">
        <f>NReg_Period</f>
        <v>2022-26</v>
      </c>
      <c r="N36" s="204"/>
    </row>
    <row r="37" spans="3:15" ht="8.25" customHeight="1" x14ac:dyDescent="0.25">
      <c r="G37" s="158"/>
      <c r="H37" s="158"/>
      <c r="I37" s="158"/>
      <c r="J37" s="158"/>
      <c r="K37" s="158"/>
      <c r="L37" s="158"/>
      <c r="M37" s="447"/>
      <c r="N37" s="213"/>
    </row>
    <row r="38" spans="3:15" x14ac:dyDescent="0.25">
      <c r="E38" s="442" t="s">
        <v>622</v>
      </c>
      <c r="F38" s="443">
        <f>SUMIFS(F$9:F$34,$E$9:$E$34,"Capex ")</f>
        <v>84369506.16971983</v>
      </c>
      <c r="G38" s="443">
        <f t="shared" ref="G38:L38" si="0">SUMIFS(G$9:G$34,$E$9:$E$34,"Capex ")</f>
        <v>61005466.648324244</v>
      </c>
      <c r="H38" s="443">
        <f t="shared" si="0"/>
        <v>53491074.550174356</v>
      </c>
      <c r="I38" s="443">
        <f t="shared" si="0"/>
        <v>36818822.746644139</v>
      </c>
      <c r="J38" s="443">
        <f t="shared" si="0"/>
        <v>41854869.709537663</v>
      </c>
      <c r="K38" s="443">
        <f t="shared" si="0"/>
        <v>37347694.841579482</v>
      </c>
      <c r="L38" s="443">
        <f t="shared" si="0"/>
        <v>42261791.558239989</v>
      </c>
      <c r="M38" s="448">
        <f>SUM(H38:L38)</f>
        <v>211774253.40617561</v>
      </c>
      <c r="N38" s="201"/>
    </row>
    <row r="39" spans="3:15" ht="9" customHeight="1" x14ac:dyDescent="0.25">
      <c r="E39" s="444"/>
      <c r="F39" s="444"/>
      <c r="G39" s="444"/>
      <c r="H39" s="444"/>
      <c r="I39" s="444"/>
      <c r="J39" s="444"/>
      <c r="K39" s="444"/>
      <c r="L39" s="444"/>
      <c r="M39" s="444"/>
    </row>
    <row r="40" spans="3:15" x14ac:dyDescent="0.25">
      <c r="E40" s="442" t="s">
        <v>359</v>
      </c>
      <c r="F40" s="445">
        <f>'2.1 Exp Summary'!E12</f>
        <v>83723924.104336977</v>
      </c>
      <c r="G40" s="445">
        <f>'2.1 Exp Summary'!F12</f>
        <v>60742301.645889349</v>
      </c>
      <c r="H40" s="445">
        <f>'2.1 Exp Summary'!G12</f>
        <v>53491074.550174348</v>
      </c>
      <c r="I40" s="445">
        <f>'2.1 Exp Summary'!H12</f>
        <v>36818822.746644139</v>
      </c>
      <c r="J40" s="445">
        <f>'2.1 Exp Summary'!I12</f>
        <v>41854869.709537648</v>
      </c>
      <c r="K40" s="445">
        <f>'2.1 Exp Summary'!J12</f>
        <v>37347694.841579482</v>
      </c>
      <c r="L40" s="445">
        <f>'2.1 Exp Summary'!K12</f>
        <v>42261791.558239982</v>
      </c>
      <c r="M40" s="446">
        <f t="shared" ref="M40:M41" si="1">SUM(H40:L40)</f>
        <v>211774253.40617561</v>
      </c>
      <c r="N40" s="158"/>
    </row>
    <row r="41" spans="3:15" x14ac:dyDescent="0.25">
      <c r="E41" s="442" t="s">
        <v>133</v>
      </c>
      <c r="F41" s="498">
        <f>F40-F38</f>
        <v>-645582.06538285315</v>
      </c>
      <c r="G41" s="498">
        <f>G40-G38</f>
        <v>-263165.00243489444</v>
      </c>
      <c r="H41" s="445">
        <f t="shared" ref="H41:L41" si="2">H40-H38</f>
        <v>0</v>
      </c>
      <c r="I41" s="445">
        <f t="shared" si="2"/>
        <v>0</v>
      </c>
      <c r="J41" s="445">
        <f t="shared" si="2"/>
        <v>0</v>
      </c>
      <c r="K41" s="445">
        <f t="shared" si="2"/>
        <v>0</v>
      </c>
      <c r="L41" s="445">
        <f t="shared" si="2"/>
        <v>0</v>
      </c>
      <c r="M41" s="446">
        <f t="shared" si="1"/>
        <v>0</v>
      </c>
      <c r="N41" s="158"/>
    </row>
    <row r="42" spans="3:15" x14ac:dyDescent="0.25">
      <c r="E42" s="444"/>
      <c r="F42" s="444"/>
      <c r="G42" s="444"/>
      <c r="H42" s="444"/>
      <c r="I42" s="444"/>
      <c r="J42" s="444"/>
      <c r="K42" s="444"/>
      <c r="L42" s="444"/>
    </row>
    <row r="43" spans="3:15" x14ac:dyDescent="0.25">
      <c r="E43" s="442" t="s">
        <v>365</v>
      </c>
      <c r="F43" s="446">
        <f t="shared" ref="F43:L43" si="3">F16+F18+F20+F22+F24</f>
        <v>1721818.5934459246</v>
      </c>
      <c r="G43" s="446">
        <f t="shared" si="3"/>
        <v>2224117.3153829621</v>
      </c>
      <c r="H43" s="446">
        <f t="shared" si="3"/>
        <v>2033444.4492163926</v>
      </c>
      <c r="I43" s="446">
        <f t="shared" si="3"/>
        <v>1871557.8845696142</v>
      </c>
      <c r="J43" s="446">
        <f t="shared" si="3"/>
        <v>2292262.7248472432</v>
      </c>
      <c r="K43" s="446">
        <f t="shared" si="3"/>
        <v>4463458.9908905849</v>
      </c>
      <c r="L43" s="446">
        <f t="shared" si="3"/>
        <v>3208383.4589872449</v>
      </c>
      <c r="M43" s="158"/>
      <c r="N43" s="158"/>
    </row>
    <row r="44" spans="3:15" x14ac:dyDescent="0.25">
      <c r="E44" s="78"/>
      <c r="F44" s="78"/>
      <c r="G44" s="157"/>
      <c r="H44" s="157"/>
      <c r="I44" s="157"/>
      <c r="J44" s="157"/>
      <c r="K44" s="157"/>
      <c r="L44" s="157"/>
      <c r="M44" s="158"/>
      <c r="N44" s="158"/>
    </row>
  </sheetData>
  <mergeCells count="1">
    <mergeCell ref="F7:L7"/>
  </mergeCells>
  <dataValidations xWindow="141" yWindow="290" count="1">
    <dataValidation type="custom" operator="greaterThanOrEqual" allowBlank="1" showInputMessage="1" showErrorMessage="1" errorTitle="Expenditure" error="Must be $ value" promptTitle="Expenditure" prompt="Enter value in $0's" sqref="H9:L35 G9:G33 G35">
      <formula1>ISNUMBER(G9)</formula1>
    </dataValidation>
  </dataValidations>
  <hyperlinks>
    <hyperlink ref="B2" location="Contents!A1" display="Table of Contents"/>
  </hyperlinks>
  <pageMargins left="0.7" right="0.7" top="0.75" bottom="0.75" header="0.3" footer="0.3"/>
  <pageSetup paperSize="9" orientation="portrait" verticalDpi="0" r:id="rId1"/>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22"/>
  <sheetViews>
    <sheetView zoomScale="85" zoomScaleNormal="85" workbookViewId="0">
      <selection activeCell="V33" sqref="V33"/>
    </sheetView>
  </sheetViews>
  <sheetFormatPr defaultColWidth="8.85546875" defaultRowHeight="15" x14ac:dyDescent="0.25"/>
  <cols>
    <col min="1" max="1" width="4.42578125" style="1" customWidth="1"/>
    <col min="2" max="2" width="2.5703125" style="1" customWidth="1"/>
    <col min="3" max="3" width="48.140625" style="1" bestFit="1" customWidth="1"/>
    <col min="4" max="10" width="13" style="1" customWidth="1"/>
    <col min="11" max="11" width="27.7109375" style="1" customWidth="1"/>
    <col min="12" max="16384" width="8.85546875" style="1"/>
  </cols>
  <sheetData>
    <row r="1" spans="3:11" ht="18.75" x14ac:dyDescent="0.3">
      <c r="C1" s="10" t="s">
        <v>641</v>
      </c>
    </row>
    <row r="2" spans="3:11" x14ac:dyDescent="0.25">
      <c r="C2" s="25" t="s">
        <v>6</v>
      </c>
      <c r="D2" s="100">
        <f>Escalators!$M$17</f>
        <v>1.0496838301716351</v>
      </c>
      <c r="E2" s="1" t="s">
        <v>586</v>
      </c>
    </row>
    <row r="4" spans="3:11" x14ac:dyDescent="0.25">
      <c r="E4" s="411"/>
    </row>
    <row r="5" spans="3:11" x14ac:dyDescent="0.25">
      <c r="C5" s="8" t="s">
        <v>559</v>
      </c>
      <c r="D5" s="17" t="s">
        <v>629</v>
      </c>
      <c r="E5" s="17" t="s">
        <v>623</v>
      </c>
      <c r="F5" s="17" t="s">
        <v>624</v>
      </c>
      <c r="G5" s="17" t="s">
        <v>625</v>
      </c>
      <c r="H5" s="17" t="s">
        <v>626</v>
      </c>
      <c r="I5" s="17" t="s">
        <v>627</v>
      </c>
      <c r="J5" s="17" t="s">
        <v>628</v>
      </c>
    </row>
    <row r="6" spans="3:11" x14ac:dyDescent="0.25">
      <c r="C6" s="6" t="s">
        <v>634</v>
      </c>
      <c r="D6" s="376">
        <v>50817419.482761256</v>
      </c>
      <c r="E6" s="376">
        <v>48535454.719467454</v>
      </c>
      <c r="F6" s="376">
        <v>38899574.326979347</v>
      </c>
      <c r="G6" s="376">
        <v>34839286.396412596</v>
      </c>
      <c r="H6" s="376">
        <v>34175658.226288944</v>
      </c>
      <c r="I6" s="376">
        <v>32224272.739143837</v>
      </c>
      <c r="J6" s="376">
        <v>31877230.590279654</v>
      </c>
    </row>
    <row r="7" spans="3:11" x14ac:dyDescent="0.25">
      <c r="C7" s="6" t="s">
        <v>635</v>
      </c>
      <c r="D7" s="376"/>
      <c r="E7" s="376"/>
      <c r="F7" s="376"/>
      <c r="G7" s="376"/>
      <c r="H7" s="376"/>
      <c r="I7" s="376"/>
      <c r="J7" s="376"/>
      <c r="K7" s="34"/>
    </row>
    <row r="8" spans="3:11" x14ac:dyDescent="0.25">
      <c r="C8" s="6" t="s">
        <v>636</v>
      </c>
      <c r="D8" s="376"/>
      <c r="E8" s="376"/>
      <c r="F8" s="376"/>
      <c r="G8" s="376"/>
      <c r="H8" s="376"/>
      <c r="I8" s="376"/>
      <c r="J8" s="376"/>
    </row>
    <row r="9" spans="3:11" x14ac:dyDescent="0.25">
      <c r="C9" s="6" t="s">
        <v>637</v>
      </c>
      <c r="D9" s="376">
        <f>'2.1 Exp Summary'!E18/$D$2-D6</f>
        <v>401386868.20811248</v>
      </c>
      <c r="E9" s="376">
        <f>'2.1 Exp Summary'!F18/$D$2-E6</f>
        <v>355618339.22806007</v>
      </c>
      <c r="F9" s="376">
        <f>'2.1 Exp Summary'!G18/$D$2-F6</f>
        <v>232341473.68355072</v>
      </c>
      <c r="G9" s="376">
        <f>'2.1 Exp Summary'!H18/$D$2-G6</f>
        <v>233189487.46323949</v>
      </c>
      <c r="H9" s="376">
        <f>'2.1 Exp Summary'!I18/$D$2-H6</f>
        <v>233100599.30772695</v>
      </c>
      <c r="I9" s="376">
        <f>'2.1 Exp Summary'!J18/$D$2-I6</f>
        <v>220565469.63490212</v>
      </c>
      <c r="J9" s="376">
        <f>'2.1 Exp Summary'!K18/$D$2-J6</f>
        <v>219555429.1444661</v>
      </c>
    </row>
    <row r="10" spans="3:11" x14ac:dyDescent="0.25">
      <c r="C10" s="6" t="s">
        <v>638</v>
      </c>
      <c r="D10" s="376"/>
      <c r="E10" s="376"/>
      <c r="F10" s="376"/>
      <c r="G10" s="376"/>
      <c r="H10" s="376"/>
      <c r="I10" s="376"/>
      <c r="J10" s="376"/>
    </row>
    <row r="11" spans="3:11" x14ac:dyDescent="0.25">
      <c r="C11" s="417" t="s">
        <v>639</v>
      </c>
      <c r="D11" s="377">
        <f>SUM(D6:D10)</f>
        <v>452204287.69087374</v>
      </c>
      <c r="E11" s="377">
        <f t="shared" ref="E11:J11" si="0">SUM(E6:E10)</f>
        <v>404153793.94752753</v>
      </c>
      <c r="F11" s="377">
        <f t="shared" si="0"/>
        <v>271241048.01053005</v>
      </c>
      <c r="G11" s="377">
        <f t="shared" si="0"/>
        <v>268028773.8596521</v>
      </c>
      <c r="H11" s="377">
        <f t="shared" si="0"/>
        <v>267276257.53401589</v>
      </c>
      <c r="I11" s="377">
        <f t="shared" si="0"/>
        <v>252789742.37404597</v>
      </c>
      <c r="J11" s="377">
        <f t="shared" si="0"/>
        <v>251432659.73474574</v>
      </c>
    </row>
    <row r="12" spans="3:11" x14ac:dyDescent="0.25">
      <c r="D12" s="1" t="b">
        <f>D11='2.1 Exp Summary'!E18/$D$2</f>
        <v>1</v>
      </c>
      <c r="E12" s="1" t="b">
        <f>E11='2.1 Exp Summary'!F18/$D$2</f>
        <v>1</v>
      </c>
      <c r="F12" s="1" t="b">
        <f>F11='2.1 Exp Summary'!G18/$D$2</f>
        <v>1</v>
      </c>
      <c r="G12" s="1" t="b">
        <f>G11='2.1 Exp Summary'!H18/$D$2</f>
        <v>1</v>
      </c>
      <c r="H12" s="1" t="b">
        <f>H11='2.1 Exp Summary'!I18/$D$2</f>
        <v>1</v>
      </c>
      <c r="I12" s="1" t="b">
        <f>I11='2.1 Exp Summary'!J18/$D$2</f>
        <v>1</v>
      </c>
      <c r="J12" s="1" t="b">
        <f>J11='2.1 Exp Summary'!K18/$D$2</f>
        <v>1</v>
      </c>
    </row>
    <row r="14" spans="3:11" x14ac:dyDescent="0.25">
      <c r="D14" s="861"/>
      <c r="E14" s="861"/>
      <c r="F14" s="861"/>
      <c r="G14" s="861"/>
      <c r="H14" s="861"/>
      <c r="I14" s="861"/>
      <c r="J14" s="861"/>
    </row>
    <row r="15" spans="3:11" x14ac:dyDescent="0.25">
      <c r="C15" s="8" t="s">
        <v>640</v>
      </c>
      <c r="D15" s="17" t="s">
        <v>629</v>
      </c>
      <c r="E15" s="17" t="s">
        <v>623</v>
      </c>
      <c r="F15" s="17" t="s">
        <v>624</v>
      </c>
      <c r="G15" s="17" t="s">
        <v>625</v>
      </c>
      <c r="H15" s="17" t="s">
        <v>626</v>
      </c>
      <c r="I15" s="17" t="s">
        <v>627</v>
      </c>
      <c r="J15" s="17" t="s">
        <v>628</v>
      </c>
    </row>
    <row r="16" spans="3:11" x14ac:dyDescent="0.25">
      <c r="C16" s="6" t="s">
        <v>634</v>
      </c>
      <c r="D16" s="418">
        <f t="shared" ref="D16:J20" si="1">D6*$D$2</f>
        <v>53342223.522103511</v>
      </c>
      <c r="E16" s="418">
        <f t="shared" si="1"/>
        <v>50946882.00905256</v>
      </c>
      <c r="F16" s="418">
        <f t="shared" si="1"/>
        <v>40832254.171589889</v>
      </c>
      <c r="G16" s="418">
        <f t="shared" si="1"/>
        <v>36570235.585032918</v>
      </c>
      <c r="H16" s="418">
        <f t="shared" si="1"/>
        <v>35873635.825607732</v>
      </c>
      <c r="I16" s="418">
        <f t="shared" si="1"/>
        <v>33825298.033319913</v>
      </c>
      <c r="J16" s="418">
        <f t="shared" si="1"/>
        <v>33461013.501269162</v>
      </c>
    </row>
    <row r="17" spans="3:10" x14ac:dyDescent="0.25">
      <c r="C17" s="6" t="s">
        <v>635</v>
      </c>
      <c r="D17" s="418">
        <f t="shared" si="1"/>
        <v>0</v>
      </c>
      <c r="E17" s="418">
        <f t="shared" si="1"/>
        <v>0</v>
      </c>
      <c r="F17" s="418">
        <f t="shared" si="1"/>
        <v>0</v>
      </c>
      <c r="G17" s="418">
        <f t="shared" si="1"/>
        <v>0</v>
      </c>
      <c r="H17" s="418">
        <f t="shared" si="1"/>
        <v>0</v>
      </c>
      <c r="I17" s="418">
        <f t="shared" si="1"/>
        <v>0</v>
      </c>
      <c r="J17" s="418">
        <f t="shared" si="1"/>
        <v>0</v>
      </c>
    </row>
    <row r="18" spans="3:10" x14ac:dyDescent="0.25">
      <c r="C18" s="6" t="s">
        <v>636</v>
      </c>
      <c r="D18" s="418">
        <f t="shared" si="1"/>
        <v>0</v>
      </c>
      <c r="E18" s="418">
        <f t="shared" si="1"/>
        <v>0</v>
      </c>
      <c r="F18" s="418">
        <f t="shared" si="1"/>
        <v>0</v>
      </c>
      <c r="G18" s="418">
        <f t="shared" si="1"/>
        <v>0</v>
      </c>
      <c r="H18" s="418">
        <f t="shared" si="1"/>
        <v>0</v>
      </c>
      <c r="I18" s="418">
        <f t="shared" si="1"/>
        <v>0</v>
      </c>
      <c r="J18" s="418">
        <f t="shared" si="1"/>
        <v>0</v>
      </c>
    </row>
    <row r="19" spans="3:10" x14ac:dyDescent="0.25">
      <c r="C19" s="6" t="s">
        <v>637</v>
      </c>
      <c r="D19" s="418">
        <f t="shared" si="1"/>
        <v>421329305.20128882</v>
      </c>
      <c r="E19" s="418">
        <f t="shared" si="1"/>
        <v>373286820.40018594</v>
      </c>
      <c r="F19" s="418">
        <f t="shared" si="1"/>
        <v>243885088.00387168</v>
      </c>
      <c r="G19" s="418">
        <f t="shared" si="1"/>
        <v>244775234.35617372</v>
      </c>
      <c r="H19" s="418">
        <f t="shared" si="1"/>
        <v>244681929.89663842</v>
      </c>
      <c r="I19" s="418">
        <f t="shared" si="1"/>
        <v>231524006.96996954</v>
      </c>
      <c r="J19" s="418">
        <f t="shared" si="1"/>
        <v>230463783.79934022</v>
      </c>
    </row>
    <row r="20" spans="3:10" x14ac:dyDescent="0.25">
      <c r="C20" s="6" t="s">
        <v>638</v>
      </c>
      <c r="D20" s="418">
        <f t="shared" si="1"/>
        <v>0</v>
      </c>
      <c r="E20" s="418">
        <f t="shared" si="1"/>
        <v>0</v>
      </c>
      <c r="F20" s="418">
        <f t="shared" si="1"/>
        <v>0</v>
      </c>
      <c r="G20" s="418">
        <f t="shared" si="1"/>
        <v>0</v>
      </c>
      <c r="H20" s="418">
        <f t="shared" si="1"/>
        <v>0</v>
      </c>
      <c r="I20" s="418">
        <f t="shared" si="1"/>
        <v>0</v>
      </c>
      <c r="J20" s="418">
        <f t="shared" si="1"/>
        <v>0</v>
      </c>
    </row>
    <row r="21" spans="3:10" x14ac:dyDescent="0.25">
      <c r="C21" s="417" t="s">
        <v>639</v>
      </c>
      <c r="D21" s="377">
        <f>SUM(D16:D20)</f>
        <v>474671528.72339231</v>
      </c>
      <c r="E21" s="377">
        <f t="shared" ref="E21:J21" si="2">SUM(E16:E20)</f>
        <v>424233702.40923852</v>
      </c>
      <c r="F21" s="377">
        <f t="shared" si="2"/>
        <v>284717342.17546159</v>
      </c>
      <c r="G21" s="377">
        <f t="shared" si="2"/>
        <v>281345469.94120663</v>
      </c>
      <c r="H21" s="377">
        <f t="shared" si="2"/>
        <v>280555565.72224617</v>
      </c>
      <c r="I21" s="377">
        <f t="shared" si="2"/>
        <v>265349305.00328946</v>
      </c>
      <c r="J21" s="377">
        <f t="shared" si="2"/>
        <v>263924797.30060938</v>
      </c>
    </row>
    <row r="22" spans="3:10" x14ac:dyDescent="0.25">
      <c r="D22" s="158" t="b">
        <f>D21='2.1 Exp Summary'!E18</f>
        <v>1</v>
      </c>
      <c r="E22" s="158" t="b">
        <f>E21='2.1 Exp Summary'!F18</f>
        <v>1</v>
      </c>
      <c r="F22" s="158" t="b">
        <f>F21='2.1 Exp Summary'!G18</f>
        <v>1</v>
      </c>
      <c r="G22" s="158" t="b">
        <f>G21='2.1 Exp Summary'!H18</f>
        <v>1</v>
      </c>
      <c r="H22" s="158" t="b">
        <f>H21='2.1 Exp Summary'!I18</f>
        <v>1</v>
      </c>
      <c r="I22" s="158" t="b">
        <f>I21='2.1 Exp Summary'!J18</f>
        <v>1</v>
      </c>
      <c r="J22" s="158" t="b">
        <f>J21='2.1 Exp Summary'!K18</f>
        <v>1</v>
      </c>
    </row>
  </sheetData>
  <mergeCells count="1">
    <mergeCell ref="D14:J14"/>
  </mergeCells>
  <hyperlinks>
    <hyperlink ref="C2" location="Contents!A1" display="Table of Contents"/>
  </hyperlinks>
  <pageMargins left="0.7" right="0.7" top="0.75" bottom="0.75" header="0.3" footer="0.3"/>
  <pageSetup paperSize="9"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N30"/>
  <sheetViews>
    <sheetView zoomScale="85" zoomScaleNormal="85" workbookViewId="0">
      <selection activeCell="H9" sqref="H9:M9"/>
    </sheetView>
  </sheetViews>
  <sheetFormatPr defaultColWidth="8.85546875" defaultRowHeight="15" outlineLevelCol="1" x14ac:dyDescent="0.25"/>
  <cols>
    <col min="1" max="1" width="5.28515625" style="1" customWidth="1"/>
    <col min="2" max="2" width="23.85546875" style="1" customWidth="1"/>
    <col min="3" max="3" width="64.7109375" style="1" customWidth="1"/>
    <col min="4" max="6" width="11" style="1" hidden="1" customWidth="1" outlineLevel="1"/>
    <col min="7" max="7" width="12" style="1" customWidth="1" collapsed="1"/>
    <col min="8" max="13" width="12" style="1" customWidth="1"/>
    <col min="14" max="16384" width="8.85546875" style="1"/>
  </cols>
  <sheetData>
    <row r="1" spans="2:13" ht="21" x14ac:dyDescent="0.35">
      <c r="B1" s="10" t="s">
        <v>318</v>
      </c>
      <c r="C1" s="510"/>
    </row>
    <row r="2" spans="2:13" x14ac:dyDescent="0.25">
      <c r="B2" s="25" t="s">
        <v>6</v>
      </c>
      <c r="G2" s="162" t="s">
        <v>356</v>
      </c>
      <c r="J2" s="100">
        <f>Escalators!$M$17</f>
        <v>1.0496838301716351</v>
      </c>
      <c r="K2" s="1" t="s">
        <v>586</v>
      </c>
    </row>
    <row r="4" spans="2:13" ht="15.75" x14ac:dyDescent="0.25">
      <c r="B4" s="113" t="s">
        <v>314</v>
      </c>
      <c r="C4" s="113"/>
      <c r="D4" s="113"/>
      <c r="E4" s="113"/>
      <c r="F4" s="113"/>
      <c r="G4" s="113"/>
      <c r="H4" s="113"/>
      <c r="I4" s="113"/>
      <c r="J4" s="113"/>
      <c r="K4" s="113"/>
      <c r="L4" s="113"/>
      <c r="M4" s="113"/>
    </row>
    <row r="5" spans="2:13" ht="15.75" thickBot="1" x14ac:dyDescent="0.3">
      <c r="B5" s="2"/>
      <c r="D5" s="114"/>
      <c r="E5" s="114"/>
      <c r="F5" s="114"/>
      <c r="G5" s="114"/>
      <c r="H5" s="114"/>
      <c r="K5" s="102"/>
      <c r="L5" s="102"/>
      <c r="M5" s="102"/>
    </row>
    <row r="6" spans="2:13" ht="15.75" customHeight="1" thickBot="1" x14ac:dyDescent="0.3">
      <c r="B6" s="864"/>
      <c r="C6" s="865"/>
      <c r="D6" s="874" t="s">
        <v>315</v>
      </c>
      <c r="E6" s="875"/>
      <c r="F6" s="875"/>
      <c r="G6" s="456"/>
      <c r="H6" s="457"/>
      <c r="I6" s="868" t="s">
        <v>316</v>
      </c>
      <c r="J6" s="869"/>
      <c r="K6" s="869"/>
      <c r="L6" s="869"/>
      <c r="M6" s="870"/>
    </row>
    <row r="7" spans="2:13" ht="29.25" customHeight="1" thickBot="1" x14ac:dyDescent="0.3">
      <c r="B7" s="866"/>
      <c r="C7" s="867"/>
      <c r="D7" s="450"/>
      <c r="E7" s="451"/>
      <c r="F7" s="451"/>
      <c r="G7" s="871" t="s">
        <v>674</v>
      </c>
      <c r="H7" s="872"/>
      <c r="I7" s="872"/>
      <c r="J7" s="872"/>
      <c r="K7" s="872"/>
      <c r="L7" s="872"/>
      <c r="M7" s="873"/>
    </row>
    <row r="8" spans="2:13" ht="15.75" thickBot="1" x14ac:dyDescent="0.3">
      <c r="B8" s="115" t="s">
        <v>317</v>
      </c>
      <c r="C8" s="116" t="s">
        <v>24</v>
      </c>
      <c r="D8" s="117"/>
      <c r="E8" s="118"/>
      <c r="F8" s="452"/>
      <c r="G8" s="453" t="s">
        <v>629</v>
      </c>
      <c r="H8" s="454" t="s">
        <v>623</v>
      </c>
      <c r="I8" s="454" t="s">
        <v>624</v>
      </c>
      <c r="J8" s="454" t="s">
        <v>625</v>
      </c>
      <c r="K8" s="454" t="s">
        <v>626</v>
      </c>
      <c r="L8" s="454" t="s">
        <v>627</v>
      </c>
      <c r="M8" s="455" t="s">
        <v>628</v>
      </c>
    </row>
    <row r="9" spans="2:13" ht="25.5" x14ac:dyDescent="0.25">
      <c r="B9" s="119" t="s">
        <v>698</v>
      </c>
      <c r="C9" s="119" t="s">
        <v>699</v>
      </c>
      <c r="D9" s="189"/>
      <c r="E9" s="188"/>
      <c r="F9" s="188"/>
      <c r="G9" s="189">
        <f>ESL_1!DG42*Thousands</f>
        <v>0</v>
      </c>
      <c r="H9" s="188">
        <v>737140.03159801755</v>
      </c>
      <c r="I9" s="188">
        <v>1800089.0025462175</v>
      </c>
      <c r="J9" s="188">
        <v>2727282.5539262863</v>
      </c>
      <c r="K9" s="188">
        <v>4814140.5746476986</v>
      </c>
      <c r="L9" s="188">
        <v>9513556.5122130718</v>
      </c>
      <c r="M9" s="190">
        <v>20103535.551944595</v>
      </c>
    </row>
    <row r="10" spans="2:13" x14ac:dyDescent="0.25">
      <c r="B10" s="120" t="s">
        <v>411</v>
      </c>
      <c r="C10" s="120" t="s">
        <v>700</v>
      </c>
      <c r="D10" s="191"/>
      <c r="E10" s="192"/>
      <c r="F10" s="192"/>
      <c r="G10" s="191">
        <f>REFCL_view!D19*Thousands</f>
        <v>16147558.913359912</v>
      </c>
      <c r="H10" s="192">
        <f>REFCL_view!E19*Thousands</f>
        <v>33957333.02349519</v>
      </c>
      <c r="I10" s="192">
        <f>REFCL_view!F19*Thousands</f>
        <v>27150091.214824416</v>
      </c>
      <c r="J10" s="192">
        <f>REFCL_view!G19*Thousands</f>
        <v>9973788.7748191487</v>
      </c>
      <c r="K10" s="192">
        <f>REFCL_view!H19*Thousands</f>
        <v>0</v>
      </c>
      <c r="L10" s="192">
        <f>REFCL_view!I19*Thousands</f>
        <v>0</v>
      </c>
      <c r="M10" s="193">
        <f>REFCL_view!J19*Thousands</f>
        <v>0</v>
      </c>
    </row>
    <row r="11" spans="2:13" x14ac:dyDescent="0.25">
      <c r="B11" s="120" t="s">
        <v>654</v>
      </c>
      <c r="C11" s="120" t="s">
        <v>701</v>
      </c>
      <c r="D11" s="191"/>
      <c r="E11" s="192"/>
      <c r="F11" s="192"/>
      <c r="G11" s="191">
        <f>REFCL_view!D21*Thousands</f>
        <v>0</v>
      </c>
      <c r="H11" s="192">
        <f>REFCL_view!E21*Thousands</f>
        <v>0</v>
      </c>
      <c r="I11" s="192">
        <f>REFCL_view!F21*Thousands</f>
        <v>0</v>
      </c>
      <c r="J11" s="192">
        <f>REFCL_view!G21*Thousands</f>
        <v>11787627.326461827</v>
      </c>
      <c r="K11" s="192">
        <f>REFCL_view!H21*Thousands</f>
        <v>20821965.320934523</v>
      </c>
      <c r="L11" s="192">
        <f>REFCL_view!I21*Thousands</f>
        <v>29874843.964156255</v>
      </c>
      <c r="M11" s="193">
        <f>REFCL_view!J21*Thousands</f>
        <v>32534306.810631309</v>
      </c>
    </row>
    <row r="12" spans="2:13" x14ac:dyDescent="0.25">
      <c r="B12" s="120"/>
      <c r="C12" s="120"/>
      <c r="D12" s="191"/>
      <c r="E12" s="192"/>
      <c r="F12" s="192"/>
      <c r="G12" s="191"/>
      <c r="H12" s="192"/>
      <c r="I12" s="192"/>
      <c r="J12" s="192"/>
      <c r="K12" s="192"/>
      <c r="L12" s="192"/>
      <c r="M12" s="193"/>
    </row>
    <row r="13" spans="2:13" x14ac:dyDescent="0.25">
      <c r="B13" s="120"/>
      <c r="C13" s="120"/>
      <c r="D13" s="191"/>
      <c r="E13" s="192"/>
      <c r="F13" s="192"/>
      <c r="G13" s="191"/>
      <c r="H13" s="192"/>
      <c r="I13" s="192"/>
      <c r="J13" s="192"/>
      <c r="K13" s="192"/>
      <c r="L13" s="192"/>
      <c r="M13" s="193"/>
    </row>
    <row r="14" spans="2:13" x14ac:dyDescent="0.25">
      <c r="B14" s="120"/>
      <c r="C14" s="120"/>
      <c r="D14" s="191"/>
      <c r="E14" s="192"/>
      <c r="F14" s="192"/>
      <c r="G14" s="191"/>
      <c r="H14" s="192"/>
      <c r="I14" s="192"/>
      <c r="J14" s="192"/>
      <c r="K14" s="192"/>
      <c r="L14" s="192"/>
      <c r="M14" s="193"/>
    </row>
    <row r="15" spans="2:13" x14ac:dyDescent="0.25">
      <c r="B15" s="120"/>
      <c r="C15" s="120"/>
      <c r="D15" s="191"/>
      <c r="E15" s="192"/>
      <c r="F15" s="192"/>
      <c r="G15" s="191"/>
      <c r="H15" s="192"/>
      <c r="I15" s="192"/>
      <c r="J15" s="192"/>
      <c r="K15" s="192"/>
      <c r="L15" s="192"/>
      <c r="M15" s="193"/>
    </row>
    <row r="16" spans="2:13" x14ac:dyDescent="0.25">
      <c r="B16" s="120"/>
      <c r="C16" s="120"/>
      <c r="D16" s="191"/>
      <c r="E16" s="192"/>
      <c r="F16" s="192"/>
      <c r="G16" s="191"/>
      <c r="H16" s="192"/>
      <c r="I16" s="192"/>
      <c r="J16" s="192"/>
      <c r="K16" s="192"/>
      <c r="L16" s="192"/>
      <c r="M16" s="193"/>
    </row>
    <row r="17" spans="2:14" x14ac:dyDescent="0.25">
      <c r="B17" s="120"/>
      <c r="C17" s="120"/>
      <c r="D17" s="191"/>
      <c r="E17" s="192"/>
      <c r="F17" s="192"/>
      <c r="G17" s="191"/>
      <c r="H17" s="192"/>
      <c r="I17" s="192"/>
      <c r="J17" s="192"/>
      <c r="K17" s="192"/>
      <c r="L17" s="192"/>
      <c r="M17" s="193"/>
    </row>
    <row r="18" spans="2:14" x14ac:dyDescent="0.25">
      <c r="B18" s="120"/>
      <c r="C18" s="120"/>
      <c r="D18" s="191"/>
      <c r="E18" s="192"/>
      <c r="F18" s="192"/>
      <c r="G18" s="191"/>
      <c r="H18" s="192"/>
      <c r="I18" s="192"/>
      <c r="J18" s="192"/>
      <c r="K18" s="192"/>
      <c r="L18" s="192"/>
      <c r="M18" s="193"/>
      <c r="N18" s="511"/>
    </row>
    <row r="19" spans="2:14" x14ac:dyDescent="0.25">
      <c r="B19" s="120"/>
      <c r="C19" s="120"/>
      <c r="D19" s="191"/>
      <c r="E19" s="192"/>
      <c r="F19" s="192"/>
      <c r="G19" s="191"/>
      <c r="H19" s="192"/>
      <c r="I19" s="192"/>
      <c r="J19" s="192"/>
      <c r="K19" s="192"/>
      <c r="L19" s="192"/>
      <c r="M19" s="193"/>
    </row>
    <row r="20" spans="2:14" x14ac:dyDescent="0.25">
      <c r="B20" s="120"/>
      <c r="C20" s="120"/>
      <c r="D20" s="191"/>
      <c r="E20" s="192"/>
      <c r="F20" s="192"/>
      <c r="G20" s="191"/>
      <c r="H20" s="192"/>
      <c r="I20" s="192"/>
      <c r="J20" s="192"/>
      <c r="K20" s="192"/>
      <c r="L20" s="192"/>
      <c r="M20" s="193"/>
    </row>
    <row r="21" spans="2:14" x14ac:dyDescent="0.25">
      <c r="B21" s="120"/>
      <c r="C21" s="120"/>
      <c r="D21" s="191"/>
      <c r="E21" s="192"/>
      <c r="F21" s="192"/>
      <c r="G21" s="191"/>
      <c r="H21" s="192"/>
      <c r="I21" s="192"/>
      <c r="J21" s="192"/>
      <c r="K21" s="192"/>
      <c r="L21" s="192"/>
      <c r="M21" s="193"/>
    </row>
    <row r="22" spans="2:14" x14ac:dyDescent="0.25">
      <c r="B22" s="120"/>
      <c r="C22" s="120"/>
      <c r="D22" s="191"/>
      <c r="E22" s="192"/>
      <c r="F22" s="192"/>
      <c r="G22" s="191"/>
      <c r="H22" s="192"/>
      <c r="I22" s="192"/>
      <c r="J22" s="192"/>
      <c r="K22" s="192"/>
      <c r="L22" s="192"/>
      <c r="M22" s="193"/>
    </row>
    <row r="23" spans="2:14" x14ac:dyDescent="0.25">
      <c r="B23" s="120"/>
      <c r="C23" s="120"/>
      <c r="D23" s="191"/>
      <c r="E23" s="192"/>
      <c r="F23" s="192"/>
      <c r="G23" s="191"/>
      <c r="H23" s="192"/>
      <c r="I23" s="192"/>
      <c r="J23" s="192"/>
      <c r="K23" s="192"/>
      <c r="L23" s="192"/>
      <c r="M23" s="193"/>
    </row>
    <row r="24" spans="2:14" ht="15.75" thickBot="1" x14ac:dyDescent="0.3">
      <c r="B24" s="121"/>
      <c r="C24" s="122"/>
      <c r="D24" s="194"/>
      <c r="E24" s="195"/>
      <c r="F24" s="195"/>
      <c r="G24" s="194"/>
      <c r="H24" s="195"/>
      <c r="I24" s="195"/>
      <c r="J24" s="195"/>
      <c r="K24" s="195"/>
      <c r="L24" s="195"/>
      <c r="M24" s="196"/>
    </row>
    <row r="25" spans="2:14" ht="19.5" thickBot="1" x14ac:dyDescent="0.3">
      <c r="B25" s="862" t="s">
        <v>146</v>
      </c>
      <c r="C25" s="863"/>
      <c r="D25" s="197">
        <f>SUM(D9:D24)</f>
        <v>0</v>
      </c>
      <c r="E25" s="198">
        <f t="shared" ref="E25:M25" si="0">SUM(E9:E24)</f>
        <v>0</v>
      </c>
      <c r="F25" s="198">
        <f t="shared" si="0"/>
        <v>0</v>
      </c>
      <c r="G25" s="197">
        <f t="shared" si="0"/>
        <v>16147558.913359912</v>
      </c>
      <c r="H25" s="198">
        <f t="shared" si="0"/>
        <v>34694473.055093206</v>
      </c>
      <c r="I25" s="198">
        <f t="shared" si="0"/>
        <v>28950180.217370633</v>
      </c>
      <c r="J25" s="198">
        <f t="shared" si="0"/>
        <v>24488698.655207261</v>
      </c>
      <c r="K25" s="198">
        <f t="shared" si="0"/>
        <v>25636105.895582221</v>
      </c>
      <c r="L25" s="198">
        <f t="shared" si="0"/>
        <v>39388400.476369329</v>
      </c>
      <c r="M25" s="199">
        <f t="shared" si="0"/>
        <v>52637842.362575904</v>
      </c>
    </row>
    <row r="27" spans="2:14" x14ac:dyDescent="0.25">
      <c r="C27" s="78"/>
    </row>
    <row r="29" spans="2:14" x14ac:dyDescent="0.25">
      <c r="H29" s="39"/>
      <c r="I29" s="39"/>
      <c r="J29" s="39"/>
      <c r="K29" s="39"/>
      <c r="L29" s="39"/>
      <c r="M29" s="39"/>
    </row>
    <row r="30" spans="2:14" x14ac:dyDescent="0.25">
      <c r="H30" s="39"/>
      <c r="I30" s="39"/>
      <c r="J30" s="39"/>
      <c r="K30" s="39"/>
      <c r="L30" s="39"/>
      <c r="M30" s="39"/>
    </row>
  </sheetData>
  <mergeCells count="5">
    <mergeCell ref="B25:C25"/>
    <mergeCell ref="B6:C7"/>
    <mergeCell ref="I6:M6"/>
    <mergeCell ref="G7:M7"/>
    <mergeCell ref="D6:F6"/>
  </mergeCells>
  <hyperlinks>
    <hyperlink ref="B2" location="Contents!A1" display="Table of Contents"/>
  </hyperlinks>
  <pageMargins left="0.7" right="0.7" top="0.75" bottom="0.75" header="0.3" footer="0.3"/>
  <pageSetup paperSize="9" scale="63" orientation="landscape" verticalDpi="0" r:id="rId1"/>
  <colBreaks count="1" manualBreakCount="1">
    <brk id="13" max="1048575" man="1"/>
  </colBreaks>
  <ignoredErrors>
    <ignoredError sqref="G10:M11 G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tint="0.59999389629810485"/>
  </sheetPr>
  <dimension ref="C3:C4"/>
  <sheetViews>
    <sheetView zoomScale="115" zoomScaleNormal="115" zoomScalePageLayoutView="125" workbookViewId="0">
      <selection activeCell="V33" sqref="V33"/>
    </sheetView>
  </sheetViews>
  <sheetFormatPr defaultColWidth="8.85546875" defaultRowHeight="15" x14ac:dyDescent="0.25"/>
  <cols>
    <col min="1" max="1" width="8.85546875" style="22"/>
    <col min="2" max="2" width="5" style="22" customWidth="1"/>
    <col min="3" max="16384" width="8.85546875" style="22"/>
  </cols>
  <sheetData>
    <row r="3" spans="3:3" ht="18.75" x14ac:dyDescent="0.3">
      <c r="C3" s="21" t="s">
        <v>349</v>
      </c>
    </row>
    <row r="4" spans="3:3" x14ac:dyDescent="0.25">
      <c r="C4" s="26" t="s">
        <v>6</v>
      </c>
    </row>
  </sheetData>
  <hyperlinks>
    <hyperlink ref="C4" location="Contents!A1" display="Table of Contents"/>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1:S40"/>
  <sheetViews>
    <sheetView zoomScale="85" zoomScaleNormal="85" workbookViewId="0">
      <selection activeCell="L11" sqref="L11"/>
    </sheetView>
  </sheetViews>
  <sheetFormatPr defaultRowHeight="15" x14ac:dyDescent="0.25"/>
  <cols>
    <col min="1" max="1" width="5.7109375" customWidth="1"/>
    <col min="2" max="2" width="35.42578125" bestFit="1" customWidth="1"/>
  </cols>
  <sheetData>
    <row r="1" spans="2:19" x14ac:dyDescent="0.25">
      <c r="B1" t="s">
        <v>320</v>
      </c>
      <c r="G1" s="825" t="s">
        <v>749</v>
      </c>
      <c r="H1" s="825"/>
    </row>
    <row r="2" spans="2:19" x14ac:dyDescent="0.25">
      <c r="C2" s="261"/>
      <c r="D2" s="261"/>
      <c r="E2" s="261" t="s">
        <v>645</v>
      </c>
      <c r="F2" s="566"/>
      <c r="G2" s="566"/>
      <c r="H2" s="566"/>
      <c r="I2" s="566"/>
      <c r="J2" s="566"/>
      <c r="L2" s="261"/>
      <c r="M2" s="261"/>
      <c r="N2" s="261" t="s">
        <v>645</v>
      </c>
      <c r="O2" s="566"/>
      <c r="P2" s="566"/>
      <c r="Q2" s="566"/>
      <c r="R2" s="566"/>
      <c r="S2" s="566"/>
    </row>
    <row r="3" spans="2:19" x14ac:dyDescent="0.25">
      <c r="C3" s="359">
        <f>CP_Yr_4</f>
        <v>43800</v>
      </c>
      <c r="D3" s="359">
        <f>CP_Yr_5</f>
        <v>44166</v>
      </c>
      <c r="E3" s="359">
        <f>Stub</f>
        <v>44377</v>
      </c>
      <c r="F3" s="359">
        <f>Yr_1</f>
        <v>44742</v>
      </c>
      <c r="G3" s="359">
        <f>Yr_2</f>
        <v>45107</v>
      </c>
      <c r="H3" s="359">
        <f>Yr_3</f>
        <v>45473</v>
      </c>
      <c r="I3" s="359">
        <f>Yr_4</f>
        <v>45838</v>
      </c>
      <c r="J3" s="359">
        <f>Yr_5</f>
        <v>46203</v>
      </c>
      <c r="L3" s="359">
        <f>CP_Yr_4</f>
        <v>43800</v>
      </c>
      <c r="M3" s="359">
        <f>CP_Yr_5</f>
        <v>44166</v>
      </c>
      <c r="N3" s="359">
        <f>Stub</f>
        <v>44377</v>
      </c>
      <c r="O3" s="359">
        <f>Yr_1</f>
        <v>44742</v>
      </c>
      <c r="P3" s="359">
        <f>Yr_2</f>
        <v>45107</v>
      </c>
      <c r="Q3" s="359">
        <f>Yr_3</f>
        <v>45473</v>
      </c>
      <c r="R3" s="359">
        <f>Yr_4</f>
        <v>45838</v>
      </c>
      <c r="S3" s="359">
        <f>Yr_5</f>
        <v>46203</v>
      </c>
    </row>
    <row r="4" spans="2:19" x14ac:dyDescent="0.25">
      <c r="B4" t="s">
        <v>190</v>
      </c>
      <c r="C4" s="123">
        <f>SUMPRODUCT((Stations!$I$7:$I$38=Repex_Analysis!$B4)*Stations!J$7:J$38)+SUMPRODUCT((Lines!$I$7:$I$37=Repex_Analysis!$B4)*Lines!J$7:J$37)+SUMPRODUCT((ESL_1!$I$7:$I$37=Repex_Analysis!$B4)*ESL_1!J$7:J$37)</f>
        <v>0</v>
      </c>
      <c r="D4" s="123">
        <f>SUMPRODUCT((Stations!$I$7:$I$38=Repex_Analysis!$B4)*Stations!K$7:K$38)+SUMPRODUCT((Lines!$I$7:$I$37=Repex_Analysis!$B4)*Lines!K$7:K$37)+SUMPRODUCT((ESL_1!$I$7:$I$37=Repex_Analysis!$B4)*ESL_1!K$7:K$37)</f>
        <v>0</v>
      </c>
      <c r="E4" s="123">
        <f>SUMPRODUCT((Stations!$I$7:$I$38=Repex_Analysis!$B4)*Stations!L$7:L$38)+SUMPRODUCT((Lines!$I$7:$I$37=Repex_Analysis!$B4)*Lines!L$7:L$37)+SUMPRODUCT((ESL_1!$I$7:$I$37=Repex_Analysis!$B4)*ESL_1!L$7:L$37)</f>
        <v>0</v>
      </c>
      <c r="F4" s="515"/>
      <c r="G4" s="515"/>
      <c r="H4" s="515"/>
      <c r="I4" s="515"/>
      <c r="J4" s="515"/>
    </row>
    <row r="5" spans="2:19" x14ac:dyDescent="0.25">
      <c r="B5" t="s">
        <v>191</v>
      </c>
      <c r="C5" s="123">
        <f>SUMPRODUCT((Stations!$I$7:$I$38=Repex_Analysis!$B5)*Stations!J$7:J$38)+SUMPRODUCT((Lines!$I$7:$I$37=Repex_Analysis!$B5)*Lines!J$7:J$37)+SUMPRODUCT((ESL_1!$I$7:$I$37=Repex_Analysis!$B5)*ESL_1!J$7:J$37)</f>
        <v>0</v>
      </c>
      <c r="D5" s="123">
        <f>SUMPRODUCT((Stations!$I$7:$I$38=Repex_Analysis!$B5)*Stations!K$7:K$38)+SUMPRODUCT((Lines!$I$7:$I$37=Repex_Analysis!$B5)*Lines!K$7:K$37)+SUMPRODUCT((ESL_1!$I$7:$I$37=Repex_Analysis!$B5)*ESL_1!K$7:K$37)</f>
        <v>0</v>
      </c>
      <c r="E5" s="123">
        <f>SUMPRODUCT((Stations!$I$7:$I$38=Repex_Analysis!$B5)*Stations!L$7:L$38)+SUMPRODUCT((Lines!$I$7:$I$37=Repex_Analysis!$B5)*Lines!L$7:L$37)+SUMPRODUCT((ESL_1!$I$7:$I$37=Repex_Analysis!$B5)*ESL_1!L$7:L$37)</f>
        <v>0</v>
      </c>
      <c r="F5" s="515"/>
      <c r="G5" s="515"/>
      <c r="H5" s="515"/>
      <c r="I5" s="515"/>
      <c r="J5" s="515"/>
    </row>
    <row r="6" spans="2:19" x14ac:dyDescent="0.25">
      <c r="B6" t="s">
        <v>192</v>
      </c>
      <c r="C6" s="123">
        <f>SUMPRODUCT((Stations!$I$7:$I$38=Repex_Analysis!$B6)*Stations!J$7:J$38)+SUMPRODUCT((Lines!$I$7:$I$37=Repex_Analysis!$B6)*Lines!J$7:J$37)+SUMPRODUCT((ESL_1!$I$7:$I$37=Repex_Analysis!$B6)*ESL_1!J$7:J$37)</f>
        <v>0</v>
      </c>
      <c r="D6" s="123">
        <f>SUMPRODUCT((Stations!$I$7:$I$38=Repex_Analysis!$B6)*Stations!K$7:K$38)+SUMPRODUCT((Lines!$I$7:$I$37=Repex_Analysis!$B6)*Lines!K$7:K$37)+SUMPRODUCT((ESL_1!$I$7:$I$37=Repex_Analysis!$B6)*ESL_1!K$7:K$37)</f>
        <v>0</v>
      </c>
      <c r="E6" s="123">
        <f>SUMPRODUCT((Stations!$I$7:$I$38=Repex_Analysis!$B6)*Stations!L$7:L$38)+SUMPRODUCT((Lines!$I$7:$I$37=Repex_Analysis!$B6)*Lines!L$7:L$37)+SUMPRODUCT((ESL_1!$I$7:$I$37=Repex_Analysis!$B6)*ESL_1!L$7:L$37)</f>
        <v>0</v>
      </c>
      <c r="F6" s="515"/>
      <c r="G6" s="515"/>
      <c r="H6" s="515"/>
      <c r="I6" s="515"/>
      <c r="J6" s="515"/>
    </row>
    <row r="7" spans="2:19" x14ac:dyDescent="0.25">
      <c r="B7" s="83" t="s">
        <v>193</v>
      </c>
      <c r="C7" s="55">
        <f>SUMPRODUCT((Stations!$I$7:$I$38=Repex_Analysis!$B7)*Stations!J$7:J$38)+SUMPRODUCT((Lines!$I$7:$I$37=Repex_Analysis!$B7)*Lines!J$7:J$37)+SUMPRODUCT((ESL_1!$I$7:$I$37=Repex_Analysis!$B7)*ESL_1!J$7:J$37)</f>
        <v>0</v>
      </c>
      <c r="D7" s="55">
        <f>SUMPRODUCT((Stations!$I$7:$I$38=Repex_Analysis!$B7)*Stations!K$7:K$38)+SUMPRODUCT((Lines!$I$7:$I$37=Repex_Analysis!$B7)*Lines!K$7:K$37)+SUMPRODUCT((ESL_1!$I$7:$I$37=Repex_Analysis!$B7)*ESL_1!K$7:K$37)</f>
        <v>0</v>
      </c>
      <c r="E7" s="55">
        <f>SUMPRODUCT((Stations!$I$7:$I$38=Repex_Analysis!$B7)*Stations!L$7:L$38)+SUMPRODUCT((Lines!$I$7:$I$37=Repex_Analysis!$B7)*Lines!L$7:L$37)+SUMPRODUCT((ESL_1!$I$7:$I$37=Repex_Analysis!$B7)*ESL_1!L$7:L$37)</f>
        <v>0</v>
      </c>
      <c r="F7" s="515"/>
      <c r="G7" s="515"/>
      <c r="H7" s="515"/>
      <c r="I7" s="515"/>
      <c r="J7" s="515"/>
      <c r="K7" s="219" t="s">
        <v>368</v>
      </c>
    </row>
    <row r="8" spans="2:19" x14ac:dyDescent="0.25">
      <c r="B8" t="s">
        <v>274</v>
      </c>
      <c r="C8" s="218">
        <f>SUMPRODUCT((Stations!$I$7:$I$38=Repex_Analysis!$B8)*Stations!J$7:J$38)+SUMPRODUCT((Lines!$I$7:$I$37=Repex_Analysis!$B8)*Lines!J$7:J$37)+SUMPRODUCT((ESL_1!$I$7:$I$37=Repex_Analysis!$B8)*ESL_1!J$7:J$37)</f>
        <v>0</v>
      </c>
      <c r="D8" s="218">
        <f>SUMPRODUCT((Stations!$I$7:$I$38=Repex_Analysis!$B8)*Stations!K$7:K$38)+SUMPRODUCT((Lines!$I$7:$I$37=Repex_Analysis!$B8)*Lines!K$7:K$37)+SUMPRODUCT((ESL_1!$I$7:$I$37=Repex_Analysis!$B8)*ESL_1!K$7:K$37)</f>
        <v>0</v>
      </c>
      <c r="E8" s="218">
        <f>SUMPRODUCT((Stations!$I$7:$I$38=Repex_Analysis!$B8)*Stations!L$7:L$38)+SUMPRODUCT((Lines!$I$7:$I$37=Repex_Analysis!$B8)*Lines!L$7:L$37)+SUMPRODUCT((ESL_1!$I$7:$I$37=Repex_Analysis!$B8)*ESL_1!L$7:L$37)</f>
        <v>0</v>
      </c>
      <c r="F8" s="515"/>
      <c r="G8" s="515"/>
      <c r="H8" s="515"/>
      <c r="I8" s="515"/>
      <c r="J8" s="515"/>
    </row>
    <row r="9" spans="2:19" x14ac:dyDescent="0.25">
      <c r="B9" t="s">
        <v>272</v>
      </c>
      <c r="C9" s="123">
        <f>SUMPRODUCT((Stations!$I$7:$I$38=Repex_Analysis!$B9)*Stations!J$7:J$38)+SUMPRODUCT((Lines!$I$7:$I$37=Repex_Analysis!$B9)*Lines!J$7:J$37)+SUMPRODUCT((ESL_1!$I$7:$I$37=Repex_Analysis!$B9)*ESL_1!J$7:J$37)</f>
        <v>0</v>
      </c>
      <c r="D9" s="123">
        <f>SUMPRODUCT((Stations!$I$7:$I$38=Repex_Analysis!$B9)*Stations!K$7:K$38)+SUMPRODUCT((Lines!$I$7:$I$37=Repex_Analysis!$B9)*Lines!K$7:K$37)+SUMPRODUCT((ESL_1!$I$7:$I$37=Repex_Analysis!$B9)*ESL_1!K$7:K$37)</f>
        <v>0</v>
      </c>
      <c r="E9" s="123">
        <f>SUMPRODUCT((Stations!$I$7:$I$38=Repex_Analysis!$B9)*Stations!L$7:L$38)+SUMPRODUCT((Lines!$I$7:$I$37=Repex_Analysis!$B9)*Lines!L$7:L$37)+SUMPRODUCT((ESL_1!$I$7:$I$37=Repex_Analysis!$B9)*ESL_1!L$7:L$37)</f>
        <v>0</v>
      </c>
      <c r="F9" s="515"/>
      <c r="G9" s="515"/>
      <c r="H9" s="515"/>
      <c r="I9" s="515"/>
      <c r="J9" s="515"/>
    </row>
    <row r="10" spans="2:19" x14ac:dyDescent="0.25">
      <c r="B10" t="s">
        <v>475</v>
      </c>
      <c r="C10" s="123">
        <f>SUMPRODUCT((Stations!$I$7:$I$38=Repex_Analysis!$B10)*Stations!J$7:J$38)+SUMPRODUCT((Lines!$I$7:$I$37=Repex_Analysis!$B10)*Lines!J$7:J$37)+SUMPRODUCT((ESL_1!$I$7:$I$37=Repex_Analysis!$B10)*ESL_1!J$7:J$37)</f>
        <v>0</v>
      </c>
      <c r="D10" s="123">
        <f>SUMPRODUCT((Stations!$I$7:$I$38=Repex_Analysis!$B10)*Stations!K$7:K$38)+SUMPRODUCT((Lines!$I$7:$I$37=Repex_Analysis!$B10)*Lines!K$7:K$37)+SUMPRODUCT((ESL_1!$I$7:$I$37=Repex_Analysis!$B10)*ESL_1!K$7:K$37)</f>
        <v>0</v>
      </c>
      <c r="E10" s="123">
        <f>SUMPRODUCT((Stations!$I$7:$I$38=Repex_Analysis!$B10)*Stations!L$7:L$38)+SUMPRODUCT((Lines!$I$7:$I$37=Repex_Analysis!$B10)*Lines!L$7:L$37)+SUMPRODUCT((ESL_1!$I$7:$I$37=Repex_Analysis!$B10)*ESL_1!L$7:L$37)</f>
        <v>0</v>
      </c>
      <c r="F10" s="515"/>
      <c r="G10" s="515"/>
      <c r="H10" s="515"/>
      <c r="I10" s="515"/>
      <c r="J10" s="515"/>
    </row>
    <row r="11" spans="2:19" x14ac:dyDescent="0.25">
      <c r="B11" t="s">
        <v>103</v>
      </c>
      <c r="C11" s="123">
        <f>SUMPRODUCT((Stations!$I$7:$I$38=Repex_Analysis!$B11)*Stations!J$7:J$38)+SUMPRODUCT((Lines!$I$7:$I$37=Repex_Analysis!$B11)*Lines!J$7:J$37)+SUMPRODUCT((ESL_1!$I$7:$I$37=Repex_Analysis!$B11)*ESL_1!J$7:J$37)</f>
        <v>0</v>
      </c>
      <c r="D11" s="123">
        <f>SUMPRODUCT((Stations!$I$7:$I$38=Repex_Analysis!$B11)*Stations!K$7:K$38)+SUMPRODUCT((Lines!$I$7:$I$37=Repex_Analysis!$B11)*Lines!K$7:K$37)+SUMPRODUCT((ESL_1!$I$7:$I$37=Repex_Analysis!$B11)*ESL_1!K$7:K$37)</f>
        <v>0</v>
      </c>
      <c r="E11" s="123">
        <f>SUMPRODUCT((Stations!$I$7:$I$38=Repex_Analysis!$B11)*Stations!L$7:L$38)+SUMPRODUCT((Lines!$I$7:$I$37=Repex_Analysis!$B11)*Lines!L$7:L$37)+SUMPRODUCT((ESL_1!$I$7:$I$37=Repex_Analysis!$B11)*ESL_1!L$7:L$37)</f>
        <v>0</v>
      </c>
      <c r="F11" s="515"/>
      <c r="G11" s="515"/>
      <c r="H11" s="515"/>
      <c r="I11" s="515"/>
      <c r="J11" s="515"/>
    </row>
    <row r="12" spans="2:19" x14ac:dyDescent="0.25">
      <c r="B12" t="s">
        <v>194</v>
      </c>
      <c r="C12" s="123">
        <f>SUMPRODUCT((Stations!$I$7:$I$38=Repex_Analysis!$B12)*Stations!J$7:J$38)+SUMPRODUCT((Lines!$I$7:$I$37=Repex_Analysis!$B12)*Lines!J$7:J$37)+SUMPRODUCT((ESL_1!$I$7:$I$37=Repex_Analysis!$B12)*ESL_1!J$7:J$37)</f>
        <v>0</v>
      </c>
      <c r="D12" s="123">
        <f>SUMPRODUCT((Stations!$I$7:$I$38=Repex_Analysis!$B12)*Stations!K$7:K$38)+SUMPRODUCT((Lines!$I$7:$I$37=Repex_Analysis!$B12)*Lines!K$7:K$37)+SUMPRODUCT((ESL_1!$I$7:$I$37=Repex_Analysis!$B12)*ESL_1!K$7:K$37)</f>
        <v>0</v>
      </c>
      <c r="E12" s="123">
        <f>SUMPRODUCT((Stations!$I$7:$I$38=Repex_Analysis!$B12)*Stations!L$7:L$38)+SUMPRODUCT((Lines!$I$7:$I$37=Repex_Analysis!$B12)*Lines!L$7:L$37)+SUMPRODUCT((ESL_1!$I$7:$I$37=Repex_Analysis!$B12)*ESL_1!L$7:L$37)</f>
        <v>0</v>
      </c>
      <c r="F12" s="515"/>
      <c r="G12" s="515"/>
      <c r="H12" s="515"/>
      <c r="I12" s="515"/>
      <c r="J12" s="515"/>
    </row>
    <row r="13" spans="2:19" x14ac:dyDescent="0.25">
      <c r="B13" t="s">
        <v>195</v>
      </c>
      <c r="C13" s="123">
        <f>SUMPRODUCT((Stations!$I$7:$I$38=Repex_Analysis!$B13)*Stations!J$7:J$38)+SUMPRODUCT((Lines!$I$7:$I$37=Repex_Analysis!$B13)*Lines!J$7:J$37)+SUMPRODUCT((ESL_1!$I$7:$I$37=Repex_Analysis!$B13)*ESL_1!J$7:J$37)</f>
        <v>0</v>
      </c>
      <c r="D13" s="123">
        <f>SUMPRODUCT((Stations!$I$7:$I$38=Repex_Analysis!$B13)*Stations!K$7:K$38)+SUMPRODUCT((Lines!$I$7:$I$37=Repex_Analysis!$B13)*Lines!K$7:K$37)+SUMPRODUCT((ESL_1!$I$7:$I$37=Repex_Analysis!$B13)*ESL_1!K$7:K$37)</f>
        <v>0</v>
      </c>
      <c r="E13" s="123">
        <f>SUMPRODUCT((Stations!$I$7:$I$38=Repex_Analysis!$B13)*Stations!L$7:L$38)+SUMPRODUCT((Lines!$I$7:$I$37=Repex_Analysis!$B13)*Lines!L$7:L$37)+SUMPRODUCT((ESL_1!$I$7:$I$37=Repex_Analysis!$B13)*ESL_1!L$7:L$37)</f>
        <v>0</v>
      </c>
      <c r="F13" s="515"/>
      <c r="G13" s="515"/>
      <c r="H13" s="515"/>
      <c r="I13" s="515"/>
      <c r="J13" s="515"/>
    </row>
    <row r="14" spans="2:19" x14ac:dyDescent="0.25">
      <c r="B14" t="s">
        <v>196</v>
      </c>
      <c r="C14" s="123">
        <f>SUMPRODUCT((Stations!$I$7:$I$38=Repex_Analysis!$B14)*Stations!J$7:J$38)+SUMPRODUCT((Lines!$I$7:$I$37=Repex_Analysis!$B14)*Lines!J$7:J$37)+SUMPRODUCT((ESL_1!$I$7:$I$37=Repex_Analysis!$B14)*ESL_1!J$7:J$37)</f>
        <v>0</v>
      </c>
      <c r="D14" s="123">
        <f>SUMPRODUCT((Stations!$I$7:$I$38=Repex_Analysis!$B14)*Stations!K$7:K$38)+SUMPRODUCT((Lines!$I$7:$I$37=Repex_Analysis!$B14)*Lines!K$7:K$37)+SUMPRODUCT((ESL_1!$I$7:$I$37=Repex_Analysis!$B14)*ESL_1!K$7:K$37)</f>
        <v>0</v>
      </c>
      <c r="E14" s="123">
        <f>SUMPRODUCT((Stations!$I$7:$I$38=Repex_Analysis!$B14)*Stations!L$7:L$38)+SUMPRODUCT((Lines!$I$7:$I$37=Repex_Analysis!$B14)*Lines!L$7:L$37)+SUMPRODUCT((ESL_1!$I$7:$I$37=Repex_Analysis!$B14)*ESL_1!L$7:L$37)</f>
        <v>0</v>
      </c>
      <c r="F14" s="515"/>
      <c r="G14" s="515"/>
      <c r="H14" s="515"/>
      <c r="I14" s="515"/>
      <c r="J14" s="515"/>
      <c r="L14" t="s">
        <v>321</v>
      </c>
    </row>
    <row r="15" spans="2:19" x14ac:dyDescent="0.25">
      <c r="B15" s="83" t="s">
        <v>197</v>
      </c>
      <c r="C15" s="55">
        <f>SUMPRODUCT((Stations!$I$7:$I$38=Repex_Analysis!$B15)*Stations!J$7:J$38)+SUMPRODUCT((Lines!$I$7:$I$37=Repex_Analysis!$B15)*Lines!J$7:J$37)+SUMPRODUCT((ESL_1!$I$7:$I$37=Repex_Analysis!$B15)*ESL_1!J$7:J$37)</f>
        <v>0</v>
      </c>
      <c r="D15" s="55">
        <f>SUMPRODUCT((Stations!$I$7:$I$38=Repex_Analysis!$B15)*Stations!K$7:K$38)+SUMPRODUCT((Lines!$I$7:$I$37=Repex_Analysis!$B15)*Lines!K$7:K$37)+SUMPRODUCT((ESL_1!$I$7:$I$37=Repex_Analysis!$B15)*ESL_1!K$7:K$37)</f>
        <v>0</v>
      </c>
      <c r="E15" s="55">
        <f>SUMPRODUCT((Stations!$I$7:$I$38=Repex_Analysis!$B15)*Stations!L$7:L$38)+SUMPRODUCT((Lines!$I$7:$I$37=Repex_Analysis!$B15)*Lines!L$7:L$37)+SUMPRODUCT((ESL_1!$I$7:$I$37=Repex_Analysis!$B15)*ESL_1!L$7:L$37)</f>
        <v>0</v>
      </c>
      <c r="F15" s="515"/>
      <c r="G15" s="515"/>
      <c r="H15" s="515"/>
      <c r="I15" s="515"/>
      <c r="J15" s="515"/>
      <c r="L15" s="55">
        <f>SUMIFS(Lines!J$7:J$37,Lines!$C$7:$C$37,"=*ABC*")+SUMIFS(ESL_1!J$7:J$37,ESL_1!$C$7:$C$37,"=*ABC*")+SUM(ESL_1!J26:J28)</f>
        <v>0</v>
      </c>
      <c r="M15" s="55">
        <f>SUMIFS(Lines!K$7:K$37,Lines!$C$7:$C$37,"=*ABC*")+SUMIFS(ESL_1!K$7:K$37,ESL_1!$C$7:$C$37,"=*ABC*")+SUM(ESL_1!K26:K28)</f>
        <v>0</v>
      </c>
      <c r="N15" s="55">
        <f>SUMIFS(Lines!L$7:L$37,Lines!$C$7:$C$37,"=*ABC*")+SUMIFS(ESL_1!L$7:L$37,ESL_1!$C$7:$C$37,"=*ABC*")+SUM(ESL_1!L26:L28)</f>
        <v>0</v>
      </c>
      <c r="O15" s="515"/>
      <c r="P15" s="515"/>
      <c r="Q15" s="515"/>
      <c r="R15" s="515"/>
      <c r="S15" s="515"/>
    </row>
    <row r="16" spans="2:19" x14ac:dyDescent="0.25">
      <c r="B16" t="s">
        <v>187</v>
      </c>
      <c r="C16" s="123">
        <f>SUMPRODUCT((Stations!$I$7:$I$38=Repex_Analysis!$B16)*Stations!J$7:J$38)+SUMPRODUCT((Lines!$I$7:$I$37=Repex_Analysis!$B16)*Lines!J$7:J$37)+SUMPRODUCT((ESL_1!$I$7:$I$37=Repex_Analysis!$B16)*ESL_1!J$7:J$37)</f>
        <v>0</v>
      </c>
      <c r="D16" s="123">
        <f>SUMPRODUCT((Stations!$I$7:$I$38=Repex_Analysis!$B16)*Stations!K$7:K$38)+SUMPRODUCT((Lines!$I$7:$I$37=Repex_Analysis!$B16)*Lines!K$7:K$37)+SUMPRODUCT((ESL_1!$I$7:$I$37=Repex_Analysis!$B16)*ESL_1!K$7:K$37)</f>
        <v>0</v>
      </c>
      <c r="E16" s="123">
        <f>SUMPRODUCT((Stations!$I$7:$I$38=Repex_Analysis!$B16)*Stations!L$7:L$38)+SUMPRODUCT((Lines!$I$7:$I$37=Repex_Analysis!$B16)*Lines!L$7:L$37)+SUMPRODUCT((ESL_1!$I$7:$I$37=Repex_Analysis!$B16)*ESL_1!L$7:L$37)</f>
        <v>0</v>
      </c>
      <c r="F16" s="515"/>
      <c r="G16" s="515"/>
      <c r="H16" s="515"/>
      <c r="I16" s="515"/>
      <c r="J16" s="515"/>
      <c r="L16" s="123"/>
      <c r="M16" s="123"/>
      <c r="N16" s="123"/>
      <c r="O16" s="123"/>
      <c r="P16" s="123"/>
      <c r="Q16" s="123"/>
      <c r="R16" s="123"/>
    </row>
    <row r="17" spans="2:11" x14ac:dyDescent="0.25">
      <c r="B17" t="s">
        <v>198</v>
      </c>
      <c r="C17" s="123">
        <f>SUMPRODUCT((Stations!$I$7:$I$38=Repex_Analysis!$B17)*Stations!J$7:J$38)+SUMPRODUCT((Lines!$I$7:$I$37=Repex_Analysis!$B17)*Lines!J$7:J$37)+SUMPRODUCT((ESL_1!$I$7:$I$37=Repex_Analysis!$B17)*ESL_1!J$7:J$37)</f>
        <v>0</v>
      </c>
      <c r="D17" s="123">
        <f>SUMPRODUCT((Stations!$I$7:$I$38=Repex_Analysis!$B17)*Stations!K$7:K$38)+SUMPRODUCT((Lines!$I$7:$I$37=Repex_Analysis!$B17)*Lines!K$7:K$37)+SUMPRODUCT((ESL_1!$I$7:$I$37=Repex_Analysis!$B17)*ESL_1!K$7:K$37)</f>
        <v>0</v>
      </c>
      <c r="E17" s="123">
        <f>SUMPRODUCT((Stations!$I$7:$I$38=Repex_Analysis!$B17)*Stations!L$7:L$38)+SUMPRODUCT((Lines!$I$7:$I$37=Repex_Analysis!$B17)*Lines!L$7:L$37)+SUMPRODUCT((ESL_1!$I$7:$I$37=Repex_Analysis!$B17)*ESL_1!L$7:L$37)</f>
        <v>0</v>
      </c>
      <c r="F17" s="515"/>
      <c r="G17" s="515"/>
      <c r="H17" s="515"/>
      <c r="I17" s="515"/>
      <c r="J17" s="515"/>
    </row>
    <row r="18" spans="2:11" x14ac:dyDescent="0.25">
      <c r="B18" t="s">
        <v>199</v>
      </c>
      <c r="C18" s="123">
        <f>SUMPRODUCT((Stations!$I$7:$I$38=Repex_Analysis!$B18)*Stations!J$7:J$38)+SUMPRODUCT((Lines!$I$7:$I$37=Repex_Analysis!$B18)*Lines!J$7:J$37)+SUMPRODUCT((ESL_1!$I$7:$I$37=Repex_Analysis!$B18)*ESL_1!J$7:J$37)</f>
        <v>0</v>
      </c>
      <c r="D18" s="123">
        <f>SUMPRODUCT((Stations!$I$7:$I$38=Repex_Analysis!$B18)*Stations!K$7:K$38)+SUMPRODUCT((Lines!$I$7:$I$37=Repex_Analysis!$B18)*Lines!K$7:K$37)+SUMPRODUCT((ESL_1!$I$7:$I$37=Repex_Analysis!$B18)*ESL_1!K$7:K$37)</f>
        <v>0</v>
      </c>
      <c r="E18" s="123">
        <f>SUMPRODUCT((Stations!$I$7:$I$38=Repex_Analysis!$B18)*Stations!L$7:L$38)+SUMPRODUCT((Lines!$I$7:$I$37=Repex_Analysis!$B18)*Lines!L$7:L$37)+SUMPRODUCT((ESL_1!$I$7:$I$37=Repex_Analysis!$B18)*ESL_1!L$7:L$37)</f>
        <v>0</v>
      </c>
      <c r="F18" s="515"/>
      <c r="G18" s="515"/>
      <c r="H18" s="515"/>
      <c r="I18" s="515"/>
      <c r="J18" s="515"/>
    </row>
    <row r="19" spans="2:11" x14ac:dyDescent="0.25">
      <c r="B19" t="s">
        <v>251</v>
      </c>
      <c r="C19" s="123">
        <f>SUMPRODUCT((Stations!$I$7:$I$38=Repex_Analysis!$B19)*Stations!J$7:J$38)+SUMPRODUCT((Lines!$I$7:$I$37=Repex_Analysis!$B19)*Lines!J$7:J$37)+SUMPRODUCT((ESL_1!$I$7:$I$37=Repex_Analysis!$B19)*ESL_1!J$7:J$37)</f>
        <v>0</v>
      </c>
      <c r="D19" s="123">
        <f>SUMPRODUCT((Stations!$I$7:$I$38=Repex_Analysis!$B19)*Stations!K$7:K$38)+SUMPRODUCT((Lines!$I$7:$I$37=Repex_Analysis!$B19)*Lines!K$7:K$37)+SUMPRODUCT((ESL_1!$I$7:$I$37=Repex_Analysis!$B19)*ESL_1!K$7:K$37)</f>
        <v>0</v>
      </c>
      <c r="E19" s="123">
        <f>SUMPRODUCT((Stations!$I$7:$I$38=Repex_Analysis!$B19)*Stations!L$7:L$38)+SUMPRODUCT((Lines!$I$7:$I$37=Repex_Analysis!$B19)*Lines!L$7:L$37)+SUMPRODUCT((ESL_1!$I$7:$I$37=Repex_Analysis!$B19)*ESL_1!L$7:L$37)</f>
        <v>0</v>
      </c>
      <c r="F19" s="515"/>
      <c r="G19" s="515"/>
      <c r="H19" s="515"/>
      <c r="I19" s="515"/>
      <c r="J19" s="515"/>
    </row>
    <row r="20" spans="2:11" x14ac:dyDescent="0.25">
      <c r="B20" s="129" t="s">
        <v>200</v>
      </c>
      <c r="C20" s="218">
        <f>SUMPRODUCT((Stations!$I$7:$I$38=Repex_Analysis!$B20)*Stations!J$7:J$38)+SUMPRODUCT((Lines!$I$7:$I$37=Repex_Analysis!$B20)*Lines!J$7:J$37)+SUMPRODUCT((ESL_1!$I$7:$I$37=Repex_Analysis!$B20)*ESL_1!J$7:J$37)</f>
        <v>0</v>
      </c>
      <c r="D20" s="218">
        <f>SUMPRODUCT((Stations!$I$7:$I$38=Repex_Analysis!$B20)*Stations!K$7:K$38)+SUMPRODUCT((Lines!$I$7:$I$37=Repex_Analysis!$B20)*Lines!K$7:K$37)+SUMPRODUCT((ESL_1!$I$7:$I$37=Repex_Analysis!$B20)*ESL_1!K$7:K$37)</f>
        <v>0</v>
      </c>
      <c r="E20" s="218">
        <f>SUMPRODUCT((Stations!$I$7:$I$38=Repex_Analysis!$B20)*Stations!L$7:L$38)+SUMPRODUCT((Lines!$I$7:$I$37=Repex_Analysis!$B20)*Lines!L$7:L$37)+SUMPRODUCT((ESL_1!$I$7:$I$37=Repex_Analysis!$B20)*ESL_1!L$7:L$37)</f>
        <v>0</v>
      </c>
      <c r="F20" s="515"/>
      <c r="G20" s="515"/>
      <c r="H20" s="515"/>
      <c r="I20" s="515"/>
      <c r="J20" s="515"/>
      <c r="K20" s="124"/>
    </row>
    <row r="21" spans="2:11" x14ac:dyDescent="0.25">
      <c r="B21" s="129" t="s">
        <v>201</v>
      </c>
      <c r="C21" s="218">
        <f>SUMPRODUCT((Stations!$I$7:$I$38=Repex_Analysis!$B21)*Stations!J$7:J$38)+SUMPRODUCT((Lines!$I$7:$I$37=Repex_Analysis!$B21)*Lines!J$7:J$37)+SUMPRODUCT((ESL_1!$I$7:$I$37=Repex_Analysis!$B21)*ESL_1!J$7:J$37)</f>
        <v>0</v>
      </c>
      <c r="D21" s="218">
        <f>SUMPRODUCT((Stations!$I$7:$I$38=Repex_Analysis!$B21)*Stations!K$7:K$38)+SUMPRODUCT((Lines!$I$7:$I$37=Repex_Analysis!$B21)*Lines!K$7:K$37)+SUMPRODUCT((ESL_1!$I$7:$I$37=Repex_Analysis!$B21)*ESL_1!K$7:K$37)</f>
        <v>0</v>
      </c>
      <c r="E21" s="218">
        <f>SUMPRODUCT((Stations!$I$7:$I$38=Repex_Analysis!$B21)*Stations!L$7:L$38)+SUMPRODUCT((Lines!$I$7:$I$37=Repex_Analysis!$B21)*Lines!L$7:L$37)+SUMPRODUCT((ESL_1!$I$7:$I$37=Repex_Analysis!$B21)*ESL_1!L$7:L$37)</f>
        <v>0</v>
      </c>
      <c r="F21" s="515"/>
      <c r="G21" s="515"/>
      <c r="H21" s="515"/>
      <c r="I21" s="515"/>
      <c r="J21" s="515"/>
      <c r="K21" s="124"/>
    </row>
    <row r="22" spans="2:11" x14ac:dyDescent="0.25">
      <c r="B22" t="s">
        <v>202</v>
      </c>
      <c r="C22" s="123">
        <f>SUMPRODUCT((Stations!$I$7:$I$38=Repex_Analysis!$B22)*Stations!J$7:J$38)+SUMPRODUCT((Lines!$I$7:$I$37=Repex_Analysis!$B22)*Lines!J$7:J$37)+SUMPRODUCT((ESL_1!$I$7:$I$37=Repex_Analysis!$B22)*ESL_1!J$7:J$37)</f>
        <v>0</v>
      </c>
      <c r="D22" s="123">
        <f>SUMPRODUCT((Stations!$I$7:$I$38=Repex_Analysis!$B22)*Stations!K$7:K$38)+SUMPRODUCT((Lines!$I$7:$I$37=Repex_Analysis!$B22)*Lines!K$7:K$37)+SUMPRODUCT((ESL_1!$I$7:$I$37=Repex_Analysis!$B22)*ESL_1!K$7:K$37)</f>
        <v>0</v>
      </c>
      <c r="E22" s="123">
        <f>SUMPRODUCT((Stations!$I$7:$I$38=Repex_Analysis!$B22)*Stations!L$7:L$38)+SUMPRODUCT((Lines!$I$7:$I$37=Repex_Analysis!$B22)*Lines!L$7:L$37)+SUMPRODUCT((ESL_1!$I$7:$I$37=Repex_Analysis!$B22)*ESL_1!L$7:L$37)</f>
        <v>0</v>
      </c>
      <c r="F22" s="515"/>
      <c r="G22" s="515"/>
      <c r="H22" s="515"/>
      <c r="I22" s="515"/>
      <c r="J22" s="515"/>
    </row>
    <row r="23" spans="2:11" x14ac:dyDescent="0.25">
      <c r="B23" t="s">
        <v>203</v>
      </c>
      <c r="C23" s="123">
        <f>SUMPRODUCT((Stations!$I$7:$I$38=Repex_Analysis!$B23)*Stations!J$7:J$38)+SUMPRODUCT((Lines!$I$7:$I$37=Repex_Analysis!$B23)*Lines!J$7:J$37)+SUMPRODUCT((ESL_1!$I$7:$I$37=Repex_Analysis!$B23)*ESL_1!J$7:J$37)</f>
        <v>0</v>
      </c>
      <c r="D23" s="123">
        <f>SUMPRODUCT((Stations!$I$7:$I$38=Repex_Analysis!$B23)*Stations!K$7:K$38)+SUMPRODUCT((Lines!$I$7:$I$37=Repex_Analysis!$B23)*Lines!K$7:K$37)+SUMPRODUCT((ESL_1!$I$7:$I$37=Repex_Analysis!$B23)*ESL_1!K$7:K$37)</f>
        <v>0</v>
      </c>
      <c r="E23" s="123">
        <f>SUMPRODUCT((Stations!$I$7:$I$38=Repex_Analysis!$B23)*Stations!L$7:L$38)+SUMPRODUCT((Lines!$I$7:$I$37=Repex_Analysis!$B23)*Lines!L$7:L$37)+SUMPRODUCT((ESL_1!$I$7:$I$37=Repex_Analysis!$B23)*ESL_1!L$7:L$37)</f>
        <v>0</v>
      </c>
      <c r="F23" s="515"/>
      <c r="G23" s="515"/>
      <c r="H23" s="515"/>
      <c r="I23" s="515"/>
      <c r="J23" s="515"/>
      <c r="K23" t="s">
        <v>681</v>
      </c>
    </row>
    <row r="24" spans="2:11" x14ac:dyDescent="0.25">
      <c r="B24" t="s">
        <v>186</v>
      </c>
      <c r="C24" s="123">
        <f>SUMPRODUCT((Stations!$I$7:$I$38=Repex_Analysis!$B24)*Stations!J$7:J$38)+SUMPRODUCT((Lines!$I$7:$I$37=Repex_Analysis!$B24)*Lines!J$7:J$37)+SUMPRODUCT((ESL_1!$I$7:$I$37=Repex_Analysis!$B24)*ESL_1!J$7:J$37)</f>
        <v>0</v>
      </c>
      <c r="D24" s="123">
        <f>SUMPRODUCT((Stations!$I$7:$I$38=Repex_Analysis!$B24)*Stations!K$7:K$38)+SUMPRODUCT((Lines!$I$7:$I$37=Repex_Analysis!$B24)*Lines!K$7:K$37)+SUMPRODUCT((ESL_1!$I$7:$I$37=Repex_Analysis!$B24)*ESL_1!K$7:K$37)</f>
        <v>0</v>
      </c>
      <c r="E24" s="123">
        <f>SUMPRODUCT((Stations!$I$7:$I$38=Repex_Analysis!$B24)*Stations!L$7:L$38)+SUMPRODUCT((Lines!$I$7:$I$37=Repex_Analysis!$B24)*Lines!L$7:L$37)+SUMPRODUCT((ESL_1!$I$7:$I$37=Repex_Analysis!$B24)*ESL_1!L$7:L$37)</f>
        <v>0</v>
      </c>
      <c r="F24" s="515"/>
      <c r="G24" s="515"/>
      <c r="H24" s="515"/>
      <c r="I24" s="515"/>
      <c r="J24" s="515"/>
    </row>
    <row r="25" spans="2:11" x14ac:dyDescent="0.25">
      <c r="B25" t="s">
        <v>249</v>
      </c>
      <c r="C25" s="123">
        <f>SUMPRODUCT((Stations!$I$7:$I$38=Repex_Analysis!$B25)*Stations!J$7:J$38)+SUMPRODUCT((Lines!$I$7:$I$37=Repex_Analysis!$B25)*Lines!J$7:J$37)+SUMPRODUCT((ESL_1!$I$7:$I$37=Repex_Analysis!$B25)*ESL_1!J$7:J$37)</f>
        <v>0</v>
      </c>
      <c r="D25" s="123">
        <f>SUMPRODUCT((Stations!$I$7:$I$38=Repex_Analysis!$B25)*Stations!K$7:K$38)+SUMPRODUCT((Lines!$I$7:$I$37=Repex_Analysis!$B25)*Lines!K$7:K$37)+SUMPRODUCT((ESL_1!$I$7:$I$37=Repex_Analysis!$B25)*ESL_1!K$7:K$37)</f>
        <v>0</v>
      </c>
      <c r="E25" s="123">
        <f>SUMPRODUCT((Stations!$I$7:$I$38=Repex_Analysis!$B25)*Stations!L$7:L$38)+SUMPRODUCT((Lines!$I$7:$I$37=Repex_Analysis!$B25)*Lines!L$7:L$37)+SUMPRODUCT((ESL_1!$I$7:$I$37=Repex_Analysis!$B25)*ESL_1!L$7:L$37)</f>
        <v>0</v>
      </c>
      <c r="F25" s="515"/>
      <c r="G25" s="515"/>
      <c r="H25" s="515"/>
      <c r="I25" s="515"/>
      <c r="J25" s="515"/>
    </row>
    <row r="26" spans="2:11" x14ac:dyDescent="0.25">
      <c r="B26" t="s">
        <v>244</v>
      </c>
      <c r="C26" s="123">
        <f>SUMPRODUCT((Stations!$I$7:$I$38=Repex_Analysis!$B26)*Stations!J$7:J$38)+SUMPRODUCT((Lines!$I$7:$I$37=Repex_Analysis!$B26)*Lines!J$7:J$37)+SUMPRODUCT((ESL_1!$I$7:$I$37=Repex_Analysis!$B26)*ESL_1!J$7:J$37)</f>
        <v>0</v>
      </c>
      <c r="D26" s="123">
        <f>SUMPRODUCT((Stations!$I$7:$I$38=Repex_Analysis!$B26)*Stations!K$7:K$38)+SUMPRODUCT((Lines!$I$7:$I$37=Repex_Analysis!$B26)*Lines!K$7:K$37)+SUMPRODUCT((ESL_1!$I$7:$I$37=Repex_Analysis!$B26)*ESL_1!K$7:K$37)</f>
        <v>0</v>
      </c>
      <c r="E26" s="123">
        <f>SUMPRODUCT((Stations!$I$7:$I$38=Repex_Analysis!$B26)*Stations!L$7:L$38)+SUMPRODUCT((Lines!$I$7:$I$37=Repex_Analysis!$B26)*Lines!L$7:L$37)+SUMPRODUCT((ESL_1!$I$7:$I$37=Repex_Analysis!$B26)*ESL_1!L$7:L$37)</f>
        <v>0</v>
      </c>
      <c r="F26" s="515"/>
      <c r="G26" s="515"/>
      <c r="H26" s="515"/>
      <c r="I26" s="515"/>
      <c r="J26" s="515"/>
    </row>
    <row r="27" spans="2:11" x14ac:dyDescent="0.25">
      <c r="B27" t="s">
        <v>245</v>
      </c>
      <c r="C27" s="123">
        <f>SUMPRODUCT((Stations!$I$7:$I$38=Repex_Analysis!$B27)*Stations!J$7:J$38)+SUMPRODUCT((Lines!$I$7:$I$37=Repex_Analysis!$B27)*Lines!J$7:J$37)+SUMPRODUCT((ESL_1!$I$7:$I$37=Repex_Analysis!$B27)*ESL_1!J$7:J$37)</f>
        <v>0</v>
      </c>
      <c r="D27" s="123">
        <f>SUMPRODUCT((Stations!$I$7:$I$38=Repex_Analysis!$B27)*Stations!K$7:K$38)+SUMPRODUCT((Lines!$I$7:$I$37=Repex_Analysis!$B27)*Lines!K$7:K$37)+SUMPRODUCT((ESL_1!$I$7:$I$37=Repex_Analysis!$B27)*ESL_1!K$7:K$37)</f>
        <v>0</v>
      </c>
      <c r="E27" s="123">
        <f>SUMPRODUCT((Stations!$I$7:$I$38=Repex_Analysis!$B27)*Stations!L$7:L$38)+SUMPRODUCT((Lines!$I$7:$I$37=Repex_Analysis!$B27)*Lines!L$7:L$37)+SUMPRODUCT((ESL_1!$I$7:$I$37=Repex_Analysis!$B27)*ESL_1!L$7:L$37)</f>
        <v>0</v>
      </c>
      <c r="F27" s="515"/>
      <c r="G27" s="515"/>
      <c r="H27" s="515"/>
      <c r="I27" s="515"/>
      <c r="J27" s="515"/>
    </row>
    <row r="28" spans="2:11" x14ac:dyDescent="0.25">
      <c r="B28" t="s">
        <v>204</v>
      </c>
      <c r="C28" s="123">
        <f>SUMPRODUCT((Stations!$I$7:$I$38=Repex_Analysis!$B28)*Stations!J$7:J$38)+SUMPRODUCT((Lines!$I$7:$I$37=Repex_Analysis!$B28)*Lines!J$7:J$37)+SUMPRODUCT((ESL_1!$I$7:$I$37=Repex_Analysis!$B28)*ESL_1!J$7:J$37)</f>
        <v>0</v>
      </c>
      <c r="D28" s="123">
        <f>SUMPRODUCT((Stations!$I$7:$I$38=Repex_Analysis!$B28)*Stations!K$7:K$38)+SUMPRODUCT((Lines!$I$7:$I$37=Repex_Analysis!$B28)*Lines!K$7:K$37)+SUMPRODUCT((ESL_1!$I$7:$I$37=Repex_Analysis!$B28)*ESL_1!K$7:K$37)</f>
        <v>0</v>
      </c>
      <c r="E28" s="123">
        <f>SUMPRODUCT((Stations!$I$7:$I$38=Repex_Analysis!$B28)*Stations!L$7:L$38)+SUMPRODUCT((Lines!$I$7:$I$37=Repex_Analysis!$B28)*Lines!L$7:L$37)+SUMPRODUCT((ESL_1!$I$7:$I$37=Repex_Analysis!$B28)*ESL_1!L$7:L$37)</f>
        <v>0</v>
      </c>
      <c r="F28" s="515"/>
      <c r="G28" s="515"/>
      <c r="H28" s="515"/>
      <c r="I28" s="515"/>
      <c r="J28" s="515"/>
    </row>
    <row r="29" spans="2:11" x14ac:dyDescent="0.25">
      <c r="B29" t="s">
        <v>273</v>
      </c>
      <c r="C29" s="123">
        <f>SUMPRODUCT((Stations!$I$7:$I$38=Repex_Analysis!$B29)*Stations!J$7:J$38)+SUMPRODUCT((Lines!$I$7:$I$37=Repex_Analysis!$B29)*Lines!J$7:J$37)+SUMPRODUCT((ESL_1!$I$7:$I$37=Repex_Analysis!$B29)*ESL_1!J$7:J$37)</f>
        <v>0</v>
      </c>
      <c r="D29" s="123">
        <f>SUMPRODUCT((Stations!$I$7:$I$38=Repex_Analysis!$B29)*Stations!K$7:K$38)+SUMPRODUCT((Lines!$I$7:$I$37=Repex_Analysis!$B29)*Lines!K$7:K$37)+SUMPRODUCT((ESL_1!$I$7:$I$37=Repex_Analysis!$B29)*ESL_1!K$7:K$37)</f>
        <v>0</v>
      </c>
      <c r="E29" s="123">
        <f>SUMPRODUCT((Stations!$I$7:$I$38=Repex_Analysis!$B29)*Stations!L$7:L$38)+SUMPRODUCT((Lines!$I$7:$I$37=Repex_Analysis!$B29)*Lines!L$7:L$37)+SUMPRODUCT((ESL_1!$I$7:$I$37=Repex_Analysis!$B29)*ESL_1!L$7:L$37)</f>
        <v>0</v>
      </c>
      <c r="F29" s="515"/>
      <c r="G29" s="515"/>
      <c r="H29" s="515"/>
      <c r="I29" s="515"/>
      <c r="J29" s="515"/>
    </row>
    <row r="30" spans="2:11" x14ac:dyDescent="0.25">
      <c r="B30" t="s">
        <v>241</v>
      </c>
      <c r="C30" s="123">
        <f>SUMPRODUCT((Stations!$I$7:$I$38=Repex_Analysis!$B30)*Stations!J$7:J$38)+SUMPRODUCT((Lines!$I$7:$I$37=Repex_Analysis!$B30)*Lines!J$7:J$37)+SUMPRODUCT((ESL_1!$I$7:$I$37=Repex_Analysis!$B30)*ESL_1!J$7:J$37)</f>
        <v>0</v>
      </c>
      <c r="D30" s="123">
        <f>SUMPRODUCT((Stations!$I$7:$I$38=Repex_Analysis!$B30)*Stations!K$7:K$38)+SUMPRODUCT((Lines!$I$7:$I$37=Repex_Analysis!$B30)*Lines!K$7:K$37)+SUMPRODUCT((ESL_1!$I$7:$I$37=Repex_Analysis!$B30)*ESL_1!K$7:K$37)</f>
        <v>0</v>
      </c>
      <c r="E30" s="123">
        <f>SUMPRODUCT((Stations!$I$7:$I$38=Repex_Analysis!$B30)*Stations!L$7:L$38)+SUMPRODUCT((Lines!$I$7:$I$37=Repex_Analysis!$B30)*Lines!L$7:L$37)+SUMPRODUCT((ESL_1!$I$7:$I$37=Repex_Analysis!$B30)*ESL_1!L$7:L$37)</f>
        <v>0</v>
      </c>
      <c r="F30" s="515"/>
      <c r="G30" s="515"/>
      <c r="H30" s="515"/>
      <c r="I30" s="515"/>
      <c r="J30" s="515"/>
    </row>
    <row r="31" spans="2:11" x14ac:dyDescent="0.25">
      <c r="B31" t="s">
        <v>242</v>
      </c>
      <c r="C31" s="123">
        <f>SUMPRODUCT((Stations!$I$7:$I$38=Repex_Analysis!$B31)*Stations!J$7:J$38)+SUMPRODUCT((Lines!$I$7:$I$37=Repex_Analysis!$B31)*Lines!J$7:J$37)+SUMPRODUCT((ESL_1!$I$7:$I$37=Repex_Analysis!$B31)*ESL_1!J$7:J$37)</f>
        <v>0</v>
      </c>
      <c r="D31" s="123">
        <f>SUMPRODUCT((Stations!$I$7:$I$38=Repex_Analysis!$B31)*Stations!K$7:K$38)+SUMPRODUCT((Lines!$I$7:$I$37=Repex_Analysis!$B31)*Lines!K$7:K$37)+SUMPRODUCT((ESL_1!$I$7:$I$37=Repex_Analysis!$B31)*ESL_1!K$7:K$37)</f>
        <v>0</v>
      </c>
      <c r="E31" s="123">
        <f>SUMPRODUCT((Stations!$I$7:$I$38=Repex_Analysis!$B31)*Stations!L$7:L$38)+SUMPRODUCT((Lines!$I$7:$I$37=Repex_Analysis!$B31)*Lines!L$7:L$37)+SUMPRODUCT((ESL_1!$I$7:$I$37=Repex_Analysis!$B31)*ESL_1!L$7:L$37)</f>
        <v>0</v>
      </c>
      <c r="F31" s="515"/>
      <c r="G31" s="515"/>
      <c r="H31" s="515"/>
      <c r="I31" s="515"/>
      <c r="J31" s="515"/>
    </row>
    <row r="32" spans="2:11" x14ac:dyDescent="0.25">
      <c r="B32" t="s">
        <v>246</v>
      </c>
      <c r="C32" s="123">
        <f>SUMPRODUCT((Stations!$I$7:$I$38=Repex_Analysis!$B32)*Stations!J$7:J$38)+SUMPRODUCT((Lines!$I$7:$I$37=Repex_Analysis!$B32)*Lines!J$7:J$37)+SUMPRODUCT((ESL_1!$I$7:$I$37=Repex_Analysis!$B32)*ESL_1!J$7:J$37)</f>
        <v>0</v>
      </c>
      <c r="D32" s="123">
        <f>SUMPRODUCT((Stations!$I$7:$I$38=Repex_Analysis!$B32)*Stations!K$7:K$38)+SUMPRODUCT((Lines!$I$7:$I$37=Repex_Analysis!$B32)*Lines!K$7:K$37)+SUMPRODUCT((ESL_1!$I$7:$I$37=Repex_Analysis!$B32)*ESL_1!K$7:K$37)</f>
        <v>0</v>
      </c>
      <c r="E32" s="123">
        <f>SUMPRODUCT((Stations!$I$7:$I$38=Repex_Analysis!$B32)*Stations!L$7:L$38)+SUMPRODUCT((Lines!$I$7:$I$37=Repex_Analysis!$B32)*Lines!L$7:L$37)+SUMPRODUCT((ESL_1!$I$7:$I$37=Repex_Analysis!$B32)*ESL_1!L$7:L$37)</f>
        <v>0</v>
      </c>
      <c r="F32" s="515"/>
      <c r="G32" s="515"/>
      <c r="H32" s="515"/>
      <c r="I32" s="515"/>
      <c r="J32" s="515"/>
    </row>
    <row r="33" spans="2:10" x14ac:dyDescent="0.25">
      <c r="B33" t="s">
        <v>247</v>
      </c>
      <c r="C33" s="123">
        <f>SUMPRODUCT((Stations!$I$7:$I$38=Repex_Analysis!$B33)*Stations!J$7:J$38)+SUMPRODUCT((Lines!$I$7:$I$37=Repex_Analysis!$B33)*Lines!J$7:J$37)+SUMPRODUCT((ESL_1!$I$7:$I$37=Repex_Analysis!$B33)*ESL_1!J$7:J$37)</f>
        <v>0</v>
      </c>
      <c r="D33" s="123">
        <f>SUMPRODUCT((Stations!$I$7:$I$38=Repex_Analysis!$B33)*Stations!K$7:K$38)+SUMPRODUCT((Lines!$I$7:$I$37=Repex_Analysis!$B33)*Lines!K$7:K$37)+SUMPRODUCT((ESL_1!$I$7:$I$37=Repex_Analysis!$B33)*ESL_1!K$7:K$37)</f>
        <v>0</v>
      </c>
      <c r="E33" s="123">
        <f>SUMPRODUCT((Stations!$I$7:$I$38=Repex_Analysis!$B33)*Stations!L$7:L$38)+SUMPRODUCT((Lines!$I$7:$I$37=Repex_Analysis!$B33)*Lines!L$7:L$37)+SUMPRODUCT((ESL_1!$I$7:$I$37=Repex_Analysis!$B33)*ESL_1!L$7:L$37)</f>
        <v>0</v>
      </c>
      <c r="F33" s="515"/>
      <c r="G33" s="515"/>
      <c r="H33" s="515"/>
      <c r="I33" s="515"/>
      <c r="J33" s="515"/>
    </row>
    <row r="34" spans="2:10" x14ac:dyDescent="0.25">
      <c r="B34" t="s">
        <v>209</v>
      </c>
      <c r="C34" s="123">
        <f>SUMPRODUCT((Stations!$I$7:$I$38=Repex_Analysis!$B34)*Stations!J$7:J$38)+SUMPRODUCT((Lines!$I$7:$I$37=Repex_Analysis!$B34)*Lines!J$7:J$37)+SUMPRODUCT((ESL_1!$I$7:$I$37=Repex_Analysis!$B34)*ESL_1!J$7:J$37)</f>
        <v>0</v>
      </c>
      <c r="D34" s="123">
        <f>SUMPRODUCT((Stations!$I$7:$I$38=Repex_Analysis!$B34)*Stations!K$7:K$38)+SUMPRODUCT((Lines!$I$7:$I$37=Repex_Analysis!$B34)*Lines!K$7:K$37)+SUMPRODUCT((ESL_1!$I$7:$I$37=Repex_Analysis!$B34)*ESL_1!K$7:K$37)</f>
        <v>0</v>
      </c>
      <c r="E34" s="123">
        <f>SUMPRODUCT((Stations!$I$7:$I$38=Repex_Analysis!$B34)*Stations!L$7:L$38)+SUMPRODUCT((Lines!$I$7:$I$37=Repex_Analysis!$B34)*Lines!L$7:L$37)+SUMPRODUCT((ESL_1!$I$7:$I$37=Repex_Analysis!$B34)*ESL_1!L$7:L$37)</f>
        <v>0</v>
      </c>
      <c r="F34" s="515"/>
      <c r="G34" s="515"/>
      <c r="H34" s="515"/>
      <c r="I34" s="515"/>
      <c r="J34" s="515"/>
    </row>
    <row r="35" spans="2:10" x14ac:dyDescent="0.25">
      <c r="B35" t="s">
        <v>248</v>
      </c>
      <c r="C35" s="123">
        <f>SUMPRODUCT((Stations!$I$7:$I$38=Repex_Analysis!$B35)*Stations!J$7:J$38)+SUMPRODUCT((Lines!$I$7:$I$37=Repex_Analysis!$B35)*Lines!J$7:J$37)+SUMPRODUCT((ESL_1!$I$7:$I$37=Repex_Analysis!$B35)*ESL_1!J$7:J$37)</f>
        <v>0</v>
      </c>
      <c r="D35" s="123">
        <f>SUMPRODUCT((Stations!$I$7:$I$38=Repex_Analysis!$B35)*Stations!K$7:K$38)+SUMPRODUCT((Lines!$I$7:$I$37=Repex_Analysis!$B35)*Lines!K$7:K$37)+SUMPRODUCT((ESL_1!$I$7:$I$37=Repex_Analysis!$B35)*ESL_1!K$7:K$37)</f>
        <v>0</v>
      </c>
      <c r="E35" s="123">
        <f>SUMPRODUCT((Stations!$I$7:$I$38=Repex_Analysis!$B35)*Stations!L$7:L$38)+SUMPRODUCT((Lines!$I$7:$I$37=Repex_Analysis!$B35)*Lines!L$7:L$37)+SUMPRODUCT((ESL_1!$I$7:$I$37=Repex_Analysis!$B35)*ESL_1!L$7:L$37)</f>
        <v>0</v>
      </c>
      <c r="F35" s="515"/>
      <c r="G35" s="515"/>
      <c r="H35" s="515"/>
      <c r="I35" s="515"/>
      <c r="J35" s="515"/>
    </row>
    <row r="36" spans="2:10" x14ac:dyDescent="0.25">
      <c r="B36" t="s">
        <v>250</v>
      </c>
      <c r="C36" s="123">
        <f>SUMPRODUCT((Stations!$I$7:$I$38=Repex_Analysis!$B36)*Stations!J$7:J$38)+SUMPRODUCT((Lines!$I$7:$I$37=Repex_Analysis!$B36)*Lines!J$7:J$37)+SUMPRODUCT((ESL_1!$I$7:$I$37=Repex_Analysis!$B36)*ESL_1!J$7:J$37)</f>
        <v>0</v>
      </c>
      <c r="D36" s="123">
        <f>SUMPRODUCT((Stations!$I$7:$I$38=Repex_Analysis!$B36)*Stations!K$7:K$38)+SUMPRODUCT((Lines!$I$7:$I$37=Repex_Analysis!$B36)*Lines!K$7:K$37)+SUMPRODUCT((ESL_1!$I$7:$I$37=Repex_Analysis!$B36)*ESL_1!K$7:K$37)</f>
        <v>0</v>
      </c>
      <c r="E36" s="123">
        <f>SUMPRODUCT((Stations!$I$7:$I$38=Repex_Analysis!$B36)*Stations!L$7:L$38)+SUMPRODUCT((Lines!$I$7:$I$37=Repex_Analysis!$B36)*Lines!L$7:L$37)+SUMPRODUCT((ESL_1!$I$7:$I$37=Repex_Analysis!$B36)*ESL_1!L$7:L$37)</f>
        <v>0</v>
      </c>
      <c r="F36" s="515"/>
      <c r="G36" s="515"/>
      <c r="H36" s="515"/>
      <c r="I36" s="515"/>
      <c r="J36" s="515"/>
    </row>
    <row r="37" spans="2:10" x14ac:dyDescent="0.25">
      <c r="B37" t="s">
        <v>240</v>
      </c>
      <c r="C37" s="123">
        <f>SUMPRODUCT((Stations!$I$7:$I$38=Repex_Analysis!$B37)*Stations!J$7:J$38)+SUMPRODUCT((Lines!$I$7:$I$37=Repex_Analysis!$B37)*Lines!J$7:J$37)+SUMPRODUCT((ESL_1!$I$7:$I$37=Repex_Analysis!$B37)*ESL_1!J$7:J$37)</f>
        <v>0</v>
      </c>
      <c r="D37" s="123">
        <f>SUMPRODUCT((Stations!$I$7:$I$38=Repex_Analysis!$B37)*Stations!K$7:K$38)+SUMPRODUCT((Lines!$I$7:$I$37=Repex_Analysis!$B37)*Lines!K$7:K$37)+SUMPRODUCT((ESL_1!$I$7:$I$37=Repex_Analysis!$B37)*ESL_1!K$7:K$37)</f>
        <v>0</v>
      </c>
      <c r="E37" s="123">
        <f>SUMPRODUCT((Stations!$I$7:$I$38=Repex_Analysis!$B37)*Stations!L$7:L$38)+SUMPRODUCT((Lines!$I$7:$I$37=Repex_Analysis!$B37)*Lines!L$7:L$37)+SUMPRODUCT((ESL_1!$I$7:$I$37=Repex_Analysis!$B37)*ESL_1!L$7:L$37)</f>
        <v>0</v>
      </c>
      <c r="F37" s="515"/>
      <c r="G37" s="515"/>
      <c r="H37" s="515"/>
      <c r="I37" s="515"/>
      <c r="J37" s="515"/>
    </row>
    <row r="38" spans="2:10" x14ac:dyDescent="0.25">
      <c r="B38" t="s">
        <v>253</v>
      </c>
      <c r="C38" s="123">
        <f>SUMPRODUCT((Stations!$I$7:$I$38=Repex_Analysis!$B38)*Stations!J$7:J$38)+SUMPRODUCT((Lines!$I$7:$I$37=Repex_Analysis!$B38)*Lines!J$7:J$37)+SUMPRODUCT((ESL_1!$I$7:$I$37=Repex_Analysis!$B38)*ESL_1!J$7:J$37)</f>
        <v>0</v>
      </c>
      <c r="D38" s="123">
        <f>SUMPRODUCT((Stations!$I$7:$I$38=Repex_Analysis!$B38)*Stations!K$7:K$38)+SUMPRODUCT((Lines!$I$7:$I$37=Repex_Analysis!$B38)*Lines!K$7:K$37)+SUMPRODUCT((ESL_1!$I$7:$I$37=Repex_Analysis!$B38)*ESL_1!K$7:K$37)</f>
        <v>0</v>
      </c>
      <c r="E38" s="123">
        <f>SUMPRODUCT((Stations!$I$7:$I$38=Repex_Analysis!$B38)*Stations!L$7:L$38)+SUMPRODUCT((Lines!$I$7:$I$37=Repex_Analysis!$B38)*Lines!L$7:L$37)+SUMPRODUCT((ESL_1!$I$7:$I$37=Repex_Analysis!$B38)*ESL_1!L$7:L$37)</f>
        <v>0</v>
      </c>
      <c r="F38" s="515"/>
      <c r="G38" s="515"/>
      <c r="H38" s="515"/>
      <c r="I38" s="515"/>
      <c r="J38" s="515"/>
    </row>
    <row r="39" spans="2:10" x14ac:dyDescent="0.25">
      <c r="B39" t="s">
        <v>254</v>
      </c>
      <c r="C39" s="123">
        <f>SUMPRODUCT((Stations!$I$7:$I$38=Repex_Analysis!$B39)*Stations!J$7:J$38)+SUMPRODUCT((Lines!$I$7:$I$37=Repex_Analysis!$B39)*Lines!J$7:J$37)+SUMPRODUCT((ESL_1!$I$7:$I$37=Repex_Analysis!$B39)*ESL_1!J$7:J$37)</f>
        <v>0</v>
      </c>
      <c r="D39" s="123">
        <f>SUMPRODUCT((Stations!$I$7:$I$38=Repex_Analysis!$B39)*Stations!K$7:K$38)+SUMPRODUCT((Lines!$I$7:$I$37=Repex_Analysis!$B39)*Lines!K$7:K$37)+SUMPRODUCT((ESL_1!$I$7:$I$37=Repex_Analysis!$B39)*ESL_1!K$7:K$37)</f>
        <v>0</v>
      </c>
      <c r="E39" s="123">
        <f>SUMPRODUCT((Stations!$I$7:$I$38=Repex_Analysis!$B39)*Stations!L$7:L$38)+SUMPRODUCT((Lines!$I$7:$I$37=Repex_Analysis!$B39)*Lines!L$7:L$37)+SUMPRODUCT((ESL_1!$I$7:$I$37=Repex_Analysis!$B39)*ESL_1!L$7:L$37)</f>
        <v>0</v>
      </c>
      <c r="F39" s="515"/>
      <c r="G39" s="515"/>
      <c r="H39" s="515"/>
      <c r="I39" s="515"/>
      <c r="J39" s="515"/>
    </row>
    <row r="40" spans="2:10" x14ac:dyDescent="0.25">
      <c r="B40" t="s">
        <v>5</v>
      </c>
      <c r="C40" s="123">
        <f>SUMPRODUCT((Stations!$I$7:$I$38=Repex_Analysis!$B40)*Stations!J$7:J$38)+SUMPRODUCT((Lines!$I$7:$I$37=Repex_Analysis!$B40)*Lines!J$7:J$37)+SUMPRODUCT((ESL_1!$I$7:$I$37=Repex_Analysis!$B40)*ESL_1!J$7:J$37)</f>
        <v>0</v>
      </c>
      <c r="D40" s="123">
        <f>SUMPRODUCT((Stations!$I$7:$I$38=Repex_Analysis!$B40)*Stations!K$7:K$38)+SUMPRODUCT((Lines!$I$7:$I$37=Repex_Analysis!$B40)*Lines!K$7:K$37)+SUMPRODUCT((ESL_1!$I$7:$I$37=Repex_Analysis!$B40)*ESL_1!K$7:K$37)</f>
        <v>0</v>
      </c>
      <c r="E40" s="123">
        <f>SUMPRODUCT((Stations!$I$7:$I$38=Repex_Analysis!$B40)*Stations!L$7:L$38)+SUMPRODUCT((Lines!$I$7:$I$37=Repex_Analysis!$B40)*Lines!L$7:L$37)+SUMPRODUCT((ESL_1!$I$7:$I$37=Repex_Analysis!$B40)*ESL_1!L$7:L$37)</f>
        <v>0</v>
      </c>
      <c r="F40" s="515"/>
      <c r="G40" s="515"/>
      <c r="H40" s="515"/>
      <c r="I40" s="515"/>
      <c r="J40" s="515"/>
    </row>
  </sheetData>
  <mergeCells count="1">
    <mergeCell ref="G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27</vt:i4>
      </vt:variant>
    </vt:vector>
  </HeadingPairs>
  <TitlesOfParts>
    <vt:vector size="70" baseType="lpstr">
      <vt:lpstr>Inputs to Connections Model</vt:lpstr>
      <vt:lpstr>Input from Connections Model</vt:lpstr>
      <vt:lpstr>Contents</vt:lpstr>
      <vt:lpstr>Assumptions</vt:lpstr>
      <vt:lpstr>Lookups -&gt;</vt:lpstr>
      <vt:lpstr>Lab_Mat</vt:lpstr>
      <vt:lpstr>Escalators</vt:lpstr>
      <vt:lpstr>Lookups</vt:lpstr>
      <vt:lpstr>START</vt:lpstr>
      <vt:lpstr>Inputs -&gt;</vt:lpstr>
      <vt:lpstr>Augmentation</vt:lpstr>
      <vt:lpstr>Connections</vt:lpstr>
      <vt:lpstr>Major_Rebuilds</vt:lpstr>
      <vt:lpstr>Stations</vt:lpstr>
      <vt:lpstr>Lines</vt:lpstr>
      <vt:lpstr>PC&amp;A</vt:lpstr>
      <vt:lpstr>SCADA&amp;Comms</vt:lpstr>
      <vt:lpstr>ESL_1</vt:lpstr>
      <vt:lpstr>ESL_2</vt:lpstr>
      <vt:lpstr>REFCL</vt:lpstr>
      <vt:lpstr>ICT</vt:lpstr>
      <vt:lpstr>Metering_SCS</vt:lpstr>
      <vt:lpstr>Other_NN</vt:lpstr>
      <vt:lpstr>Downer_Contract</vt:lpstr>
      <vt:lpstr>Aggregations &amp; Alloc -&gt;</vt:lpstr>
      <vt:lpstr>Base_Forecast</vt:lpstr>
      <vt:lpstr>Reg_Forecast</vt:lpstr>
      <vt:lpstr>Capex_by_Driver</vt:lpstr>
      <vt:lpstr>Safety</vt:lpstr>
      <vt:lpstr>AusNet_Overheads</vt:lpstr>
      <vt:lpstr>Outputs -&gt;</vt:lpstr>
      <vt:lpstr>RFM_PTRM</vt:lpstr>
      <vt:lpstr>Capex_2016-2026</vt:lpstr>
      <vt:lpstr>DER</vt:lpstr>
      <vt:lpstr>REFCL_view</vt:lpstr>
      <vt:lpstr>RIN Template -&gt;</vt:lpstr>
      <vt:lpstr>2.1 Exp Summary</vt:lpstr>
      <vt:lpstr>2.1.8 Cap Overheads</vt:lpstr>
      <vt:lpstr>2.6 Non-Network</vt:lpstr>
      <vt:lpstr>2.11 Labour</vt:lpstr>
      <vt:lpstr>2.17 Step Changes</vt:lpstr>
      <vt:lpstr>Other -&gt;</vt:lpstr>
      <vt:lpstr>Repex_Analysis</vt:lpstr>
      <vt:lpstr>Act_Type_Augex</vt:lpstr>
      <vt:lpstr>Act_Type_Augex_Splits</vt:lpstr>
      <vt:lpstr>Act_Type_Connections</vt:lpstr>
      <vt:lpstr>Act_Type_Connections_Splits</vt:lpstr>
      <vt:lpstr>Act_Type_Repex</vt:lpstr>
      <vt:lpstr>Act_Type_Repex_Splits</vt:lpstr>
      <vt:lpstr>CP_Yr_4</vt:lpstr>
      <vt:lpstr>CP_Yr_5</vt:lpstr>
      <vt:lpstr>CReg_Period</vt:lpstr>
      <vt:lpstr>Direct_Cost_Splits_Network</vt:lpstr>
      <vt:lpstr>Direct_Cost_Splits_Non_Ntwk</vt:lpstr>
      <vt:lpstr>Direct_Cost_Type</vt:lpstr>
      <vt:lpstr>Mat_Type</vt:lpstr>
      <vt:lpstr>Millions</vt:lpstr>
      <vt:lpstr>NReg_Period</vt:lpstr>
      <vt:lpstr>'2.17 Step Changes'!Print_Area</vt:lpstr>
      <vt:lpstr>Contents!Print_Area</vt:lpstr>
      <vt:lpstr>RIN_Asset_Cat_Network</vt:lpstr>
      <vt:lpstr>RIN_Asset_Cat_Non_Ntwk</vt:lpstr>
      <vt:lpstr>Stub</vt:lpstr>
      <vt:lpstr>Downer_Contract!Thousands</vt:lpstr>
      <vt:lpstr>Thousands</vt:lpstr>
      <vt:lpstr>Yr_1</vt:lpstr>
      <vt:lpstr>Yr_2</vt:lpstr>
      <vt:lpstr>Yr_3</vt:lpstr>
      <vt:lpstr>Yr_4</vt:lpstr>
      <vt:lpstr>Yr_5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2020-09-14T05:19:57Z</dcterms:created>
  <dcterms:modified xsi:type="dcterms:W3CDTF">2020-09-28T00:10:14Z</dcterms:modified>
</cp:coreProperties>
</file>