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870" activeTab="4"/>
  </bookViews>
  <sheets>
    <sheet name="Readme" sheetId="2" r:id="rId1"/>
    <sheet name="Cost Drivers" sheetId="4" r:id="rId2"/>
    <sheet name="Opex Modelling Results" sheetId="5" r:id="rId3"/>
    <sheet name="Efficiency Target Option" sheetId="8" r:id="rId4"/>
    <sheet name="Opex Forecasts" sheetId="7" r:id="rId5"/>
    <sheet name="Inputs" sheetId="3" r:id="rId6"/>
    <sheet name="Summary" sheetId="9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9" l="1"/>
  <c r="A16" i="2" l="1"/>
  <c r="Q1" i="4"/>
  <c r="P1" i="4"/>
  <c r="O1" i="4"/>
  <c r="N1" i="4"/>
  <c r="M1" i="4"/>
  <c r="L1" i="4"/>
  <c r="K1" i="4"/>
  <c r="J1" i="4"/>
  <c r="I1" i="4"/>
  <c r="H1" i="4"/>
  <c r="G1" i="4"/>
  <c r="F1" i="4"/>
  <c r="E1" i="4"/>
  <c r="D1" i="4"/>
  <c r="P21" i="4" l="1"/>
  <c r="L21" i="4"/>
  <c r="L22" i="4"/>
  <c r="P22" i="4"/>
  <c r="Q14" i="4"/>
  <c r="H21" i="4"/>
  <c r="H22" i="4"/>
  <c r="Q10" i="4"/>
  <c r="Q15" i="4"/>
  <c r="A13" i="9"/>
  <c r="A8" i="9"/>
  <c r="A3" i="9"/>
  <c r="A1" i="9"/>
  <c r="V22" i="7"/>
  <c r="U22" i="7"/>
  <c r="P22" i="7"/>
  <c r="O22" i="7"/>
  <c r="J22" i="7"/>
  <c r="I22" i="7"/>
  <c r="D22" i="7"/>
  <c r="C22" i="7"/>
  <c r="E6" i="7"/>
  <c r="A1" i="7"/>
  <c r="H6" i="8"/>
  <c r="H20" i="4"/>
  <c r="A1" i="4"/>
  <c r="A36" i="2"/>
  <c r="A27" i="2"/>
  <c r="A24" i="2"/>
  <c r="A5" i="2"/>
  <c r="A11" i="9" l="1"/>
  <c r="A10" i="9"/>
  <c r="A9" i="9"/>
  <c r="N8" i="8" l="1"/>
  <c r="N7" i="8"/>
  <c r="N6" i="8"/>
  <c r="H25" i="8"/>
  <c r="H44" i="8" l="1"/>
  <c r="H63" i="8"/>
  <c r="W22" i="7"/>
  <c r="W23" i="7" s="1"/>
  <c r="E22" i="7"/>
  <c r="K6" i="7"/>
  <c r="Q6" i="7" s="1"/>
  <c r="W6" i="7" s="1"/>
  <c r="T3" i="7"/>
  <c r="N3" i="7"/>
  <c r="H3" i="7"/>
  <c r="B3" i="7"/>
  <c r="Q22" i="7" l="1"/>
  <c r="Q23" i="7" s="1"/>
  <c r="K22" i="7"/>
  <c r="K23" i="7" s="1"/>
  <c r="E23" i="7"/>
  <c r="B17" i="8" l="1"/>
  <c r="B37" i="8"/>
  <c r="B56" i="8"/>
  <c r="B75" i="8"/>
  <c r="B6" i="7"/>
  <c r="B18" i="8"/>
  <c r="H6" i="7"/>
  <c r="B36" i="8"/>
  <c r="N6" i="7"/>
  <c r="B55" i="8"/>
  <c r="T6" i="7"/>
  <c r="B74" i="8"/>
  <c r="B7" i="7"/>
  <c r="B7" i="8"/>
  <c r="H7" i="7"/>
  <c r="B26" i="8"/>
  <c r="N7" i="7"/>
  <c r="B45" i="8"/>
  <c r="T7" i="7"/>
  <c r="B64" i="8"/>
  <c r="B8" i="7"/>
  <c r="B15" i="8"/>
  <c r="H8" i="7"/>
  <c r="B35" i="8"/>
  <c r="N8" i="7"/>
  <c r="O8" i="7" s="1"/>
  <c r="B53" i="8"/>
  <c r="T8" i="7"/>
  <c r="B72" i="8"/>
  <c r="B9" i="7"/>
  <c r="B14" i="8"/>
  <c r="H9" i="7"/>
  <c r="B33" i="8"/>
  <c r="B52" i="8"/>
  <c r="B70" i="8"/>
  <c r="B10" i="7"/>
  <c r="B16" i="8"/>
  <c r="H10" i="7"/>
  <c r="B34" i="8"/>
  <c r="B51" i="8"/>
  <c r="B71" i="8"/>
  <c r="B13" i="8"/>
  <c r="B31" i="8"/>
  <c r="B48" i="8"/>
  <c r="B68" i="8"/>
  <c r="B12" i="8"/>
  <c r="B32" i="8"/>
  <c r="B54" i="8"/>
  <c r="B73" i="8"/>
  <c r="B6" i="8"/>
  <c r="B25" i="8"/>
  <c r="B44" i="8"/>
  <c r="B63" i="8"/>
  <c r="B10" i="8"/>
  <c r="B29" i="8"/>
  <c r="B46" i="8"/>
  <c r="B66" i="8"/>
  <c r="B11" i="8"/>
  <c r="B30" i="8"/>
  <c r="N9" i="7"/>
  <c r="B50" i="8"/>
  <c r="T9" i="7"/>
  <c r="B69" i="8"/>
  <c r="B9" i="8"/>
  <c r="B28" i="8"/>
  <c r="N10" i="7"/>
  <c r="B47" i="8"/>
  <c r="T10" i="7"/>
  <c r="B67" i="8"/>
  <c r="B8" i="8"/>
  <c r="B27" i="8"/>
  <c r="B49" i="8"/>
  <c r="B65" i="8"/>
  <c r="U7" i="7" l="1"/>
  <c r="K24" i="7"/>
  <c r="C7" i="7"/>
  <c r="U8" i="7"/>
  <c r="I7" i="7"/>
  <c r="O6" i="7"/>
  <c r="I8" i="7"/>
  <c r="O7" i="7"/>
  <c r="U6" i="7"/>
  <c r="W24" i="7"/>
  <c r="I6" i="7"/>
  <c r="Q24" i="7"/>
  <c r="E24" i="7"/>
  <c r="C8" i="7"/>
  <c r="C6" i="7"/>
  <c r="D8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P15" i="4"/>
  <c r="L25" i="4" s="1"/>
  <c r="E14" i="4"/>
  <c r="F14" i="4"/>
  <c r="G14" i="4"/>
  <c r="H14" i="4"/>
  <c r="I14" i="4"/>
  <c r="J14" i="4"/>
  <c r="K14" i="4"/>
  <c r="L14" i="4"/>
  <c r="M14" i="4"/>
  <c r="N14" i="4"/>
  <c r="O14" i="4"/>
  <c r="P14" i="4"/>
  <c r="D15" i="4"/>
  <c r="E15" i="4"/>
  <c r="F15" i="4"/>
  <c r="G15" i="4"/>
  <c r="H15" i="4"/>
  <c r="I15" i="4"/>
  <c r="J15" i="4"/>
  <c r="K15" i="4"/>
  <c r="L15" i="4"/>
  <c r="M15" i="4"/>
  <c r="N15" i="4"/>
  <c r="O15" i="4"/>
  <c r="E14" i="7"/>
  <c r="K14" i="7" s="1"/>
  <c r="Q14" i="7" s="1"/>
  <c r="W14" i="7" s="1"/>
  <c r="E15" i="7"/>
  <c r="K15" i="7" s="1"/>
  <c r="Q15" i="7" s="1"/>
  <c r="W15" i="7" s="1"/>
  <c r="L24" i="4" l="1"/>
  <c r="P24" i="4"/>
  <c r="E18" i="7" s="1"/>
  <c r="H25" i="4"/>
  <c r="E8" i="4"/>
  <c r="F8" i="4" s="1"/>
  <c r="G8" i="4" s="1"/>
  <c r="H8" i="4" s="1"/>
  <c r="I8" i="4" s="1"/>
  <c r="J8" i="4" s="1"/>
  <c r="K8" i="4" s="1"/>
  <c r="L8" i="4" s="1"/>
  <c r="M8" i="4" s="1"/>
  <c r="N8" i="4" s="1"/>
  <c r="O8" i="4" s="1"/>
  <c r="P8" i="4" s="1"/>
  <c r="H24" i="4"/>
  <c r="D19" i="3"/>
  <c r="L23" i="4" l="1"/>
  <c r="P23" i="4"/>
  <c r="E16" i="7" s="1"/>
  <c r="L26" i="4"/>
  <c r="B13" i="9"/>
  <c r="Q8" i="4"/>
  <c r="H23" i="4"/>
  <c r="K18" i="7"/>
  <c r="E26" i="7"/>
  <c r="B34" i="7"/>
  <c r="H34" i="7" s="1"/>
  <c r="N34" i="7" s="1"/>
  <c r="T34" i="7" s="1"/>
  <c r="E13" i="9" l="1"/>
  <c r="Q18" i="7"/>
  <c r="K26" i="7"/>
  <c r="K16" i="7"/>
  <c r="E17" i="7"/>
  <c r="E25" i="7" s="1"/>
  <c r="E28" i="7" s="1"/>
  <c r="E32" i="7" s="1"/>
  <c r="L27" i="4" s="1"/>
  <c r="L28" i="4" s="1"/>
  <c r="Q16" i="7" l="1"/>
  <c r="K17" i="7"/>
  <c r="K25" i="7" s="1"/>
  <c r="K28" i="7" s="1"/>
  <c r="K32" i="7" s="1"/>
  <c r="W18" i="7"/>
  <c r="W26" i="7" s="1"/>
  <c r="Q26" i="7"/>
  <c r="W16" i="7" l="1"/>
  <c r="W17" i="7" s="1"/>
  <c r="W25" i="7" s="1"/>
  <c r="W28" i="7" s="1"/>
  <c r="W32" i="7" s="1"/>
  <c r="Q17" i="7"/>
  <c r="Q25" i="7" s="1"/>
  <c r="Q28" i="7" s="1"/>
  <c r="Q32" i="7" s="1"/>
  <c r="D23" i="3" l="1"/>
  <c r="I6" i="8" s="1"/>
  <c r="J6" i="8" l="1"/>
  <c r="O6" i="8"/>
  <c r="I44" i="8"/>
  <c r="I25" i="8"/>
  <c r="J25" i="8" l="1"/>
  <c r="I63" i="8"/>
  <c r="O7" i="8"/>
  <c r="J44" i="8"/>
  <c r="O8" i="8"/>
  <c r="P6" i="8"/>
  <c r="K6" i="8"/>
  <c r="P8" i="8" l="1"/>
  <c r="K44" i="8"/>
  <c r="F6" i="7"/>
  <c r="B35" i="7" s="1"/>
  <c r="Q6" i="8"/>
  <c r="O9" i="8"/>
  <c r="J63" i="8"/>
  <c r="P7" i="8"/>
  <c r="K25" i="8"/>
  <c r="Q7" i="8" l="1"/>
  <c r="L6" i="7"/>
  <c r="H35" i="7" s="1"/>
  <c r="E35" i="7"/>
  <c r="E36" i="7" s="1"/>
  <c r="B9" i="9" s="1"/>
  <c r="K63" i="8"/>
  <c r="P9" i="8"/>
  <c r="Q8" i="8"/>
  <c r="R6" i="7"/>
  <c r="N35" i="7" s="1"/>
  <c r="Q35" i="7" l="1"/>
  <c r="Q36" i="7" s="1"/>
  <c r="B11" i="9" s="1"/>
  <c r="E11" i="9" s="1"/>
  <c r="E9" i="9"/>
  <c r="K35" i="7"/>
  <c r="K36" i="7" s="1"/>
  <c r="B10" i="9" s="1"/>
  <c r="E10" i="9" s="1"/>
  <c r="Q9" i="8"/>
  <c r="Q10" i="8" s="1"/>
  <c r="X6" i="7"/>
  <c r="T35" i="7" s="1"/>
  <c r="W35" i="7" l="1"/>
  <c r="W36" i="7" s="1"/>
  <c r="B12" i="9" s="1"/>
  <c r="E12" i="9" s="1"/>
  <c r="G13" i="9" s="1"/>
  <c r="E15" i="9" l="1"/>
  <c r="E16" i="9" s="1"/>
  <c r="E17" i="9" s="1"/>
  <c r="G9" i="9"/>
  <c r="G10" i="9"/>
  <c r="G12" i="9"/>
  <c r="G11" i="9"/>
  <c r="B15" i="9"/>
  <c r="B16" i="9" s="1"/>
  <c r="B17" i="9" s="1"/>
</calcChain>
</file>

<file path=xl/sharedStrings.xml><?xml version="1.0" encoding="utf-8"?>
<sst xmlns="http://schemas.openxmlformats.org/spreadsheetml/2006/main" count="562" uniqueCount="183">
  <si>
    <t>Opex Base Year Adjustment Model</t>
  </si>
  <si>
    <t xml:space="preserve">Summary: </t>
  </si>
  <si>
    <t xml:space="preserve">– The modelling rolls forward the chosen efficient target on the basis of average-of-the-period (ie results from the opex cost function model) to the base year.  </t>
  </si>
  <si>
    <t xml:space="preserve">– For rolling farward, the opex rate of change formula used for forecasting opex is adopted.     </t>
  </si>
  <si>
    <t>Color-coding convention used for the data, analytical and application worksheets:</t>
  </si>
  <si>
    <t>– Raw data cell:</t>
  </si>
  <si>
    <t>light blue</t>
  </si>
  <si>
    <t>– Calculation cell:</t>
  </si>
  <si>
    <t>dark blue</t>
  </si>
  <si>
    <t xml:space="preserve">– Input cell: </t>
  </si>
  <si>
    <t>light yellow</t>
  </si>
  <si>
    <t>Data Worksheets:</t>
  </si>
  <si>
    <t>Worksheet links:</t>
  </si>
  <si>
    <t>A. Cost Drivers</t>
  </si>
  <si>
    <t>Cost Drivers</t>
  </si>
  <si>
    <t>Input Worksheets:</t>
  </si>
  <si>
    <t>B. Opex Modelling Results</t>
  </si>
  <si>
    <t>Opex Modelling Results</t>
  </si>
  <si>
    <t>– Opex cost function modelling results, including parameter estimates and efficiency estimates</t>
  </si>
  <si>
    <t>Analytical Worksheets:</t>
  </si>
  <si>
    <t xml:space="preserve">C.  Efficiency Target Option </t>
  </si>
  <si>
    <t>Efficiency Target Option</t>
  </si>
  <si>
    <t>D. Opex Forecasts</t>
  </si>
  <si>
    <t>Opex Forecasts</t>
  </si>
  <si>
    <t>E. OEFs</t>
  </si>
  <si>
    <t>– Displays the OEF margin used for analysis</t>
  </si>
  <si>
    <t>F. Inputs</t>
  </si>
  <si>
    <t>Inputs!A1</t>
  </si>
  <si>
    <t>– Takes various values for the opex value, OEF margin, efficiency target and productivity trend and feeds these through the models</t>
  </si>
  <si>
    <t>G. Summary</t>
  </si>
  <si>
    <t>Summary!A1</t>
  </si>
  <si>
    <t>DNSP</t>
  </si>
  <si>
    <t>DNSP Acronym</t>
  </si>
  <si>
    <t>JEN</t>
  </si>
  <si>
    <t>Base year</t>
  </si>
  <si>
    <t>Start of period</t>
  </si>
  <si>
    <t>End of period</t>
  </si>
  <si>
    <t>Opex Category</t>
  </si>
  <si>
    <t>Unit, basis</t>
  </si>
  <si>
    <t>Value ($m)</t>
  </si>
  <si>
    <t>$m nominal</t>
  </si>
  <si>
    <t>OEF input factor:</t>
  </si>
  <si>
    <t>Adjustment</t>
  </si>
  <si>
    <t>Material - total</t>
  </si>
  <si>
    <t>%</t>
  </si>
  <si>
    <t>Material 2018 Sapere/Merz OEFs</t>
  </si>
  <si>
    <t>Vegetation management OEF</t>
  </si>
  <si>
    <t>Econometric results</t>
  </si>
  <si>
    <t xml:space="preserve">Cobb-Douglas SFA </t>
  </si>
  <si>
    <t xml:space="preserve">Cobb-Douglas LSE </t>
  </si>
  <si>
    <t>Translog LSE</t>
  </si>
  <si>
    <t xml:space="preserve">Translog SFA </t>
  </si>
  <si>
    <t>Regression estimates</t>
  </si>
  <si>
    <t>Efficiency score results</t>
  </si>
  <si>
    <t>SFA CD</t>
  </si>
  <si>
    <t>LSE CD</t>
  </si>
  <si>
    <t>LSE TLG</t>
  </si>
  <si>
    <t>SFA TLG</t>
  </si>
  <si>
    <t>Coefficient</t>
  </si>
  <si>
    <t>Estimate</t>
  </si>
  <si>
    <t>z–statistic</t>
  </si>
  <si>
    <t>ACT</t>
  </si>
  <si>
    <t>ly2</t>
  </si>
  <si>
    <t>AGD</t>
  </si>
  <si>
    <t>ly3</t>
  </si>
  <si>
    <t>CIT</t>
  </si>
  <si>
    <t>ly4</t>
  </si>
  <si>
    <t>END</t>
  </si>
  <si>
    <t>lz1</t>
  </si>
  <si>
    <t>ENX</t>
  </si>
  <si>
    <t>ly22</t>
  </si>
  <si>
    <t>yr</t>
  </si>
  <si>
    <t>ERG</t>
  </si>
  <si>
    <t>ly23</t>
  </si>
  <si>
    <t>cd2</t>
  </si>
  <si>
    <t>ESS</t>
  </si>
  <si>
    <t>ly24</t>
  </si>
  <si>
    <t>cd3</t>
  </si>
  <si>
    <t>ly33</t>
  </si>
  <si>
    <t>_cons</t>
  </si>
  <si>
    <t>PCR</t>
  </si>
  <si>
    <t>d2</t>
  </si>
  <si>
    <t>ly34</t>
  </si>
  <si>
    <t>SAP</t>
  </si>
  <si>
    <t>d3</t>
  </si>
  <si>
    <t>ly44</t>
  </si>
  <si>
    <t>AND</t>
  </si>
  <si>
    <t>d4</t>
  </si>
  <si>
    <t>TND</t>
  </si>
  <si>
    <t>d5</t>
  </si>
  <si>
    <t>UED</t>
  </si>
  <si>
    <t>d6</t>
  </si>
  <si>
    <t>d7</t>
  </si>
  <si>
    <t>d8</t>
  </si>
  <si>
    <t>d9</t>
  </si>
  <si>
    <t>d10</t>
  </si>
  <si>
    <t>d11</t>
  </si>
  <si>
    <t>d12</t>
  </si>
  <si>
    <t>d13</t>
  </si>
  <si>
    <t xml:space="preserve">  Difference</t>
  </si>
  <si>
    <t xml:space="preserve">  Forecast increase: average to base</t>
  </si>
  <si>
    <t xml:space="preserve">  Actual Increase: average to base</t>
  </si>
  <si>
    <t>Opex quantity</t>
  </si>
  <si>
    <t>Share Underground</t>
  </si>
  <si>
    <t>Ratcheted Maximum Demand</t>
  </si>
  <si>
    <t>Circuit Length</t>
  </si>
  <si>
    <t>Customer numbers</t>
  </si>
  <si>
    <t>Avr to 2018</t>
  </si>
  <si>
    <t>Rates of Change</t>
  </si>
  <si>
    <t>$'000RY2018</t>
  </si>
  <si>
    <t xml:space="preserve"> - Opex quantity</t>
  </si>
  <si>
    <t xml:space="preserve"> - Opex price escalation (nominal)</t>
  </si>
  <si>
    <t>CY2006 =1</t>
  </si>
  <si>
    <t>$'000</t>
  </si>
  <si>
    <t>Fraction</t>
  </si>
  <si>
    <t>kms</t>
  </si>
  <si>
    <t>MW</t>
  </si>
  <si>
    <t>Ratcheted Maximum Demand (50% POE forecast (DOPSD0109))</t>
  </si>
  <si>
    <t>number</t>
  </si>
  <si>
    <t>Unit</t>
  </si>
  <si>
    <t>TFP Data and Forecasts</t>
  </si>
  <si>
    <t xml:space="preserve">Source: Economic Insights Results for the 2018 AER Annual Benchmarking Report (updated)
</t>
  </si>
  <si>
    <t>Opex Cost Function Modelling -- Medium Database Regression Results</t>
  </si>
  <si>
    <t>CD SFA</t>
  </si>
  <si>
    <t>Efficiency target to set</t>
  </si>
  <si>
    <t>Margin allowance</t>
  </si>
  <si>
    <t>Efficiency target</t>
  </si>
  <si>
    <t>Implied opex reduction to reach effciency target</t>
  </si>
  <si>
    <t>Summary</t>
  </si>
  <si>
    <t>Efficiency score</t>
  </si>
  <si>
    <t>Margin on input use</t>
  </si>
  <si>
    <t>Model</t>
  </si>
  <si>
    <t>Translog SFA</t>
  </si>
  <si>
    <t>Average</t>
  </si>
  <si>
    <t>Target</t>
  </si>
  <si>
    <t>CD LSE</t>
  </si>
  <si>
    <t>Model's estimated cost elasticities</t>
  </si>
  <si>
    <t>Technology</t>
  </si>
  <si>
    <t xml:space="preserve">DNSP's forecast driver growth rates </t>
  </si>
  <si>
    <t>Weighted Average Output Growth (1)</t>
  </si>
  <si>
    <t>PP Opex Growth Rates Forecast</t>
  </si>
  <si>
    <t>Years From Midpoint</t>
  </si>
  <si>
    <t>Technology (A)</t>
  </si>
  <si>
    <t>Returns to Scale (B)</t>
  </si>
  <si>
    <t>Business Conditions (C)</t>
  </si>
  <si>
    <t>PP Opex Growth Rates [2 = A+B-C]</t>
  </si>
  <si>
    <t>Real input cost escalation (3)</t>
  </si>
  <si>
    <t>Opex rate of change [=(1 &amp; 3) / 2]</t>
  </si>
  <si>
    <t>Target opex ($'000RY2018)</t>
  </si>
  <si>
    <t>Coefficients</t>
  </si>
  <si>
    <t>Output Weights</t>
  </si>
  <si>
    <t>Start year</t>
  </si>
  <si>
    <t>End year</t>
  </si>
  <si>
    <t>Target opex reduction after ex post OEF adjustment</t>
  </si>
  <si>
    <t>Midpoint</t>
  </si>
  <si>
    <t>Average*ROC</t>
  </si>
  <si>
    <t>`</t>
  </si>
  <si>
    <t>OEF assumption: 2018 Sapere/Merz OEFs and updated OEFs for vegetation management</t>
  </si>
  <si>
    <t>Efficiency target assumption: 0.75</t>
  </si>
  <si>
    <t>Average of models</t>
  </si>
  <si>
    <t>Total underground circuit km</t>
  </si>
  <si>
    <t>Total customer numbers</t>
  </si>
  <si>
    <t>Non-coincident Summated Raw System Annual Maximum Demand</t>
  </si>
  <si>
    <t>Opex for network services</t>
  </si>
  <si>
    <t>Total circuit</t>
  </si>
  <si>
    <t>index</t>
  </si>
  <si>
    <t>t–statistic</t>
  </si>
  <si>
    <t>Difference ($)</t>
  </si>
  <si>
    <t>Difference (%)</t>
  </si>
  <si>
    <t>Ausnet</t>
  </si>
  <si>
    <t>base year</t>
  </si>
  <si>
    <t>$m, FY21</t>
  </si>
  <si>
    <t>Inflator (Nom18$ to Real21$)</t>
  </si>
  <si>
    <t>Price Opex</t>
  </si>
  <si>
    <t>Business specific inflator</t>
  </si>
  <si>
    <t>Target opex ($'000Jun2021)</t>
  </si>
  <si>
    <t>CY2018</t>
  </si>
  <si>
    <t>Average 2006-18 opex ($'000RY2018)</t>
  </si>
  <si>
    <t>Average 2006-18</t>
  </si>
  <si>
    <t>Network services opex (reflecting 2013 CAM) base year</t>
  </si>
  <si>
    <t>ABR Results</t>
  </si>
  <si>
    <t>Exclude</t>
  </si>
  <si>
    <t>2019 ABR (updated)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</si>
</sst>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64" formatCode="_(* #,##0.00_);_(* \(#,##0.00\);_(* &quot;-&quot;??_);_(@_)"/>
    <numFmt numFmtId="165" formatCode="0.00000"/>
    <numFmt numFmtId="166" formatCode="0.0"/>
    <numFmt numFmtId="167" formatCode="0.0%"/>
    <numFmt numFmtId="168" formatCode="#,##0.0"/>
    <numFmt numFmtId="169" formatCode="_(&quot;$&quot;* #,##0.00_);_(&quot;$&quot;* \(#,##0.00\);_(&quot;$&quot;* &quot;-&quot;??_);_(@_)"/>
    <numFmt numFmtId="170" formatCode="_-&quot;$&quot;* #,##0_-;\-&quot;$&quot;* #,##0_-;_-&quot;$&quot;* &quot;-&quot;??_-;_-@_-"/>
    <numFmt numFmtId="171" formatCode="_-* #,##0_-;\-* #,##0_-;_-* &quot;-&quot;??_-;_-@_-"/>
    <numFmt numFmtId="172" formatCode="_(#,##0_);\(#,##0\);_(&quot;-&quot;_)"/>
    <numFmt numFmtId="173" formatCode="#,##0.0000"/>
    <numFmt numFmtId="174" formatCode="0.0000"/>
    <numFmt numFmtId="175" formatCode="0.000"/>
    <numFmt numFmtId="176" formatCode="_-* #,##0.0_-;\-* #,##0.0_-;_-* &quot;-&quot;??_-;_-@_-"/>
    <numFmt numFmtId="177" formatCode="_(* #,##0.0_);_(* \(#,##0.0\);_(* &quot;-&quot;??_);_(@_)"/>
    <numFmt numFmtId="178" formatCode="#,##0.0;[Red]\-#,##0.0"/>
    <numFmt numFmtId="179" formatCode="#,##0.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sz val="18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u/>
      <sz val="10"/>
      <color theme="10"/>
      <name val="Arial"/>
      <family val="2"/>
    </font>
    <font>
      <b/>
      <sz val="10"/>
      <color theme="0"/>
      <name val="Arial"/>
      <family val="2"/>
    </font>
    <font>
      <sz val="11"/>
      <color rgb="FF3F3F3F"/>
      <name val="Calibri"/>
      <family val="2"/>
      <scheme val="minor"/>
    </font>
    <font>
      <sz val="11"/>
      <name val="Arial"/>
      <family val="2"/>
    </font>
    <font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sz val="11"/>
      <color indexed="8"/>
      <name val="Calibri"/>
      <family val="2"/>
    </font>
    <font>
      <sz val="8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1"/>
      <color rgb="FFFF0000"/>
      <name val="Calibri"/>
      <family val="2"/>
    </font>
    <font>
      <sz val="10"/>
      <color theme="0" tint="-0.3499862666707357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9CCFF"/>
        <bgColor rgb="FF000000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3F3F3F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</borders>
  <cellStyleXfs count="18">
    <xf numFmtId="0" fontId="0" fillId="0" borderId="0"/>
    <xf numFmtId="0" fontId="2" fillId="0" borderId="1" applyNumberFormat="0" applyFill="0" applyAlignment="0" applyProtection="0"/>
    <xf numFmtId="0" fontId="3" fillId="2" borderId="2" applyNumberFormat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11" fillId="0" borderId="0" applyNumberForma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2" fontId="18" fillId="0" borderId="21">
      <alignment horizontal="right" vertical="center"/>
      <protection locked="0"/>
    </xf>
    <xf numFmtId="0" fontId="1" fillId="0" borderId="0"/>
    <xf numFmtId="0" fontId="23" fillId="0" borderId="0"/>
    <xf numFmtId="164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08">
    <xf numFmtId="0" fontId="0" fillId="0" borderId="0" xfId="0"/>
    <xf numFmtId="0" fontId="6" fillId="3" borderId="3" xfId="4" applyFont="1" applyFill="1" applyBorder="1"/>
    <xf numFmtId="0" fontId="7" fillId="3" borderId="3" xfId="4" applyFont="1" applyFill="1" applyBorder="1"/>
    <xf numFmtId="0" fontId="5" fillId="3" borderId="3" xfId="4" applyFill="1" applyBorder="1"/>
    <xf numFmtId="0" fontId="8" fillId="3" borderId="0" xfId="4" applyFont="1" applyFill="1"/>
    <xf numFmtId="0" fontId="7" fillId="3" borderId="0" xfId="4" applyFont="1" applyFill="1"/>
    <xf numFmtId="0" fontId="5" fillId="3" borderId="0" xfId="4" applyFill="1"/>
    <xf numFmtId="0" fontId="9" fillId="3" borderId="0" xfId="4" applyFont="1" applyFill="1"/>
    <xf numFmtId="0" fontId="7" fillId="4" borderId="0" xfId="4" applyFont="1" applyFill="1"/>
    <xf numFmtId="0" fontId="7" fillId="5" borderId="0" xfId="4" applyFont="1" applyFill="1"/>
    <xf numFmtId="0" fontId="7" fillId="6" borderId="0" xfId="4" applyFont="1" applyFill="1"/>
    <xf numFmtId="0" fontId="10" fillId="3" borderId="0" xfId="4" applyFont="1" applyFill="1"/>
    <xf numFmtId="0" fontId="11" fillId="3" borderId="0" xfId="5" quotePrefix="1" applyFill="1"/>
    <xf numFmtId="0" fontId="11" fillId="3" borderId="0" xfId="5" applyFill="1"/>
    <xf numFmtId="0" fontId="12" fillId="7" borderId="4" xfId="4" applyFont="1" applyFill="1" applyBorder="1"/>
    <xf numFmtId="165" fontId="5" fillId="8" borderId="5" xfId="4" applyNumberFormat="1" applyFont="1" applyFill="1" applyBorder="1"/>
    <xf numFmtId="0" fontId="5" fillId="0" borderId="0" xfId="4"/>
    <xf numFmtId="1" fontId="5" fillId="8" borderId="5" xfId="4" applyNumberFormat="1" applyFont="1" applyFill="1" applyBorder="1"/>
    <xf numFmtId="165" fontId="5" fillId="8" borderId="6" xfId="4" applyNumberFormat="1" applyFont="1" applyFill="1" applyBorder="1"/>
    <xf numFmtId="0" fontId="4" fillId="0" borderId="0" xfId="3" applyFill="1"/>
    <xf numFmtId="2" fontId="5" fillId="0" borderId="0" xfId="4" applyNumberFormat="1" applyFont="1" applyFill="1" applyBorder="1"/>
    <xf numFmtId="166" fontId="1" fillId="0" borderId="0" xfId="6" applyNumberFormat="1" applyFill="1" applyBorder="1"/>
    <xf numFmtId="0" fontId="5" fillId="0" borderId="0" xfId="4" applyFill="1"/>
    <xf numFmtId="167" fontId="7" fillId="0" borderId="0" xfId="7" applyNumberFormat="1" applyFont="1" applyFill="1" applyBorder="1" applyAlignment="1">
      <alignment horizontal="center" vertical="center"/>
    </xf>
    <xf numFmtId="0" fontId="12" fillId="7" borderId="7" xfId="4" applyFont="1" applyFill="1" applyBorder="1"/>
    <xf numFmtId="0" fontId="12" fillId="7" borderId="8" xfId="4" applyFont="1" applyFill="1" applyBorder="1"/>
    <xf numFmtId="0" fontId="12" fillId="9" borderId="9" xfId="4" applyFont="1" applyFill="1" applyBorder="1"/>
    <xf numFmtId="2" fontId="5" fillId="0" borderId="0" xfId="4" applyNumberFormat="1" applyFont="1" applyBorder="1"/>
    <xf numFmtId="166" fontId="13" fillId="10" borderId="10" xfId="2" applyNumberFormat="1" applyFont="1" applyFill="1" applyBorder="1"/>
    <xf numFmtId="0" fontId="4" fillId="0" borderId="0" xfId="3"/>
    <xf numFmtId="10" fontId="5" fillId="0" borderId="0" xfId="4" applyNumberFormat="1"/>
    <xf numFmtId="168" fontId="7" fillId="5" borderId="0" xfId="4" applyNumberFormat="1" applyFont="1" applyFill="1" applyBorder="1" applyAlignment="1">
      <alignment horizontal="right" vertical="center"/>
    </xf>
    <xf numFmtId="10" fontId="0" fillId="0" borderId="0" xfId="7" applyNumberFormat="1" applyFont="1"/>
    <xf numFmtId="0" fontId="9" fillId="0" borderId="0" xfId="6" applyFont="1" applyFill="1"/>
    <xf numFmtId="10" fontId="7" fillId="5" borderId="11" xfId="7" applyNumberFormat="1" applyFont="1" applyFill="1" applyBorder="1" applyAlignment="1">
      <alignment horizontal="right" vertical="center"/>
    </xf>
    <xf numFmtId="0" fontId="12" fillId="9" borderId="12" xfId="4" applyFont="1" applyFill="1" applyBorder="1"/>
    <xf numFmtId="0" fontId="14" fillId="0" borderId="0" xfId="4" applyFont="1"/>
    <xf numFmtId="0" fontId="2" fillId="0" borderId="1" xfId="1"/>
    <xf numFmtId="0" fontId="9" fillId="0" borderId="7" xfId="6" applyFont="1" applyBorder="1"/>
    <xf numFmtId="0" fontId="15" fillId="0" borderId="8" xfId="6" applyFont="1" applyBorder="1"/>
    <xf numFmtId="0" fontId="15" fillId="0" borderId="8" xfId="6" applyNumberFormat="1" applyFont="1" applyBorder="1"/>
    <xf numFmtId="0" fontId="9" fillId="0" borderId="8" xfId="4" applyFont="1" applyBorder="1"/>
    <xf numFmtId="0" fontId="1" fillId="0" borderId="8" xfId="6" applyBorder="1"/>
    <xf numFmtId="0" fontId="9" fillId="0" borderId="8" xfId="6" applyFont="1" applyBorder="1"/>
    <xf numFmtId="0" fontId="15" fillId="0" borderId="13" xfId="6" applyFont="1" applyBorder="1"/>
    <xf numFmtId="0" fontId="15" fillId="0" borderId="9" xfId="6" applyFont="1" applyBorder="1"/>
    <xf numFmtId="0" fontId="15" fillId="0" borderId="0" xfId="6" applyFont="1" applyBorder="1"/>
    <xf numFmtId="0" fontId="1" fillId="0" borderId="0" xfId="6" applyBorder="1"/>
    <xf numFmtId="0" fontId="15" fillId="0" borderId="11" xfId="6" applyFont="1" applyBorder="1"/>
    <xf numFmtId="0" fontId="9" fillId="0" borderId="9" xfId="6" applyFont="1" applyBorder="1"/>
    <xf numFmtId="0" fontId="9" fillId="0" borderId="0" xfId="6" applyFont="1" applyBorder="1"/>
    <xf numFmtId="0" fontId="16" fillId="0" borderId="0" xfId="6" applyFont="1" applyBorder="1"/>
    <xf numFmtId="0" fontId="16" fillId="0" borderId="11" xfId="6" applyFont="1" applyBorder="1"/>
    <xf numFmtId="0" fontId="15" fillId="11" borderId="14" xfId="4" applyFont="1" applyFill="1" applyBorder="1" applyAlignment="1">
      <alignment vertical="center" wrapText="1"/>
    </xf>
    <xf numFmtId="0" fontId="15" fillId="11" borderId="15" xfId="4" applyFont="1" applyFill="1" applyBorder="1" applyAlignment="1">
      <alignment horizontal="right" vertical="center" wrapText="1"/>
    </xf>
    <xf numFmtId="3" fontId="15" fillId="0" borderId="0" xfId="6" applyNumberFormat="1" applyFont="1" applyBorder="1"/>
    <xf numFmtId="0" fontId="15" fillId="11" borderId="15" xfId="4" applyFont="1" applyFill="1" applyBorder="1" applyAlignment="1">
      <alignment vertical="center" wrapText="1"/>
    </xf>
    <xf numFmtId="0" fontId="7" fillId="11" borderId="16" xfId="4" applyFont="1" applyFill="1" applyBorder="1"/>
    <xf numFmtId="0" fontId="7" fillId="11" borderId="17" xfId="4" applyFont="1" applyFill="1" applyBorder="1"/>
    <xf numFmtId="0" fontId="7" fillId="11" borderId="9" xfId="4" applyFont="1" applyFill="1" applyBorder="1"/>
    <xf numFmtId="0" fontId="7" fillId="11" borderId="0" xfId="4" applyFont="1" applyFill="1" applyBorder="1"/>
    <xf numFmtId="0" fontId="7" fillId="11" borderId="18" xfId="4" applyFont="1" applyFill="1" applyBorder="1"/>
    <xf numFmtId="0" fontId="1" fillId="0" borderId="11" xfId="6" applyBorder="1"/>
    <xf numFmtId="0" fontId="7" fillId="11" borderId="19" xfId="4" applyFont="1" applyFill="1" applyBorder="1"/>
    <xf numFmtId="0" fontId="15" fillId="0" borderId="0" xfId="6" applyNumberFormat="1" applyFont="1" applyBorder="1"/>
    <xf numFmtId="9" fontId="15" fillId="0" borderId="0" xfId="6" applyNumberFormat="1" applyFont="1" applyBorder="1"/>
    <xf numFmtId="0" fontId="15" fillId="0" borderId="12" xfId="6" applyFont="1" applyBorder="1"/>
    <xf numFmtId="0" fontId="15" fillId="0" borderId="3" xfId="6" applyFont="1" applyBorder="1"/>
    <xf numFmtId="9" fontId="15" fillId="0" borderId="3" xfId="6" applyNumberFormat="1" applyFont="1" applyBorder="1"/>
    <xf numFmtId="0" fontId="15" fillId="0" borderId="3" xfId="6" applyNumberFormat="1" applyFont="1" applyBorder="1"/>
    <xf numFmtId="0" fontId="7" fillId="11" borderId="3" xfId="4" applyFont="1" applyFill="1" applyBorder="1"/>
    <xf numFmtId="0" fontId="1" fillId="0" borderId="3" xfId="6" applyBorder="1"/>
    <xf numFmtId="0" fontId="1" fillId="0" borderId="20" xfId="6" applyBorder="1"/>
    <xf numFmtId="3" fontId="5" fillId="0" borderId="0" xfId="4" applyNumberFormat="1"/>
    <xf numFmtId="0" fontId="7" fillId="0" borderId="0" xfId="4" applyFont="1"/>
    <xf numFmtId="3" fontId="7" fillId="0" borderId="0" xfId="4" applyNumberFormat="1" applyFont="1"/>
    <xf numFmtId="0" fontId="7" fillId="0" borderId="0" xfId="4" applyFont="1" applyFill="1"/>
    <xf numFmtId="0" fontId="7" fillId="0" borderId="0" xfId="4" applyFont="1" applyFill="1" applyBorder="1"/>
    <xf numFmtId="0" fontId="7" fillId="0" borderId="0" xfId="4" applyFont="1" applyBorder="1"/>
    <xf numFmtId="170" fontId="7" fillId="0" borderId="0" xfId="8" applyNumberFormat="1" applyFont="1" applyBorder="1"/>
    <xf numFmtId="170" fontId="7" fillId="0" borderId="0" xfId="8" applyNumberFormat="1" applyFont="1"/>
    <xf numFmtId="170" fontId="7" fillId="0" borderId="0" xfId="8" applyNumberFormat="1" applyFont="1" applyFill="1"/>
    <xf numFmtId="171" fontId="15" fillId="0" borderId="0" xfId="4" applyNumberFormat="1" applyFont="1" applyAlignment="1">
      <alignment horizontal="left" vertical="center"/>
    </xf>
    <xf numFmtId="171" fontId="9" fillId="0" borderId="0" xfId="4" applyNumberFormat="1" applyFont="1" applyAlignment="1">
      <alignment horizontal="left" vertical="center"/>
    </xf>
    <xf numFmtId="10" fontId="7" fillId="0" borderId="0" xfId="4" applyNumberFormat="1" applyFont="1" applyFill="1" applyBorder="1"/>
    <xf numFmtId="171" fontId="17" fillId="0" borderId="0" xfId="4" applyNumberFormat="1" applyFont="1" applyFill="1" applyAlignment="1">
      <alignment horizontal="left" vertical="center"/>
    </xf>
    <xf numFmtId="10" fontId="7" fillId="5" borderId="0" xfId="7" applyNumberFormat="1" applyFont="1" applyFill="1" applyBorder="1"/>
    <xf numFmtId="10" fontId="7" fillId="5" borderId="0" xfId="4" applyNumberFormat="1" applyFont="1" applyFill="1" applyBorder="1"/>
    <xf numFmtId="0" fontId="7" fillId="5" borderId="0" xfId="4" applyFont="1" applyFill="1" applyBorder="1"/>
    <xf numFmtId="3" fontId="7" fillId="5" borderId="0" xfId="4" applyNumberFormat="1" applyFont="1" applyFill="1" applyBorder="1"/>
    <xf numFmtId="3" fontId="10" fillId="5" borderId="0" xfId="4" applyNumberFormat="1" applyFont="1" applyFill="1" applyBorder="1"/>
    <xf numFmtId="172" fontId="10" fillId="5" borderId="0" xfId="4" applyNumberFormat="1" applyFont="1" applyFill="1" applyBorder="1"/>
    <xf numFmtId="171" fontId="17" fillId="0" borderId="0" xfId="4" applyNumberFormat="1" applyFont="1" applyAlignment="1">
      <alignment horizontal="center" vertical="center"/>
    </xf>
    <xf numFmtId="173" fontId="10" fillId="5" borderId="0" xfId="4" applyNumberFormat="1" applyFont="1" applyFill="1" applyBorder="1"/>
    <xf numFmtId="164" fontId="10" fillId="5" borderId="0" xfId="9" applyNumberFormat="1" applyFont="1" applyFill="1" applyBorder="1"/>
    <xf numFmtId="0" fontId="10" fillId="5" borderId="0" xfId="4" applyFont="1" applyFill="1" applyBorder="1"/>
    <xf numFmtId="0" fontId="10" fillId="5" borderId="0" xfId="4" applyFont="1" applyFill="1" applyBorder="1" applyAlignment="1">
      <alignment wrapText="1"/>
    </xf>
    <xf numFmtId="171" fontId="9" fillId="0" borderId="0" xfId="4" applyNumberFormat="1" applyFont="1"/>
    <xf numFmtId="1" fontId="7" fillId="0" borderId="0" xfId="4" applyNumberFormat="1" applyFont="1" applyBorder="1"/>
    <xf numFmtId="171" fontId="17" fillId="0" borderId="0" xfId="4" applyNumberFormat="1" applyFont="1" applyFill="1" applyAlignment="1">
      <alignment horizontal="center" vertical="center"/>
    </xf>
    <xf numFmtId="174" fontId="7" fillId="0" borderId="0" xfId="4" applyNumberFormat="1" applyFont="1" applyBorder="1"/>
    <xf numFmtId="10" fontId="7" fillId="0" borderId="0" xfId="4" applyNumberFormat="1" applyFont="1" applyBorder="1"/>
    <xf numFmtId="174" fontId="7" fillId="0" borderId="0" xfId="7" applyNumberFormat="1" applyFont="1" applyBorder="1"/>
    <xf numFmtId="3" fontId="7" fillId="5" borderId="0" xfId="4" applyNumberFormat="1" applyFont="1" applyFill="1" applyBorder="1" applyAlignment="1">
      <alignment horizontal="center" vertical="center"/>
    </xf>
    <xf numFmtId="10" fontId="7" fillId="5" borderId="0" xfId="7" applyNumberFormat="1" applyFont="1" applyFill="1" applyBorder="1" applyAlignment="1">
      <alignment horizontal="center"/>
    </xf>
    <xf numFmtId="10" fontId="7" fillId="5" borderId="0" xfId="7" applyNumberFormat="1" applyFont="1" applyFill="1" applyBorder="1" applyAlignment="1">
      <alignment horizontal="center" vertical="center"/>
    </xf>
    <xf numFmtId="0" fontId="7" fillId="5" borderId="0" xfId="4" applyFont="1" applyFill="1" applyBorder="1" applyAlignment="1">
      <alignment horizontal="center" vertical="center"/>
    </xf>
    <xf numFmtId="3" fontId="7" fillId="4" borderId="0" xfId="4" applyNumberFormat="1" applyFont="1" applyFill="1" applyBorder="1" applyAlignment="1">
      <alignment horizontal="center" vertical="center"/>
    </xf>
    <xf numFmtId="174" fontId="7" fillId="5" borderId="0" xfId="4" applyNumberFormat="1" applyFont="1" applyFill="1" applyBorder="1" applyAlignment="1">
      <alignment horizontal="center" vertical="center"/>
    </xf>
    <xf numFmtId="3" fontId="7" fillId="5" borderId="0" xfId="10" applyNumberFormat="1" applyFont="1" applyFill="1" applyBorder="1" applyAlignment="1" applyProtection="1">
      <alignment horizontal="center" vertical="center"/>
    </xf>
    <xf numFmtId="0" fontId="9" fillId="0" borderId="0" xfId="4" applyNumberFormat="1" applyFont="1" applyBorder="1" applyAlignment="1">
      <alignment horizontal="center"/>
    </xf>
    <xf numFmtId="171" fontId="16" fillId="0" borderId="0" xfId="4" applyNumberFormat="1" applyFont="1" applyFill="1" applyAlignment="1">
      <alignment horizontal="center"/>
    </xf>
    <xf numFmtId="171" fontId="16" fillId="0" borderId="0" xfId="4" applyNumberFormat="1" applyFont="1" applyAlignment="1">
      <alignment horizontal="center"/>
    </xf>
    <xf numFmtId="0" fontId="10" fillId="0" borderId="0" xfId="4" applyFont="1" applyAlignment="1">
      <alignment horizontal="center"/>
    </xf>
    <xf numFmtId="0" fontId="10" fillId="0" borderId="0" xfId="4" applyFont="1" applyBorder="1" applyAlignment="1">
      <alignment horizontal="center"/>
    </xf>
    <xf numFmtId="0" fontId="10" fillId="0" borderId="0" xfId="4" applyFont="1" applyFill="1" applyAlignment="1">
      <alignment horizontal="center"/>
    </xf>
    <xf numFmtId="0" fontId="10" fillId="0" borderId="0" xfId="4" applyFont="1"/>
    <xf numFmtId="0" fontId="1" fillId="0" borderId="0" xfId="6"/>
    <xf numFmtId="0" fontId="15" fillId="0" borderId="0" xfId="6" applyFont="1"/>
    <xf numFmtId="0" fontId="15" fillId="0" borderId="0" xfId="6" applyNumberFormat="1" applyFont="1"/>
    <xf numFmtId="9" fontId="15" fillId="0" borderId="0" xfId="6" applyNumberFormat="1" applyFont="1"/>
    <xf numFmtId="175" fontId="7" fillId="11" borderId="19" xfId="4" applyNumberFormat="1" applyFont="1" applyFill="1" applyBorder="1"/>
    <xf numFmtId="174" fontId="7" fillId="11" borderId="0" xfId="4" applyNumberFormat="1" applyFont="1" applyFill="1" applyBorder="1"/>
    <xf numFmtId="0" fontId="9" fillId="0" borderId="0" xfId="6" applyFont="1"/>
    <xf numFmtId="3" fontId="15" fillId="0" borderId="0" xfId="6" applyNumberFormat="1" applyFont="1"/>
    <xf numFmtId="174" fontId="7" fillId="11" borderId="19" xfId="4" applyNumberFormat="1" applyFont="1" applyFill="1" applyBorder="1"/>
    <xf numFmtId="175" fontId="7" fillId="11" borderId="0" xfId="4" applyNumberFormat="1" applyFont="1" applyFill="1" applyBorder="1"/>
    <xf numFmtId="175" fontId="7" fillId="11" borderId="17" xfId="4" applyNumberFormat="1" applyFont="1" applyFill="1" applyBorder="1"/>
    <xf numFmtId="0" fontId="16" fillId="0" borderId="0" xfId="6" applyFont="1"/>
    <xf numFmtId="0" fontId="9" fillId="0" borderId="0" xfId="4" applyFont="1"/>
    <xf numFmtId="0" fontId="15" fillId="0" borderId="0" xfId="6" applyFont="1" applyAlignment="1"/>
    <xf numFmtId="0" fontId="10" fillId="0" borderId="0" xfId="0" applyFont="1" applyFill="1" applyBorder="1"/>
    <xf numFmtId="0" fontId="7" fillId="0" borderId="0" xfId="0" applyFont="1" applyFill="1" applyBorder="1"/>
    <xf numFmtId="171" fontId="19" fillId="0" borderId="0" xfId="0" applyNumberFormat="1" applyFont="1" applyFill="1" applyBorder="1" applyAlignment="1">
      <alignment horizontal="left" vertical="center"/>
    </xf>
    <xf numFmtId="10" fontId="10" fillId="0" borderId="0" xfId="7" applyNumberFormat="1" applyFont="1" applyFill="1" applyBorder="1"/>
    <xf numFmtId="3" fontId="20" fillId="0" borderId="0" xfId="0" applyNumberFormat="1" applyFont="1" applyFill="1" applyBorder="1"/>
    <xf numFmtId="0" fontId="10" fillId="0" borderId="9" xfId="0" applyFont="1" applyFill="1" applyBorder="1"/>
    <xf numFmtId="0" fontId="7" fillId="0" borderId="9" xfId="0" applyFont="1" applyFill="1" applyBorder="1"/>
    <xf numFmtId="0" fontId="10" fillId="0" borderId="9" xfId="0" applyFont="1" applyFill="1" applyBorder="1" applyAlignment="1">
      <alignment horizontal="center"/>
    </xf>
    <xf numFmtId="10" fontId="7" fillId="0" borderId="9" xfId="7" applyNumberFormat="1" applyFont="1" applyFill="1" applyBorder="1"/>
    <xf numFmtId="3" fontId="7" fillId="0" borderId="9" xfId="0" applyNumberFormat="1" applyFont="1" applyFill="1" applyBorder="1"/>
    <xf numFmtId="0" fontId="20" fillId="0" borderId="0" xfId="6" applyFont="1" applyFill="1" applyBorder="1"/>
    <xf numFmtId="0" fontId="20" fillId="0" borderId="9" xfId="6" applyFont="1" applyFill="1" applyBorder="1"/>
    <xf numFmtId="0" fontId="10" fillId="0" borderId="0" xfId="0" applyFont="1" applyFill="1" applyBorder="1" applyAlignment="1">
      <alignment horizontal="center"/>
    </xf>
    <xf numFmtId="174" fontId="7" fillId="8" borderId="0" xfId="0" applyNumberFormat="1" applyFont="1" applyFill="1" applyBorder="1"/>
    <xf numFmtId="174" fontId="7" fillId="12" borderId="0" xfId="0" applyNumberFormat="1" applyFont="1" applyFill="1" applyBorder="1"/>
    <xf numFmtId="174" fontId="7" fillId="0" borderId="0" xfId="0" applyNumberFormat="1" applyFont="1" applyFill="1" applyBorder="1"/>
    <xf numFmtId="9" fontId="7" fillId="8" borderId="0" xfId="0" applyNumberFormat="1" applyFont="1" applyFill="1" applyBorder="1"/>
    <xf numFmtId="174" fontId="7" fillId="8" borderId="9" xfId="0" applyNumberFormat="1" applyFont="1" applyFill="1" applyBorder="1"/>
    <xf numFmtId="9" fontId="7" fillId="0" borderId="0" xfId="0" applyNumberFormat="1" applyFont="1" applyFill="1" applyBorder="1"/>
    <xf numFmtId="174" fontId="7" fillId="0" borderId="9" xfId="0" applyNumberFormat="1" applyFont="1" applyFill="1" applyBorder="1"/>
    <xf numFmtId="0" fontId="10" fillId="0" borderId="0" xfId="0" applyFont="1" applyFill="1" applyBorder="1" applyAlignment="1">
      <alignment horizontal="right"/>
    </xf>
    <xf numFmtId="10" fontId="7" fillId="8" borderId="0" xfId="7" applyNumberFormat="1" applyFont="1" applyFill="1" applyBorder="1"/>
    <xf numFmtId="171" fontId="19" fillId="0" borderId="9" xfId="0" applyNumberFormat="1" applyFont="1" applyFill="1" applyBorder="1" applyAlignment="1">
      <alignment horizontal="left" vertical="center"/>
    </xf>
    <xf numFmtId="10" fontId="10" fillId="12" borderId="0" xfId="7" applyNumberFormat="1" applyFont="1" applyFill="1" applyBorder="1"/>
    <xf numFmtId="1" fontId="10" fillId="8" borderId="0" xfId="0" applyNumberFormat="1" applyFont="1" applyFill="1" applyBorder="1"/>
    <xf numFmtId="0" fontId="10" fillId="12" borderId="0" xfId="0" applyFont="1" applyFill="1" applyBorder="1"/>
    <xf numFmtId="176" fontId="10" fillId="12" borderId="0" xfId="9" applyNumberFormat="1" applyFont="1" applyFill="1" applyBorder="1"/>
    <xf numFmtId="10" fontId="7" fillId="12" borderId="0" xfId="0" applyNumberFormat="1" applyFont="1" applyFill="1" applyBorder="1"/>
    <xf numFmtId="10" fontId="10" fillId="12" borderId="0" xfId="0" applyNumberFormat="1" applyFont="1" applyFill="1" applyBorder="1"/>
    <xf numFmtId="10" fontId="20" fillId="8" borderId="0" xfId="0" applyNumberFormat="1" applyFont="1" applyFill="1" applyBorder="1" applyAlignment="1">
      <alignment horizontal="right" vertical="center"/>
    </xf>
    <xf numFmtId="10" fontId="7" fillId="0" borderId="0" xfId="7" applyNumberFormat="1" applyFont="1" applyFill="1" applyBorder="1"/>
    <xf numFmtId="10" fontId="10" fillId="12" borderId="0" xfId="7" applyNumberFormat="1" applyFont="1" applyFill="1" applyBorder="1" applyAlignment="1">
      <alignment horizontal="right"/>
    </xf>
    <xf numFmtId="3" fontId="20" fillId="12" borderId="0" xfId="4" applyNumberFormat="1" applyFont="1" applyFill="1" applyBorder="1"/>
    <xf numFmtId="3" fontId="20" fillId="12" borderId="9" xfId="4" applyNumberFormat="1" applyFont="1" applyFill="1" applyBorder="1"/>
    <xf numFmtId="3" fontId="10" fillId="12" borderId="0" xfId="0" applyNumberFormat="1" applyFont="1" applyFill="1" applyBorder="1"/>
    <xf numFmtId="3" fontId="7" fillId="0" borderId="0" xfId="0" applyNumberFormat="1" applyFont="1" applyFill="1" applyBorder="1"/>
    <xf numFmtId="0" fontId="19" fillId="0" borderId="0" xfId="6" applyFont="1" applyFill="1" applyBorder="1"/>
    <xf numFmtId="0" fontId="20" fillId="0" borderId="0" xfId="6" applyFont="1" applyFill="1" applyBorder="1" applyAlignment="1">
      <alignment horizontal="left" vertical="top" wrapText="1"/>
    </xf>
    <xf numFmtId="0" fontId="19" fillId="0" borderId="0" xfId="6" applyFont="1" applyFill="1" applyBorder="1" applyAlignment="1">
      <alignment horizontal="left" vertical="top" wrapText="1"/>
    </xf>
    <xf numFmtId="0" fontId="21" fillId="0" borderId="0" xfId="6" applyFont="1" applyFill="1" applyBorder="1" applyAlignment="1">
      <alignment horizontal="left" vertical="top" wrapText="1"/>
    </xf>
    <xf numFmtId="0" fontId="22" fillId="0" borderId="0" xfId="6" applyFont="1" applyFill="1" applyBorder="1" applyAlignment="1">
      <alignment horizontal="left" vertical="top" wrapText="1"/>
    </xf>
    <xf numFmtId="0" fontId="22" fillId="0" borderId="0" xfId="6" applyFont="1" applyFill="1" applyBorder="1" applyAlignment="1">
      <alignment horizontal="left" vertical="top"/>
    </xf>
    <xf numFmtId="175" fontId="19" fillId="8" borderId="0" xfId="6" applyNumberFormat="1" applyFont="1" applyFill="1" applyBorder="1"/>
    <xf numFmtId="167" fontId="20" fillId="8" borderId="0" xfId="7" applyNumberFormat="1" applyFont="1" applyFill="1" applyBorder="1" applyAlignment="1">
      <alignment horizontal="center"/>
    </xf>
    <xf numFmtId="9" fontId="20" fillId="12" borderId="0" xfId="7" applyNumberFormat="1" applyFont="1" applyFill="1" applyBorder="1" applyAlignment="1">
      <alignment horizontal="center"/>
    </xf>
    <xf numFmtId="9" fontId="20" fillId="12" borderId="0" xfId="7" applyFont="1" applyFill="1" applyBorder="1" applyAlignment="1">
      <alignment horizontal="center"/>
    </xf>
    <xf numFmtId="167" fontId="19" fillId="0" borderId="0" xfId="6" applyNumberFormat="1" applyFont="1" applyFill="1" applyBorder="1"/>
    <xf numFmtId="9" fontId="19" fillId="0" borderId="0" xfId="6" applyNumberFormat="1" applyFont="1" applyFill="1" applyBorder="1"/>
    <xf numFmtId="10" fontId="20" fillId="0" borderId="0" xfId="7" applyNumberFormat="1" applyFont="1" applyFill="1" applyBorder="1"/>
    <xf numFmtId="0" fontId="20" fillId="0" borderId="0" xfId="6" applyFont="1" applyFill="1" applyBorder="1" applyAlignment="1">
      <alignment wrapText="1"/>
    </xf>
    <xf numFmtId="164" fontId="20" fillId="12" borderId="0" xfId="9" applyFont="1" applyFill="1" applyBorder="1" applyAlignment="1">
      <alignment horizontal="center" wrapText="1"/>
    </xf>
    <xf numFmtId="10" fontId="19" fillId="0" borderId="0" xfId="7" applyNumberFormat="1" applyFont="1" applyFill="1" applyBorder="1"/>
    <xf numFmtId="174" fontId="19" fillId="8" borderId="0" xfId="6" applyNumberFormat="1" applyFont="1" applyFill="1" applyBorder="1"/>
    <xf numFmtId="0" fontId="24" fillId="3" borderId="0" xfId="12" applyFont="1" applyFill="1"/>
    <xf numFmtId="0" fontId="23" fillId="3" borderId="0" xfId="12" applyFill="1"/>
    <xf numFmtId="3" fontId="24" fillId="3" borderId="0" xfId="12" applyNumberFormat="1" applyFont="1" applyFill="1"/>
    <xf numFmtId="3" fontId="23" fillId="3" borderId="0" xfId="12" applyNumberFormat="1" applyFill="1"/>
    <xf numFmtId="177" fontId="0" fillId="3" borderId="0" xfId="9" applyNumberFormat="1" applyFont="1" applyFill="1"/>
    <xf numFmtId="3" fontId="25" fillId="3" borderId="0" xfId="12" applyNumberFormat="1" applyFont="1" applyFill="1"/>
    <xf numFmtId="2" fontId="23" fillId="3" borderId="0" xfId="12" applyNumberFormat="1" applyFill="1"/>
    <xf numFmtId="167" fontId="23" fillId="3" borderId="0" xfId="12" applyNumberFormat="1" applyFill="1"/>
    <xf numFmtId="3" fontId="7" fillId="4" borderId="0" xfId="0" applyNumberFormat="1" applyFont="1" applyFill="1" applyBorder="1" applyAlignment="1">
      <alignment horizontal="center" vertical="center"/>
    </xf>
    <xf numFmtId="177" fontId="23" fillId="3" borderId="0" xfId="12" applyNumberFormat="1" applyFill="1"/>
    <xf numFmtId="178" fontId="23" fillId="3" borderId="0" xfId="12" applyNumberFormat="1" applyFill="1"/>
    <xf numFmtId="167" fontId="5" fillId="3" borderId="0" xfId="14" applyNumberFormat="1" applyFont="1" applyFill="1"/>
    <xf numFmtId="165" fontId="5" fillId="8" borderId="5" xfId="0" applyNumberFormat="1" applyFont="1" applyFill="1" applyBorder="1"/>
    <xf numFmtId="4" fontId="7" fillId="4" borderId="0" xfId="0" applyNumberFormat="1" applyFont="1" applyFill="1" applyBorder="1" applyAlignment="1">
      <alignment horizontal="center" vertical="center"/>
    </xf>
    <xf numFmtId="179" fontId="5" fillId="0" borderId="0" xfId="4" applyNumberFormat="1"/>
    <xf numFmtId="164" fontId="5" fillId="0" borderId="0" xfId="16" applyFont="1"/>
    <xf numFmtId="0" fontId="26" fillId="0" borderId="0" xfId="6" applyFont="1" applyBorder="1"/>
    <xf numFmtId="164" fontId="27" fillId="3" borderId="0" xfId="12" applyNumberFormat="1" applyFont="1" applyFill="1"/>
    <xf numFmtId="0" fontId="24" fillId="0" borderId="0" xfId="4" applyFont="1"/>
    <xf numFmtId="174" fontId="23" fillId="3" borderId="0" xfId="12" applyNumberFormat="1" applyFill="1"/>
    <xf numFmtId="0" fontId="5" fillId="3" borderId="0" xfId="12" applyFont="1" applyFill="1"/>
    <xf numFmtId="0" fontId="0" fillId="0" borderId="0" xfId="0"/>
    <xf numFmtId="171" fontId="8" fillId="0" borderId="0" xfId="4" applyNumberFormat="1" applyFont="1" applyFill="1" applyAlignment="1">
      <alignment horizontal="center" vertical="center"/>
    </xf>
    <xf numFmtId="167" fontId="13" fillId="10" borderId="10" xfId="14" applyNumberFormat="1" applyFont="1" applyFill="1" applyBorder="1"/>
  </cellXfs>
  <cellStyles count="18">
    <cellStyle name="Assumptions Right Number" xfId="10"/>
    <cellStyle name="Comma" xfId="16" builtinId="3"/>
    <cellStyle name="Comma 2" xfId="9"/>
    <cellStyle name="Comma 3" xfId="13"/>
    <cellStyle name="Comma 4" xfId="17"/>
    <cellStyle name="Currency 2" xfId="8"/>
    <cellStyle name="Explanatory Text" xfId="3" builtinId="53"/>
    <cellStyle name="Heading 2" xfId="1" builtinId="17"/>
    <cellStyle name="Hyperlink" xfId="5" builtinId="8"/>
    <cellStyle name="Normal" xfId="0" builtinId="0"/>
    <cellStyle name="Normal 2" xfId="4"/>
    <cellStyle name="Normal 2 2" xfId="11"/>
    <cellStyle name="Normal 3" xfId="6"/>
    <cellStyle name="Normal 3 2 2" xfId="15"/>
    <cellStyle name="Normal 4" xfId="12"/>
    <cellStyle name="Output" xfId="2" builtinId="21"/>
    <cellStyle name="Percent" xfId="14" builtinId="5"/>
    <cellStyle name="Per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C0504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99F6-46F4-9F7A-FB4EABBAB72B}"/>
              </c:ext>
            </c:extLst>
          </c:dPt>
          <c:cat>
            <c:strRef>
              <c:f>Summary!$A$9:$A$13</c:f>
              <c:strCache>
                <c:ptCount val="5"/>
                <c:pt idx="0">
                  <c:v>Cobb-Douglas SFA </c:v>
                </c:pt>
                <c:pt idx="1">
                  <c:v>Cobb-Douglas LSE </c:v>
                </c:pt>
                <c:pt idx="2">
                  <c:v>Translog LSE</c:v>
                </c:pt>
                <c:pt idx="3">
                  <c:v>Translog SFA</c:v>
                </c:pt>
                <c:pt idx="4">
                  <c:v>Ausnet actual opex</c:v>
                </c:pt>
              </c:strCache>
            </c:strRef>
          </c:cat>
          <c:val>
            <c:numRef>
              <c:f>Summary!$E$9:$E$13</c:f>
              <c:numCache>
                <c:formatCode>_(* #,##0.0_);_(* \(#,##0.0\);_(* "-"??_);_(@_)</c:formatCode>
                <c:ptCount val="5"/>
                <c:pt idx="0">
                  <c:v>211.89046455787229</c:v>
                </c:pt>
                <c:pt idx="1">
                  <c:v>215.25365901263234</c:v>
                </c:pt>
                <c:pt idx="2">
                  <c:v>203.90525854868005</c:v>
                </c:pt>
                <c:pt idx="3">
                  <c:v>207.2382569422345</c:v>
                </c:pt>
                <c:pt idx="4">
                  <c:v>199.85925361673318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2C9-4691-868F-39040496E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5810544"/>
        <c:axId val="685810872"/>
      </c:barChart>
      <c:lineChart>
        <c:grouping val="standard"/>
        <c:varyColors val="0"/>
        <c:ser>
          <c:idx val="4"/>
          <c:order val="1"/>
          <c:tx>
            <c:v>Average of models</c:v>
          </c:tx>
          <c:spPr>
            <a:ln w="28575" cap="rnd">
              <a:solidFill>
                <a:schemeClr val="accent5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Summary!$A$9:$A$13</c:f>
              <c:strCache>
                <c:ptCount val="5"/>
                <c:pt idx="0">
                  <c:v>Cobb-Douglas SFA </c:v>
                </c:pt>
                <c:pt idx="1">
                  <c:v>Cobb-Douglas LSE </c:v>
                </c:pt>
                <c:pt idx="2">
                  <c:v>Translog LSE</c:v>
                </c:pt>
                <c:pt idx="3">
                  <c:v>Translog SFA</c:v>
                </c:pt>
                <c:pt idx="4">
                  <c:v>Ausnet actual opex</c:v>
                </c:pt>
              </c:strCache>
            </c:strRef>
          </c:cat>
          <c:val>
            <c:numRef>
              <c:f>Summary!$G$9:$G$13</c:f>
              <c:numCache>
                <c:formatCode>#,##0</c:formatCode>
                <c:ptCount val="5"/>
                <c:pt idx="0">
                  <c:v>209.5719097653548</c:v>
                </c:pt>
                <c:pt idx="1">
                  <c:v>209.5719097653548</c:v>
                </c:pt>
                <c:pt idx="2">
                  <c:v>209.5719097653548</c:v>
                </c:pt>
                <c:pt idx="3">
                  <c:v>209.5719097653548</c:v>
                </c:pt>
                <c:pt idx="4">
                  <c:v>209.5719097653548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2C9-4691-868F-39040496E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810544"/>
        <c:axId val="685810872"/>
      </c:lineChart>
      <c:catAx>
        <c:axId val="68581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810872"/>
        <c:crosses val="autoZero"/>
        <c:auto val="1"/>
        <c:lblAlgn val="ctr"/>
        <c:lblOffset val="100"/>
        <c:noMultiLvlLbl val="0"/>
      </c:catAx>
      <c:valAx>
        <c:axId val="6858108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581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1216700</xdr:colOff>
      <xdr:row>18</xdr:row>
      <xdr:rowOff>31750</xdr:rowOff>
    </xdr:from>
    <xdr:to>
      <xdr:col>6</xdr:col>
      <xdr:colOff>101600</xdr:colOff>
      <xdr:row>38</xdr:row>
      <xdr:rowOff>137300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opLeftCell="A7" workbookViewId="0">
      <selection activeCell="E41" sqref="E41"/>
    </sheetView>
  </sheetViews>
  <sheetFormatPr defaultColWidth="9.1796875" defaultRowHeight="14.5" zeroHeight="1" x14ac:dyDescent="0.35"/>
  <cols>
    <col min="1" max="1" width="20.54296875" style="5" customWidth="1"/>
    <col min="2" max="9" width="9.1796875" style="5"/>
    <col min="10" max="16384" width="9.1796875" style="6"/>
  </cols>
  <sheetData>
    <row r="1" spans="1:14" s="3" customFormat="1" ht="23.5" x14ac:dyDescent="0.55000000000000004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4" x14ac:dyDescent="0.35">
      <c r="A2" s="4"/>
    </row>
    <row r="3" spans="1:14" x14ac:dyDescent="0.35"/>
    <row r="4" spans="1:14" x14ac:dyDescent="0.35">
      <c r="A4" s="7" t="s">
        <v>1</v>
      </c>
    </row>
    <row r="5" spans="1:14" x14ac:dyDescent="0.35">
      <c r="A5" s="5" t="str">
        <f>"– This spreadsheet contains the modelling for opex base year adjustments for "&amp;Inputs!C2</f>
        <v>– This spreadsheet contains the modelling for opex base year adjustments for Ausnet</v>
      </c>
    </row>
    <row r="6" spans="1:14" x14ac:dyDescent="0.35">
      <c r="A6" s="5" t="s">
        <v>2</v>
      </c>
    </row>
    <row r="7" spans="1:14" x14ac:dyDescent="0.35">
      <c r="A7" s="5" t="s">
        <v>3</v>
      </c>
    </row>
    <row r="8" spans="1:14" x14ac:dyDescent="0.35"/>
    <row r="9" spans="1:14" x14ac:dyDescent="0.35">
      <c r="A9" s="7" t="s">
        <v>4</v>
      </c>
    </row>
    <row r="10" spans="1:14" x14ac:dyDescent="0.35">
      <c r="A10" s="5" t="s">
        <v>5</v>
      </c>
      <c r="B10" s="8" t="s">
        <v>6</v>
      </c>
    </row>
    <row r="11" spans="1:14" x14ac:dyDescent="0.35">
      <c r="A11" s="5" t="s">
        <v>7</v>
      </c>
      <c r="B11" s="9" t="s">
        <v>8</v>
      </c>
    </row>
    <row r="12" spans="1:14" x14ac:dyDescent="0.35">
      <c r="A12" s="5" t="s">
        <v>9</v>
      </c>
      <c r="B12" s="10" t="s">
        <v>10</v>
      </c>
    </row>
    <row r="13" spans="1:14" x14ac:dyDescent="0.35"/>
    <row r="14" spans="1:14" x14ac:dyDescent="0.35">
      <c r="A14" s="11" t="s">
        <v>11</v>
      </c>
      <c r="N14" s="7" t="s">
        <v>12</v>
      </c>
    </row>
    <row r="15" spans="1:14" x14ac:dyDescent="0.35">
      <c r="A15" s="5" t="s">
        <v>13</v>
      </c>
      <c r="N15" s="12" t="s">
        <v>14</v>
      </c>
    </row>
    <row r="16" spans="1:14" x14ac:dyDescent="0.35">
      <c r="A16" s="76" t="str">
        <f>"– historical and forecast data on opex and cost driver for "&amp;Inputs!C2</f>
        <v>– historical and forecast data on opex and cost driver for Ausnet</v>
      </c>
    </row>
    <row r="17" spans="1:14" x14ac:dyDescent="0.35"/>
    <row r="18" spans="1:14" x14ac:dyDescent="0.35">
      <c r="A18" s="11" t="s">
        <v>15</v>
      </c>
    </row>
    <row r="19" spans="1:14" x14ac:dyDescent="0.35">
      <c r="A19" s="5" t="s">
        <v>16</v>
      </c>
      <c r="N19" s="12" t="s">
        <v>17</v>
      </c>
    </row>
    <row r="20" spans="1:14" x14ac:dyDescent="0.35">
      <c r="A20" s="5" t="s">
        <v>18</v>
      </c>
    </row>
    <row r="21" spans="1:14" x14ac:dyDescent="0.35"/>
    <row r="22" spans="1:14" x14ac:dyDescent="0.35">
      <c r="A22" s="11" t="s">
        <v>19</v>
      </c>
    </row>
    <row r="23" spans="1:14" x14ac:dyDescent="0.35">
      <c r="A23" s="5" t="s">
        <v>20</v>
      </c>
      <c r="N23" s="13" t="s">
        <v>21</v>
      </c>
    </row>
    <row r="24" spans="1:14" x14ac:dyDescent="0.35">
      <c r="A24" s="76" t="str">
        <f>"– Setting out efficiency target for "&amp;Inputs!C2</f>
        <v>– Setting out efficiency target for Ausnet</v>
      </c>
    </row>
    <row r="25" spans="1:14" x14ac:dyDescent="0.35"/>
    <row r="26" spans="1:14" x14ac:dyDescent="0.35">
      <c r="A26" s="5" t="s">
        <v>22</v>
      </c>
      <c r="N26" s="13" t="s">
        <v>23</v>
      </c>
    </row>
    <row r="27" spans="1:14" x14ac:dyDescent="0.35">
      <c r="A27" s="5" t="str">
        <f>"– Modelling efficient opex (base year) for "&amp;Inputs!C2&amp;", based on the efficiency target chosen"</f>
        <v>– Modelling efficient opex (base year) for Ausnet, based on the efficiency target chosen</v>
      </c>
    </row>
    <row r="28" spans="1:14" x14ac:dyDescent="0.35"/>
    <row r="29" spans="1:14" x14ac:dyDescent="0.35">
      <c r="A29" s="5" t="s">
        <v>24</v>
      </c>
    </row>
    <row r="30" spans="1:14" x14ac:dyDescent="0.35">
      <c r="A30" s="5" t="s">
        <v>25</v>
      </c>
    </row>
    <row r="31" spans="1:14" x14ac:dyDescent="0.35"/>
    <row r="32" spans="1:14" x14ac:dyDescent="0.35">
      <c r="A32" s="5" t="s">
        <v>26</v>
      </c>
      <c r="N32" s="13" t="s">
        <v>27</v>
      </c>
    </row>
    <row r="33" spans="1:14" x14ac:dyDescent="0.35">
      <c r="A33" s="5" t="s">
        <v>28</v>
      </c>
    </row>
    <row r="34" spans="1:14" x14ac:dyDescent="0.35"/>
    <row r="35" spans="1:14" x14ac:dyDescent="0.35">
      <c r="A35" s="5" t="s">
        <v>29</v>
      </c>
      <c r="N35" s="13" t="s">
        <v>30</v>
      </c>
    </row>
    <row r="36" spans="1:14" x14ac:dyDescent="0.35">
      <c r="A36" s="5" t="str">
        <f>"– Displays the efficient opex estimates for each model (including the average of all models), and "&amp;Inputs!C2&amp;"'s proposed opex"</f>
        <v>– Displays the efficient opex estimates for each model (including the average of all models), and Ausnet's proposed opex</v>
      </c>
    </row>
    <row r="37" spans="1:14" x14ac:dyDescent="0.35"/>
    <row r="38" spans="1:14" x14ac:dyDescent="0.35"/>
    <row r="39" spans="1:14" x14ac:dyDescent="0.35">
      <c r="A39" s="11"/>
    </row>
    <row r="40" spans="1:14" x14ac:dyDescent="0.35"/>
    <row r="41" spans="1:14" x14ac:dyDescent="0.35"/>
    <row r="42" spans="1:14" x14ac:dyDescent="0.35"/>
    <row r="43" spans="1:14" x14ac:dyDescent="0.35"/>
    <row r="44" spans="1:14" x14ac:dyDescent="0.35"/>
    <row r="45" spans="1:14" x14ac:dyDescent="0.35">
      <c r="N45" s="13"/>
    </row>
  </sheetData>
  <hyperlinks>
    <hyperlink ref="N15" location="'Cost Drivers'!A1" display="Cost Drivers"/>
    <hyperlink ref="N19" location="'Opex Modelling Results'!A1" display="Opex Modelling Results"/>
    <hyperlink ref="N23" location="'Efficiency Target Option'!A1" display="Efficiency Target Option"/>
    <hyperlink ref="N26" location="'Opex Forecasts'!A1" display="Opex Forecasts"/>
    <hyperlink ref="N32" location="Inputs!A1" display="Inputs!A1"/>
    <hyperlink ref="N35" location="Summary!A1" display="Summary!A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"/>
  <sheetViews>
    <sheetView zoomScaleNormal="100" zoomScalePageLayoutView="150" workbookViewId="0">
      <pane xSplit="2" topLeftCell="C1" activePane="topRight" state="frozen"/>
      <selection activeCell="D41" sqref="D41"/>
      <selection pane="topRight" activeCell="H7" sqref="H7"/>
    </sheetView>
  </sheetViews>
  <sheetFormatPr defaultColWidth="8.7265625" defaultRowHeight="12.5" zeroHeight="1" x14ac:dyDescent="0.25"/>
  <cols>
    <col min="1" max="1" width="31" style="16" customWidth="1"/>
    <col min="2" max="2" width="10.81640625" style="16" customWidth="1"/>
    <col min="3" max="3" width="8.7265625" style="22"/>
    <col min="4" max="4" width="9.54296875" style="16" customWidth="1"/>
    <col min="5" max="5" width="9.453125" style="16" customWidth="1"/>
    <col min="6" max="7" width="9.7265625" style="16" customWidth="1"/>
    <col min="8" max="8" width="11.54296875" style="16" customWidth="1"/>
    <col min="9" max="9" width="10" style="16" customWidth="1"/>
    <col min="10" max="17" width="11" style="16" customWidth="1"/>
    <col min="18" max="16384" width="8.7265625" style="16"/>
  </cols>
  <sheetData>
    <row r="1" spans="1:17" s="74" customFormat="1" ht="14.5" x14ac:dyDescent="0.35">
      <c r="A1" s="116" t="str">
        <f>"Opex Cost Drivers – "&amp;Inputs!C3</f>
        <v>Opex Cost Drivers – AND</v>
      </c>
      <c r="C1" s="76" t="s">
        <v>165</v>
      </c>
      <c r="D1" s="109" t="str">
        <f>CONCATENATE(D3,Inputs!$C$3)</f>
        <v>2006AND</v>
      </c>
      <c r="E1" s="109" t="str">
        <f>CONCATENATE(E3,Inputs!$C$3)</f>
        <v>2007AND</v>
      </c>
      <c r="F1" s="109" t="str">
        <f>CONCATENATE(F3,Inputs!$C$3)</f>
        <v>2008AND</v>
      </c>
      <c r="G1" s="109" t="str">
        <f>CONCATENATE(G3,Inputs!$C$3)</f>
        <v>2009AND</v>
      </c>
      <c r="H1" s="109" t="str">
        <f>CONCATENATE(H3,Inputs!$C$3)</f>
        <v>2010AND</v>
      </c>
      <c r="I1" s="109" t="str">
        <f>CONCATENATE(I3,Inputs!$C$3)</f>
        <v>2011AND</v>
      </c>
      <c r="J1" s="109" t="str">
        <f>CONCATENATE(J3,Inputs!$C$3)</f>
        <v>2012AND</v>
      </c>
      <c r="K1" s="109" t="str">
        <f>CONCATENATE(K3,Inputs!$C$3)</f>
        <v>2013AND</v>
      </c>
      <c r="L1" s="109" t="str">
        <f>CONCATENATE(L3,Inputs!$C$3)</f>
        <v>2014AND</v>
      </c>
      <c r="M1" s="109" t="str">
        <f>CONCATENATE(M3,Inputs!$C$3)</f>
        <v>2015AND</v>
      </c>
      <c r="N1" s="109" t="str">
        <f>CONCATENATE(N3,Inputs!$C$3)</f>
        <v>2016AND</v>
      </c>
      <c r="O1" s="109" t="str">
        <f>CONCATENATE(O3,Inputs!$C$3)</f>
        <v>2017AND</v>
      </c>
      <c r="P1" s="109" t="str">
        <f>CONCATENATE(P3,Inputs!$C$3)</f>
        <v>2018AND</v>
      </c>
      <c r="Q1" s="109" t="str">
        <f>CONCATENATE(Q3,Inputs!$C$3)</f>
        <v>2019AND</v>
      </c>
    </row>
    <row r="2" spans="1:17" s="113" customFormat="1" ht="14.5" x14ac:dyDescent="0.35">
      <c r="C2" s="115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</row>
    <row r="3" spans="1:17" s="74" customFormat="1" ht="14.5" x14ac:dyDescent="0.35">
      <c r="A3" s="97" t="s">
        <v>120</v>
      </c>
      <c r="B3" s="112" t="s">
        <v>119</v>
      </c>
      <c r="C3" s="111"/>
      <c r="D3" s="110">
        <v>2006</v>
      </c>
      <c r="E3" s="110">
        <v>2007</v>
      </c>
      <c r="F3" s="110">
        <v>2008</v>
      </c>
      <c r="G3" s="110">
        <v>2009</v>
      </c>
      <c r="H3" s="110">
        <v>2010</v>
      </c>
      <c r="I3" s="110">
        <v>2011</v>
      </c>
      <c r="J3" s="110">
        <v>2012</v>
      </c>
      <c r="K3" s="110">
        <v>2013</v>
      </c>
      <c r="L3" s="110">
        <v>2014</v>
      </c>
      <c r="M3" s="110">
        <v>2015</v>
      </c>
      <c r="N3" s="110">
        <v>2016</v>
      </c>
      <c r="O3" s="110">
        <v>2017</v>
      </c>
      <c r="P3" s="110">
        <v>2018</v>
      </c>
      <c r="Q3" s="110">
        <v>2019</v>
      </c>
    </row>
    <row r="4" spans="1:17" s="74" customFormat="1" ht="14.5" x14ac:dyDescent="0.35"/>
    <row r="5" spans="1:17" s="74" customFormat="1" ht="14.5" x14ac:dyDescent="0.35">
      <c r="A5" s="82" t="s">
        <v>161</v>
      </c>
      <c r="B5" s="92" t="s">
        <v>118</v>
      </c>
      <c r="C5" s="99"/>
      <c r="D5" s="192">
        <v>605407.99999997998</v>
      </c>
      <c r="E5" s="192">
        <v>616585.49999997998</v>
      </c>
      <c r="F5" s="192">
        <v>627552.49999997998</v>
      </c>
      <c r="G5" s="192">
        <v>638613.49999996996</v>
      </c>
      <c r="H5" s="192">
        <v>645694.49999998999</v>
      </c>
      <c r="I5" s="192">
        <v>654640.99999997998</v>
      </c>
      <c r="J5" s="192">
        <v>668702.99999996996</v>
      </c>
      <c r="K5" s="192">
        <v>681298.99999996996</v>
      </c>
      <c r="L5" s="192">
        <v>685193.99999998999</v>
      </c>
      <c r="M5" s="192">
        <v>706424</v>
      </c>
      <c r="N5" s="192">
        <v>712767</v>
      </c>
      <c r="O5" s="192">
        <v>734644</v>
      </c>
      <c r="P5" s="192">
        <v>741836</v>
      </c>
      <c r="Q5" s="192">
        <v>762382</v>
      </c>
    </row>
    <row r="6" spans="1:17" s="74" customFormat="1" ht="14.5" x14ac:dyDescent="0.35">
      <c r="A6" s="82" t="s">
        <v>164</v>
      </c>
      <c r="B6" s="92" t="s">
        <v>115</v>
      </c>
      <c r="C6" s="99"/>
      <c r="D6" s="192">
        <v>41507.07</v>
      </c>
      <c r="E6" s="192">
        <v>41835.892999999996</v>
      </c>
      <c r="F6" s="192">
        <v>42110.843000000001</v>
      </c>
      <c r="G6" s="192">
        <v>42711.531000000003</v>
      </c>
      <c r="H6" s="192">
        <v>42968.714999999997</v>
      </c>
      <c r="I6" s="192">
        <v>43213.931000000004</v>
      </c>
      <c r="J6" s="192">
        <v>43702.130999999994</v>
      </c>
      <c r="K6" s="192">
        <v>43821.926999999996</v>
      </c>
      <c r="L6" s="192">
        <v>44255.045791259996</v>
      </c>
      <c r="M6" s="192">
        <v>44349.203980980004</v>
      </c>
      <c r="N6" s="192">
        <v>44703.30605698</v>
      </c>
      <c r="O6" s="192">
        <v>44907.44428797</v>
      </c>
      <c r="P6" s="192">
        <v>45114.59</v>
      </c>
      <c r="Q6" s="192">
        <v>45494.429999999993</v>
      </c>
    </row>
    <row r="7" spans="1:17" s="74" customFormat="1" ht="14.5" x14ac:dyDescent="0.35">
      <c r="A7" s="82" t="s">
        <v>162</v>
      </c>
      <c r="B7" s="92" t="s">
        <v>116</v>
      </c>
      <c r="C7" s="99"/>
      <c r="D7" s="192">
        <v>1616.768</v>
      </c>
      <c r="E7" s="192">
        <v>1689.1969999999999</v>
      </c>
      <c r="F7" s="192">
        <v>1801.394</v>
      </c>
      <c r="G7" s="192">
        <v>1930.99232807</v>
      </c>
      <c r="H7" s="192">
        <v>1937.704264</v>
      </c>
      <c r="I7" s="192">
        <v>1838.472352</v>
      </c>
      <c r="J7" s="192">
        <v>1793.255484</v>
      </c>
      <c r="K7" s="192">
        <v>1881.4148680000001</v>
      </c>
      <c r="L7" s="192">
        <v>1942.955156</v>
      </c>
      <c r="M7" s="192">
        <v>1816.759</v>
      </c>
      <c r="N7" s="192">
        <v>1951.7954540000001</v>
      </c>
      <c r="O7" s="192">
        <v>1942.0717212</v>
      </c>
      <c r="P7" s="192">
        <v>1942.1035879999999</v>
      </c>
      <c r="Q7" s="192">
        <v>2026.9370560000002</v>
      </c>
    </row>
    <row r="8" spans="1:17" s="74" customFormat="1" ht="14.5" x14ac:dyDescent="0.35">
      <c r="A8" s="82" t="s">
        <v>117</v>
      </c>
      <c r="B8" s="92" t="s">
        <v>116</v>
      </c>
      <c r="C8" s="99"/>
      <c r="D8" s="109">
        <f>MAX(D7)</f>
        <v>1616.768</v>
      </c>
      <c r="E8" s="109">
        <f t="shared" ref="E8:Q8" si="0">MAX(D8,E7)</f>
        <v>1689.1969999999999</v>
      </c>
      <c r="F8" s="109">
        <f t="shared" si="0"/>
        <v>1801.394</v>
      </c>
      <c r="G8" s="109">
        <f t="shared" si="0"/>
        <v>1930.99232807</v>
      </c>
      <c r="H8" s="109">
        <f t="shared" si="0"/>
        <v>1937.704264</v>
      </c>
      <c r="I8" s="109">
        <f t="shared" si="0"/>
        <v>1937.704264</v>
      </c>
      <c r="J8" s="109">
        <f t="shared" si="0"/>
        <v>1937.704264</v>
      </c>
      <c r="K8" s="109">
        <f t="shared" si="0"/>
        <v>1937.704264</v>
      </c>
      <c r="L8" s="109">
        <f t="shared" si="0"/>
        <v>1942.955156</v>
      </c>
      <c r="M8" s="109">
        <f t="shared" si="0"/>
        <v>1942.955156</v>
      </c>
      <c r="N8" s="109">
        <f t="shared" si="0"/>
        <v>1951.7954540000001</v>
      </c>
      <c r="O8" s="109">
        <f t="shared" si="0"/>
        <v>1951.7954540000001</v>
      </c>
      <c r="P8" s="109">
        <f t="shared" si="0"/>
        <v>1951.7954540000001</v>
      </c>
      <c r="Q8" s="109">
        <f t="shared" si="0"/>
        <v>2026.9370560000002</v>
      </c>
    </row>
    <row r="9" spans="1:17" s="74" customFormat="1" ht="14.5" x14ac:dyDescent="0.35">
      <c r="A9" s="82" t="s">
        <v>160</v>
      </c>
      <c r="B9" s="92" t="s">
        <v>115</v>
      </c>
      <c r="C9" s="99"/>
      <c r="D9" s="192">
        <v>3864.759</v>
      </c>
      <c r="E9" s="192">
        <v>4111.4009999999998</v>
      </c>
      <c r="F9" s="192">
        <v>4290.7219999999998</v>
      </c>
      <c r="G9" s="192">
        <v>4612.5159999999996</v>
      </c>
      <c r="H9" s="192">
        <v>4792.9139999999998</v>
      </c>
      <c r="I9" s="192">
        <v>5069.076</v>
      </c>
      <c r="J9" s="192">
        <v>5322.3950000000004</v>
      </c>
      <c r="K9" s="192">
        <v>5502.2719999999999</v>
      </c>
      <c r="L9" s="192">
        <v>5728.1507942199996</v>
      </c>
      <c r="M9" s="192">
        <v>5965.9348250000003</v>
      </c>
      <c r="N9" s="192">
        <v>6267.0513379800004</v>
      </c>
      <c r="O9" s="192">
        <v>6574.8889099799999</v>
      </c>
      <c r="P9" s="192">
        <v>6908.59</v>
      </c>
      <c r="Q9" s="192">
        <v>7305.5300000000007</v>
      </c>
    </row>
    <row r="10" spans="1:17" s="74" customFormat="1" ht="14.5" x14ac:dyDescent="0.35">
      <c r="A10" s="82" t="s">
        <v>103</v>
      </c>
      <c r="B10" s="92" t="s">
        <v>114</v>
      </c>
      <c r="C10" s="99"/>
      <c r="D10" s="108">
        <f t="shared" ref="D10:Q10" si="1">D9/D6</f>
        <v>9.3110860390771988E-2</v>
      </c>
      <c r="E10" s="108">
        <f t="shared" si="1"/>
        <v>9.827448884621634E-2</v>
      </c>
      <c r="F10" s="108">
        <f t="shared" si="1"/>
        <v>0.10189114475813271</v>
      </c>
      <c r="G10" s="108">
        <f t="shared" si="1"/>
        <v>0.10799228901441157</v>
      </c>
      <c r="H10" s="108">
        <f t="shared" si="1"/>
        <v>0.11154427122151547</v>
      </c>
      <c r="I10" s="108">
        <f t="shared" si="1"/>
        <v>0.11730189507638172</v>
      </c>
      <c r="J10" s="108">
        <f t="shared" si="1"/>
        <v>0.12178799702009957</v>
      </c>
      <c r="K10" s="108">
        <f t="shared" si="1"/>
        <v>0.12555979110640206</v>
      </c>
      <c r="L10" s="108">
        <f t="shared" si="1"/>
        <v>0.12943497609827945</v>
      </c>
      <c r="M10" s="108">
        <f t="shared" si="1"/>
        <v>0.13452180173422287</v>
      </c>
      <c r="N10" s="108">
        <f t="shared" si="1"/>
        <v>0.14019212203213458</v>
      </c>
      <c r="O10" s="108">
        <f t="shared" si="1"/>
        <v>0.14640977713668976</v>
      </c>
      <c r="P10" s="108">
        <f t="shared" si="1"/>
        <v>0.15313427430017651</v>
      </c>
      <c r="Q10" s="108">
        <f t="shared" si="1"/>
        <v>0.16058075680913031</v>
      </c>
    </row>
    <row r="11" spans="1:17" s="74" customFormat="1" ht="14.5" x14ac:dyDescent="0.35">
      <c r="A11" s="82" t="s">
        <v>163</v>
      </c>
      <c r="B11" s="92" t="s">
        <v>113</v>
      </c>
      <c r="C11" s="99"/>
      <c r="D11" s="192">
        <v>81250.614026765543</v>
      </c>
      <c r="E11" s="192">
        <v>103209.38645113776</v>
      </c>
      <c r="F11" s="192">
        <v>116017.52463473017</v>
      </c>
      <c r="G11" s="192">
        <v>137883.29635850366</v>
      </c>
      <c r="H11" s="192">
        <v>137860.36087647689</v>
      </c>
      <c r="I11" s="192">
        <v>143839.81850797526</v>
      </c>
      <c r="J11" s="192">
        <v>157205.91921771257</v>
      </c>
      <c r="K11" s="192">
        <v>179574.56650939499</v>
      </c>
      <c r="L11" s="192">
        <v>189806.67514137062</v>
      </c>
      <c r="M11" s="192">
        <v>204651.59938180444</v>
      </c>
      <c r="N11" s="192">
        <v>229428.02527883899</v>
      </c>
      <c r="O11" s="192">
        <v>204947.924709871</v>
      </c>
      <c r="P11" s="192">
        <v>193557.933375539</v>
      </c>
      <c r="Q11" s="192">
        <v>204177.44023405801</v>
      </c>
    </row>
    <row r="12" spans="1:17" s="74" customFormat="1" ht="14.5" x14ac:dyDescent="0.35">
      <c r="A12" s="82"/>
      <c r="B12" s="92"/>
      <c r="C12" s="99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</row>
    <row r="13" spans="1:17" s="74" customFormat="1" ht="14.5" x14ac:dyDescent="0.35">
      <c r="A13" s="82" t="s">
        <v>173</v>
      </c>
      <c r="B13" s="206" t="s">
        <v>112</v>
      </c>
      <c r="C13" s="99"/>
      <c r="D13" s="197">
        <v>1.0258735339022715</v>
      </c>
      <c r="E13" s="197">
        <v>1.0651174696553203</v>
      </c>
      <c r="F13" s="197">
        <v>1.1123243137535808</v>
      </c>
      <c r="G13" s="197">
        <v>1.1403221575251214</v>
      </c>
      <c r="H13" s="197">
        <v>1.1790253017843368</v>
      </c>
      <c r="I13" s="197">
        <v>1.2211265568824128</v>
      </c>
      <c r="J13" s="197">
        <v>1.2586868727759766</v>
      </c>
      <c r="K13" s="197">
        <v>1.2974024984353709</v>
      </c>
      <c r="L13" s="197">
        <v>1.3308414140804419</v>
      </c>
      <c r="M13" s="197">
        <v>1.3548346335635142</v>
      </c>
      <c r="N13" s="197">
        <v>1.3789836216072324</v>
      </c>
      <c r="O13" s="197">
        <v>1.4063780537261743</v>
      </c>
      <c r="P13" s="197">
        <v>1.4425031298241389</v>
      </c>
      <c r="Q13" s="197">
        <v>1.4732030863632175</v>
      </c>
    </row>
    <row r="14" spans="1:17" s="74" customFormat="1" ht="14.5" x14ac:dyDescent="0.35">
      <c r="A14" s="82" t="s">
        <v>111</v>
      </c>
      <c r="B14" s="92" t="s">
        <v>44</v>
      </c>
      <c r="C14" s="99"/>
      <c r="D14" s="106"/>
      <c r="E14" s="105">
        <f t="shared" ref="E14:Q14" si="2">E13/D13-1</f>
        <v>3.8254165309997479E-2</v>
      </c>
      <c r="F14" s="105">
        <f t="shared" si="2"/>
        <v>4.4320786620406283E-2</v>
      </c>
      <c r="G14" s="105">
        <f t="shared" si="2"/>
        <v>2.5170576085908669E-2</v>
      </c>
      <c r="H14" s="105">
        <f t="shared" si="2"/>
        <v>3.3940535140713379E-2</v>
      </c>
      <c r="I14" s="105">
        <f t="shared" si="2"/>
        <v>3.5708525537458735E-2</v>
      </c>
      <c r="J14" s="105">
        <f t="shared" si="2"/>
        <v>3.0758741329364625E-2</v>
      </c>
      <c r="K14" s="104">
        <f t="shared" si="2"/>
        <v>3.0758742699849462E-2</v>
      </c>
      <c r="L14" s="104">
        <f t="shared" si="2"/>
        <v>2.5773740751537932E-2</v>
      </c>
      <c r="M14" s="104">
        <f t="shared" si="2"/>
        <v>1.8028608990689365E-2</v>
      </c>
      <c r="N14" s="104">
        <f t="shared" si="2"/>
        <v>1.7824306705388038E-2</v>
      </c>
      <c r="O14" s="104">
        <f t="shared" si="2"/>
        <v>1.9865668953350735E-2</v>
      </c>
      <c r="P14" s="104">
        <f t="shared" si="2"/>
        <v>2.5686603969858446E-2</v>
      </c>
      <c r="Q14" s="104">
        <f t="shared" si="2"/>
        <v>2.1282419361420279E-2</v>
      </c>
    </row>
    <row r="15" spans="1:17" s="74" customFormat="1" ht="14.5" x14ac:dyDescent="0.35">
      <c r="A15" s="82" t="s">
        <v>110</v>
      </c>
      <c r="B15" s="92" t="s">
        <v>109</v>
      </c>
      <c r="C15" s="99"/>
      <c r="D15" s="103">
        <f t="shared" ref="D15:P15" si="3">D11/D13*$P13</f>
        <v>114248.25883548691</v>
      </c>
      <c r="E15" s="103">
        <f t="shared" si="3"/>
        <v>139777.8810549168</v>
      </c>
      <c r="F15" s="103">
        <f t="shared" si="3"/>
        <v>150455.79812536816</v>
      </c>
      <c r="G15" s="103">
        <f t="shared" si="3"/>
        <v>174421.8379298037</v>
      </c>
      <c r="H15" s="103">
        <f t="shared" si="3"/>
        <v>168668.13777621431</v>
      </c>
      <c r="I15" s="103">
        <f t="shared" si="3"/>
        <v>169916.36716248273</v>
      </c>
      <c r="J15" s="103">
        <f t="shared" si="3"/>
        <v>180163.97517382551</v>
      </c>
      <c r="K15" s="103">
        <f t="shared" si="3"/>
        <v>199658.06643582549</v>
      </c>
      <c r="L15" s="103">
        <f t="shared" si="3"/>
        <v>205732.04294376672</v>
      </c>
      <c r="M15" s="103">
        <f t="shared" si="3"/>
        <v>217894.17344262873</v>
      </c>
      <c r="N15" s="103">
        <f t="shared" si="3"/>
        <v>239996.06619574453</v>
      </c>
      <c r="O15" s="103">
        <f t="shared" si="3"/>
        <v>210212.34088633783</v>
      </c>
      <c r="P15" s="103">
        <f t="shared" si="3"/>
        <v>193557.933375539</v>
      </c>
      <c r="Q15" s="103">
        <f t="shared" ref="Q15" si="4">Q11/Q13*$P13</f>
        <v>199922.60354557412</v>
      </c>
    </row>
    <row r="16" spans="1:17" s="74" customFormat="1" ht="14.5" x14ac:dyDescent="0.35">
      <c r="A16" s="82"/>
      <c r="B16" s="92"/>
      <c r="C16" s="99"/>
      <c r="D16" s="103"/>
      <c r="E16" s="103"/>
      <c r="F16" s="103"/>
      <c r="G16" s="103"/>
      <c r="H16" s="103"/>
      <c r="I16" s="103"/>
      <c r="J16" s="103"/>
      <c r="K16" s="103"/>
      <c r="L16" s="103"/>
      <c r="M16" s="88"/>
      <c r="N16" s="103"/>
      <c r="O16" s="103"/>
      <c r="P16" s="103"/>
      <c r="Q16" s="103"/>
    </row>
    <row r="17" spans="1:30" s="74" customFormat="1" ht="14.5" x14ac:dyDescent="0.35">
      <c r="A17" s="82"/>
      <c r="B17" s="92"/>
      <c r="C17" s="99"/>
      <c r="D17" s="102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0"/>
      <c r="P17" s="100"/>
      <c r="Q17" s="100"/>
    </row>
    <row r="18" spans="1:30" s="74" customFormat="1" ht="14.5" x14ac:dyDescent="0.35">
      <c r="A18" s="82"/>
      <c r="B18" s="92"/>
      <c r="C18" s="99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</row>
    <row r="19" spans="1:30" s="74" customFormat="1" ht="14.5" x14ac:dyDescent="0.35">
      <c r="C19" s="76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</row>
    <row r="20" spans="1:30" s="74" customFormat="1" ht="14.5" x14ac:dyDescent="0.35">
      <c r="A20" s="97" t="s">
        <v>108</v>
      </c>
      <c r="C20" s="76"/>
      <c r="D20" s="88"/>
      <c r="E20" s="88"/>
      <c r="F20" s="88"/>
      <c r="G20" s="88"/>
      <c r="H20" s="95" t="str">
        <f>"Average "&amp;Inputs!C5&amp;"-"&amp;RIGHT(Inputs!C6,2)</f>
        <v>Average 2006-18</v>
      </c>
      <c r="I20" s="88"/>
      <c r="J20" s="95"/>
      <c r="K20" s="95"/>
      <c r="L20" s="95" t="s">
        <v>176</v>
      </c>
      <c r="M20" s="95"/>
      <c r="N20" s="95"/>
      <c r="O20" s="96"/>
      <c r="P20" s="96" t="s">
        <v>107</v>
      </c>
      <c r="Q20" s="95"/>
    </row>
    <row r="21" spans="1:30" s="74" customFormat="1" ht="14.5" x14ac:dyDescent="0.35">
      <c r="A21" s="82" t="s">
        <v>106</v>
      </c>
      <c r="C21" s="76"/>
      <c r="D21" s="88"/>
      <c r="E21" s="88"/>
      <c r="F21" s="88"/>
      <c r="G21" s="88"/>
      <c r="H21" s="91">
        <f>AVERAGE(D5:P5)</f>
        <v>670720.1538461392</v>
      </c>
      <c r="I21" s="88"/>
      <c r="J21" s="91"/>
      <c r="K21" s="91"/>
      <c r="L21" s="91">
        <f>P5</f>
        <v>741836</v>
      </c>
      <c r="M21" s="91"/>
      <c r="N21" s="87"/>
      <c r="O21" s="96"/>
      <c r="P21" s="87">
        <f>LN(P5/AVERAGE($D5:$P5))</f>
        <v>0.10077620285200628</v>
      </c>
      <c r="Q21" s="87"/>
    </row>
    <row r="22" spans="1:30" s="74" customFormat="1" ht="14.5" x14ac:dyDescent="0.35">
      <c r="A22" s="82" t="s">
        <v>105</v>
      </c>
      <c r="C22" s="76"/>
      <c r="D22" s="88"/>
      <c r="E22" s="88"/>
      <c r="F22" s="88"/>
      <c r="G22" s="88"/>
      <c r="H22" s="91">
        <f>AVERAGE(D6:P6)</f>
        <v>43477.048547476144</v>
      </c>
      <c r="I22" s="88"/>
      <c r="J22" s="91"/>
      <c r="K22" s="91"/>
      <c r="L22" s="91">
        <f>P6</f>
        <v>45114.59</v>
      </c>
      <c r="M22" s="91"/>
      <c r="N22" s="87"/>
      <c r="O22" s="96"/>
      <c r="P22" s="87">
        <f>LN(P6/AVERAGE($D6:$P6))</f>
        <v>3.6972518262467377E-2</v>
      </c>
      <c r="Q22" s="87"/>
    </row>
    <row r="23" spans="1:30" s="74" customFormat="1" ht="14.5" x14ac:dyDescent="0.35">
      <c r="A23" s="82" t="s">
        <v>104</v>
      </c>
      <c r="C23" s="76"/>
      <c r="D23" s="88"/>
      <c r="E23" s="88"/>
      <c r="F23" s="88"/>
      <c r="G23" s="88"/>
      <c r="H23" s="91">
        <f>AVERAGE(D8:P8)</f>
        <v>1886.9588506207692</v>
      </c>
      <c r="I23" s="88"/>
      <c r="J23" s="91"/>
      <c r="K23" s="91"/>
      <c r="L23" s="91">
        <f>P8</f>
        <v>1951.7954540000001</v>
      </c>
      <c r="M23" s="91"/>
      <c r="N23" s="87"/>
      <c r="O23" s="96"/>
      <c r="P23" s="87">
        <f>LN(P8/AVERAGE($D8:$P8))</f>
        <v>3.3783235214033522E-2</v>
      </c>
      <c r="Q23" s="87"/>
    </row>
    <row r="24" spans="1:30" s="74" customFormat="1" ht="14.5" x14ac:dyDescent="0.35">
      <c r="A24" s="82" t="s">
        <v>103</v>
      </c>
      <c r="C24" s="76"/>
      <c r="D24" s="88"/>
      <c r="E24" s="88"/>
      <c r="F24" s="88"/>
      <c r="G24" s="88"/>
      <c r="H24" s="94">
        <f>AVERAGE(D10:P10)</f>
        <v>0.12162736067195648</v>
      </c>
      <c r="I24" s="88"/>
      <c r="J24" s="93"/>
      <c r="K24" s="93"/>
      <c r="L24" s="93">
        <f>P10</f>
        <v>0.15313427430017651</v>
      </c>
      <c r="M24" s="93"/>
      <c r="N24" s="87"/>
      <c r="O24" s="96"/>
      <c r="P24" s="87">
        <f>LN(P10/AVERAGE($D10:$P10))</f>
        <v>0.23035319657511127</v>
      </c>
      <c r="Q24" s="87"/>
    </row>
    <row r="25" spans="1:30" s="74" customFormat="1" ht="14.5" x14ac:dyDescent="0.35">
      <c r="A25" s="82" t="s">
        <v>102</v>
      </c>
      <c r="B25" s="92"/>
      <c r="C25" s="76"/>
      <c r="D25" s="88"/>
      <c r="E25" s="88"/>
      <c r="F25" s="88"/>
      <c r="G25" s="88"/>
      <c r="H25" s="91">
        <f>AVERAGE(D15:P15)</f>
        <v>181900.22148753388</v>
      </c>
      <c r="I25" s="88"/>
      <c r="J25" s="90"/>
      <c r="K25" s="90"/>
      <c r="L25" s="90">
        <f>P15</f>
        <v>193557.933375539</v>
      </c>
      <c r="M25" s="90"/>
      <c r="N25" s="89"/>
      <c r="O25" s="89"/>
      <c r="P25" s="89"/>
      <c r="Q25" s="89"/>
    </row>
    <row r="26" spans="1:30" s="74" customFormat="1" ht="14.5" x14ac:dyDescent="0.35">
      <c r="A26" s="85" t="s">
        <v>101</v>
      </c>
      <c r="C26" s="76"/>
      <c r="D26" s="88"/>
      <c r="E26" s="88"/>
      <c r="F26" s="88"/>
      <c r="G26" s="88"/>
      <c r="H26" s="88"/>
      <c r="I26" s="88"/>
      <c r="J26" s="87"/>
      <c r="K26" s="87"/>
      <c r="L26" s="87">
        <f>L25/$H25-1</f>
        <v>6.4088497488740348E-2</v>
      </c>
      <c r="M26" s="87"/>
      <c r="N26" s="88"/>
      <c r="O26" s="88"/>
      <c r="P26" s="88"/>
      <c r="Q26" s="88"/>
    </row>
    <row r="27" spans="1:30" s="74" customFormat="1" ht="14.5" x14ac:dyDescent="0.35">
      <c r="A27" s="85" t="s">
        <v>100</v>
      </c>
      <c r="C27" s="76"/>
      <c r="D27" s="88"/>
      <c r="E27" s="88"/>
      <c r="F27" s="88"/>
      <c r="G27" s="88"/>
      <c r="H27" s="88"/>
      <c r="I27" s="88"/>
      <c r="J27" s="87"/>
      <c r="K27" s="87"/>
      <c r="L27" s="87">
        <f>'Opex Forecasts'!E32</f>
        <v>0.14926277687381506</v>
      </c>
      <c r="M27" s="87"/>
      <c r="N27" s="86"/>
      <c r="O27" s="86"/>
      <c r="P27" s="86"/>
      <c r="Q27" s="86"/>
    </row>
    <row r="28" spans="1:30" s="74" customFormat="1" ht="14.5" x14ac:dyDescent="0.35">
      <c r="A28" s="85" t="s">
        <v>99</v>
      </c>
      <c r="C28" s="76"/>
      <c r="D28" s="88"/>
      <c r="E28" s="88"/>
      <c r="F28" s="88"/>
      <c r="G28" s="88"/>
      <c r="H28" s="88"/>
      <c r="I28" s="88"/>
      <c r="J28" s="87"/>
      <c r="K28" s="87"/>
      <c r="L28" s="87">
        <f>L26-L27</f>
        <v>-8.5174279385074714E-2</v>
      </c>
      <c r="M28" s="87"/>
      <c r="N28" s="86"/>
      <c r="O28" s="86"/>
      <c r="P28" s="86"/>
      <c r="Q28" s="86"/>
    </row>
    <row r="29" spans="1:30" s="74" customFormat="1" ht="11.25" hidden="1" customHeight="1" x14ac:dyDescent="0.35">
      <c r="A29" s="85"/>
      <c r="C29" s="76"/>
      <c r="D29" s="78"/>
      <c r="E29" s="78"/>
      <c r="F29" s="77"/>
      <c r="G29" s="77"/>
      <c r="H29" s="77"/>
      <c r="I29" s="77"/>
      <c r="J29" s="84"/>
      <c r="K29" s="77"/>
      <c r="L29" s="77"/>
      <c r="M29" s="77"/>
      <c r="N29" s="77"/>
      <c r="O29" s="77"/>
      <c r="P29" s="77"/>
      <c r="Q29" s="77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</row>
    <row r="30" spans="1:30" s="74" customFormat="1" ht="14.5" hidden="1" x14ac:dyDescent="0.35">
      <c r="A30" s="83"/>
      <c r="C30" s="76"/>
      <c r="D30" s="78"/>
      <c r="E30" s="78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</row>
    <row r="31" spans="1:30" s="74" customFormat="1" ht="14.5" hidden="1" x14ac:dyDescent="0.35">
      <c r="A31" s="82"/>
      <c r="C31" s="76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</row>
    <row r="32" spans="1:30" s="74" customFormat="1" ht="14.5" hidden="1" x14ac:dyDescent="0.35">
      <c r="A32" s="82"/>
      <c r="C32" s="76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</row>
    <row r="33" spans="1:17" s="74" customFormat="1" ht="14.5" hidden="1" x14ac:dyDescent="0.35">
      <c r="A33" s="77"/>
      <c r="C33" s="76"/>
      <c r="J33" s="78"/>
      <c r="K33" s="78"/>
      <c r="L33" s="78"/>
      <c r="M33" s="78"/>
      <c r="N33" s="78"/>
      <c r="O33" s="78"/>
      <c r="P33" s="78"/>
      <c r="Q33" s="78"/>
    </row>
    <row r="34" spans="1:17" s="74" customFormat="1" ht="14.5" hidden="1" x14ac:dyDescent="0.35">
      <c r="A34" s="77"/>
      <c r="B34" s="80"/>
      <c r="C34" s="81"/>
      <c r="D34" s="80"/>
      <c r="E34" s="80"/>
      <c r="F34" s="80"/>
      <c r="G34" s="80"/>
      <c r="H34" s="80"/>
      <c r="I34" s="80"/>
      <c r="J34" s="79"/>
      <c r="K34" s="78"/>
      <c r="L34" s="78"/>
      <c r="M34" s="78"/>
      <c r="N34" s="78"/>
      <c r="O34" s="78"/>
      <c r="P34" s="78"/>
      <c r="Q34" s="78"/>
    </row>
    <row r="35" spans="1:17" s="74" customFormat="1" ht="14.5" hidden="1" x14ac:dyDescent="0.35">
      <c r="A35" s="77"/>
      <c r="B35" s="80"/>
      <c r="C35" s="81"/>
      <c r="D35" s="80"/>
      <c r="E35" s="80"/>
      <c r="F35" s="80"/>
      <c r="G35" s="80"/>
      <c r="H35" s="80"/>
      <c r="I35" s="80"/>
      <c r="J35" s="79"/>
      <c r="K35" s="78"/>
      <c r="L35" s="78"/>
      <c r="M35" s="78"/>
      <c r="N35" s="78"/>
      <c r="O35" s="78"/>
      <c r="P35" s="78"/>
      <c r="Q35" s="78"/>
    </row>
    <row r="36" spans="1:17" s="74" customFormat="1" ht="14.5" hidden="1" x14ac:dyDescent="0.35">
      <c r="A36" s="77"/>
      <c r="C36" s="76"/>
    </row>
    <row r="37" spans="1:17" s="74" customFormat="1" ht="14.5" hidden="1" x14ac:dyDescent="0.35">
      <c r="C37" s="76"/>
      <c r="I37" s="75"/>
    </row>
    <row r="38" spans="1:17" hidden="1" x14ac:dyDescent="0.25">
      <c r="I38" s="73"/>
    </row>
    <row r="39" spans="1:17" hidden="1" x14ac:dyDescent="0.25"/>
    <row r="40" spans="1:17" hidden="1" x14ac:dyDescent="0.25"/>
    <row r="41" spans="1:17" hidden="1" x14ac:dyDescent="0.25"/>
    <row r="42" spans="1:17" hidden="1" x14ac:dyDescent="0.25"/>
    <row r="43" spans="1:17" hidden="1" x14ac:dyDescent="0.25"/>
    <row r="44" spans="1:17" hidden="1" x14ac:dyDescent="0.25"/>
    <row r="45" spans="1:17" hidden="1" x14ac:dyDescent="0.25"/>
    <row r="46" spans="1:17" hidden="1" x14ac:dyDescent="0.25"/>
    <row r="47" spans="1:17" hidden="1" x14ac:dyDescent="0.25"/>
    <row r="48" spans="1:17" hidden="1" x14ac:dyDescent="0.25"/>
  </sheetData>
  <pageMargins left="0.75" right="0.75" top="1" bottom="1" header="0.5" footer="0.5"/>
  <pageSetup paperSize="9" orientation="portrait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workbookViewId="0">
      <selection activeCell="F31" sqref="F31"/>
    </sheetView>
  </sheetViews>
  <sheetFormatPr defaultColWidth="9.1796875" defaultRowHeight="14.5" zeroHeight="1" x14ac:dyDescent="0.35"/>
  <cols>
    <col min="1" max="1" width="11.453125" style="118" customWidth="1"/>
    <col min="2" max="2" width="10.26953125" style="118" customWidth="1"/>
    <col min="3" max="3" width="11.1796875" style="118" customWidth="1"/>
    <col min="4" max="6" width="9.1796875" style="118"/>
    <col min="7" max="7" width="12.81640625" style="119" customWidth="1"/>
    <col min="8" max="8" width="9.1796875" style="118"/>
    <col min="9" max="9" width="11.1796875" style="118" customWidth="1"/>
    <col min="10" max="11" width="9.1796875" style="118"/>
    <col min="12" max="12" width="11.1796875" style="118" customWidth="1"/>
    <col min="13" max="16" width="9.1796875" style="118"/>
    <col min="17" max="19" width="9.1796875" style="117"/>
    <col min="20" max="20" width="13" style="117" customWidth="1"/>
    <col min="21" max="16384" width="9.1796875" style="117"/>
  </cols>
  <sheetData>
    <row r="1" spans="1:27" x14ac:dyDescent="0.35">
      <c r="A1" s="123" t="s">
        <v>122</v>
      </c>
      <c r="P1" s="117"/>
    </row>
    <row r="2" spans="1:27" x14ac:dyDescent="0.35">
      <c r="A2" s="130" t="s">
        <v>121</v>
      </c>
      <c r="P2" s="117"/>
    </row>
    <row r="3" spans="1:27" x14ac:dyDescent="0.35">
      <c r="A3" s="123"/>
      <c r="P3" s="117"/>
    </row>
    <row r="4" spans="1:27" x14ac:dyDescent="0.35">
      <c r="A4" s="123" t="s">
        <v>48</v>
      </c>
      <c r="H4" s="129" t="s">
        <v>49</v>
      </c>
      <c r="O4" s="129" t="s">
        <v>50</v>
      </c>
      <c r="Q4" s="118"/>
      <c r="R4" s="118"/>
      <c r="S4" s="118"/>
      <c r="T4" s="118"/>
      <c r="V4" s="123" t="s">
        <v>51</v>
      </c>
      <c r="W4" s="118"/>
      <c r="X4" s="118"/>
      <c r="Y4" s="118"/>
      <c r="Z4" s="118"/>
      <c r="AA4" s="118"/>
    </row>
    <row r="5" spans="1:27" x14ac:dyDescent="0.35">
      <c r="G5" s="118"/>
      <c r="N5" s="117"/>
      <c r="Q5" s="118"/>
      <c r="R5" s="118"/>
      <c r="S5" s="118"/>
      <c r="T5" s="118"/>
      <c r="V5" s="118"/>
      <c r="W5" s="118"/>
      <c r="X5" s="118"/>
      <c r="Y5" s="118"/>
      <c r="Z5" s="118"/>
      <c r="AA5" s="118"/>
    </row>
    <row r="6" spans="1:27" x14ac:dyDescent="0.35">
      <c r="A6" s="123" t="s">
        <v>52</v>
      </c>
      <c r="E6" s="123" t="s">
        <v>53</v>
      </c>
      <c r="G6" s="118"/>
      <c r="H6" s="123" t="s">
        <v>52</v>
      </c>
      <c r="L6" s="123" t="s">
        <v>53</v>
      </c>
      <c r="N6" s="117"/>
      <c r="O6" s="123" t="s">
        <v>52</v>
      </c>
      <c r="Q6" s="118"/>
      <c r="R6" s="118"/>
      <c r="S6" s="123" t="s">
        <v>53</v>
      </c>
      <c r="T6" s="118"/>
      <c r="V6" s="123" t="s">
        <v>52</v>
      </c>
      <c r="W6" s="118"/>
      <c r="X6" s="118"/>
      <c r="Y6" s="118"/>
      <c r="Z6" s="123" t="s">
        <v>53</v>
      </c>
      <c r="AA6" s="118"/>
    </row>
    <row r="7" spans="1:27" x14ac:dyDescent="0.35">
      <c r="A7" s="123"/>
      <c r="E7" s="123"/>
      <c r="G7" s="118"/>
      <c r="H7" s="123"/>
      <c r="L7" s="123"/>
      <c r="N7" s="117"/>
      <c r="O7" s="123"/>
      <c r="Q7" s="118"/>
      <c r="R7" s="118"/>
      <c r="S7" s="123"/>
      <c r="T7" s="118"/>
      <c r="V7" s="123"/>
      <c r="W7" s="118"/>
      <c r="X7" s="118"/>
      <c r="Y7" s="118"/>
      <c r="Z7" s="123"/>
      <c r="AA7" s="118"/>
    </row>
    <row r="8" spans="1:27" ht="15" thickBot="1" x14ac:dyDescent="0.4">
      <c r="E8" s="128" t="s">
        <v>31</v>
      </c>
      <c r="F8" s="128" t="s">
        <v>54</v>
      </c>
      <c r="G8" s="118"/>
      <c r="L8" s="128" t="s">
        <v>31</v>
      </c>
      <c r="M8" s="128" t="s">
        <v>55</v>
      </c>
      <c r="N8" s="117"/>
      <c r="Q8" s="118"/>
      <c r="R8" s="118"/>
      <c r="S8" s="128" t="s">
        <v>31</v>
      </c>
      <c r="T8" s="128" t="s">
        <v>56</v>
      </c>
      <c r="V8" s="118"/>
      <c r="W8" s="118"/>
      <c r="X8" s="118"/>
      <c r="Y8" s="118"/>
      <c r="Z8" s="128" t="s">
        <v>31</v>
      </c>
      <c r="AA8" s="128" t="s">
        <v>57</v>
      </c>
    </row>
    <row r="9" spans="1:27" ht="29.5" thickBot="1" x14ac:dyDescent="0.4">
      <c r="A9" s="56" t="s">
        <v>58</v>
      </c>
      <c r="B9" s="54" t="s">
        <v>59</v>
      </c>
      <c r="C9" s="54" t="s">
        <v>60</v>
      </c>
      <c r="E9" s="123" t="s">
        <v>61</v>
      </c>
      <c r="F9" s="122">
        <v>0.45300000000000001</v>
      </c>
      <c r="G9" s="124"/>
      <c r="H9" s="56" t="s">
        <v>58</v>
      </c>
      <c r="I9" s="54" t="s">
        <v>59</v>
      </c>
      <c r="J9" s="54" t="s">
        <v>60</v>
      </c>
      <c r="L9" s="123" t="s">
        <v>61</v>
      </c>
      <c r="M9" s="122">
        <v>0.44400000000000001</v>
      </c>
      <c r="N9" s="117"/>
      <c r="O9" s="56" t="s">
        <v>58</v>
      </c>
      <c r="P9" s="54" t="s">
        <v>59</v>
      </c>
      <c r="Q9" s="54" t="s">
        <v>60</v>
      </c>
      <c r="R9" s="118"/>
      <c r="S9" s="123" t="s">
        <v>61</v>
      </c>
      <c r="T9" s="122">
        <v>0.40899999999999997</v>
      </c>
      <c r="V9" s="56" t="s">
        <v>58</v>
      </c>
      <c r="W9" s="54" t="s">
        <v>59</v>
      </c>
      <c r="X9" s="54" t="s">
        <v>60</v>
      </c>
      <c r="Y9" s="118"/>
      <c r="Z9" s="123" t="s">
        <v>61</v>
      </c>
      <c r="AA9" s="122">
        <v>0.44900000000000001</v>
      </c>
    </row>
    <row r="10" spans="1:27" x14ac:dyDescent="0.35">
      <c r="A10" s="58" t="s">
        <v>62</v>
      </c>
      <c r="B10" s="127">
        <v>0.6668752</v>
      </c>
      <c r="C10" s="127">
        <v>9.25</v>
      </c>
      <c r="E10" s="123" t="s">
        <v>63</v>
      </c>
      <c r="F10" s="122">
        <v>0.432</v>
      </c>
      <c r="G10" s="124"/>
      <c r="H10" s="58" t="s">
        <v>62</v>
      </c>
      <c r="I10" s="127">
        <v>0.68209699999999995</v>
      </c>
      <c r="J10" s="127">
        <v>11.37</v>
      </c>
      <c r="L10" s="123" t="s">
        <v>63</v>
      </c>
      <c r="M10" s="122">
        <v>0.432</v>
      </c>
      <c r="N10" s="117"/>
      <c r="O10" s="58" t="s">
        <v>62</v>
      </c>
      <c r="P10" s="127">
        <v>0.51271999999999995</v>
      </c>
      <c r="Q10" s="127">
        <v>7.74</v>
      </c>
      <c r="R10" s="118"/>
      <c r="S10" s="123" t="s">
        <v>63</v>
      </c>
      <c r="T10" s="122">
        <v>0.442</v>
      </c>
      <c r="V10" s="58" t="s">
        <v>62</v>
      </c>
      <c r="W10" s="127">
        <v>0.67509569999999997</v>
      </c>
      <c r="X10" s="127">
        <v>7.79</v>
      </c>
      <c r="Y10" s="118"/>
      <c r="Z10" s="123" t="s">
        <v>63</v>
      </c>
      <c r="AA10" s="122">
        <v>0.51700000000000002</v>
      </c>
    </row>
    <row r="11" spans="1:27" x14ac:dyDescent="0.35">
      <c r="A11" s="60" t="s">
        <v>64</v>
      </c>
      <c r="B11" s="126">
        <v>0.14898529999999999</v>
      </c>
      <c r="C11" s="126">
        <v>3.21</v>
      </c>
      <c r="E11" s="123" t="s">
        <v>65</v>
      </c>
      <c r="F11" s="122">
        <v>0.872</v>
      </c>
      <c r="G11" s="124"/>
      <c r="H11" s="60" t="s">
        <v>64</v>
      </c>
      <c r="I11" s="122">
        <v>0.153694</v>
      </c>
      <c r="J11" s="122">
        <v>5.21</v>
      </c>
      <c r="L11" s="123" t="s">
        <v>65</v>
      </c>
      <c r="M11" s="122">
        <v>0.876</v>
      </c>
      <c r="N11" s="117"/>
      <c r="O11" s="60" t="s">
        <v>64</v>
      </c>
      <c r="P11" s="122">
        <v>0.15188199999999999</v>
      </c>
      <c r="Q11" s="122">
        <v>5.39</v>
      </c>
      <c r="R11" s="118"/>
      <c r="S11" s="123" t="s">
        <v>65</v>
      </c>
      <c r="T11" s="122">
        <v>0.83899999999999997</v>
      </c>
      <c r="V11" s="60" t="s">
        <v>64</v>
      </c>
      <c r="W11" s="122">
        <v>0.14229230000000001</v>
      </c>
      <c r="X11" s="122">
        <v>2.96</v>
      </c>
      <c r="Y11" s="118"/>
      <c r="Z11" s="123" t="s">
        <v>65</v>
      </c>
      <c r="AA11" s="122">
        <v>0.94</v>
      </c>
    </row>
    <row r="12" spans="1:27" x14ac:dyDescent="0.35">
      <c r="A12" s="60" t="s">
        <v>66</v>
      </c>
      <c r="B12" s="126">
        <v>0.17051920000000001</v>
      </c>
      <c r="C12" s="126">
        <v>2.75</v>
      </c>
      <c r="E12" s="123" t="s">
        <v>67</v>
      </c>
      <c r="F12" s="122">
        <v>0.56499999999999995</v>
      </c>
      <c r="G12" s="124"/>
      <c r="H12" s="60" t="s">
        <v>66</v>
      </c>
      <c r="I12" s="122">
        <v>0.15291099999999999</v>
      </c>
      <c r="J12" s="122">
        <v>2.64</v>
      </c>
      <c r="L12" s="123" t="s">
        <v>67</v>
      </c>
      <c r="M12" s="122">
        <v>0.56299999999999994</v>
      </c>
      <c r="N12" s="117"/>
      <c r="O12" s="60" t="s">
        <v>66</v>
      </c>
      <c r="P12" s="122">
        <v>0.30218299999999998</v>
      </c>
      <c r="Q12" s="122">
        <v>5.37</v>
      </c>
      <c r="R12" s="118"/>
      <c r="S12" s="123" t="s">
        <v>67</v>
      </c>
      <c r="T12" s="122">
        <v>0.59</v>
      </c>
      <c r="V12" s="60" t="s">
        <v>66</v>
      </c>
      <c r="W12" s="122">
        <v>0.1499452</v>
      </c>
      <c r="X12" s="122">
        <v>1.96</v>
      </c>
      <c r="Y12" s="118"/>
      <c r="Z12" s="123" t="s">
        <v>67</v>
      </c>
      <c r="AA12" s="122">
        <v>0.60199999999999998</v>
      </c>
    </row>
    <row r="13" spans="1:27" x14ac:dyDescent="0.35">
      <c r="A13" s="60" t="s">
        <v>68</v>
      </c>
      <c r="B13" s="126">
        <v>-0.13352069999999999</v>
      </c>
      <c r="C13" s="126">
        <v>-4.05</v>
      </c>
      <c r="E13" s="123" t="s">
        <v>69</v>
      </c>
      <c r="F13" s="122">
        <v>0.60299999999999998</v>
      </c>
      <c r="G13" s="124"/>
      <c r="H13" s="60" t="s">
        <v>68</v>
      </c>
      <c r="I13" s="122">
        <v>-0.15570000000000001</v>
      </c>
      <c r="J13" s="122">
        <v>-7.1</v>
      </c>
      <c r="L13" s="123" t="s">
        <v>69</v>
      </c>
      <c r="M13" s="122">
        <v>0.60499999999999998</v>
      </c>
      <c r="N13" s="117"/>
      <c r="O13" s="60" t="s">
        <v>70</v>
      </c>
      <c r="P13" s="122">
        <v>-0.61702999999999997</v>
      </c>
      <c r="Q13" s="122">
        <v>-2.2599999999999998</v>
      </c>
      <c r="R13" s="118"/>
      <c r="S13" s="123" t="s">
        <v>69</v>
      </c>
      <c r="T13" s="122">
        <v>0.61399999999999999</v>
      </c>
      <c r="V13" s="60" t="s">
        <v>70</v>
      </c>
      <c r="W13" s="122">
        <v>0.1007836</v>
      </c>
      <c r="X13" s="122">
        <v>0.36</v>
      </c>
      <c r="Y13" s="118"/>
      <c r="Z13" s="123" t="s">
        <v>69</v>
      </c>
      <c r="AA13" s="122">
        <v>0.67800000000000005</v>
      </c>
    </row>
    <row r="14" spans="1:27" x14ac:dyDescent="0.35">
      <c r="A14" s="60" t="s">
        <v>71</v>
      </c>
      <c r="B14" s="126">
        <v>1.6068099999999998E-2</v>
      </c>
      <c r="C14" s="126">
        <v>14.57</v>
      </c>
      <c r="E14" s="123" t="s">
        <v>72</v>
      </c>
      <c r="F14" s="122">
        <v>0.54100000000000004</v>
      </c>
      <c r="G14" s="124"/>
      <c r="H14" s="60" t="s">
        <v>71</v>
      </c>
      <c r="I14" s="122">
        <v>1.6240999999999998E-2</v>
      </c>
      <c r="J14" s="122">
        <v>8.33</v>
      </c>
      <c r="L14" s="123" t="s">
        <v>72</v>
      </c>
      <c r="M14" s="122">
        <v>0.55100000000000005</v>
      </c>
      <c r="N14" s="117"/>
      <c r="O14" s="60" t="s">
        <v>73</v>
      </c>
      <c r="P14" s="122">
        <v>0.27167400000000003</v>
      </c>
      <c r="Q14" s="122">
        <v>2.99</v>
      </c>
      <c r="R14" s="118"/>
      <c r="S14" s="123" t="s">
        <v>72</v>
      </c>
      <c r="T14" s="122">
        <v>0.57399999999999995</v>
      </c>
      <c r="V14" s="60" t="s">
        <v>73</v>
      </c>
      <c r="W14" s="122">
        <v>-0.22509889999999999</v>
      </c>
      <c r="X14" s="122">
        <v>-2.0099999999999998</v>
      </c>
      <c r="Y14" s="118"/>
      <c r="Z14" s="123" t="s">
        <v>72</v>
      </c>
      <c r="AA14" s="122">
        <v>0.59099999999999997</v>
      </c>
    </row>
    <row r="15" spans="1:27" x14ac:dyDescent="0.35">
      <c r="A15" s="60" t="s">
        <v>74</v>
      </c>
      <c r="B15" s="126">
        <v>0.1082178</v>
      </c>
      <c r="C15" s="126">
        <v>1.08</v>
      </c>
      <c r="E15" s="123" t="s">
        <v>75</v>
      </c>
      <c r="F15" s="122">
        <v>0.60899999999999999</v>
      </c>
      <c r="G15" s="124"/>
      <c r="H15" s="60" t="s">
        <v>74</v>
      </c>
      <c r="I15" s="122">
        <v>-0.30974000000000002</v>
      </c>
      <c r="J15" s="122">
        <v>-2.34</v>
      </c>
      <c r="L15" s="123" t="s">
        <v>75</v>
      </c>
      <c r="M15" s="122">
        <v>0.66100000000000003</v>
      </c>
      <c r="N15" s="117"/>
      <c r="O15" s="60" t="s">
        <v>76</v>
      </c>
      <c r="P15" s="122">
        <v>0.27066499999999999</v>
      </c>
      <c r="Q15" s="122">
        <v>1.29</v>
      </c>
      <c r="R15" s="118"/>
      <c r="S15" s="123" t="s">
        <v>75</v>
      </c>
      <c r="T15" s="122">
        <v>0.71299999999999997</v>
      </c>
      <c r="V15" s="60" t="s">
        <v>76</v>
      </c>
      <c r="W15" s="122">
        <v>0.21427019999999999</v>
      </c>
      <c r="X15" s="122">
        <v>1.03</v>
      </c>
      <c r="Y15" s="118"/>
      <c r="Z15" s="123" t="s">
        <v>75</v>
      </c>
      <c r="AA15" s="122">
        <v>0.64200000000000002</v>
      </c>
    </row>
    <row r="16" spans="1:27" x14ac:dyDescent="0.35">
      <c r="A16" s="60" t="s">
        <v>77</v>
      </c>
      <c r="B16" s="126">
        <v>0.29214519999999999</v>
      </c>
      <c r="C16" s="126">
        <v>3.25</v>
      </c>
      <c r="E16" s="123" t="s">
        <v>33</v>
      </c>
      <c r="F16" s="122">
        <v>0.64800000000000002</v>
      </c>
      <c r="G16" s="124"/>
      <c r="H16" s="60" t="s">
        <v>77</v>
      </c>
      <c r="I16" s="122">
        <v>-8.8999999999999996E-2</v>
      </c>
      <c r="J16" s="122">
        <v>-0.68</v>
      </c>
      <c r="L16" s="123" t="s">
        <v>33</v>
      </c>
      <c r="M16" s="122">
        <v>0.63300000000000001</v>
      </c>
      <c r="N16" s="117"/>
      <c r="O16" s="60" t="s">
        <v>78</v>
      </c>
      <c r="P16" s="122">
        <v>-1.371E-2</v>
      </c>
      <c r="Q16" s="122">
        <v>-0.36</v>
      </c>
      <c r="R16" s="118"/>
      <c r="S16" s="123" t="s">
        <v>33</v>
      </c>
      <c r="T16" s="122">
        <v>0.51900000000000002</v>
      </c>
      <c r="V16" s="60" t="s">
        <v>78</v>
      </c>
      <c r="W16" s="122">
        <v>0.1126915</v>
      </c>
      <c r="X16" s="122">
        <v>1.84</v>
      </c>
      <c r="Y16" s="118"/>
      <c r="Z16" s="123" t="s">
        <v>33</v>
      </c>
      <c r="AA16" s="122">
        <v>0.67500000000000004</v>
      </c>
    </row>
    <row r="17" spans="1:27" ht="15" thickBot="1" x14ac:dyDescent="0.4">
      <c r="A17" s="63" t="s">
        <v>79</v>
      </c>
      <c r="B17" s="125">
        <v>-22.948740000000001</v>
      </c>
      <c r="C17" s="125">
        <v>-10.25</v>
      </c>
      <c r="E17" s="123" t="s">
        <v>80</v>
      </c>
      <c r="F17" s="122">
        <v>0.96799999999999997</v>
      </c>
      <c r="G17" s="124"/>
      <c r="H17" s="60" t="s">
        <v>81</v>
      </c>
      <c r="I17" s="122">
        <v>2.8018000000000001E-2</v>
      </c>
      <c r="J17" s="122">
        <v>0.16</v>
      </c>
      <c r="L17" s="123" t="s">
        <v>80</v>
      </c>
      <c r="M17" s="122">
        <v>1</v>
      </c>
      <c r="N17" s="117"/>
      <c r="O17" s="60" t="s">
        <v>82</v>
      </c>
      <c r="P17" s="122">
        <v>-0.23580999999999999</v>
      </c>
      <c r="Q17" s="122">
        <v>-3.22</v>
      </c>
      <c r="R17" s="118"/>
      <c r="S17" s="123" t="s">
        <v>80</v>
      </c>
      <c r="T17" s="122">
        <v>1</v>
      </c>
      <c r="V17" s="60" t="s">
        <v>82</v>
      </c>
      <c r="W17" s="122">
        <v>9.8293699999999998E-2</v>
      </c>
      <c r="X17" s="122">
        <v>1.07</v>
      </c>
      <c r="Y17" s="118"/>
      <c r="Z17" s="123" t="s">
        <v>80</v>
      </c>
      <c r="AA17" s="122">
        <v>0.96499999999999997</v>
      </c>
    </row>
    <row r="18" spans="1:27" x14ac:dyDescent="0.35">
      <c r="E18" s="123" t="s">
        <v>83</v>
      </c>
      <c r="F18" s="122">
        <v>0.79200000000000004</v>
      </c>
      <c r="G18" s="124"/>
      <c r="H18" s="60" t="s">
        <v>84</v>
      </c>
      <c r="I18" s="122">
        <v>-0.68028999999999995</v>
      </c>
      <c r="J18" s="122">
        <v>-4.55</v>
      </c>
      <c r="L18" s="123" t="s">
        <v>83</v>
      </c>
      <c r="M18" s="122">
        <v>0.79800000000000004</v>
      </c>
      <c r="N18" s="117"/>
      <c r="O18" s="60" t="s">
        <v>85</v>
      </c>
      <c r="P18" s="122">
        <v>6.9256999999999999E-2</v>
      </c>
      <c r="Q18" s="122">
        <v>0.41</v>
      </c>
      <c r="R18" s="118"/>
      <c r="S18" s="123" t="s">
        <v>83</v>
      </c>
      <c r="T18" s="122">
        <v>0.83</v>
      </c>
      <c r="V18" s="60" t="s">
        <v>85</v>
      </c>
      <c r="W18" s="122">
        <v>-0.33257619999999999</v>
      </c>
      <c r="X18" s="122">
        <v>-1.84</v>
      </c>
      <c r="Y18" s="118"/>
      <c r="Z18" s="123" t="s">
        <v>83</v>
      </c>
      <c r="AA18" s="122">
        <v>0.83199999999999996</v>
      </c>
    </row>
    <row r="19" spans="1:27" x14ac:dyDescent="0.35">
      <c r="E19" s="123" t="s">
        <v>86</v>
      </c>
      <c r="F19" s="122">
        <v>0.72399999999999998</v>
      </c>
      <c r="G19" s="124"/>
      <c r="H19" s="60" t="s">
        <v>87</v>
      </c>
      <c r="I19" s="122">
        <v>-0.23799000000000001</v>
      </c>
      <c r="J19" s="122">
        <v>-1.64</v>
      </c>
      <c r="L19" s="123" t="s">
        <v>86</v>
      </c>
      <c r="M19" s="122">
        <v>0.75900000000000001</v>
      </c>
      <c r="N19" s="117"/>
      <c r="O19" s="60" t="s">
        <v>68</v>
      </c>
      <c r="P19" s="122">
        <v>-0.14549999999999999</v>
      </c>
      <c r="Q19" s="122">
        <v>-5.85</v>
      </c>
      <c r="R19" s="118"/>
      <c r="S19" s="123" t="s">
        <v>86</v>
      </c>
      <c r="T19" s="122">
        <v>0.7</v>
      </c>
      <c r="V19" s="60" t="s">
        <v>68</v>
      </c>
      <c r="W19" s="122">
        <v>-0.102136</v>
      </c>
      <c r="X19" s="122">
        <v>-2.76</v>
      </c>
      <c r="Y19" s="118"/>
      <c r="Z19" s="123" t="s">
        <v>86</v>
      </c>
      <c r="AA19" s="122">
        <v>0.70799999999999996</v>
      </c>
    </row>
    <row r="20" spans="1:27" x14ac:dyDescent="0.35">
      <c r="E20" s="123" t="s">
        <v>88</v>
      </c>
      <c r="F20" s="122">
        <v>0.74199999999999999</v>
      </c>
      <c r="G20" s="124"/>
      <c r="H20" s="60" t="s">
        <v>89</v>
      </c>
      <c r="I20" s="122">
        <v>-0.31014000000000003</v>
      </c>
      <c r="J20" s="122">
        <v>-2.23</v>
      </c>
      <c r="L20" s="123" t="s">
        <v>88</v>
      </c>
      <c r="M20" s="122">
        <v>0.746</v>
      </c>
      <c r="N20" s="117"/>
      <c r="O20" s="60" t="s">
        <v>71</v>
      </c>
      <c r="P20" s="122">
        <v>1.7510000000000001E-2</v>
      </c>
      <c r="Q20" s="122">
        <v>9.31</v>
      </c>
      <c r="R20" s="118"/>
      <c r="S20" s="123" t="s">
        <v>88</v>
      </c>
      <c r="T20" s="122">
        <v>0.71299999999999997</v>
      </c>
      <c r="V20" s="60" t="s">
        <v>71</v>
      </c>
      <c r="W20" s="122">
        <v>1.4911900000000001E-2</v>
      </c>
      <c r="X20" s="122">
        <v>12.28</v>
      </c>
      <c r="Y20" s="118"/>
      <c r="Z20" s="123" t="s">
        <v>88</v>
      </c>
      <c r="AA20" s="122">
        <v>0.70899999999999996</v>
      </c>
    </row>
    <row r="21" spans="1:27" x14ac:dyDescent="0.35">
      <c r="E21" s="123" t="s">
        <v>90</v>
      </c>
      <c r="F21" s="122">
        <v>0.79500000000000004</v>
      </c>
      <c r="G21" s="124"/>
      <c r="H21" s="60" t="s">
        <v>91</v>
      </c>
      <c r="I21" s="122">
        <v>-0.21576000000000001</v>
      </c>
      <c r="J21" s="122">
        <v>-1.39</v>
      </c>
      <c r="L21" s="123" t="s">
        <v>90</v>
      </c>
      <c r="M21" s="122">
        <v>0.80200000000000005</v>
      </c>
      <c r="N21" s="117"/>
      <c r="O21" s="60" t="s">
        <v>74</v>
      </c>
      <c r="P21" s="122">
        <v>-0.39345000000000002</v>
      </c>
      <c r="Q21" s="122">
        <v>-3.22</v>
      </c>
      <c r="R21" s="118"/>
      <c r="S21" s="123" t="s">
        <v>90</v>
      </c>
      <c r="T21" s="122">
        <v>0.66700000000000004</v>
      </c>
      <c r="V21" s="60" t="s">
        <v>74</v>
      </c>
      <c r="W21" s="122">
        <v>0.13709840000000001</v>
      </c>
      <c r="X21" s="122">
        <v>1.1299999999999999</v>
      </c>
      <c r="Y21" s="118"/>
      <c r="Z21" s="123" t="s">
        <v>90</v>
      </c>
      <c r="AA21" s="122">
        <v>0.86899999999999999</v>
      </c>
    </row>
    <row r="22" spans="1:27" x14ac:dyDescent="0.35">
      <c r="G22" s="118"/>
      <c r="H22" s="60" t="s">
        <v>92</v>
      </c>
      <c r="I22" s="122">
        <v>-0.39885999999999999</v>
      </c>
      <c r="J22" s="122">
        <v>-2.42</v>
      </c>
      <c r="K22" s="117"/>
      <c r="L22" s="117"/>
      <c r="M22" s="117"/>
      <c r="N22" s="117"/>
      <c r="O22" s="60" t="s">
        <v>77</v>
      </c>
      <c r="P22" s="122">
        <v>-0.21782000000000001</v>
      </c>
      <c r="Q22" s="122">
        <v>-1.8</v>
      </c>
      <c r="V22" s="60" t="s">
        <v>77</v>
      </c>
      <c r="W22" s="122">
        <v>0.32140030000000003</v>
      </c>
      <c r="X22" s="122">
        <v>4.04</v>
      </c>
    </row>
    <row r="23" spans="1:27" ht="15" thickBot="1" x14ac:dyDescent="0.4">
      <c r="G23" s="118"/>
      <c r="H23" s="60" t="s">
        <v>93</v>
      </c>
      <c r="I23" s="122">
        <v>-0.35521999999999998</v>
      </c>
      <c r="J23" s="122">
        <v>-2.46</v>
      </c>
      <c r="K23" s="117"/>
      <c r="L23" s="117"/>
      <c r="M23" s="117"/>
      <c r="N23" s="117"/>
      <c r="O23" s="60" t="s">
        <v>81</v>
      </c>
      <c r="P23" s="122">
        <v>-7.553E-2</v>
      </c>
      <c r="Q23" s="122">
        <v>-0.46</v>
      </c>
      <c r="V23" s="63" t="s">
        <v>79</v>
      </c>
      <c r="W23" s="121">
        <v>-20.623180000000001</v>
      </c>
      <c r="X23" s="121">
        <v>-8.39</v>
      </c>
    </row>
    <row r="24" spans="1:27" x14ac:dyDescent="0.35">
      <c r="G24" s="118"/>
      <c r="H24" s="60" t="s">
        <v>94</v>
      </c>
      <c r="I24" s="122">
        <v>-0.81228</v>
      </c>
      <c r="J24" s="122">
        <v>-5.49</v>
      </c>
      <c r="K24" s="117"/>
      <c r="L24" s="117"/>
      <c r="M24" s="117"/>
      <c r="N24" s="117"/>
      <c r="O24" s="60" t="s">
        <v>84</v>
      </c>
      <c r="P24" s="122">
        <v>-0.71750000000000003</v>
      </c>
      <c r="Q24" s="122">
        <v>-5.2</v>
      </c>
    </row>
    <row r="25" spans="1:27" x14ac:dyDescent="0.35">
      <c r="G25" s="118"/>
      <c r="H25" s="60" t="s">
        <v>95</v>
      </c>
      <c r="I25" s="122">
        <v>-0.58689000000000002</v>
      </c>
      <c r="J25" s="122">
        <v>-3.98</v>
      </c>
      <c r="K25" s="117"/>
      <c r="L25" s="117"/>
      <c r="M25" s="117"/>
      <c r="N25" s="117"/>
      <c r="O25" s="60" t="s">
        <v>87</v>
      </c>
      <c r="P25" s="122">
        <v>-0.36591000000000001</v>
      </c>
      <c r="Q25" s="122">
        <v>-2.68</v>
      </c>
    </row>
    <row r="26" spans="1:27" x14ac:dyDescent="0.35">
      <c r="H26" s="60" t="s">
        <v>96</v>
      </c>
      <c r="I26" s="122">
        <v>-0.53710000000000002</v>
      </c>
      <c r="J26" s="122">
        <v>-3.63</v>
      </c>
      <c r="O26" s="60" t="s">
        <v>89</v>
      </c>
      <c r="P26" s="122">
        <v>-0.40526000000000001</v>
      </c>
      <c r="Q26" s="122">
        <v>-3.03</v>
      </c>
    </row>
    <row r="27" spans="1:27" x14ac:dyDescent="0.35">
      <c r="E27" s="120"/>
      <c r="H27" s="60" t="s">
        <v>97</v>
      </c>
      <c r="I27" s="122">
        <v>-0.51863999999999999</v>
      </c>
      <c r="J27" s="122">
        <v>-3.34</v>
      </c>
      <c r="O27" s="60" t="s">
        <v>91</v>
      </c>
      <c r="P27" s="122">
        <v>-0.33750000000000002</v>
      </c>
      <c r="Q27" s="122">
        <v>-2.08</v>
      </c>
    </row>
    <row r="28" spans="1:27" x14ac:dyDescent="0.35">
      <c r="E28" s="120"/>
      <c r="H28" s="60" t="s">
        <v>98</v>
      </c>
      <c r="I28" s="122">
        <v>-0.59177000000000002</v>
      </c>
      <c r="J28" s="122">
        <v>-3.88</v>
      </c>
      <c r="O28" s="60" t="s">
        <v>92</v>
      </c>
      <c r="P28" s="122">
        <v>-0.55413000000000001</v>
      </c>
      <c r="Q28" s="122">
        <v>-3.27</v>
      </c>
    </row>
    <row r="29" spans="1:27" ht="15" thickBot="1" x14ac:dyDescent="0.4">
      <c r="E29" s="120"/>
      <c r="H29" s="63" t="s">
        <v>79</v>
      </c>
      <c r="I29" s="121">
        <v>-22.5412</v>
      </c>
      <c r="J29" s="121">
        <v>-5.74</v>
      </c>
      <c r="O29" s="60" t="s">
        <v>93</v>
      </c>
      <c r="P29" s="122">
        <v>-0.2366</v>
      </c>
      <c r="Q29" s="122">
        <v>-1.71</v>
      </c>
    </row>
    <row r="30" spans="1:27" x14ac:dyDescent="0.35">
      <c r="E30" s="120"/>
      <c r="O30" s="60" t="s">
        <v>94</v>
      </c>
      <c r="P30" s="122">
        <v>-0.89290999999999998</v>
      </c>
      <c r="Q30" s="122">
        <v>-6.36</v>
      </c>
    </row>
    <row r="31" spans="1:27" x14ac:dyDescent="0.35">
      <c r="E31" s="120"/>
      <c r="O31" s="60" t="s">
        <v>95</v>
      </c>
      <c r="P31" s="122">
        <v>-0.70638999999999996</v>
      </c>
      <c r="Q31" s="122">
        <v>-4.99</v>
      </c>
    </row>
    <row r="32" spans="1:27" x14ac:dyDescent="0.35">
      <c r="E32" s="120"/>
      <c r="O32" s="60" t="s">
        <v>96</v>
      </c>
      <c r="P32" s="122">
        <v>-0.53585000000000005</v>
      </c>
      <c r="Q32" s="122">
        <v>-3.78</v>
      </c>
    </row>
    <row r="33" spans="5:17" x14ac:dyDescent="0.35">
      <c r="E33" s="120"/>
      <c r="O33" s="60" t="s">
        <v>97</v>
      </c>
      <c r="P33" s="122">
        <v>-0.55462999999999996</v>
      </c>
      <c r="Q33" s="122">
        <v>-3.87</v>
      </c>
    </row>
    <row r="34" spans="5:17" x14ac:dyDescent="0.35">
      <c r="E34" s="120"/>
      <c r="O34" s="60" t="s">
        <v>98</v>
      </c>
      <c r="P34" s="122">
        <v>-0.48731999999999998</v>
      </c>
      <c r="Q34" s="122">
        <v>-3.27</v>
      </c>
    </row>
    <row r="35" spans="5:17" ht="15" thickBot="1" x14ac:dyDescent="0.4">
      <c r="E35" s="120"/>
      <c r="O35" s="63" t="s">
        <v>79</v>
      </c>
      <c r="P35" s="121">
        <v>-25.050999999999998</v>
      </c>
      <c r="Q35" s="121">
        <v>-6.61</v>
      </c>
    </row>
    <row r="36" spans="5:17" x14ac:dyDescent="0.35">
      <c r="E36" s="120"/>
    </row>
    <row r="37" spans="5:17" hidden="1" x14ac:dyDescent="0.35">
      <c r="E37" s="120"/>
    </row>
    <row r="38" spans="5:17" hidden="1" x14ac:dyDescent="0.35">
      <c r="E38" s="120"/>
    </row>
    <row r="39" spans="5:17" hidden="1" x14ac:dyDescent="0.35">
      <c r="E39" s="120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workbookViewId="0">
      <selection activeCell="C79" sqref="C79"/>
    </sheetView>
  </sheetViews>
  <sheetFormatPr defaultRowHeight="14.5" x14ac:dyDescent="0.35"/>
  <cols>
    <col min="2" max="2" width="9.453125" bestFit="1" customWidth="1"/>
    <col min="9" max="9" width="17.81640625" bestFit="1" customWidth="1"/>
    <col min="10" max="10" width="9.453125" bestFit="1" customWidth="1"/>
    <col min="11" max="11" width="23.453125" bestFit="1" customWidth="1"/>
    <col min="15" max="15" width="10.1796875" bestFit="1" customWidth="1"/>
    <col min="16" max="16" width="9.453125" bestFit="1" customWidth="1"/>
    <col min="17" max="17" width="23" customWidth="1"/>
  </cols>
  <sheetData>
    <row r="1" spans="1:17" x14ac:dyDescent="0.35">
      <c r="A1" s="141" t="s">
        <v>21</v>
      </c>
      <c r="B1" s="167"/>
    </row>
    <row r="2" spans="1:17" x14ac:dyDescent="0.35">
      <c r="A2" s="167"/>
      <c r="B2" s="167"/>
    </row>
    <row r="3" spans="1:17" x14ac:dyDescent="0.35">
      <c r="A3" s="141" t="s">
        <v>123</v>
      </c>
      <c r="B3" s="167"/>
      <c r="E3" s="141" t="s">
        <v>124</v>
      </c>
      <c r="F3" s="167"/>
      <c r="G3" s="167"/>
      <c r="H3" s="167"/>
      <c r="I3" s="167"/>
      <c r="J3" s="167"/>
      <c r="K3" s="167"/>
    </row>
    <row r="4" spans="1:17" ht="29" x14ac:dyDescent="0.35">
      <c r="A4" s="168"/>
      <c r="B4" s="169"/>
      <c r="E4" s="168"/>
      <c r="F4" s="170"/>
      <c r="G4" s="169"/>
      <c r="H4" s="169"/>
      <c r="I4" s="170" t="s">
        <v>125</v>
      </c>
      <c r="J4" s="170" t="s">
        <v>126</v>
      </c>
      <c r="K4" s="170" t="s">
        <v>127</v>
      </c>
      <c r="N4" s="168" t="s">
        <v>128</v>
      </c>
      <c r="O4" s="169"/>
      <c r="P4" s="169"/>
      <c r="Q4" s="169"/>
    </row>
    <row r="5" spans="1:17" ht="29" x14ac:dyDescent="0.35">
      <c r="A5" s="170" t="s">
        <v>31</v>
      </c>
      <c r="B5" s="170" t="s">
        <v>129</v>
      </c>
      <c r="E5" s="170"/>
      <c r="F5" s="171"/>
      <c r="G5" s="171"/>
      <c r="H5" s="170" t="s">
        <v>31</v>
      </c>
      <c r="I5" s="172" t="s">
        <v>130</v>
      </c>
      <c r="J5" s="171"/>
      <c r="K5" s="171"/>
      <c r="N5" s="168" t="s">
        <v>131</v>
      </c>
      <c r="O5" s="170" t="s">
        <v>125</v>
      </c>
      <c r="P5" s="170" t="s">
        <v>126</v>
      </c>
      <c r="Q5" s="170" t="s">
        <v>127</v>
      </c>
    </row>
    <row r="6" spans="1:17" x14ac:dyDescent="0.35">
      <c r="A6" s="141" t="s">
        <v>80</v>
      </c>
      <c r="B6" s="173">
        <f>VLOOKUP(A6,'Opex Modelling Results'!$E$8:$F$21,2,FALSE)</f>
        <v>0.96799999999999997</v>
      </c>
      <c r="E6" s="167"/>
      <c r="F6" s="167"/>
      <c r="G6" s="167"/>
      <c r="H6" s="141" t="str">
        <f>Inputs!C3</f>
        <v>AND</v>
      </c>
      <c r="I6" s="174">
        <f>Inputs!D23</f>
        <v>1.6876608053116943E-2</v>
      </c>
      <c r="J6" s="175">
        <f>$F$19/(1+I6)</f>
        <v>0.73755261362136038</v>
      </c>
      <c r="K6" s="176">
        <f>MAX((1- (VLOOKUP(H6,A6:B18,2,FALSE))/$J6),0)</f>
        <v>1.8375114359391209E-2</v>
      </c>
      <c r="N6" s="167" t="str">
        <f>A3</f>
        <v>CD SFA</v>
      </c>
      <c r="O6" s="177">
        <f>I6</f>
        <v>1.6876608053116943E-2</v>
      </c>
      <c r="P6" s="178">
        <f t="shared" ref="P6:Q6" si="0">J6</f>
        <v>0.73755261362136038</v>
      </c>
      <c r="Q6" s="178">
        <f t="shared" si="0"/>
        <v>1.8375114359391209E-2</v>
      </c>
    </row>
    <row r="7" spans="1:17" x14ac:dyDescent="0.35">
      <c r="A7" s="141" t="s">
        <v>65</v>
      </c>
      <c r="B7" s="173">
        <f>VLOOKUP(A7,'Opex Modelling Results'!$E$8:$F$21,2,FALSE)</f>
        <v>0.872</v>
      </c>
      <c r="E7" s="167"/>
      <c r="F7" s="167"/>
      <c r="G7" s="167"/>
      <c r="H7" s="141"/>
      <c r="I7" s="141"/>
      <c r="J7" s="141"/>
      <c r="K7" s="179"/>
      <c r="N7" s="167" t="str">
        <f>A22</f>
        <v>CD LSE</v>
      </c>
      <c r="O7" s="177">
        <f>I25</f>
        <v>1.6876608053116943E-2</v>
      </c>
      <c r="P7" s="178">
        <f t="shared" ref="P7:Q7" si="1">J25</f>
        <v>0.73755261362136038</v>
      </c>
      <c r="Q7" s="178">
        <f t="shared" si="1"/>
        <v>0</v>
      </c>
    </row>
    <row r="8" spans="1:17" x14ac:dyDescent="0.35">
      <c r="A8" s="141" t="s">
        <v>90</v>
      </c>
      <c r="B8" s="173">
        <f>VLOOKUP(A8,'Opex Modelling Results'!$E$8:$F$21,2,FALSE)</f>
        <v>0.79500000000000004</v>
      </c>
      <c r="E8" s="167"/>
      <c r="F8" s="167"/>
      <c r="G8" s="167"/>
      <c r="H8" s="167"/>
      <c r="I8" s="167"/>
      <c r="J8" s="167"/>
      <c r="K8" s="167"/>
      <c r="N8" s="167" t="str">
        <f>A41</f>
        <v>Translog LSE</v>
      </c>
      <c r="O8" s="177">
        <f>I44</f>
        <v>1.6876608053116943E-2</v>
      </c>
      <c r="P8" s="178">
        <f t="shared" ref="P8:Q8" si="2">J44</f>
        <v>0.73755261362136038</v>
      </c>
      <c r="Q8" s="178">
        <f t="shared" si="2"/>
        <v>5.091516581709099E-2</v>
      </c>
    </row>
    <row r="9" spans="1:17" x14ac:dyDescent="0.35">
      <c r="A9" s="141" t="s">
        <v>88</v>
      </c>
      <c r="B9" s="173">
        <f>VLOOKUP(A9,'Opex Modelling Results'!$E$8:$F$21,2,FALSE)</f>
        <v>0.74199999999999999</v>
      </c>
      <c r="E9" s="167"/>
      <c r="F9" s="167"/>
      <c r="G9" s="167"/>
      <c r="H9" s="167"/>
      <c r="I9" s="167"/>
      <c r="J9" s="167"/>
      <c r="K9" s="167"/>
      <c r="N9" s="167" t="s">
        <v>132</v>
      </c>
      <c r="O9" s="177">
        <f>I63</f>
        <v>1.6876608053116943E-2</v>
      </c>
      <c r="P9" s="178">
        <f>J63</f>
        <v>0.73755261362136038</v>
      </c>
      <c r="Q9" s="178">
        <f>K63</f>
        <v>4.006848199785773E-2</v>
      </c>
    </row>
    <row r="10" spans="1:17" x14ac:dyDescent="0.35">
      <c r="A10" s="141" t="s">
        <v>83</v>
      </c>
      <c r="B10" s="173">
        <f>VLOOKUP(A10,'Opex Modelling Results'!$E$8:$F$21,2,FALSE)</f>
        <v>0.79200000000000004</v>
      </c>
      <c r="E10" s="167"/>
      <c r="F10" s="167"/>
      <c r="G10" s="167"/>
      <c r="H10" s="167"/>
      <c r="I10" s="167"/>
      <c r="J10" s="167"/>
      <c r="K10" s="167"/>
      <c r="N10" s="167" t="s">
        <v>133</v>
      </c>
      <c r="O10" s="167"/>
      <c r="P10" s="167"/>
      <c r="Q10" s="177">
        <f>AVERAGE(Q6:Q9)</f>
        <v>2.7339690543584982E-2</v>
      </c>
    </row>
    <row r="11" spans="1:17" x14ac:dyDescent="0.35">
      <c r="A11" s="141" t="s">
        <v>86</v>
      </c>
      <c r="B11" s="173">
        <f>VLOOKUP(A11,'Opex Modelling Results'!$E$8:$F$21,2,FALSE)</f>
        <v>0.72399999999999998</v>
      </c>
      <c r="E11" s="167"/>
      <c r="F11" s="167"/>
      <c r="G11" s="167"/>
      <c r="H11" s="167"/>
      <c r="I11" s="167"/>
      <c r="J11" s="167"/>
      <c r="K11" s="167"/>
    </row>
    <row r="12" spans="1:17" x14ac:dyDescent="0.35">
      <c r="A12" s="141" t="s">
        <v>33</v>
      </c>
      <c r="B12" s="173">
        <f>VLOOKUP(A12,'Opex Modelling Results'!$E$8:$F$21,2,FALSE)</f>
        <v>0.64800000000000002</v>
      </c>
      <c r="E12" s="167"/>
      <c r="F12" s="167"/>
      <c r="G12" s="167"/>
      <c r="H12" s="167"/>
      <c r="I12" s="167"/>
      <c r="J12" s="167"/>
      <c r="K12" s="167"/>
    </row>
    <row r="13" spans="1:17" x14ac:dyDescent="0.35">
      <c r="A13" s="141" t="s">
        <v>75</v>
      </c>
      <c r="B13" s="173">
        <f>VLOOKUP(A13,'Opex Modelling Results'!$E$8:$F$21,2,FALSE)</f>
        <v>0.60899999999999999</v>
      </c>
      <c r="E13" s="167"/>
      <c r="F13" s="167"/>
      <c r="G13" s="167"/>
      <c r="H13" s="167"/>
      <c r="I13" s="167"/>
      <c r="J13" s="167"/>
      <c r="K13" s="167"/>
    </row>
    <row r="14" spans="1:17" x14ac:dyDescent="0.35">
      <c r="A14" s="141" t="s">
        <v>69</v>
      </c>
      <c r="B14" s="173">
        <f>VLOOKUP(A14,'Opex Modelling Results'!$E$8:$F$21,2,FALSE)</f>
        <v>0.60299999999999998</v>
      </c>
      <c r="E14" s="167"/>
      <c r="F14" s="167"/>
      <c r="G14" s="167"/>
      <c r="H14" s="167"/>
      <c r="I14" s="167"/>
      <c r="J14" s="167"/>
      <c r="K14" s="167"/>
    </row>
    <row r="15" spans="1:17" x14ac:dyDescent="0.35">
      <c r="A15" s="141" t="s">
        <v>67</v>
      </c>
      <c r="B15" s="173">
        <f>VLOOKUP(A15,'Opex Modelling Results'!$E$8:$F$21,2,FALSE)</f>
        <v>0.56499999999999995</v>
      </c>
      <c r="E15" s="167"/>
      <c r="F15" s="167"/>
      <c r="G15" s="167"/>
      <c r="H15" s="167"/>
      <c r="I15" s="167"/>
      <c r="J15" s="167"/>
      <c r="K15" s="167"/>
    </row>
    <row r="16" spans="1:17" x14ac:dyDescent="0.35">
      <c r="A16" s="141" t="s">
        <v>72</v>
      </c>
      <c r="B16" s="173">
        <f>VLOOKUP(A16,'Opex Modelling Results'!$E$8:$F$21,2,FALSE)</f>
        <v>0.54100000000000004</v>
      </c>
      <c r="E16" s="167"/>
      <c r="F16" s="167"/>
      <c r="G16" s="167"/>
      <c r="H16" s="167"/>
      <c r="I16" s="167"/>
      <c r="J16" s="167"/>
      <c r="K16" s="167"/>
    </row>
    <row r="17" spans="1:11" x14ac:dyDescent="0.35">
      <c r="A17" s="141" t="s">
        <v>61</v>
      </c>
      <c r="B17" s="173">
        <f>VLOOKUP(A17,'Opex Modelling Results'!$E$8:$F$21,2,FALSE)</f>
        <v>0.45300000000000001</v>
      </c>
      <c r="E17" s="167"/>
      <c r="F17" s="167"/>
      <c r="G17" s="167"/>
      <c r="H17" s="167"/>
      <c r="I17" s="167"/>
      <c r="J17" s="167"/>
      <c r="K17" s="167"/>
    </row>
    <row r="18" spans="1:11" x14ac:dyDescent="0.35">
      <c r="A18" s="141" t="s">
        <v>63</v>
      </c>
      <c r="B18" s="173">
        <f>VLOOKUP(A18,'Opex Modelling Results'!$E$8:$F$21,2,FALSE)</f>
        <v>0.432</v>
      </c>
      <c r="E18" s="167"/>
      <c r="F18" s="167"/>
      <c r="G18" s="167"/>
      <c r="H18" s="167"/>
      <c r="I18" s="167"/>
      <c r="J18" s="167"/>
      <c r="K18" s="167"/>
    </row>
    <row r="19" spans="1:11" x14ac:dyDescent="0.35">
      <c r="A19" s="141"/>
      <c r="B19" s="167"/>
      <c r="E19" s="180" t="s">
        <v>134</v>
      </c>
      <c r="F19" s="181">
        <v>0.75</v>
      </c>
      <c r="G19" s="182"/>
      <c r="H19" s="167"/>
      <c r="I19" s="167"/>
      <c r="J19" s="167"/>
      <c r="K19" s="167"/>
    </row>
    <row r="20" spans="1:11" x14ac:dyDescent="0.35">
      <c r="A20" s="167"/>
      <c r="B20" s="167"/>
      <c r="E20" s="167"/>
      <c r="F20" s="167"/>
      <c r="G20" s="167"/>
      <c r="H20" s="167"/>
      <c r="I20" s="167"/>
      <c r="J20" s="167"/>
      <c r="K20" s="167"/>
    </row>
    <row r="21" spans="1:11" x14ac:dyDescent="0.35">
      <c r="A21" s="167"/>
      <c r="B21" s="167"/>
      <c r="E21" s="167"/>
      <c r="F21" s="167"/>
      <c r="G21" s="167"/>
      <c r="H21" s="167"/>
      <c r="I21" s="167"/>
      <c r="J21" s="167"/>
      <c r="K21" s="167"/>
    </row>
    <row r="22" spans="1:11" x14ac:dyDescent="0.35">
      <c r="A22" s="141" t="s">
        <v>135</v>
      </c>
      <c r="B22" s="167"/>
      <c r="E22" s="141" t="s">
        <v>124</v>
      </c>
      <c r="F22" s="167"/>
      <c r="G22" s="167"/>
      <c r="H22" s="167"/>
      <c r="I22" s="167"/>
      <c r="J22" s="167"/>
      <c r="K22" s="167"/>
    </row>
    <row r="23" spans="1:11" ht="29" x14ac:dyDescent="0.35">
      <c r="A23" s="168"/>
      <c r="B23" s="169"/>
      <c r="E23" s="168"/>
      <c r="F23" s="170"/>
      <c r="G23" s="167"/>
      <c r="H23" s="169"/>
      <c r="I23" s="170" t="s">
        <v>125</v>
      </c>
      <c r="J23" s="170" t="s">
        <v>126</v>
      </c>
      <c r="K23" s="170" t="s">
        <v>127</v>
      </c>
    </row>
    <row r="24" spans="1:11" ht="29" x14ac:dyDescent="0.35">
      <c r="A24" s="170" t="s">
        <v>31</v>
      </c>
      <c r="B24" s="170" t="s">
        <v>129</v>
      </c>
      <c r="E24" s="170"/>
      <c r="F24" s="171"/>
      <c r="G24" s="167"/>
      <c r="H24" s="170" t="s">
        <v>31</v>
      </c>
      <c r="I24" s="172" t="s">
        <v>130</v>
      </c>
      <c r="J24" s="171"/>
      <c r="K24" s="171"/>
    </row>
    <row r="25" spans="1:11" x14ac:dyDescent="0.35">
      <c r="A25" s="141" t="s">
        <v>80</v>
      </c>
      <c r="B25" s="173">
        <f>VLOOKUP(A25,'Opex Modelling Results'!$L$9:$M$21,2,FALSE)</f>
        <v>1</v>
      </c>
      <c r="E25" s="167"/>
      <c r="F25" s="167"/>
      <c r="G25" s="167"/>
      <c r="H25" s="141" t="str">
        <f>H6</f>
        <v>AND</v>
      </c>
      <c r="I25" s="174">
        <f>I6</f>
        <v>1.6876608053116943E-2</v>
      </c>
      <c r="J25" s="176">
        <f>$F$38/(1+I25)</f>
        <v>0.73755261362136038</v>
      </c>
      <c r="K25" s="176">
        <f>MAX((1- (VLOOKUP(H25,A25:B37,2,FALSE))/$J25),0)</f>
        <v>0</v>
      </c>
    </row>
    <row r="26" spans="1:11" x14ac:dyDescent="0.35">
      <c r="A26" s="141" t="s">
        <v>65</v>
      </c>
      <c r="B26" s="173">
        <f>VLOOKUP(A26,'Opex Modelling Results'!$L$9:$M$21,2,FALSE)</f>
        <v>0.876</v>
      </c>
      <c r="E26" s="167"/>
      <c r="F26" s="167"/>
      <c r="G26" s="167"/>
      <c r="H26" s="167"/>
      <c r="I26" s="167"/>
      <c r="J26" s="167"/>
      <c r="K26" s="167"/>
    </row>
    <row r="27" spans="1:11" x14ac:dyDescent="0.35">
      <c r="A27" s="141" t="s">
        <v>90</v>
      </c>
      <c r="B27" s="173">
        <f>VLOOKUP(A27,'Opex Modelling Results'!$L$9:$M$21,2,FALSE)</f>
        <v>0.80200000000000005</v>
      </c>
      <c r="E27" s="167"/>
      <c r="F27" s="167"/>
      <c r="G27" s="167"/>
      <c r="H27" s="167"/>
      <c r="I27" s="167"/>
      <c r="J27" s="167"/>
      <c r="K27" s="167"/>
    </row>
    <row r="28" spans="1:11" x14ac:dyDescent="0.35">
      <c r="A28" s="141" t="s">
        <v>88</v>
      </c>
      <c r="B28" s="173">
        <f>VLOOKUP(A28,'Opex Modelling Results'!$L$9:$M$21,2,FALSE)</f>
        <v>0.746</v>
      </c>
      <c r="E28" s="167"/>
      <c r="F28" s="167"/>
      <c r="G28" s="167"/>
      <c r="H28" s="167"/>
      <c r="I28" s="167"/>
      <c r="J28" s="167"/>
      <c r="K28" s="167"/>
    </row>
    <row r="29" spans="1:11" x14ac:dyDescent="0.35">
      <c r="A29" s="141" t="s">
        <v>83</v>
      </c>
      <c r="B29" s="173">
        <f>VLOOKUP(A29,'Opex Modelling Results'!$L$9:$M$21,2,FALSE)</f>
        <v>0.79800000000000004</v>
      </c>
      <c r="E29" s="167"/>
      <c r="F29" s="167"/>
      <c r="G29" s="167"/>
      <c r="H29" s="167"/>
      <c r="I29" s="167"/>
      <c r="J29" s="167"/>
      <c r="K29" s="167"/>
    </row>
    <row r="30" spans="1:11" x14ac:dyDescent="0.35">
      <c r="A30" s="141" t="s">
        <v>86</v>
      </c>
      <c r="B30" s="173">
        <f>VLOOKUP(A30,'Opex Modelling Results'!$L$9:$M$21,2,FALSE)</f>
        <v>0.75900000000000001</v>
      </c>
      <c r="E30" s="167"/>
      <c r="F30" s="167"/>
      <c r="G30" s="167"/>
      <c r="H30" s="167"/>
      <c r="I30" s="167"/>
      <c r="J30" s="167"/>
      <c r="K30" s="167"/>
    </row>
    <row r="31" spans="1:11" x14ac:dyDescent="0.35">
      <c r="A31" s="141" t="s">
        <v>75</v>
      </c>
      <c r="B31" s="173">
        <f>VLOOKUP(A31,'Opex Modelling Results'!$L$9:$M$21,2,FALSE)</f>
        <v>0.66100000000000003</v>
      </c>
      <c r="E31" s="167"/>
      <c r="F31" s="167"/>
      <c r="G31" s="167"/>
      <c r="H31" s="167"/>
      <c r="I31" s="167"/>
      <c r="J31" s="167"/>
      <c r="K31" s="167"/>
    </row>
    <row r="32" spans="1:11" x14ac:dyDescent="0.35">
      <c r="A32" s="141" t="s">
        <v>33</v>
      </c>
      <c r="B32" s="173">
        <f>VLOOKUP(A32,'Opex Modelling Results'!$L$9:$M$21,2,FALSE)</f>
        <v>0.63300000000000001</v>
      </c>
      <c r="E32" s="167"/>
      <c r="F32" s="167"/>
      <c r="G32" s="167"/>
      <c r="H32" s="167"/>
      <c r="I32" s="167"/>
      <c r="J32" s="167"/>
      <c r="K32" s="167"/>
    </row>
    <row r="33" spans="1:11" x14ac:dyDescent="0.35">
      <c r="A33" s="141" t="s">
        <v>69</v>
      </c>
      <c r="B33" s="173">
        <f>VLOOKUP(A33,'Opex Modelling Results'!$L$9:$M$21,2,FALSE)</f>
        <v>0.60499999999999998</v>
      </c>
      <c r="E33" s="167"/>
      <c r="F33" s="167"/>
      <c r="G33" s="167"/>
      <c r="H33" s="167"/>
      <c r="I33" s="167"/>
      <c r="J33" s="167"/>
      <c r="K33" s="167"/>
    </row>
    <row r="34" spans="1:11" x14ac:dyDescent="0.35">
      <c r="A34" s="141" t="s">
        <v>72</v>
      </c>
      <c r="B34" s="173">
        <f>VLOOKUP(A34,'Opex Modelling Results'!$L$9:$M$21,2,FALSE)</f>
        <v>0.55100000000000005</v>
      </c>
      <c r="E34" s="167"/>
      <c r="F34" s="167"/>
      <c r="G34" s="167"/>
      <c r="H34" s="167"/>
      <c r="I34" s="167"/>
      <c r="J34" s="167"/>
      <c r="K34" s="167"/>
    </row>
    <row r="35" spans="1:11" x14ac:dyDescent="0.35">
      <c r="A35" s="141" t="s">
        <v>67</v>
      </c>
      <c r="B35" s="173">
        <f>VLOOKUP(A35,'Opex Modelling Results'!$L$9:$M$21,2,FALSE)</f>
        <v>0.56299999999999994</v>
      </c>
      <c r="E35" s="167"/>
      <c r="F35" s="167"/>
      <c r="G35" s="167"/>
      <c r="H35" s="167"/>
      <c r="I35" s="167"/>
      <c r="J35" s="167"/>
      <c r="K35" s="167"/>
    </row>
    <row r="36" spans="1:11" x14ac:dyDescent="0.35">
      <c r="A36" s="141" t="s">
        <v>63</v>
      </c>
      <c r="B36" s="173">
        <f>VLOOKUP(A36,'Opex Modelling Results'!$L$9:$M$21,2,FALSE)</f>
        <v>0.432</v>
      </c>
      <c r="E36" s="167"/>
      <c r="F36" s="167"/>
      <c r="G36" s="167"/>
      <c r="H36" s="167"/>
      <c r="I36" s="167"/>
      <c r="J36" s="167"/>
      <c r="K36" s="167"/>
    </row>
    <row r="37" spans="1:11" x14ac:dyDescent="0.35">
      <c r="A37" s="141" t="s">
        <v>61</v>
      </c>
      <c r="B37" s="173">
        <f>VLOOKUP(A37,'Opex Modelling Results'!$L$9:$M$21,2,FALSE)</f>
        <v>0.44400000000000001</v>
      </c>
      <c r="E37" s="167"/>
      <c r="F37" s="167"/>
      <c r="G37" s="167"/>
      <c r="H37" s="167"/>
      <c r="I37" s="167"/>
      <c r="J37" s="167"/>
      <c r="K37" s="167"/>
    </row>
    <row r="38" spans="1:11" x14ac:dyDescent="0.35">
      <c r="A38" s="141"/>
      <c r="B38" s="167"/>
      <c r="E38" s="180" t="s">
        <v>134</v>
      </c>
      <c r="F38" s="181">
        <v>0.75</v>
      </c>
      <c r="G38" s="167"/>
      <c r="H38" s="167"/>
      <c r="I38" s="167"/>
      <c r="J38" s="167"/>
      <c r="K38" s="167"/>
    </row>
    <row r="39" spans="1:11" x14ac:dyDescent="0.35">
      <c r="A39" s="167"/>
      <c r="B39" s="167"/>
      <c r="E39" s="167"/>
      <c r="F39" s="167"/>
      <c r="G39" s="167"/>
      <c r="H39" s="167"/>
      <c r="I39" s="167"/>
      <c r="J39" s="167"/>
      <c r="K39" s="167"/>
    </row>
    <row r="40" spans="1:11" x14ac:dyDescent="0.35">
      <c r="A40" s="167"/>
      <c r="B40" s="167"/>
      <c r="E40" s="167"/>
      <c r="F40" s="167"/>
      <c r="G40" s="167"/>
      <c r="H40" s="167"/>
      <c r="I40" s="167"/>
      <c r="J40" s="167"/>
      <c r="K40" s="167"/>
    </row>
    <row r="41" spans="1:11" x14ac:dyDescent="0.35">
      <c r="A41" s="141" t="s">
        <v>50</v>
      </c>
      <c r="B41" s="167"/>
      <c r="E41" s="141" t="s">
        <v>124</v>
      </c>
      <c r="F41" s="167"/>
      <c r="G41" s="167"/>
      <c r="H41" s="167"/>
      <c r="I41" s="167"/>
      <c r="J41" s="167"/>
      <c r="K41" s="167"/>
    </row>
    <row r="42" spans="1:11" ht="29" x14ac:dyDescent="0.35">
      <c r="A42" s="168"/>
      <c r="B42" s="169"/>
      <c r="E42" s="168"/>
      <c r="F42" s="170"/>
      <c r="G42" s="167"/>
      <c r="H42" s="169"/>
      <c r="I42" s="170" t="s">
        <v>125</v>
      </c>
      <c r="J42" s="170" t="s">
        <v>126</v>
      </c>
      <c r="K42" s="170" t="s">
        <v>127</v>
      </c>
    </row>
    <row r="43" spans="1:11" ht="29" x14ac:dyDescent="0.35">
      <c r="A43" s="170" t="s">
        <v>31</v>
      </c>
      <c r="B43" s="170" t="s">
        <v>129</v>
      </c>
      <c r="E43" s="170"/>
      <c r="F43" s="171"/>
      <c r="G43" s="167"/>
      <c r="H43" s="170" t="s">
        <v>31</v>
      </c>
      <c r="I43" s="172" t="s">
        <v>130</v>
      </c>
      <c r="J43" s="171"/>
      <c r="K43" s="171"/>
    </row>
    <row r="44" spans="1:11" x14ac:dyDescent="0.35">
      <c r="A44" s="141" t="s">
        <v>80</v>
      </c>
      <c r="B44" s="183">
        <f>VLOOKUP(A44,'Opex Modelling Results'!$S$9:$T$21,2,FALSE)</f>
        <v>1</v>
      </c>
      <c r="E44" s="167"/>
      <c r="F44" s="167"/>
      <c r="G44" s="167"/>
      <c r="H44" s="141" t="str">
        <f>H6</f>
        <v>AND</v>
      </c>
      <c r="I44" s="174">
        <f>I6</f>
        <v>1.6876608053116943E-2</v>
      </c>
      <c r="J44" s="176">
        <f>$F$57/(1+I44)</f>
        <v>0.73755261362136038</v>
      </c>
      <c r="K44" s="176">
        <f>MAX((1- (VLOOKUP(H44,A44:B56,2,FALSE))/$J44),0)</f>
        <v>5.091516581709099E-2</v>
      </c>
    </row>
    <row r="45" spans="1:11" x14ac:dyDescent="0.35">
      <c r="A45" s="141" t="s">
        <v>65</v>
      </c>
      <c r="B45" s="183">
        <f>VLOOKUP(A45,'Opex Modelling Results'!$S$9:$T$21,2,FALSE)</f>
        <v>0.83899999999999997</v>
      </c>
      <c r="E45" s="167"/>
      <c r="F45" s="167"/>
      <c r="G45" s="167"/>
      <c r="H45" s="167"/>
      <c r="I45" s="167"/>
      <c r="J45" s="167"/>
      <c r="K45" s="167"/>
    </row>
    <row r="46" spans="1:11" x14ac:dyDescent="0.35">
      <c r="A46" s="141" t="s">
        <v>83</v>
      </c>
      <c r="B46" s="183">
        <f>VLOOKUP(A46,'Opex Modelling Results'!$S$9:$T$21,2,FALSE)</f>
        <v>0.83</v>
      </c>
      <c r="E46" s="167"/>
      <c r="F46" s="167"/>
      <c r="G46" s="167"/>
      <c r="H46" s="167"/>
      <c r="I46" s="167"/>
      <c r="J46" s="167"/>
      <c r="K46" s="167"/>
    </row>
    <row r="47" spans="1:11" x14ac:dyDescent="0.35">
      <c r="A47" s="141" t="s">
        <v>88</v>
      </c>
      <c r="B47" s="183">
        <f>VLOOKUP(A47,'Opex Modelling Results'!$S$9:$T$21,2,FALSE)</f>
        <v>0.71299999999999997</v>
      </c>
      <c r="E47" s="167"/>
      <c r="F47" s="167"/>
      <c r="G47" s="167"/>
      <c r="H47" s="167"/>
      <c r="I47" s="167"/>
      <c r="J47" s="167"/>
      <c r="K47" s="167"/>
    </row>
    <row r="48" spans="1:11" x14ac:dyDescent="0.35">
      <c r="A48" s="141" t="s">
        <v>75</v>
      </c>
      <c r="B48" s="183">
        <f>VLOOKUP(A48,'Opex Modelling Results'!$S$9:$T$21,2,FALSE)</f>
        <v>0.71299999999999997</v>
      </c>
      <c r="E48" s="167"/>
      <c r="F48" s="167"/>
      <c r="G48" s="167"/>
      <c r="H48" s="167"/>
      <c r="I48" s="167"/>
      <c r="J48" s="167"/>
      <c r="K48" s="167"/>
    </row>
    <row r="49" spans="1:11" x14ac:dyDescent="0.35">
      <c r="A49" s="141" t="s">
        <v>90</v>
      </c>
      <c r="B49" s="183">
        <f>VLOOKUP(A49,'Opex Modelling Results'!$S$9:$T$21,2,FALSE)</f>
        <v>0.66700000000000004</v>
      </c>
      <c r="E49" s="167"/>
      <c r="F49" s="167"/>
      <c r="G49" s="167"/>
      <c r="H49" s="167"/>
      <c r="I49" s="167"/>
      <c r="J49" s="167"/>
      <c r="K49" s="167"/>
    </row>
    <row r="50" spans="1:11" x14ac:dyDescent="0.35">
      <c r="A50" s="141" t="s">
        <v>86</v>
      </c>
      <c r="B50" s="183">
        <f>VLOOKUP(A50,'Opex Modelling Results'!$S$9:$T$21,2,FALSE)</f>
        <v>0.7</v>
      </c>
      <c r="E50" s="167"/>
      <c r="F50" s="167"/>
      <c r="G50" s="167"/>
      <c r="H50" s="167"/>
      <c r="I50" s="167"/>
      <c r="J50" s="167"/>
      <c r="K50" s="167"/>
    </row>
    <row r="51" spans="1:11" x14ac:dyDescent="0.35">
      <c r="A51" s="141" t="s">
        <v>72</v>
      </c>
      <c r="B51" s="183">
        <f>VLOOKUP(A51,'Opex Modelling Results'!$S$9:$T$21,2,FALSE)</f>
        <v>0.57399999999999995</v>
      </c>
      <c r="E51" s="167"/>
      <c r="F51" s="167"/>
      <c r="G51" s="167"/>
      <c r="H51" s="167"/>
      <c r="I51" s="167"/>
      <c r="J51" s="167"/>
      <c r="K51" s="167"/>
    </row>
    <row r="52" spans="1:11" x14ac:dyDescent="0.35">
      <c r="A52" s="141" t="s">
        <v>69</v>
      </c>
      <c r="B52" s="183">
        <f>VLOOKUP(A52,'Opex Modelling Results'!$S$9:$T$21,2,FALSE)</f>
        <v>0.61399999999999999</v>
      </c>
      <c r="E52" s="167"/>
      <c r="F52" s="167"/>
      <c r="G52" s="167"/>
      <c r="H52" s="167"/>
      <c r="I52" s="167"/>
      <c r="J52" s="167"/>
      <c r="K52" s="167"/>
    </row>
    <row r="53" spans="1:11" x14ac:dyDescent="0.35">
      <c r="A53" s="141" t="s">
        <v>67</v>
      </c>
      <c r="B53" s="183">
        <f>VLOOKUP(A53,'Opex Modelling Results'!$S$9:$T$21,2,FALSE)</f>
        <v>0.59</v>
      </c>
      <c r="E53" s="167"/>
      <c r="F53" s="167"/>
      <c r="G53" s="167"/>
      <c r="H53" s="167"/>
      <c r="I53" s="167"/>
      <c r="J53" s="167"/>
      <c r="K53" s="167"/>
    </row>
    <row r="54" spans="1:11" x14ac:dyDescent="0.35">
      <c r="A54" s="141" t="s">
        <v>33</v>
      </c>
      <c r="B54" s="183">
        <f>VLOOKUP(A54,'Opex Modelling Results'!$S$9:$T$21,2,FALSE)</f>
        <v>0.51900000000000002</v>
      </c>
      <c r="E54" s="167"/>
      <c r="F54" s="167"/>
      <c r="G54" s="167"/>
      <c r="H54" s="167"/>
      <c r="I54" s="167"/>
      <c r="J54" s="167"/>
      <c r="K54" s="167"/>
    </row>
    <row r="55" spans="1:11" x14ac:dyDescent="0.35">
      <c r="A55" s="141" t="s">
        <v>63</v>
      </c>
      <c r="B55" s="183">
        <f>VLOOKUP(A55,'Opex Modelling Results'!$S$9:$T$21,2,FALSE)</f>
        <v>0.442</v>
      </c>
      <c r="E55" s="167"/>
      <c r="F55" s="167"/>
      <c r="G55" s="167"/>
      <c r="H55" s="167"/>
      <c r="I55" s="167"/>
      <c r="J55" s="167"/>
      <c r="K55" s="167"/>
    </row>
    <row r="56" spans="1:11" x14ac:dyDescent="0.35">
      <c r="A56" s="141" t="s">
        <v>61</v>
      </c>
      <c r="B56" s="183">
        <f>VLOOKUP(A56,'Opex Modelling Results'!$S$9:$T$21,2,FALSE)</f>
        <v>0.40899999999999997</v>
      </c>
      <c r="E56" s="167"/>
      <c r="F56" s="167"/>
      <c r="G56" s="167"/>
      <c r="H56" s="167"/>
      <c r="I56" s="167"/>
      <c r="J56" s="167"/>
      <c r="K56" s="167"/>
    </row>
    <row r="57" spans="1:11" x14ac:dyDescent="0.35">
      <c r="A57" s="141"/>
      <c r="B57" s="167"/>
      <c r="E57" s="180" t="s">
        <v>134</v>
      </c>
      <c r="F57" s="181">
        <v>0.75</v>
      </c>
      <c r="G57" s="167"/>
      <c r="H57" s="167"/>
      <c r="I57" s="167"/>
      <c r="J57" s="167"/>
      <c r="K57" s="167"/>
    </row>
    <row r="58" spans="1:11" x14ac:dyDescent="0.35">
      <c r="A58" s="167"/>
      <c r="B58" s="167"/>
      <c r="E58" s="167"/>
      <c r="F58" s="167"/>
      <c r="G58" s="167"/>
      <c r="H58" s="167"/>
      <c r="I58" s="167"/>
      <c r="J58" s="167"/>
      <c r="K58" s="167"/>
    </row>
    <row r="59" spans="1:11" x14ac:dyDescent="0.35">
      <c r="A59" s="167"/>
      <c r="B59" s="167"/>
      <c r="E59" s="167"/>
      <c r="F59" s="167"/>
      <c r="G59" s="167"/>
      <c r="H59" s="167"/>
      <c r="I59" s="167"/>
      <c r="J59" s="167"/>
      <c r="K59" s="167"/>
    </row>
    <row r="60" spans="1:11" x14ac:dyDescent="0.35">
      <c r="A60" s="141" t="s">
        <v>132</v>
      </c>
      <c r="B60" s="167"/>
      <c r="E60" s="141" t="s">
        <v>124</v>
      </c>
      <c r="F60" s="167"/>
      <c r="G60" s="167"/>
      <c r="H60" s="167"/>
      <c r="I60" s="167"/>
      <c r="J60" s="167"/>
      <c r="K60" s="167"/>
    </row>
    <row r="61" spans="1:11" ht="29" x14ac:dyDescent="0.35">
      <c r="A61" s="168"/>
      <c r="B61" s="169"/>
      <c r="E61" s="168"/>
      <c r="F61" s="170"/>
      <c r="G61" s="167"/>
      <c r="H61" s="169"/>
      <c r="I61" s="170" t="s">
        <v>125</v>
      </c>
      <c r="J61" s="170" t="s">
        <v>126</v>
      </c>
      <c r="K61" s="170" t="s">
        <v>127</v>
      </c>
    </row>
    <row r="62" spans="1:11" ht="29" x14ac:dyDescent="0.35">
      <c r="A62" s="170" t="s">
        <v>31</v>
      </c>
      <c r="B62" s="170" t="s">
        <v>129</v>
      </c>
      <c r="E62" s="170"/>
      <c r="F62" s="171"/>
      <c r="G62" s="167"/>
      <c r="H62" s="170" t="s">
        <v>31</v>
      </c>
      <c r="I62" s="172" t="s">
        <v>130</v>
      </c>
      <c r="J62" s="171"/>
      <c r="K62" s="171"/>
    </row>
    <row r="63" spans="1:11" x14ac:dyDescent="0.35">
      <c r="A63" s="141" t="s">
        <v>80</v>
      </c>
      <c r="B63" s="183">
        <f>VLOOKUP(A63,'Opex Modelling Results'!$Z$9:$AA$21,2,FALSE)</f>
        <v>0.96499999999999997</v>
      </c>
      <c r="E63" s="167"/>
      <c r="F63" s="167"/>
      <c r="G63" s="167"/>
      <c r="H63" s="141" t="str">
        <f>H6</f>
        <v>AND</v>
      </c>
      <c r="I63" s="174">
        <f>I25</f>
        <v>1.6876608053116943E-2</v>
      </c>
      <c r="J63" s="176">
        <f>$F$76/(1+I63)</f>
        <v>0.73755261362136038</v>
      </c>
      <c r="K63" s="176">
        <f>MAX((1- (VLOOKUP(H63,A63:B75,2,FALSE))/$J63),0)</f>
        <v>4.006848199785773E-2</v>
      </c>
    </row>
    <row r="64" spans="1:11" x14ac:dyDescent="0.35">
      <c r="A64" s="141" t="s">
        <v>65</v>
      </c>
      <c r="B64" s="183">
        <f>VLOOKUP(A64,'Opex Modelling Results'!$Z$9:$AA$21,2,FALSE)</f>
        <v>0.94</v>
      </c>
      <c r="E64" s="167"/>
      <c r="F64" s="167"/>
      <c r="G64" s="167"/>
      <c r="H64" s="167"/>
      <c r="I64" s="167"/>
      <c r="J64" s="167"/>
      <c r="K64" s="167"/>
    </row>
    <row r="65" spans="1:11" x14ac:dyDescent="0.35">
      <c r="A65" s="141" t="s">
        <v>90</v>
      </c>
      <c r="B65" s="183">
        <f>VLOOKUP(A65,'Opex Modelling Results'!$Z$9:$AA$21,2,FALSE)</f>
        <v>0.86899999999999999</v>
      </c>
      <c r="E65" s="167"/>
      <c r="F65" s="167"/>
      <c r="G65" s="167"/>
      <c r="H65" s="167"/>
      <c r="I65" s="167"/>
      <c r="J65" s="167"/>
      <c r="K65" s="167"/>
    </row>
    <row r="66" spans="1:11" x14ac:dyDescent="0.35">
      <c r="A66" s="141" t="s">
        <v>83</v>
      </c>
      <c r="B66" s="183">
        <f>VLOOKUP(A66,'Opex Modelling Results'!$Z$9:$AA$21,2,FALSE)</f>
        <v>0.83199999999999996</v>
      </c>
      <c r="E66" s="167"/>
      <c r="F66" s="167"/>
      <c r="G66" s="167"/>
      <c r="H66" s="167"/>
      <c r="I66" s="167"/>
      <c r="J66" s="167"/>
      <c r="K66" s="167"/>
    </row>
    <row r="67" spans="1:11" x14ac:dyDescent="0.35">
      <c r="A67" s="141" t="s">
        <v>88</v>
      </c>
      <c r="B67" s="183">
        <f>VLOOKUP(A67,'Opex Modelling Results'!$Z$9:$AA$21,2,FALSE)</f>
        <v>0.70899999999999996</v>
      </c>
      <c r="E67" s="167"/>
      <c r="F67" s="167"/>
      <c r="G67" s="167"/>
      <c r="H67" s="167"/>
      <c r="I67" s="167"/>
      <c r="J67" s="167"/>
      <c r="K67" s="167"/>
    </row>
    <row r="68" spans="1:11" x14ac:dyDescent="0.35">
      <c r="A68" s="141" t="s">
        <v>75</v>
      </c>
      <c r="B68" s="183">
        <f>VLOOKUP(A68,'Opex Modelling Results'!$Z$9:$AA$21,2,FALSE)</f>
        <v>0.64200000000000002</v>
      </c>
      <c r="E68" s="167"/>
      <c r="F68" s="167"/>
      <c r="G68" s="167"/>
      <c r="H68" s="167"/>
      <c r="I68" s="167"/>
      <c r="J68" s="167"/>
      <c r="K68" s="167"/>
    </row>
    <row r="69" spans="1:11" x14ac:dyDescent="0.35">
      <c r="A69" s="141" t="s">
        <v>86</v>
      </c>
      <c r="B69" s="183">
        <f>VLOOKUP(A69,'Opex Modelling Results'!$Z$9:$AA$21,2,FALSE)</f>
        <v>0.70799999999999996</v>
      </c>
      <c r="E69" s="167"/>
      <c r="F69" s="167"/>
      <c r="G69" s="167"/>
      <c r="H69" s="167"/>
      <c r="I69" s="167"/>
      <c r="J69" s="167"/>
      <c r="K69" s="167"/>
    </row>
    <row r="70" spans="1:11" x14ac:dyDescent="0.35">
      <c r="A70" s="141" t="s">
        <v>69</v>
      </c>
      <c r="B70" s="183">
        <f>VLOOKUP(A70,'Opex Modelling Results'!$Z$9:$AA$21,2,FALSE)</f>
        <v>0.67800000000000005</v>
      </c>
      <c r="E70" s="167"/>
      <c r="F70" s="167"/>
      <c r="G70" s="167"/>
      <c r="H70" s="167"/>
      <c r="I70" s="167"/>
      <c r="J70" s="167"/>
      <c r="K70" s="167"/>
    </row>
    <row r="71" spans="1:11" x14ac:dyDescent="0.35">
      <c r="A71" s="141" t="s">
        <v>72</v>
      </c>
      <c r="B71" s="183">
        <f>VLOOKUP(A71,'Opex Modelling Results'!$Z$9:$AA$21,2,FALSE)</f>
        <v>0.59099999999999997</v>
      </c>
      <c r="E71" s="167"/>
      <c r="F71" s="167"/>
      <c r="G71" s="167"/>
      <c r="H71" s="167"/>
      <c r="I71" s="167"/>
      <c r="J71" s="167"/>
      <c r="K71" s="167"/>
    </row>
    <row r="72" spans="1:11" x14ac:dyDescent="0.35">
      <c r="A72" s="141" t="s">
        <v>67</v>
      </c>
      <c r="B72" s="183">
        <f>VLOOKUP(A72,'Opex Modelling Results'!$Z$9:$AA$21,2,FALSE)</f>
        <v>0.60199999999999998</v>
      </c>
      <c r="E72" s="167"/>
      <c r="F72" s="167"/>
      <c r="G72" s="167"/>
      <c r="H72" s="167"/>
      <c r="I72" s="167"/>
      <c r="J72" s="167"/>
      <c r="K72" s="167"/>
    </row>
    <row r="73" spans="1:11" x14ac:dyDescent="0.35">
      <c r="A73" s="141" t="s">
        <v>33</v>
      </c>
      <c r="B73" s="183">
        <f>VLOOKUP(A73,'Opex Modelling Results'!$Z$9:$AA$21,2,FALSE)</f>
        <v>0.67500000000000004</v>
      </c>
      <c r="E73" s="167"/>
      <c r="F73" s="167"/>
      <c r="G73" s="167"/>
      <c r="H73" s="167"/>
      <c r="I73" s="167"/>
      <c r="J73" s="167"/>
      <c r="K73" s="167"/>
    </row>
    <row r="74" spans="1:11" x14ac:dyDescent="0.35">
      <c r="A74" s="141" t="s">
        <v>63</v>
      </c>
      <c r="B74" s="183">
        <f>VLOOKUP(A74,'Opex Modelling Results'!$Z$9:$AA$21,2,FALSE)</f>
        <v>0.51700000000000002</v>
      </c>
      <c r="E74" s="167"/>
      <c r="F74" s="167"/>
      <c r="G74" s="167"/>
      <c r="H74" s="167"/>
      <c r="I74" s="167"/>
      <c r="J74" s="167"/>
      <c r="K74" s="167"/>
    </row>
    <row r="75" spans="1:11" x14ac:dyDescent="0.35">
      <c r="A75" s="141" t="s">
        <v>61</v>
      </c>
      <c r="B75" s="183">
        <f>VLOOKUP(A75,'Opex Modelling Results'!$Z$9:$AA$21,2,FALSE)</f>
        <v>0.44900000000000001</v>
      </c>
      <c r="E75" s="167"/>
      <c r="F75" s="167"/>
      <c r="G75" s="167"/>
      <c r="H75" s="167"/>
      <c r="I75" s="167"/>
      <c r="J75" s="167"/>
      <c r="K75" s="167"/>
    </row>
    <row r="76" spans="1:11" x14ac:dyDescent="0.35">
      <c r="E76" s="180" t="s">
        <v>134</v>
      </c>
      <c r="F76" s="181">
        <v>0.75</v>
      </c>
      <c r="G76" s="167"/>
      <c r="H76" s="167"/>
      <c r="I76" s="167"/>
      <c r="J76" s="167"/>
      <c r="K76" s="167"/>
    </row>
    <row r="79" spans="1:11" x14ac:dyDescent="0.35">
      <c r="A79" s="205"/>
      <c r="B79" s="205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tabSelected="1" workbookViewId="0">
      <selection activeCell="G18" sqref="G18"/>
    </sheetView>
  </sheetViews>
  <sheetFormatPr defaultRowHeight="14.5" x14ac:dyDescent="0.35"/>
  <cols>
    <col min="1" max="1" width="64.7265625" bestFit="1" customWidth="1"/>
    <col min="2" max="2" width="16.453125" bestFit="1" customWidth="1"/>
    <col min="8" max="8" width="16.1796875" bestFit="1" customWidth="1"/>
  </cols>
  <sheetData>
    <row r="1" spans="1:24" x14ac:dyDescent="0.35">
      <c r="A1" s="131" t="str">
        <f>Inputs!C3&amp;" Opex – Base Opex – Using RIN Data and Estimated Opex Cost Functions"</f>
        <v>AND Opex – Base Opex – Using RIN Data and Estimated Opex Cost Functions</v>
      </c>
      <c r="B1" s="132"/>
      <c r="C1" s="132"/>
      <c r="D1" s="132"/>
      <c r="E1" s="132"/>
      <c r="F1" s="132"/>
      <c r="G1" s="132"/>
      <c r="H1" s="137"/>
      <c r="I1" s="132"/>
      <c r="J1" s="132" t="s">
        <v>156</v>
      </c>
      <c r="K1" s="132"/>
      <c r="L1" s="132"/>
      <c r="M1" s="132"/>
      <c r="N1" s="137"/>
      <c r="O1" s="132"/>
      <c r="P1" s="132"/>
      <c r="Q1" s="132"/>
      <c r="R1" s="132"/>
      <c r="S1" s="132"/>
      <c r="T1" s="137"/>
      <c r="U1" s="132"/>
      <c r="V1" s="132"/>
      <c r="W1" s="132"/>
      <c r="X1" s="132"/>
    </row>
    <row r="2" spans="1:24" x14ac:dyDescent="0.35">
      <c r="A2" s="131"/>
      <c r="B2" s="132"/>
      <c r="C2" s="132"/>
      <c r="D2" s="132"/>
      <c r="E2" s="132"/>
      <c r="F2" s="132"/>
      <c r="G2" s="132"/>
      <c r="H2" s="137"/>
      <c r="I2" s="132"/>
      <c r="J2" s="132"/>
      <c r="K2" s="132"/>
      <c r="L2" s="132"/>
      <c r="M2" s="132"/>
      <c r="N2" s="137"/>
      <c r="O2" s="132"/>
      <c r="P2" s="132"/>
      <c r="Q2" s="132"/>
      <c r="R2" s="132"/>
      <c r="S2" s="132"/>
      <c r="T2" s="137"/>
      <c r="U2" s="132"/>
      <c r="V2" s="132"/>
      <c r="W2" s="132"/>
      <c r="X2" s="132"/>
    </row>
    <row r="3" spans="1:24" x14ac:dyDescent="0.35">
      <c r="A3" s="132"/>
      <c r="B3" s="141" t="str">
        <f>'Opex Modelling Results'!A4</f>
        <v xml:space="preserve">Cobb-Douglas SFA </v>
      </c>
      <c r="C3" s="132"/>
      <c r="D3" s="132"/>
      <c r="E3" s="132"/>
      <c r="F3" s="132"/>
      <c r="G3" s="132"/>
      <c r="H3" s="142" t="str">
        <f>'Opex Modelling Results'!H4</f>
        <v xml:space="preserve">Cobb-Douglas LSE </v>
      </c>
      <c r="I3" s="132"/>
      <c r="J3" s="132"/>
      <c r="K3" s="132"/>
      <c r="L3" s="132"/>
      <c r="M3" s="132"/>
      <c r="N3" s="142" t="str">
        <f>'Opex Modelling Results'!O4</f>
        <v>Translog LSE</v>
      </c>
      <c r="O3" s="132"/>
      <c r="P3" s="132"/>
      <c r="Q3" s="132"/>
      <c r="R3" s="132"/>
      <c r="S3" s="132"/>
      <c r="T3" s="142" t="str">
        <f>'Opex Modelling Results'!V4</f>
        <v xml:space="preserve">Translog SFA </v>
      </c>
      <c r="U3" s="132"/>
      <c r="V3" s="132"/>
      <c r="W3" s="132"/>
      <c r="X3" s="132"/>
    </row>
    <row r="4" spans="1:24" x14ac:dyDescent="0.35">
      <c r="A4" s="131"/>
      <c r="B4" s="132"/>
      <c r="C4" s="132"/>
      <c r="D4" s="132"/>
      <c r="E4" s="132"/>
      <c r="F4" s="132"/>
      <c r="G4" s="132"/>
      <c r="H4" s="137"/>
      <c r="I4" s="132"/>
      <c r="J4" s="132"/>
      <c r="K4" s="132"/>
      <c r="L4" s="132"/>
      <c r="M4" s="132"/>
      <c r="N4" s="137"/>
      <c r="O4" s="132"/>
      <c r="P4" s="132"/>
      <c r="Q4" s="132"/>
      <c r="R4" s="132"/>
      <c r="S4" s="132"/>
      <c r="T4" s="137"/>
      <c r="U4" s="132"/>
      <c r="V4" s="132"/>
      <c r="W4" s="132"/>
      <c r="X4" s="132"/>
    </row>
    <row r="5" spans="1:24" x14ac:dyDescent="0.35">
      <c r="A5" s="131" t="s">
        <v>136</v>
      </c>
      <c r="B5" s="143" t="s">
        <v>149</v>
      </c>
      <c r="C5" s="131" t="s">
        <v>150</v>
      </c>
      <c r="D5" s="131"/>
      <c r="E5" s="141" t="s">
        <v>153</v>
      </c>
      <c r="F5" s="132"/>
      <c r="G5" s="132"/>
      <c r="H5" s="138" t="s">
        <v>149</v>
      </c>
      <c r="I5" s="131" t="s">
        <v>150</v>
      </c>
      <c r="J5" s="131"/>
      <c r="K5" s="141" t="s">
        <v>153</v>
      </c>
      <c r="L5" s="132"/>
      <c r="M5" s="132"/>
      <c r="N5" s="138" t="s">
        <v>149</v>
      </c>
      <c r="O5" s="131" t="s">
        <v>150</v>
      </c>
      <c r="P5" s="131"/>
      <c r="Q5" s="141" t="s">
        <v>153</v>
      </c>
      <c r="R5" s="132"/>
      <c r="S5" s="132"/>
      <c r="T5" s="138" t="s">
        <v>149</v>
      </c>
      <c r="U5" s="131" t="s">
        <v>150</v>
      </c>
      <c r="V5" s="131"/>
      <c r="W5" s="141" t="s">
        <v>153</v>
      </c>
      <c r="X5" s="132"/>
    </row>
    <row r="6" spans="1:24" x14ac:dyDescent="0.35">
      <c r="A6" s="133" t="s">
        <v>106</v>
      </c>
      <c r="B6" s="144">
        <f>'Opex Modelling Results'!B10</f>
        <v>0.6668752</v>
      </c>
      <c r="C6" s="145">
        <f>B6/SUM(B$6:B$8)</f>
        <v>0.67608366230570238</v>
      </c>
      <c r="D6" s="146"/>
      <c r="E6" s="132" t="str">
        <f>Inputs!C3</f>
        <v>AND</v>
      </c>
      <c r="F6" s="147">
        <f>'Efficiency Target Option'!K6</f>
        <v>1.8375114359391209E-2</v>
      </c>
      <c r="G6" s="132"/>
      <c r="H6" s="148">
        <f>'Opex Modelling Results'!I10</f>
        <v>0.68209699999999995</v>
      </c>
      <c r="I6" s="145">
        <f>H6/SUM(H$6:H$8)</f>
        <v>0.68989139295763535</v>
      </c>
      <c r="J6" s="146"/>
      <c r="K6" s="132" t="str">
        <f>E6</f>
        <v>AND</v>
      </c>
      <c r="L6" s="147">
        <f>'Efficiency Target Option'!K25</f>
        <v>0</v>
      </c>
      <c r="M6" s="132"/>
      <c r="N6" s="148">
        <f>'Opex Modelling Results'!P10</f>
        <v>0.51271999999999995</v>
      </c>
      <c r="O6" s="145">
        <f>N6/SUM(N$6:N$8)</f>
        <v>0.53033507967128168</v>
      </c>
      <c r="P6" s="146"/>
      <c r="Q6" s="132" t="str">
        <f>K6</f>
        <v>AND</v>
      </c>
      <c r="R6" s="147">
        <f>'Efficiency Target Option'!K44</f>
        <v>5.091516581709099E-2</v>
      </c>
      <c r="S6" s="132"/>
      <c r="T6" s="148">
        <f>'Opex Modelling Results'!W10</f>
        <v>0.67509569999999997</v>
      </c>
      <c r="U6" s="145">
        <f>T6/SUM(T$6:T$8)</f>
        <v>0.69789365236301204</v>
      </c>
      <c r="V6" s="146"/>
      <c r="W6" s="132" t="str">
        <f>Q6</f>
        <v>AND</v>
      </c>
      <c r="X6" s="147">
        <f>'Efficiency Target Option'!K63</f>
        <v>4.006848199785773E-2</v>
      </c>
    </row>
    <row r="7" spans="1:24" x14ac:dyDescent="0.35">
      <c r="A7" s="133" t="s">
        <v>105</v>
      </c>
      <c r="B7" s="144">
        <f>'Opex Modelling Results'!B11</f>
        <v>0.14898529999999999</v>
      </c>
      <c r="C7" s="145">
        <f>B7/SUM(B$6:B$8)</f>
        <v>0.15104254477256576</v>
      </c>
      <c r="D7" s="146"/>
      <c r="E7" s="146"/>
      <c r="F7" s="146"/>
      <c r="G7" s="146"/>
      <c r="H7" s="148">
        <f>'Opex Modelling Results'!I11</f>
        <v>0.153694</v>
      </c>
      <c r="I7" s="145">
        <f>H7/SUM(H$6:H$8)</f>
        <v>0.15545027723216906</v>
      </c>
      <c r="J7" s="146"/>
      <c r="K7" s="146"/>
      <c r="L7" s="146"/>
      <c r="M7" s="146"/>
      <c r="N7" s="148">
        <f>'Opex Modelling Results'!P11</f>
        <v>0.15188199999999999</v>
      </c>
      <c r="O7" s="145">
        <f>N7/SUM(N$6:N$8)</f>
        <v>0.15710007912824464</v>
      </c>
      <c r="P7" s="146"/>
      <c r="Q7" s="146"/>
      <c r="R7" s="146"/>
      <c r="S7" s="146"/>
      <c r="T7" s="148">
        <f>'Opex Modelling Results'!W11</f>
        <v>0.14229230000000001</v>
      </c>
      <c r="U7" s="145">
        <f>T7/SUM(T$6:T$8)</f>
        <v>0.14709750476878081</v>
      </c>
      <c r="V7" s="146"/>
      <c r="W7" s="146"/>
      <c r="X7" s="146"/>
    </row>
    <row r="8" spans="1:24" x14ac:dyDescent="0.35">
      <c r="A8" s="133" t="s">
        <v>104</v>
      </c>
      <c r="B8" s="144">
        <f>'Opex Modelling Results'!B12</f>
        <v>0.17051920000000001</v>
      </c>
      <c r="C8" s="145">
        <f>B8/SUM(B$6:B$8)</f>
        <v>0.17287379292173188</v>
      </c>
      <c r="D8" s="146"/>
      <c r="E8" s="146"/>
      <c r="F8" s="146"/>
      <c r="G8" s="149"/>
      <c r="H8" s="148">
        <f>'Opex Modelling Results'!I12</f>
        <v>0.15291099999999999</v>
      </c>
      <c r="I8" s="145">
        <f>H8/SUM(H$6:H$8)</f>
        <v>0.15465832981019559</v>
      </c>
      <c r="J8" s="146"/>
      <c r="K8" s="146"/>
      <c r="L8" s="146"/>
      <c r="M8" s="149"/>
      <c r="N8" s="148">
        <f>'Opex Modelling Results'!P12</f>
        <v>0.30218299999999998</v>
      </c>
      <c r="O8" s="145">
        <f>N8/SUM(N$6:N$8)</f>
        <v>0.31256484120047373</v>
      </c>
      <c r="P8" s="146"/>
      <c r="Q8" s="146"/>
      <c r="R8" s="146"/>
      <c r="S8" s="149"/>
      <c r="T8" s="148">
        <f>'Opex Modelling Results'!W12</f>
        <v>0.1499452</v>
      </c>
      <c r="U8" s="145">
        <f>T8/SUM(T$6:T$8)</f>
        <v>0.15500884286820715</v>
      </c>
      <c r="V8" s="146"/>
      <c r="W8" s="146"/>
      <c r="X8" s="146"/>
    </row>
    <row r="9" spans="1:24" x14ac:dyDescent="0.35">
      <c r="A9" s="133" t="s">
        <v>103</v>
      </c>
      <c r="B9" s="144">
        <f>'Opex Modelling Results'!B13</f>
        <v>-0.13352069999999999</v>
      </c>
      <c r="C9" s="132"/>
      <c r="D9" s="132"/>
      <c r="E9" s="132"/>
      <c r="F9" s="132"/>
      <c r="G9" s="149"/>
      <c r="H9" s="148">
        <f>'Opex Modelling Results'!I13</f>
        <v>-0.15570000000000001</v>
      </c>
      <c r="I9" s="132"/>
      <c r="J9" s="132"/>
      <c r="K9" s="132"/>
      <c r="L9" s="132"/>
      <c r="M9" s="149"/>
      <c r="N9" s="148">
        <f>'Opex Modelling Results'!P19</f>
        <v>-0.14549999999999999</v>
      </c>
      <c r="O9" s="132"/>
      <c r="P9" s="132"/>
      <c r="Q9" s="132"/>
      <c r="R9" s="132"/>
      <c r="S9" s="149"/>
      <c r="T9" s="148">
        <f>'Opex Modelling Results'!W19</f>
        <v>-0.102136</v>
      </c>
      <c r="U9" s="132"/>
      <c r="V9" s="132"/>
      <c r="W9" s="132"/>
      <c r="X9" s="132"/>
    </row>
    <row r="10" spans="1:24" x14ac:dyDescent="0.35">
      <c r="A10" s="133" t="s">
        <v>137</v>
      </c>
      <c r="B10" s="144">
        <f>'Opex Modelling Results'!B14</f>
        <v>1.6068099999999998E-2</v>
      </c>
      <c r="C10" s="132"/>
      <c r="D10" s="132"/>
      <c r="E10" s="132"/>
      <c r="F10" s="132"/>
      <c r="G10" s="132"/>
      <c r="H10" s="148">
        <f>'Opex Modelling Results'!I14</f>
        <v>1.6240999999999998E-2</v>
      </c>
      <c r="I10" s="132"/>
      <c r="J10" s="132"/>
      <c r="K10" s="132"/>
      <c r="L10" s="132"/>
      <c r="M10" s="132"/>
      <c r="N10" s="148">
        <f>'Opex Modelling Results'!P20</f>
        <v>1.7510000000000001E-2</v>
      </c>
      <c r="O10" s="132"/>
      <c r="P10" s="132"/>
      <c r="Q10" s="132"/>
      <c r="R10" s="132"/>
      <c r="S10" s="132"/>
      <c r="T10" s="148">
        <f>'Opex Modelling Results'!W20</f>
        <v>1.4911900000000001E-2</v>
      </c>
      <c r="U10" s="132"/>
      <c r="V10" s="132"/>
      <c r="W10" s="132"/>
      <c r="X10" s="132"/>
    </row>
    <row r="11" spans="1:24" x14ac:dyDescent="0.35">
      <c r="A11" s="132"/>
      <c r="B11" s="146"/>
      <c r="C11" s="132"/>
      <c r="D11" s="132"/>
      <c r="E11" s="132"/>
      <c r="F11" s="132"/>
      <c r="G11" s="132"/>
      <c r="H11" s="150"/>
      <c r="I11" s="132"/>
      <c r="J11" s="132"/>
      <c r="K11" s="132"/>
      <c r="L11" s="132"/>
      <c r="M11" s="132"/>
      <c r="N11" s="150"/>
      <c r="O11" s="132"/>
      <c r="P11" s="132"/>
      <c r="Q11" s="132"/>
      <c r="R11" s="132"/>
      <c r="S11" s="132"/>
      <c r="T11" s="150"/>
      <c r="U11" s="132"/>
      <c r="V11" s="132"/>
      <c r="W11" s="132"/>
      <c r="X11" s="132"/>
    </row>
    <row r="12" spans="1:24" x14ac:dyDescent="0.35">
      <c r="A12" s="131" t="s">
        <v>138</v>
      </c>
      <c r="B12" s="132"/>
      <c r="C12" s="143"/>
      <c r="D12" s="143"/>
      <c r="E12" s="143"/>
      <c r="F12" s="143"/>
      <c r="G12" s="132"/>
      <c r="H12" s="137"/>
      <c r="I12" s="143"/>
      <c r="J12" s="143"/>
      <c r="K12" s="143"/>
      <c r="L12" s="143"/>
      <c r="M12" s="132"/>
      <c r="N12" s="137"/>
      <c r="O12" s="143"/>
      <c r="P12" s="143"/>
      <c r="Q12" s="143"/>
      <c r="R12" s="143"/>
      <c r="S12" s="132"/>
      <c r="T12" s="137"/>
      <c r="U12" s="143"/>
      <c r="V12" s="143"/>
      <c r="W12" s="143"/>
      <c r="X12" s="143"/>
    </row>
    <row r="13" spans="1:24" x14ac:dyDescent="0.35">
      <c r="A13" s="132"/>
      <c r="B13" s="132"/>
      <c r="C13" s="151"/>
      <c r="D13" s="151"/>
      <c r="E13" s="151">
        <v>2018</v>
      </c>
      <c r="F13" s="132"/>
      <c r="G13" s="132"/>
      <c r="H13" s="137"/>
      <c r="I13" s="151"/>
      <c r="J13" s="151"/>
      <c r="K13" s="151">
        <v>2018</v>
      </c>
      <c r="L13" s="132"/>
      <c r="M13" s="132"/>
      <c r="N13" s="137"/>
      <c r="O13" s="151"/>
      <c r="P13" s="151"/>
      <c r="Q13" s="151">
        <v>2018</v>
      </c>
      <c r="R13" s="132"/>
      <c r="S13" s="132"/>
      <c r="T13" s="137"/>
      <c r="U13" s="151"/>
      <c r="V13" s="151"/>
      <c r="W13" s="151">
        <v>2018</v>
      </c>
      <c r="X13" s="132"/>
    </row>
    <row r="14" spans="1:24" x14ac:dyDescent="0.35">
      <c r="A14" s="133" t="s">
        <v>106</v>
      </c>
      <c r="B14" s="133"/>
      <c r="C14" s="143"/>
      <c r="D14" s="143"/>
      <c r="E14" s="152">
        <f>'Cost Drivers'!P21</f>
        <v>0.10077620285200628</v>
      </c>
      <c r="F14" s="132"/>
      <c r="G14" s="132"/>
      <c r="H14" s="153"/>
      <c r="I14" s="143"/>
      <c r="J14" s="143"/>
      <c r="K14" s="152">
        <f t="shared" ref="K14:K18" si="0">E14</f>
        <v>0.10077620285200628</v>
      </c>
      <c r="L14" s="132"/>
      <c r="M14" s="132"/>
      <c r="N14" s="153"/>
      <c r="O14" s="143"/>
      <c r="P14" s="143"/>
      <c r="Q14" s="152">
        <f t="shared" ref="Q14:Q16" si="1">K14</f>
        <v>0.10077620285200628</v>
      </c>
      <c r="R14" s="132"/>
      <c r="S14" s="132"/>
      <c r="T14" s="153"/>
      <c r="U14" s="143"/>
      <c r="V14" s="143"/>
      <c r="W14" s="152">
        <f t="shared" ref="W14:W16" si="2">Q14</f>
        <v>0.10077620285200628</v>
      </c>
      <c r="X14" s="132"/>
    </row>
    <row r="15" spans="1:24" x14ac:dyDescent="0.35">
      <c r="A15" s="133" t="s">
        <v>105</v>
      </c>
      <c r="B15" s="133"/>
      <c r="C15" s="143"/>
      <c r="D15" s="143"/>
      <c r="E15" s="152">
        <f>'Cost Drivers'!P22</f>
        <v>3.6972518262467377E-2</v>
      </c>
      <c r="F15" s="132"/>
      <c r="G15" s="132"/>
      <c r="H15" s="153"/>
      <c r="I15" s="143"/>
      <c r="J15" s="143"/>
      <c r="K15" s="152">
        <f t="shared" si="0"/>
        <v>3.6972518262467377E-2</v>
      </c>
      <c r="L15" s="132"/>
      <c r="M15" s="132"/>
      <c r="N15" s="153"/>
      <c r="O15" s="143"/>
      <c r="P15" s="143"/>
      <c r="Q15" s="152">
        <f t="shared" si="1"/>
        <v>3.6972518262467377E-2</v>
      </c>
      <c r="R15" s="132"/>
      <c r="S15" s="132"/>
      <c r="T15" s="153"/>
      <c r="U15" s="143"/>
      <c r="V15" s="143"/>
      <c r="W15" s="152">
        <f t="shared" si="2"/>
        <v>3.6972518262467377E-2</v>
      </c>
      <c r="X15" s="132"/>
    </row>
    <row r="16" spans="1:24" x14ac:dyDescent="0.35">
      <c r="A16" s="133" t="s">
        <v>104</v>
      </c>
      <c r="B16" s="133"/>
      <c r="C16" s="143"/>
      <c r="D16" s="143"/>
      <c r="E16" s="152">
        <f>'Cost Drivers'!P23</f>
        <v>3.3783235214033522E-2</v>
      </c>
      <c r="F16" s="132"/>
      <c r="G16" s="132"/>
      <c r="H16" s="153"/>
      <c r="I16" s="143"/>
      <c r="J16" s="143"/>
      <c r="K16" s="152">
        <f t="shared" si="0"/>
        <v>3.3783235214033522E-2</v>
      </c>
      <c r="L16" s="132"/>
      <c r="M16" s="132"/>
      <c r="N16" s="153"/>
      <c r="O16" s="143"/>
      <c r="P16" s="143"/>
      <c r="Q16" s="152">
        <f t="shared" si="1"/>
        <v>3.3783235214033522E-2</v>
      </c>
      <c r="R16" s="132"/>
      <c r="S16" s="132"/>
      <c r="T16" s="153"/>
      <c r="U16" s="143"/>
      <c r="V16" s="143"/>
      <c r="W16" s="152">
        <f t="shared" si="2"/>
        <v>3.3783235214033522E-2</v>
      </c>
      <c r="X16" s="132"/>
    </row>
    <row r="17" spans="1:24" x14ac:dyDescent="0.35">
      <c r="A17" s="131" t="s">
        <v>139</v>
      </c>
      <c r="B17" s="131"/>
      <c r="C17" s="143"/>
      <c r="D17" s="143"/>
      <c r="E17" s="154">
        <f>$C6*E14+$C7*E15+$C8*E16</f>
        <v>7.9557803551077014E-2</v>
      </c>
      <c r="F17" s="132"/>
      <c r="G17" s="131"/>
      <c r="H17" s="136"/>
      <c r="I17" s="143"/>
      <c r="J17" s="143"/>
      <c r="K17" s="154">
        <f>$I6*K14+$I7*K15+$I8*K16</f>
        <v>8.0496881910211218E-2</v>
      </c>
      <c r="L17" s="132"/>
      <c r="M17" s="131"/>
      <c r="N17" s="136"/>
      <c r="O17" s="143"/>
      <c r="P17" s="143"/>
      <c r="Q17" s="154">
        <f>$O6*Q14+$O7*Q15+$O8*Q16</f>
        <v>6.9812992663004725E-2</v>
      </c>
      <c r="R17" s="132"/>
      <c r="S17" s="131"/>
      <c r="T17" s="136"/>
      <c r="U17" s="143"/>
      <c r="V17" s="143"/>
      <c r="W17" s="154">
        <f>$U6*W14+$U7*W15+$U8*W16</f>
        <v>8.1006337659961389E-2</v>
      </c>
      <c r="X17" s="132"/>
    </row>
    <row r="18" spans="1:24" x14ac:dyDescent="0.35">
      <c r="A18" s="133" t="s">
        <v>103</v>
      </c>
      <c r="B18" s="133"/>
      <c r="C18" s="143"/>
      <c r="D18" s="143"/>
      <c r="E18" s="152">
        <f>'Cost Drivers'!P24</f>
        <v>0.23035319657511127</v>
      </c>
      <c r="F18" s="132"/>
      <c r="G18" s="132"/>
      <c r="H18" s="153"/>
      <c r="I18" s="143"/>
      <c r="J18" s="143"/>
      <c r="K18" s="152">
        <f t="shared" si="0"/>
        <v>0.23035319657511127</v>
      </c>
      <c r="L18" s="132"/>
      <c r="M18" s="132"/>
      <c r="N18" s="153"/>
      <c r="O18" s="143"/>
      <c r="P18" s="143"/>
      <c r="Q18" s="152">
        <f t="shared" ref="Q18" si="3">K18</f>
        <v>0.23035319657511127</v>
      </c>
      <c r="R18" s="132"/>
      <c r="S18" s="132"/>
      <c r="T18" s="153"/>
      <c r="U18" s="143"/>
      <c r="V18" s="143"/>
      <c r="W18" s="152">
        <f t="shared" ref="W18" si="4">Q18</f>
        <v>0.23035319657511127</v>
      </c>
      <c r="X18" s="132"/>
    </row>
    <row r="19" spans="1:24" x14ac:dyDescent="0.35">
      <c r="A19" s="132"/>
      <c r="B19" s="132"/>
      <c r="C19" s="132"/>
      <c r="D19" s="132"/>
      <c r="E19" s="132"/>
      <c r="F19" s="132"/>
      <c r="G19" s="132"/>
      <c r="H19" s="137"/>
      <c r="I19" s="143"/>
      <c r="J19" s="143"/>
      <c r="K19" s="143"/>
      <c r="L19" s="132"/>
      <c r="M19" s="132"/>
      <c r="N19" s="137"/>
      <c r="O19" s="143"/>
      <c r="P19" s="143"/>
      <c r="Q19" s="143"/>
      <c r="R19" s="132"/>
      <c r="S19" s="132"/>
      <c r="T19" s="137"/>
      <c r="U19" s="143"/>
      <c r="V19" s="143"/>
      <c r="W19" s="143"/>
      <c r="X19" s="132"/>
    </row>
    <row r="20" spans="1:24" x14ac:dyDescent="0.35">
      <c r="A20" s="131" t="s">
        <v>140</v>
      </c>
      <c r="B20" s="131"/>
      <c r="C20" s="131"/>
      <c r="D20" s="131"/>
      <c r="E20" s="132"/>
      <c r="F20" s="132"/>
      <c r="G20" s="132"/>
      <c r="H20" s="136"/>
      <c r="I20" s="143"/>
      <c r="J20" s="143"/>
      <c r="K20" s="143"/>
      <c r="L20" s="132"/>
      <c r="M20" s="132"/>
      <c r="N20" s="136"/>
      <c r="O20" s="143"/>
      <c r="P20" s="143"/>
      <c r="Q20" s="143"/>
      <c r="R20" s="132"/>
      <c r="S20" s="132"/>
      <c r="T20" s="136"/>
      <c r="U20" s="143"/>
      <c r="V20" s="143"/>
      <c r="W20" s="143"/>
      <c r="X20" s="132"/>
    </row>
    <row r="21" spans="1:24" x14ac:dyDescent="0.35">
      <c r="A21" s="131"/>
      <c r="B21" s="131"/>
      <c r="C21" s="131" t="s">
        <v>151</v>
      </c>
      <c r="D21" s="131" t="s">
        <v>152</v>
      </c>
      <c r="E21" s="131" t="s">
        <v>154</v>
      </c>
      <c r="F21" s="132"/>
      <c r="G21" s="132"/>
      <c r="H21" s="136"/>
      <c r="I21" s="131" t="s">
        <v>151</v>
      </c>
      <c r="J21" s="131" t="s">
        <v>152</v>
      </c>
      <c r="K21" s="131" t="s">
        <v>154</v>
      </c>
      <c r="L21" s="132"/>
      <c r="M21" s="132"/>
      <c r="N21" s="136"/>
      <c r="O21" s="131" t="s">
        <v>151</v>
      </c>
      <c r="P21" s="131" t="s">
        <v>152</v>
      </c>
      <c r="Q21" s="131" t="s">
        <v>154</v>
      </c>
      <c r="R21" s="132"/>
      <c r="S21" s="132"/>
      <c r="T21" s="136"/>
      <c r="U21" s="131" t="s">
        <v>151</v>
      </c>
      <c r="V21" s="131" t="s">
        <v>152</v>
      </c>
      <c r="W21" s="131" t="s">
        <v>154</v>
      </c>
      <c r="X21" s="132"/>
    </row>
    <row r="22" spans="1:24" x14ac:dyDescent="0.35">
      <c r="A22" s="132"/>
      <c r="B22" s="132"/>
      <c r="C22" s="155">
        <f>Inputs!$C$5</f>
        <v>2006</v>
      </c>
      <c r="D22" s="155">
        <f>Inputs!$C$6</f>
        <v>2018</v>
      </c>
      <c r="E22" s="156">
        <f>C22+(D22-C22)/2</f>
        <v>2012</v>
      </c>
      <c r="F22" s="132"/>
      <c r="G22" s="132"/>
      <c r="H22" s="137"/>
      <c r="I22" s="155">
        <f>Inputs!$C$5</f>
        <v>2006</v>
      </c>
      <c r="J22" s="155">
        <f>Inputs!$C$6</f>
        <v>2018</v>
      </c>
      <c r="K22" s="156">
        <f>I22+(J22-I22)/2</f>
        <v>2012</v>
      </c>
      <c r="L22" s="132"/>
      <c r="M22" s="132"/>
      <c r="N22" s="137"/>
      <c r="O22" s="155">
        <f>Inputs!$C$5</f>
        <v>2006</v>
      </c>
      <c r="P22" s="155">
        <f>Inputs!$C$6</f>
        <v>2018</v>
      </c>
      <c r="Q22" s="156">
        <f>O22+(P22-O22)/2</f>
        <v>2012</v>
      </c>
      <c r="R22" s="132"/>
      <c r="S22" s="132"/>
      <c r="T22" s="137"/>
      <c r="U22" s="155">
        <f>Inputs!$C$5</f>
        <v>2006</v>
      </c>
      <c r="V22" s="155">
        <f>Inputs!$C$6</f>
        <v>2018</v>
      </c>
      <c r="W22" s="156">
        <f>U22+(V22-U22)/2</f>
        <v>2012</v>
      </c>
      <c r="X22" s="132"/>
    </row>
    <row r="23" spans="1:24" x14ac:dyDescent="0.35">
      <c r="A23" s="132" t="s">
        <v>141</v>
      </c>
      <c r="B23" s="132"/>
      <c r="C23" s="143"/>
      <c r="D23" s="143"/>
      <c r="E23" s="157">
        <f>E13-E22</f>
        <v>6</v>
      </c>
      <c r="F23" s="132"/>
      <c r="G23" s="132"/>
      <c r="H23" s="137"/>
      <c r="I23" s="143"/>
      <c r="J23" s="143"/>
      <c r="K23" s="157">
        <f>K13-K22</f>
        <v>6</v>
      </c>
      <c r="L23" s="132"/>
      <c r="M23" s="132"/>
      <c r="N23" s="137"/>
      <c r="O23" s="143"/>
      <c r="P23" s="143"/>
      <c r="Q23" s="157">
        <f>Q13-Q22</f>
        <v>6</v>
      </c>
      <c r="R23" s="132"/>
      <c r="S23" s="132"/>
      <c r="T23" s="137"/>
      <c r="U23" s="143"/>
      <c r="V23" s="143"/>
      <c r="W23" s="157">
        <f>W13-W22</f>
        <v>6</v>
      </c>
      <c r="X23" s="132"/>
    </row>
    <row r="24" spans="1:24" x14ac:dyDescent="0.35">
      <c r="A24" s="132" t="s">
        <v>142</v>
      </c>
      <c r="B24" s="132"/>
      <c r="C24" s="143"/>
      <c r="D24" s="143"/>
      <c r="E24" s="158">
        <f>-B$10*E23</f>
        <v>-9.6408599999999983E-2</v>
      </c>
      <c r="F24" s="132"/>
      <c r="G24" s="132"/>
      <c r="H24" s="137"/>
      <c r="I24" s="143"/>
      <c r="J24" s="143"/>
      <c r="K24" s="158">
        <f>-H$10*K23</f>
        <v>-9.7445999999999991E-2</v>
      </c>
      <c r="L24" s="132"/>
      <c r="M24" s="132"/>
      <c r="N24" s="137"/>
      <c r="O24" s="143"/>
      <c r="P24" s="143"/>
      <c r="Q24" s="158">
        <f>-N$10*Q23</f>
        <v>-0.10506000000000001</v>
      </c>
      <c r="R24" s="132"/>
      <c r="S24" s="132"/>
      <c r="T24" s="137"/>
      <c r="U24" s="143"/>
      <c r="V24" s="143"/>
      <c r="W24" s="158">
        <f>-T$10*W23</f>
        <v>-8.9471400000000006E-2</v>
      </c>
      <c r="X24" s="132"/>
    </row>
    <row r="25" spans="1:24" x14ac:dyDescent="0.35">
      <c r="A25" s="132" t="s">
        <v>143</v>
      </c>
      <c r="B25" s="132"/>
      <c r="C25" s="143"/>
      <c r="D25" s="143"/>
      <c r="E25" s="158">
        <f>(1-B6-B7-B8)*E17</f>
        <v>1.0836011517067344E-3</v>
      </c>
      <c r="F25" s="132"/>
      <c r="G25" s="132"/>
      <c r="H25" s="137"/>
      <c r="I25" s="143"/>
      <c r="J25" s="143"/>
      <c r="K25" s="158">
        <f>(1-H6-H7-H8)*K17</f>
        <v>9.0945377182157102E-4</v>
      </c>
      <c r="L25" s="132"/>
      <c r="M25" s="132"/>
      <c r="N25" s="137"/>
      <c r="O25" s="143"/>
      <c r="P25" s="143"/>
      <c r="Q25" s="158">
        <f>(1-N6-N7-N8)*Q17</f>
        <v>2.3188385513017093E-3</v>
      </c>
      <c r="R25" s="132"/>
      <c r="S25" s="132"/>
      <c r="T25" s="137"/>
      <c r="U25" s="143"/>
      <c r="V25" s="143"/>
      <c r="W25" s="158">
        <f>(1-T6-T7-T8)*W17</f>
        <v>2.6462178310704288E-3</v>
      </c>
      <c r="X25" s="132"/>
    </row>
    <row r="26" spans="1:24" x14ac:dyDescent="0.35">
      <c r="A26" s="132" t="s">
        <v>144</v>
      </c>
      <c r="B26" s="132"/>
      <c r="C26" s="143"/>
      <c r="D26" s="143"/>
      <c r="E26" s="158">
        <f>B9*E18</f>
        <v>-3.0756920053946459E-2</v>
      </c>
      <c r="F26" s="132"/>
      <c r="G26" s="132"/>
      <c r="H26" s="137"/>
      <c r="I26" s="143"/>
      <c r="J26" s="143"/>
      <c r="K26" s="158">
        <f>H9*K18</f>
        <v>-3.5865992706744829E-2</v>
      </c>
      <c r="L26" s="132"/>
      <c r="M26" s="132"/>
      <c r="N26" s="137"/>
      <c r="O26" s="143"/>
      <c r="P26" s="143"/>
      <c r="Q26" s="158">
        <f>N9*Q18</f>
        <v>-3.3516390101678686E-2</v>
      </c>
      <c r="R26" s="132"/>
      <c r="S26" s="132"/>
      <c r="T26" s="137"/>
      <c r="U26" s="143"/>
      <c r="V26" s="143"/>
      <c r="W26" s="158">
        <f>T9*W18</f>
        <v>-2.3527354085395566E-2</v>
      </c>
      <c r="X26" s="132"/>
    </row>
    <row r="27" spans="1:24" x14ac:dyDescent="0.35">
      <c r="A27" s="132"/>
      <c r="B27" s="132"/>
      <c r="C27" s="143"/>
      <c r="D27" s="143"/>
      <c r="E27" s="132"/>
      <c r="F27" s="132"/>
      <c r="G27" s="132"/>
      <c r="H27" s="137"/>
      <c r="I27" s="143"/>
      <c r="J27" s="143"/>
      <c r="K27" s="132"/>
      <c r="L27" s="132"/>
      <c r="M27" s="132"/>
      <c r="N27" s="137"/>
      <c r="O27" s="143"/>
      <c r="P27" s="143"/>
      <c r="Q27" s="132"/>
      <c r="R27" s="132"/>
      <c r="S27" s="132"/>
      <c r="T27" s="137"/>
      <c r="U27" s="143"/>
      <c r="V27" s="143"/>
      <c r="W27" s="132"/>
      <c r="X27" s="132"/>
    </row>
    <row r="28" spans="1:24" x14ac:dyDescent="0.35">
      <c r="A28" s="131" t="s">
        <v>145</v>
      </c>
      <c r="B28" s="131"/>
      <c r="C28" s="143"/>
      <c r="D28" s="143"/>
      <c r="E28" s="159">
        <f>E24+E25-E26</f>
        <v>-6.4568078794346784E-2</v>
      </c>
      <c r="F28" s="132"/>
      <c r="G28" s="132"/>
      <c r="H28" s="136"/>
      <c r="I28" s="143"/>
      <c r="J28" s="143"/>
      <c r="K28" s="159">
        <f>K24+K25-K26</f>
        <v>-6.0670553521433593E-2</v>
      </c>
      <c r="L28" s="132"/>
      <c r="M28" s="132"/>
      <c r="N28" s="136"/>
      <c r="O28" s="143"/>
      <c r="P28" s="143"/>
      <c r="Q28" s="159">
        <f>Q24+Q25-Q26</f>
        <v>-6.9224771347019612E-2</v>
      </c>
      <c r="R28" s="132"/>
      <c r="S28" s="132"/>
      <c r="T28" s="136"/>
      <c r="U28" s="143"/>
      <c r="V28" s="143"/>
      <c r="W28" s="159">
        <f>W24+W25-W26</f>
        <v>-6.3297828083534013E-2</v>
      </c>
      <c r="X28" s="132"/>
    </row>
    <row r="29" spans="1:24" x14ac:dyDescent="0.35">
      <c r="A29" s="132"/>
      <c r="B29" s="132"/>
      <c r="C29" s="143"/>
      <c r="D29" s="143"/>
      <c r="E29" s="132"/>
      <c r="F29" s="132"/>
      <c r="G29" s="132"/>
      <c r="H29" s="137"/>
      <c r="I29" s="143"/>
      <c r="J29" s="143"/>
      <c r="K29" s="132"/>
      <c r="L29" s="132"/>
      <c r="M29" s="132"/>
      <c r="N29" s="137"/>
      <c r="O29" s="143"/>
      <c r="P29" s="143"/>
      <c r="Q29" s="132"/>
      <c r="R29" s="132"/>
      <c r="S29" s="132"/>
      <c r="T29" s="137"/>
      <c r="U29" s="143"/>
      <c r="V29" s="143"/>
      <c r="W29" s="132"/>
      <c r="X29" s="132"/>
    </row>
    <row r="30" spans="1:24" x14ac:dyDescent="0.35">
      <c r="A30" s="131" t="s">
        <v>146</v>
      </c>
      <c r="B30" s="131"/>
      <c r="C30" s="143"/>
      <c r="D30" s="143"/>
      <c r="E30" s="160">
        <v>0</v>
      </c>
      <c r="F30" s="132"/>
      <c r="G30" s="131"/>
      <c r="H30" s="136"/>
      <c r="I30" s="143"/>
      <c r="J30" s="143"/>
      <c r="K30" s="160">
        <v>0</v>
      </c>
      <c r="L30" s="132"/>
      <c r="M30" s="131"/>
      <c r="N30" s="136"/>
      <c r="O30" s="143"/>
      <c r="P30" s="143"/>
      <c r="Q30" s="160">
        <v>0</v>
      </c>
      <c r="R30" s="132"/>
      <c r="S30" s="131"/>
      <c r="T30" s="136"/>
      <c r="U30" s="143"/>
      <c r="V30" s="143"/>
      <c r="W30" s="160">
        <v>0</v>
      </c>
      <c r="X30" s="132"/>
    </row>
    <row r="31" spans="1:24" x14ac:dyDescent="0.35">
      <c r="A31" s="132"/>
      <c r="B31" s="143"/>
      <c r="C31" s="143"/>
      <c r="D31" s="143"/>
      <c r="E31" s="132"/>
      <c r="F31" s="132"/>
      <c r="G31" s="132"/>
      <c r="H31" s="138"/>
      <c r="I31" s="143"/>
      <c r="J31" s="143"/>
      <c r="K31" s="143"/>
      <c r="L31" s="132"/>
      <c r="M31" s="132"/>
      <c r="N31" s="138"/>
      <c r="O31" s="143"/>
      <c r="P31" s="143"/>
      <c r="Q31" s="143"/>
      <c r="R31" s="132"/>
      <c r="S31" s="132"/>
      <c r="T31" s="138"/>
      <c r="U31" s="143"/>
      <c r="V31" s="143"/>
      <c r="W31" s="143"/>
      <c r="X31" s="132"/>
    </row>
    <row r="32" spans="1:24" x14ac:dyDescent="0.35">
      <c r="A32" s="134" t="s">
        <v>147</v>
      </c>
      <c r="B32" s="161"/>
      <c r="C32" s="143"/>
      <c r="D32" s="143"/>
      <c r="E32" s="162">
        <f>(1+E17)*(1+E30)*(1-E28)-1</f>
        <v>0.14926277687381506</v>
      </c>
      <c r="F32" s="132"/>
      <c r="G32" s="161"/>
      <c r="H32" s="139"/>
      <c r="I32" s="143"/>
      <c r="J32" s="143"/>
      <c r="K32" s="162">
        <f>(1+K17)*(1+K30)*(1-K28)-1</f>
        <v>0.14605122581388685</v>
      </c>
      <c r="L32" s="132"/>
      <c r="M32" s="161"/>
      <c r="N32" s="139"/>
      <c r="O32" s="143"/>
      <c r="P32" s="143"/>
      <c r="Q32" s="162">
        <f>(1+Q17)*(1+Q30)*(1-Q28)-1</f>
        <v>0.14387055246417191</v>
      </c>
      <c r="R32" s="132"/>
      <c r="S32" s="161"/>
      <c r="T32" s="139"/>
      <c r="U32" s="143"/>
      <c r="V32" s="143"/>
      <c r="W32" s="162">
        <f>(1+W17)*(1+W30)*(1-W28)-1</f>
        <v>0.14943169097837261</v>
      </c>
      <c r="X32" s="132"/>
    </row>
    <row r="33" spans="1:24" x14ac:dyDescent="0.35">
      <c r="A33" s="132"/>
      <c r="B33" s="132" t="s">
        <v>178</v>
      </c>
      <c r="C33" s="143"/>
      <c r="D33" s="143"/>
      <c r="E33" s="132" t="s">
        <v>155</v>
      </c>
      <c r="F33" s="132"/>
      <c r="G33" s="132"/>
      <c r="H33" s="132" t="s">
        <v>178</v>
      </c>
      <c r="I33" s="143"/>
      <c r="J33" s="143"/>
      <c r="K33" s="132" t="s">
        <v>155</v>
      </c>
      <c r="L33" s="132"/>
      <c r="M33" s="132"/>
      <c r="N33" s="132" t="s">
        <v>178</v>
      </c>
      <c r="O33" s="143"/>
      <c r="P33" s="143"/>
      <c r="Q33" s="132" t="s">
        <v>155</v>
      </c>
      <c r="R33" s="132"/>
      <c r="S33" s="132"/>
      <c r="T33" s="132" t="s">
        <v>178</v>
      </c>
      <c r="U33" s="131"/>
      <c r="V33" s="131"/>
      <c r="W33" s="131"/>
      <c r="X33" s="132"/>
    </row>
    <row r="34" spans="1:24" x14ac:dyDescent="0.35">
      <c r="A34" s="131" t="s">
        <v>177</v>
      </c>
      <c r="B34" s="163">
        <f>'Cost Drivers'!$H$25</f>
        <v>181900.22148753388</v>
      </c>
      <c r="C34" s="143"/>
      <c r="D34" s="143"/>
      <c r="E34" s="132"/>
      <c r="F34" s="132"/>
      <c r="G34" s="132"/>
      <c r="H34" s="164">
        <f>B34</f>
        <v>181900.22148753388</v>
      </c>
      <c r="I34" s="143"/>
      <c r="J34" s="143"/>
      <c r="K34" s="143"/>
      <c r="L34" s="132"/>
      <c r="M34" s="132"/>
      <c r="N34" s="164">
        <f>H34</f>
        <v>181900.22148753388</v>
      </c>
      <c r="O34" s="143"/>
      <c r="P34" s="143"/>
      <c r="Q34" s="143"/>
      <c r="R34" s="132"/>
      <c r="S34" s="132"/>
      <c r="T34" s="164">
        <f>N34</f>
        <v>181900.22148753388</v>
      </c>
      <c r="U34" s="131"/>
      <c r="V34" s="131"/>
      <c r="W34" s="131"/>
      <c r="X34" s="132"/>
    </row>
    <row r="35" spans="1:24" x14ac:dyDescent="0.35">
      <c r="A35" s="135" t="s">
        <v>148</v>
      </c>
      <c r="B35" s="163">
        <f>'Cost Drivers'!$H$25*(1-'Opex Forecasts'!F6)</f>
        <v>178557.78411570186</v>
      </c>
      <c r="C35" s="143"/>
      <c r="D35" s="143"/>
      <c r="E35" s="165">
        <f>$B35*(1+E32)</f>
        <v>205209.81480524671</v>
      </c>
      <c r="F35" s="132"/>
      <c r="G35" s="166"/>
      <c r="H35" s="164">
        <f>'Cost Drivers'!$H$25*(1-'Opex Forecasts'!L6)</f>
        <v>181900.22148753388</v>
      </c>
      <c r="I35" s="143"/>
      <c r="J35" s="143"/>
      <c r="K35" s="165">
        <f t="shared" ref="K35" si="5">$H35*(1+K32)</f>
        <v>208466.97181160573</v>
      </c>
      <c r="L35" s="132"/>
      <c r="M35" s="166"/>
      <c r="N35" s="164">
        <f>'Cost Drivers'!$H$25*(1-'Opex Forecasts'!R6)</f>
        <v>172638.74154833052</v>
      </c>
      <c r="O35" s="143"/>
      <c r="P35" s="143"/>
      <c r="Q35" s="165">
        <f>$N35*(1+Q32)</f>
        <v>197476.37267160823</v>
      </c>
      <c r="R35" s="132"/>
      <c r="S35" s="166"/>
      <c r="T35" s="164">
        <f>'Cost Drivers'!$H$25*(1-'Opex Forecasts'!X6)</f>
        <v>174611.75573745431</v>
      </c>
      <c r="U35" s="131"/>
      <c r="V35" s="131"/>
      <c r="W35" s="165">
        <f t="shared" ref="W35" si="6">$T35*(1+W32)</f>
        <v>200704.28566200467</v>
      </c>
      <c r="X35" s="132"/>
    </row>
    <row r="36" spans="1:24" x14ac:dyDescent="0.35">
      <c r="A36" s="135" t="s">
        <v>175</v>
      </c>
      <c r="B36" s="166"/>
      <c r="C36" s="166"/>
      <c r="D36" s="166"/>
      <c r="E36" s="165">
        <f>E35*Inputs!$C$8</f>
        <v>211890.4645578723</v>
      </c>
      <c r="F36" s="132"/>
      <c r="G36" s="166"/>
      <c r="H36" s="140"/>
      <c r="I36" s="166"/>
      <c r="J36" s="166"/>
      <c r="K36" s="165">
        <f>K35*Inputs!$C$8</f>
        <v>215253.65901263233</v>
      </c>
      <c r="L36" s="132"/>
      <c r="M36" s="166"/>
      <c r="N36" s="140"/>
      <c r="O36" s="166"/>
      <c r="P36" s="166"/>
      <c r="Q36" s="165">
        <f>Q35*Inputs!$C$8</f>
        <v>203905.25854868005</v>
      </c>
      <c r="R36" s="132"/>
      <c r="S36" s="166"/>
      <c r="T36" s="140"/>
      <c r="U36" s="131"/>
      <c r="V36" s="131"/>
      <c r="W36" s="165">
        <f>W35*Inputs!$C$8</f>
        <v>207238.2569422345</v>
      </c>
      <c r="X36" s="132"/>
    </row>
    <row r="37" spans="1:24" x14ac:dyDescent="0.35">
      <c r="X37" s="13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2:BN238"/>
  <sheetViews>
    <sheetView zoomScale="83" workbookViewId="0">
      <selection activeCell="E74" sqref="E74"/>
    </sheetView>
  </sheetViews>
  <sheetFormatPr defaultColWidth="8.7265625" defaultRowHeight="12.5" x14ac:dyDescent="0.25"/>
  <cols>
    <col min="1" max="1" width="8.7265625" style="16"/>
    <col min="2" max="2" width="28.7265625" style="16" bestFit="1" customWidth="1"/>
    <col min="3" max="3" width="24.81640625" style="16" bestFit="1" customWidth="1"/>
    <col min="4" max="4" width="17" style="16" bestFit="1" customWidth="1"/>
    <col min="5" max="5" width="34.81640625" style="16" customWidth="1"/>
    <col min="6" max="6" width="8.1796875" style="16" customWidth="1"/>
    <col min="7" max="7" width="16.26953125" style="16" bestFit="1" customWidth="1"/>
    <col min="8" max="8" width="18.7265625" style="16" bestFit="1" customWidth="1"/>
    <col min="9" max="9" width="12" style="16" customWidth="1"/>
    <col min="10" max="11" width="15.453125" style="16" customWidth="1"/>
    <col min="12" max="15" width="8.7265625" style="16"/>
    <col min="16" max="16" width="20.1796875" style="16" bestFit="1" customWidth="1"/>
    <col min="17" max="16384" width="8.7265625" style="16"/>
  </cols>
  <sheetData>
    <row r="2" spans="2:17" ht="13" x14ac:dyDescent="0.3">
      <c r="B2" s="14" t="s">
        <v>31</v>
      </c>
      <c r="C2" s="15" t="s">
        <v>169</v>
      </c>
      <c r="J2" s="73"/>
      <c r="K2" s="73"/>
      <c r="L2" s="73"/>
      <c r="O2" s="73"/>
      <c r="P2" s="73"/>
      <c r="Q2" s="73"/>
    </row>
    <row r="3" spans="2:17" ht="13" x14ac:dyDescent="0.3">
      <c r="B3" s="14" t="s">
        <v>32</v>
      </c>
      <c r="C3" s="15" t="s">
        <v>86</v>
      </c>
      <c r="J3" s="73"/>
      <c r="K3" s="73"/>
      <c r="L3" s="73"/>
      <c r="O3" s="73"/>
      <c r="P3" s="73"/>
      <c r="Q3" s="73"/>
    </row>
    <row r="4" spans="2:17" ht="13" x14ac:dyDescent="0.3">
      <c r="B4" s="14" t="s">
        <v>34</v>
      </c>
      <c r="C4" s="17">
        <v>2018</v>
      </c>
      <c r="J4" s="73"/>
      <c r="K4" s="73"/>
      <c r="L4" s="73"/>
      <c r="O4" s="73"/>
      <c r="P4" s="73"/>
      <c r="Q4" s="73"/>
    </row>
    <row r="5" spans="2:17" ht="13" x14ac:dyDescent="0.3">
      <c r="B5" s="14" t="s">
        <v>35</v>
      </c>
      <c r="C5" s="17">
        <v>2006</v>
      </c>
      <c r="J5" s="198"/>
      <c r="K5" s="73"/>
      <c r="L5" s="73"/>
      <c r="O5" s="73"/>
      <c r="P5" s="73"/>
      <c r="Q5" s="73"/>
    </row>
    <row r="6" spans="2:17" ht="13" x14ac:dyDescent="0.3">
      <c r="B6" s="14" t="s">
        <v>36</v>
      </c>
      <c r="C6" s="17">
        <v>2018</v>
      </c>
      <c r="J6" s="198"/>
      <c r="K6" s="73"/>
      <c r="L6" s="73"/>
      <c r="O6" s="73"/>
      <c r="P6" s="73"/>
      <c r="Q6" s="73"/>
    </row>
    <row r="7" spans="2:17" ht="13" x14ac:dyDescent="0.3">
      <c r="B7" s="14" t="s">
        <v>180</v>
      </c>
      <c r="C7" s="17" t="s">
        <v>182</v>
      </c>
      <c r="J7" s="198"/>
      <c r="K7" s="73"/>
      <c r="L7" s="73"/>
      <c r="O7" s="73"/>
      <c r="P7" s="73"/>
      <c r="Q7" s="73"/>
    </row>
    <row r="8" spans="2:17" ht="13" x14ac:dyDescent="0.3">
      <c r="B8" s="14" t="s">
        <v>172</v>
      </c>
      <c r="C8" s="196">
        <v>1.0325552155434954</v>
      </c>
      <c r="J8" s="198"/>
      <c r="K8" s="73"/>
      <c r="L8" s="73"/>
      <c r="O8" s="73"/>
      <c r="P8" s="73"/>
      <c r="Q8" s="73"/>
    </row>
    <row r="9" spans="2:17" ht="13" x14ac:dyDescent="0.3">
      <c r="B9" s="14" t="s">
        <v>174</v>
      </c>
      <c r="C9" s="18">
        <v>1.0325552155434954</v>
      </c>
      <c r="E9" s="199"/>
      <c r="J9" s="198"/>
      <c r="K9" s="73"/>
      <c r="L9" s="73"/>
      <c r="O9" s="73"/>
      <c r="P9" s="73"/>
      <c r="Q9" s="73"/>
    </row>
    <row r="10" spans="2:17" ht="14.5" x14ac:dyDescent="0.35">
      <c r="B10" s="19"/>
      <c r="C10" s="19"/>
      <c r="J10" s="198"/>
      <c r="K10" s="73"/>
      <c r="L10" s="73"/>
    </row>
    <row r="11" spans="2:17" ht="14.5" x14ac:dyDescent="0.35">
      <c r="B11" s="19"/>
      <c r="C11" s="19"/>
      <c r="D11" s="19"/>
      <c r="E11" s="19"/>
      <c r="J11" s="198"/>
      <c r="K11" s="73"/>
      <c r="L11" s="73"/>
    </row>
    <row r="12" spans="2:17" ht="14.5" x14ac:dyDescent="0.35">
      <c r="B12" s="19"/>
      <c r="C12" s="20"/>
      <c r="D12" s="21"/>
      <c r="E12" s="19"/>
      <c r="F12" s="19"/>
      <c r="J12" s="198"/>
      <c r="K12" s="73"/>
      <c r="L12" s="73"/>
    </row>
    <row r="13" spans="2:17" ht="14.5" x14ac:dyDescent="0.35">
      <c r="B13" s="19"/>
      <c r="C13" s="20"/>
      <c r="D13" s="21"/>
      <c r="F13" s="19"/>
      <c r="J13" s="198"/>
      <c r="K13" s="73"/>
      <c r="L13" s="73"/>
    </row>
    <row r="14" spans="2:17" ht="14.5" x14ac:dyDescent="0.35">
      <c r="B14" s="19"/>
      <c r="C14" s="22"/>
      <c r="D14" s="23"/>
      <c r="F14" s="22"/>
      <c r="J14" s="198"/>
      <c r="K14" s="73"/>
      <c r="L14" s="73"/>
    </row>
    <row r="15" spans="2:17" x14ac:dyDescent="0.25">
      <c r="J15" s="198"/>
      <c r="K15" s="73"/>
      <c r="L15" s="73"/>
    </row>
    <row r="16" spans="2:17" ht="13" x14ac:dyDescent="0.3">
      <c r="B16" s="24" t="s">
        <v>37</v>
      </c>
      <c r="C16" s="24" t="s">
        <v>38</v>
      </c>
      <c r="D16" s="25" t="s">
        <v>39</v>
      </c>
    </row>
    <row r="17" spans="2:10" ht="14.5" x14ac:dyDescent="0.35">
      <c r="F17" s="29"/>
      <c r="I17" s="30"/>
    </row>
    <row r="18" spans="2:10" ht="14.5" x14ac:dyDescent="0.35">
      <c r="B18" s="26" t="s">
        <v>179</v>
      </c>
      <c r="C18" s="27" t="s">
        <v>40</v>
      </c>
      <c r="D18" s="28">
        <v>193.55793337553899</v>
      </c>
      <c r="F18" s="29"/>
    </row>
    <row r="19" spans="2:10" ht="14.5" x14ac:dyDescent="0.35">
      <c r="B19" s="26" t="s">
        <v>179</v>
      </c>
      <c r="C19" s="27" t="s">
        <v>171</v>
      </c>
      <c r="D19" s="31">
        <f>D18*C9</f>
        <v>199.85925361673318</v>
      </c>
      <c r="I19" s="32"/>
      <c r="J19" s="33"/>
    </row>
    <row r="21" spans="2:10" ht="13" x14ac:dyDescent="0.3">
      <c r="G21" s="202"/>
    </row>
    <row r="22" spans="2:10" ht="13" x14ac:dyDescent="0.3">
      <c r="B22" s="24" t="s">
        <v>41</v>
      </c>
      <c r="C22" s="24" t="s">
        <v>38</v>
      </c>
      <c r="D22" s="25" t="s">
        <v>42</v>
      </c>
    </row>
    <row r="23" spans="2:10" ht="14.5" x14ac:dyDescent="0.3">
      <c r="B23" s="26" t="s">
        <v>43</v>
      </c>
      <c r="C23" s="16" t="s">
        <v>44</v>
      </c>
      <c r="D23" s="34">
        <f>D25+D24+D26+D27</f>
        <v>1.6876608053116943E-2</v>
      </c>
    </row>
    <row r="24" spans="2:10" ht="14.5" x14ac:dyDescent="0.35">
      <c r="B24" s="35" t="s">
        <v>45</v>
      </c>
      <c r="C24" s="16" t="s">
        <v>44</v>
      </c>
      <c r="D24" s="207">
        <v>-1.8023391946883058E-2</v>
      </c>
      <c r="E24" s="29"/>
    </row>
    <row r="25" spans="2:10" ht="14.5" x14ac:dyDescent="0.35">
      <c r="B25" s="35" t="s">
        <v>46</v>
      </c>
      <c r="C25" s="16" t="s">
        <v>44</v>
      </c>
      <c r="D25" s="207">
        <v>3.49E-2</v>
      </c>
      <c r="E25" s="19"/>
    </row>
    <row r="29" spans="2:10" ht="14" x14ac:dyDescent="0.3">
      <c r="E29" s="36"/>
    </row>
    <row r="64" spans="2:2" x14ac:dyDescent="0.25">
      <c r="B64" s="16" t="s">
        <v>47</v>
      </c>
    </row>
    <row r="65" spans="2:28" ht="17.5" thickBot="1" x14ac:dyDescent="0.45">
      <c r="B65" s="37" t="s">
        <v>182</v>
      </c>
    </row>
    <row r="66" spans="2:28" ht="15" thickTop="1" x14ac:dyDescent="0.35">
      <c r="B66" s="38" t="s">
        <v>48</v>
      </c>
      <c r="C66" s="39"/>
      <c r="D66" s="39"/>
      <c r="E66" s="39"/>
      <c r="F66" s="39"/>
      <c r="G66" s="39"/>
      <c r="H66" s="40"/>
      <c r="I66" s="41" t="s">
        <v>49</v>
      </c>
      <c r="J66" s="39"/>
      <c r="K66" s="39"/>
      <c r="L66" s="39"/>
      <c r="M66" s="39"/>
      <c r="N66" s="39"/>
      <c r="O66" s="39"/>
      <c r="P66" s="41" t="s">
        <v>50</v>
      </c>
      <c r="Q66" s="39"/>
      <c r="R66" s="39"/>
      <c r="S66" s="39"/>
      <c r="T66" s="39"/>
      <c r="U66" s="39"/>
      <c r="V66" s="42"/>
      <c r="W66" s="43"/>
      <c r="X66" s="39"/>
      <c r="Y66" s="39"/>
      <c r="Z66" s="39"/>
      <c r="AA66" s="39"/>
      <c r="AB66" s="44"/>
    </row>
    <row r="67" spans="2:28" ht="14.5" x14ac:dyDescent="0.35">
      <c r="B67" s="45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7"/>
      <c r="P67" s="46"/>
      <c r="Q67" s="46"/>
      <c r="R67" s="46"/>
      <c r="S67" s="46"/>
      <c r="T67" s="46"/>
      <c r="U67" s="46"/>
      <c r="V67" s="47"/>
      <c r="W67" s="46"/>
      <c r="X67" s="46"/>
      <c r="Y67" s="46"/>
      <c r="Z67" s="46"/>
      <c r="AA67" s="46"/>
      <c r="AB67" s="48"/>
    </row>
    <row r="68" spans="2:28" ht="14.5" x14ac:dyDescent="0.35">
      <c r="B68" s="49" t="s">
        <v>52</v>
      </c>
      <c r="C68" s="46"/>
      <c r="D68" s="46"/>
      <c r="E68" s="46"/>
      <c r="F68" s="50" t="s">
        <v>53</v>
      </c>
      <c r="G68" s="46"/>
      <c r="H68" s="46"/>
      <c r="I68" s="50" t="s">
        <v>52</v>
      </c>
      <c r="J68" s="46"/>
      <c r="K68" s="46"/>
      <c r="L68" s="46"/>
      <c r="M68" s="50" t="s">
        <v>53</v>
      </c>
      <c r="N68" s="46"/>
      <c r="O68" s="47"/>
      <c r="P68" s="50" t="s">
        <v>52</v>
      </c>
      <c r="Q68" s="46"/>
      <c r="R68" s="46"/>
      <c r="S68" s="46"/>
      <c r="T68" s="50" t="s">
        <v>53</v>
      </c>
      <c r="U68" s="46"/>
      <c r="V68" s="47"/>
      <c r="W68" s="50" t="s">
        <v>52</v>
      </c>
      <c r="X68" s="46"/>
      <c r="Y68" s="46"/>
      <c r="Z68" s="46"/>
      <c r="AA68" s="50" t="s">
        <v>53</v>
      </c>
      <c r="AB68" s="48"/>
    </row>
    <row r="69" spans="2:28" ht="14.5" x14ac:dyDescent="0.35">
      <c r="B69" s="49"/>
      <c r="C69" s="46"/>
      <c r="D69" s="46"/>
      <c r="E69" s="46"/>
      <c r="F69" s="50"/>
      <c r="G69" s="46"/>
      <c r="H69" s="46"/>
      <c r="I69" s="50"/>
      <c r="J69" s="46"/>
      <c r="K69" s="46"/>
      <c r="L69" s="46"/>
      <c r="M69" s="50"/>
      <c r="N69" s="46"/>
      <c r="O69" s="47"/>
      <c r="P69" s="50"/>
      <c r="Q69" s="46"/>
      <c r="R69" s="46"/>
      <c r="S69" s="46"/>
      <c r="T69" s="50"/>
      <c r="U69" s="46"/>
      <c r="V69" s="47"/>
      <c r="W69" s="50"/>
      <c r="X69" s="46"/>
      <c r="Y69" s="46"/>
      <c r="Z69" s="46"/>
      <c r="AA69" s="50"/>
      <c r="AB69" s="48"/>
    </row>
    <row r="70" spans="2:28" ht="15" thickBot="1" x14ac:dyDescent="0.4">
      <c r="B70" s="45"/>
      <c r="C70" s="46"/>
      <c r="D70" s="46"/>
      <c r="E70" s="46"/>
      <c r="F70" s="51" t="s">
        <v>31</v>
      </c>
      <c r="G70" s="51" t="s">
        <v>54</v>
      </c>
      <c r="H70" s="46"/>
      <c r="I70" s="46"/>
      <c r="J70" s="46"/>
      <c r="K70" s="46"/>
      <c r="L70" s="46"/>
      <c r="M70" s="51" t="s">
        <v>31</v>
      </c>
      <c r="N70" s="51" t="s">
        <v>55</v>
      </c>
      <c r="O70" s="47"/>
      <c r="P70" s="46"/>
      <c r="Q70" s="46"/>
      <c r="R70" s="46"/>
      <c r="S70" s="46"/>
      <c r="T70" s="51" t="s">
        <v>31</v>
      </c>
      <c r="U70" s="51" t="s">
        <v>56</v>
      </c>
      <c r="V70" s="47"/>
      <c r="W70" s="46"/>
      <c r="X70" s="46"/>
      <c r="Y70" s="46"/>
      <c r="Z70" s="46"/>
      <c r="AA70" s="51" t="s">
        <v>31</v>
      </c>
      <c r="AB70" s="52" t="s">
        <v>57</v>
      </c>
    </row>
    <row r="71" spans="2:28" ht="29.5" thickBot="1" x14ac:dyDescent="0.4">
      <c r="B71" s="53" t="s">
        <v>58</v>
      </c>
      <c r="C71" s="54" t="s">
        <v>59</v>
      </c>
      <c r="D71" s="54" t="s">
        <v>60</v>
      </c>
      <c r="E71" s="46"/>
      <c r="F71" s="50" t="s">
        <v>61</v>
      </c>
      <c r="G71" s="16">
        <v>0.45300000000000001</v>
      </c>
      <c r="H71" s="55"/>
      <c r="I71" s="56" t="s">
        <v>58</v>
      </c>
      <c r="J71" s="54" t="s">
        <v>59</v>
      </c>
      <c r="K71" s="54" t="s">
        <v>60</v>
      </c>
      <c r="L71" s="46"/>
      <c r="M71" s="50" t="s">
        <v>61</v>
      </c>
      <c r="N71" s="16">
        <v>0.44400000000000001</v>
      </c>
      <c r="O71" s="47"/>
      <c r="P71" s="56" t="s">
        <v>58</v>
      </c>
      <c r="Q71" s="54" t="s">
        <v>59</v>
      </c>
      <c r="R71" s="54" t="s">
        <v>60</v>
      </c>
      <c r="S71" s="46"/>
      <c r="T71" s="50" t="s">
        <v>61</v>
      </c>
      <c r="U71" s="16">
        <v>0.40899999999999997</v>
      </c>
      <c r="V71" s="47"/>
      <c r="W71" s="56" t="s">
        <v>58</v>
      </c>
      <c r="X71" s="54" t="s">
        <v>59</v>
      </c>
      <c r="Y71" s="54" t="s">
        <v>166</v>
      </c>
      <c r="Z71" s="46"/>
      <c r="AA71" s="50" t="s">
        <v>61</v>
      </c>
      <c r="AB71" s="16">
        <v>0.44900000000000001</v>
      </c>
    </row>
    <row r="72" spans="2:28" ht="14.5" x14ac:dyDescent="0.35">
      <c r="B72" s="57" t="s">
        <v>62</v>
      </c>
      <c r="C72" s="16">
        <v>0.6668752</v>
      </c>
      <c r="D72" s="16">
        <v>9.25</v>
      </c>
      <c r="E72" s="46"/>
      <c r="F72" s="50" t="s">
        <v>63</v>
      </c>
      <c r="G72" s="16">
        <v>0.432</v>
      </c>
      <c r="H72" s="55"/>
      <c r="I72" s="58" t="s">
        <v>62</v>
      </c>
      <c r="J72" s="16">
        <v>0.68209699999999995</v>
      </c>
      <c r="K72" s="16">
        <v>11.37</v>
      </c>
      <c r="L72" s="46"/>
      <c r="M72" s="50" t="s">
        <v>63</v>
      </c>
      <c r="N72" s="16">
        <v>0.432</v>
      </c>
      <c r="O72" s="47"/>
      <c r="P72" s="58" t="s">
        <v>62</v>
      </c>
      <c r="Q72" s="16">
        <v>0.51271999999999995</v>
      </c>
      <c r="R72" s="16">
        <v>7.74</v>
      </c>
      <c r="S72" s="46"/>
      <c r="T72" s="50" t="s">
        <v>63</v>
      </c>
      <c r="U72" s="16">
        <v>0.442</v>
      </c>
      <c r="V72" s="47"/>
      <c r="W72" s="58" t="s">
        <v>62</v>
      </c>
      <c r="X72" s="16">
        <v>0.67509569999999997</v>
      </c>
      <c r="Y72" s="16">
        <v>7.79</v>
      </c>
      <c r="Z72" s="46"/>
      <c r="AA72" s="50" t="s">
        <v>63</v>
      </c>
      <c r="AB72" s="16">
        <v>0.51700000000000002</v>
      </c>
    </row>
    <row r="73" spans="2:28" ht="14.5" x14ac:dyDescent="0.35">
      <c r="B73" s="59" t="s">
        <v>64</v>
      </c>
      <c r="C73" s="16">
        <v>0.14898529999999999</v>
      </c>
      <c r="D73" s="16">
        <v>3.21</v>
      </c>
      <c r="E73" s="46"/>
      <c r="F73" s="50" t="s">
        <v>65</v>
      </c>
      <c r="G73" s="16">
        <v>0.872</v>
      </c>
      <c r="H73" s="55"/>
      <c r="I73" s="60" t="s">
        <v>64</v>
      </c>
      <c r="J73" s="16">
        <v>0.153694</v>
      </c>
      <c r="K73" s="16">
        <v>5.21</v>
      </c>
      <c r="L73" s="46"/>
      <c r="M73" s="50" t="s">
        <v>65</v>
      </c>
      <c r="N73" s="16">
        <v>0.876</v>
      </c>
      <c r="O73" s="47"/>
      <c r="P73" s="60" t="s">
        <v>64</v>
      </c>
      <c r="Q73" s="16">
        <v>0.15188199999999999</v>
      </c>
      <c r="R73" s="16">
        <v>5.39</v>
      </c>
      <c r="S73" s="46"/>
      <c r="T73" s="50" t="s">
        <v>65</v>
      </c>
      <c r="U73" s="16">
        <v>0.83899999999999997</v>
      </c>
      <c r="V73" s="47"/>
      <c r="W73" s="60" t="s">
        <v>64</v>
      </c>
      <c r="X73" s="16">
        <v>0.14229230000000001</v>
      </c>
      <c r="Y73" s="16">
        <v>2.96</v>
      </c>
      <c r="Z73" s="46"/>
      <c r="AA73" s="200" t="s">
        <v>65</v>
      </c>
      <c r="AB73" s="16">
        <v>0.94</v>
      </c>
    </row>
    <row r="74" spans="2:28" ht="14.5" x14ac:dyDescent="0.35">
      <c r="B74" s="59" t="s">
        <v>66</v>
      </c>
      <c r="C74" s="16">
        <v>0.17051920000000001</v>
      </c>
      <c r="D74" s="16">
        <v>2.75</v>
      </c>
      <c r="E74" s="46"/>
      <c r="F74" s="50" t="s">
        <v>67</v>
      </c>
      <c r="G74" s="16">
        <v>0.56499999999999995</v>
      </c>
      <c r="H74" s="55"/>
      <c r="I74" s="60" t="s">
        <v>66</v>
      </c>
      <c r="J74" s="16">
        <v>0.15291099999999999</v>
      </c>
      <c r="K74" s="16">
        <v>2.64</v>
      </c>
      <c r="L74" s="46"/>
      <c r="M74" s="50" t="s">
        <v>67</v>
      </c>
      <c r="N74" s="16">
        <v>0.56299999999999994</v>
      </c>
      <c r="O74" s="47"/>
      <c r="P74" s="60" t="s">
        <v>66</v>
      </c>
      <c r="Q74" s="16">
        <v>0.30218299999999998</v>
      </c>
      <c r="R74" s="16">
        <v>5.37</v>
      </c>
      <c r="S74" s="46"/>
      <c r="T74" s="50" t="s">
        <v>67</v>
      </c>
      <c r="U74" s="16">
        <v>0.59</v>
      </c>
      <c r="V74" s="47"/>
      <c r="W74" s="60" t="s">
        <v>66</v>
      </c>
      <c r="X74" s="16">
        <v>0.1499452</v>
      </c>
      <c r="Y74" s="16">
        <v>1.96</v>
      </c>
      <c r="Z74" s="46"/>
      <c r="AA74" s="50" t="s">
        <v>67</v>
      </c>
      <c r="AB74" s="16">
        <v>0.60199999999999998</v>
      </c>
    </row>
    <row r="75" spans="2:28" ht="14.5" x14ac:dyDescent="0.35">
      <c r="B75" s="59" t="s">
        <v>68</v>
      </c>
      <c r="C75" s="16">
        <v>-0.13352069999999999</v>
      </c>
      <c r="D75" s="16">
        <v>-4.05</v>
      </c>
      <c r="E75" s="46"/>
      <c r="F75" s="50" t="s">
        <v>69</v>
      </c>
      <c r="G75" s="16">
        <v>0.60299999999999998</v>
      </c>
      <c r="H75" s="55"/>
      <c r="I75" s="60" t="s">
        <v>68</v>
      </c>
      <c r="J75" s="16">
        <v>-0.15570000000000001</v>
      </c>
      <c r="K75" s="16">
        <v>-7.1</v>
      </c>
      <c r="L75" s="46"/>
      <c r="M75" s="50" t="s">
        <v>69</v>
      </c>
      <c r="N75" s="16">
        <v>0.60499999999999998</v>
      </c>
      <c r="O75" s="47"/>
      <c r="P75" s="60" t="s">
        <v>70</v>
      </c>
      <c r="Q75" s="16">
        <v>-0.61702999999999997</v>
      </c>
      <c r="R75" s="16">
        <v>-2.2599999999999998</v>
      </c>
      <c r="S75" s="46"/>
      <c r="T75" s="50" t="s">
        <v>69</v>
      </c>
      <c r="U75" s="16">
        <v>0.61399999999999999</v>
      </c>
      <c r="V75" s="47"/>
      <c r="W75" s="60" t="s">
        <v>70</v>
      </c>
      <c r="X75" s="16">
        <v>0.1007836</v>
      </c>
      <c r="Y75" s="16">
        <v>0.36</v>
      </c>
      <c r="Z75" s="46"/>
      <c r="AA75" s="50" t="s">
        <v>69</v>
      </c>
      <c r="AB75" s="16">
        <v>0.67800000000000005</v>
      </c>
    </row>
    <row r="76" spans="2:28" ht="14.5" x14ac:dyDescent="0.35">
      <c r="B76" s="59" t="s">
        <v>71</v>
      </c>
      <c r="C76" s="16">
        <v>1.6068099999999998E-2</v>
      </c>
      <c r="D76" s="16">
        <v>14.57</v>
      </c>
      <c r="E76" s="46"/>
      <c r="F76" s="50" t="s">
        <v>72</v>
      </c>
      <c r="G76" s="16">
        <v>0.54100000000000004</v>
      </c>
      <c r="H76" s="55"/>
      <c r="I76" s="60" t="s">
        <v>71</v>
      </c>
      <c r="J76" s="16">
        <v>1.6240999999999998E-2</v>
      </c>
      <c r="K76" s="16">
        <v>8.33</v>
      </c>
      <c r="L76" s="46"/>
      <c r="M76" s="50" t="s">
        <v>72</v>
      </c>
      <c r="N76" s="16">
        <v>0.55100000000000005</v>
      </c>
      <c r="O76" s="47"/>
      <c r="P76" s="60" t="s">
        <v>73</v>
      </c>
      <c r="Q76" s="16">
        <v>0.27167400000000003</v>
      </c>
      <c r="R76" s="16">
        <v>2.99</v>
      </c>
      <c r="S76" s="46"/>
      <c r="T76" s="50" t="s">
        <v>72</v>
      </c>
      <c r="U76" s="16">
        <v>0.57399999999999995</v>
      </c>
      <c r="V76" s="47"/>
      <c r="W76" s="60" t="s">
        <v>73</v>
      </c>
      <c r="X76" s="16">
        <v>-0.22509889999999999</v>
      </c>
      <c r="Y76" s="16">
        <v>-2.0099999999999998</v>
      </c>
      <c r="Z76" s="46"/>
      <c r="AA76" s="50" t="s">
        <v>72</v>
      </c>
      <c r="AB76" s="16">
        <v>0.59099999999999997</v>
      </c>
    </row>
    <row r="77" spans="2:28" ht="14.5" x14ac:dyDescent="0.35">
      <c r="B77" s="59" t="s">
        <v>74</v>
      </c>
      <c r="C77" s="16">
        <v>0.1082178</v>
      </c>
      <c r="D77" s="16">
        <v>1.08</v>
      </c>
      <c r="E77" s="46"/>
      <c r="F77" s="50" t="s">
        <v>75</v>
      </c>
      <c r="G77" s="16">
        <v>0.60899999999999999</v>
      </c>
      <c r="H77" s="55"/>
      <c r="I77" s="60" t="s">
        <v>74</v>
      </c>
      <c r="J77" s="16">
        <v>-0.30974000000000002</v>
      </c>
      <c r="K77" s="16">
        <v>-2.34</v>
      </c>
      <c r="L77" s="46"/>
      <c r="M77" s="50" t="s">
        <v>75</v>
      </c>
      <c r="N77" s="16">
        <v>0.66100000000000003</v>
      </c>
      <c r="O77" s="47"/>
      <c r="P77" s="60" t="s">
        <v>76</v>
      </c>
      <c r="Q77" s="16">
        <v>0.27066499999999999</v>
      </c>
      <c r="R77" s="16">
        <v>1.29</v>
      </c>
      <c r="S77" s="46"/>
      <c r="T77" s="50" t="s">
        <v>75</v>
      </c>
      <c r="U77" s="16">
        <v>0.71299999999999997</v>
      </c>
      <c r="V77" s="47"/>
      <c r="W77" s="60" t="s">
        <v>76</v>
      </c>
      <c r="X77" s="16">
        <v>0.21427019999999999</v>
      </c>
      <c r="Y77" s="16">
        <v>1.03</v>
      </c>
      <c r="Z77" s="46"/>
      <c r="AA77" s="50" t="s">
        <v>75</v>
      </c>
      <c r="AB77" s="16">
        <v>0.64200000000000002</v>
      </c>
    </row>
    <row r="78" spans="2:28" ht="14.5" x14ac:dyDescent="0.35">
      <c r="B78" s="59" t="s">
        <v>77</v>
      </c>
      <c r="C78" s="16">
        <v>0.29214519999999999</v>
      </c>
      <c r="D78" s="16">
        <v>3.25</v>
      </c>
      <c r="E78" s="46"/>
      <c r="F78" s="50" t="s">
        <v>33</v>
      </c>
      <c r="G78" s="16">
        <v>0.64800000000000002</v>
      </c>
      <c r="H78" s="55"/>
      <c r="I78" s="60" t="s">
        <v>77</v>
      </c>
      <c r="J78" s="16">
        <v>-8.8999999999999996E-2</v>
      </c>
      <c r="K78" s="16">
        <v>-0.68</v>
      </c>
      <c r="L78" s="46"/>
      <c r="M78" s="50" t="s">
        <v>33</v>
      </c>
      <c r="N78" s="16">
        <v>0.63300000000000001</v>
      </c>
      <c r="O78" s="47"/>
      <c r="P78" s="60" t="s">
        <v>78</v>
      </c>
      <c r="Q78" s="16">
        <v>-1.371E-2</v>
      </c>
      <c r="R78" s="16">
        <v>-0.36</v>
      </c>
      <c r="S78" s="46"/>
      <c r="T78" s="50" t="s">
        <v>33</v>
      </c>
      <c r="U78" s="16">
        <v>0.51900000000000002</v>
      </c>
      <c r="V78" s="47"/>
      <c r="W78" s="60" t="s">
        <v>78</v>
      </c>
      <c r="X78" s="16">
        <v>0.1126915</v>
      </c>
      <c r="Y78" s="16">
        <v>1.84</v>
      </c>
      <c r="Z78" s="46"/>
      <c r="AA78" s="50" t="s">
        <v>33</v>
      </c>
      <c r="AB78" s="16">
        <v>0.67500000000000004</v>
      </c>
    </row>
    <row r="79" spans="2:28" ht="15" thickBot="1" x14ac:dyDescent="0.4">
      <c r="B79" s="61" t="s">
        <v>79</v>
      </c>
      <c r="C79" s="16">
        <v>-22.948740000000001</v>
      </c>
      <c r="D79" s="16">
        <v>-10.25</v>
      </c>
      <c r="E79" s="46"/>
      <c r="F79" s="50" t="s">
        <v>80</v>
      </c>
      <c r="G79" s="16">
        <v>0.96799999999999997</v>
      </c>
      <c r="H79" s="55"/>
      <c r="I79" s="60" t="s">
        <v>81</v>
      </c>
      <c r="J79" s="16">
        <v>2.8018000000000001E-2</v>
      </c>
      <c r="K79" s="16">
        <v>0.16</v>
      </c>
      <c r="L79" s="46"/>
      <c r="M79" s="50" t="s">
        <v>80</v>
      </c>
      <c r="N79" s="16">
        <v>1</v>
      </c>
      <c r="O79" s="47"/>
      <c r="P79" s="60" t="s">
        <v>82</v>
      </c>
      <c r="Q79" s="16">
        <v>-0.23580999999999999</v>
      </c>
      <c r="R79" s="16">
        <v>-3.22</v>
      </c>
      <c r="S79" s="46"/>
      <c r="T79" s="50" t="s">
        <v>80</v>
      </c>
      <c r="U79" s="16">
        <v>1</v>
      </c>
      <c r="V79" s="47"/>
      <c r="W79" s="60" t="s">
        <v>82</v>
      </c>
      <c r="X79" s="16">
        <v>9.8293699999999998E-2</v>
      </c>
      <c r="Y79" s="16">
        <v>1.07</v>
      </c>
      <c r="Z79" s="46"/>
      <c r="AA79" s="50" t="s">
        <v>80</v>
      </c>
      <c r="AB79" s="16">
        <v>0.96499999999999997</v>
      </c>
    </row>
    <row r="80" spans="2:28" ht="14.5" x14ac:dyDescent="0.35">
      <c r="B80" s="45"/>
      <c r="C80" s="46"/>
      <c r="D80" s="46"/>
      <c r="E80" s="46"/>
      <c r="F80" s="50" t="s">
        <v>83</v>
      </c>
      <c r="G80" s="16">
        <v>0.79200000000000004</v>
      </c>
      <c r="H80" s="55"/>
      <c r="I80" s="60" t="s">
        <v>84</v>
      </c>
      <c r="J80" s="16">
        <v>-0.68028999999999995</v>
      </c>
      <c r="K80" s="16">
        <v>-4.55</v>
      </c>
      <c r="L80" s="46"/>
      <c r="M80" s="50" t="s">
        <v>83</v>
      </c>
      <c r="N80" s="16">
        <v>0.79800000000000004</v>
      </c>
      <c r="O80" s="47"/>
      <c r="P80" s="60" t="s">
        <v>85</v>
      </c>
      <c r="Q80" s="16">
        <v>6.9256999999999999E-2</v>
      </c>
      <c r="R80" s="16">
        <v>0.41</v>
      </c>
      <c r="S80" s="46"/>
      <c r="T80" s="50" t="s">
        <v>83</v>
      </c>
      <c r="U80" s="16">
        <v>0.83</v>
      </c>
      <c r="V80" s="47"/>
      <c r="W80" s="60" t="s">
        <v>85</v>
      </c>
      <c r="X80" s="16">
        <v>-0.33257619999999999</v>
      </c>
      <c r="Y80" s="16">
        <v>-1.84</v>
      </c>
      <c r="Z80" s="46"/>
      <c r="AA80" s="50" t="s">
        <v>83</v>
      </c>
      <c r="AB80" s="16">
        <v>0.83199999999999996</v>
      </c>
    </row>
    <row r="81" spans="2:28" ht="14.5" x14ac:dyDescent="0.35">
      <c r="B81" s="45"/>
      <c r="C81" s="46"/>
      <c r="D81" s="46"/>
      <c r="E81" s="46"/>
      <c r="F81" s="50" t="s">
        <v>86</v>
      </c>
      <c r="G81" s="16">
        <v>0.72399999999999998</v>
      </c>
      <c r="H81" s="55"/>
      <c r="I81" s="60" t="s">
        <v>87</v>
      </c>
      <c r="J81" s="16">
        <v>-0.23799000000000001</v>
      </c>
      <c r="K81" s="16">
        <v>-1.64</v>
      </c>
      <c r="L81" s="46"/>
      <c r="M81" s="50" t="s">
        <v>86</v>
      </c>
      <c r="N81" s="16">
        <v>0.75900000000000001</v>
      </c>
      <c r="O81" s="47"/>
      <c r="P81" s="60" t="s">
        <v>68</v>
      </c>
      <c r="Q81" s="16">
        <v>-0.14549999999999999</v>
      </c>
      <c r="R81" s="16">
        <v>-5.85</v>
      </c>
      <c r="S81" s="46"/>
      <c r="T81" s="50" t="s">
        <v>86</v>
      </c>
      <c r="U81" s="16">
        <v>0.7</v>
      </c>
      <c r="V81" s="47"/>
      <c r="W81" s="60" t="s">
        <v>68</v>
      </c>
      <c r="X81" s="16">
        <v>-0.102136</v>
      </c>
      <c r="Y81" s="16">
        <v>-2.76</v>
      </c>
      <c r="Z81" s="46"/>
      <c r="AA81" s="50" t="s">
        <v>86</v>
      </c>
      <c r="AB81" s="16">
        <v>0.70799999999999996</v>
      </c>
    </row>
    <row r="82" spans="2:28" ht="14.5" x14ac:dyDescent="0.35">
      <c r="B82" s="45"/>
      <c r="C82" s="46"/>
      <c r="D82" s="46"/>
      <c r="E82" s="46"/>
      <c r="F82" s="50" t="s">
        <v>88</v>
      </c>
      <c r="G82" s="16">
        <v>0.74199999999999999</v>
      </c>
      <c r="H82" s="55"/>
      <c r="I82" s="60" t="s">
        <v>89</v>
      </c>
      <c r="J82" s="16">
        <v>-0.31014000000000003</v>
      </c>
      <c r="K82" s="16">
        <v>-2.23</v>
      </c>
      <c r="L82" s="46"/>
      <c r="M82" s="50" t="s">
        <v>88</v>
      </c>
      <c r="N82" s="16">
        <v>0.746</v>
      </c>
      <c r="O82" s="47"/>
      <c r="P82" s="60" t="s">
        <v>71</v>
      </c>
      <c r="Q82" s="16">
        <v>1.7510000000000001E-2</v>
      </c>
      <c r="R82" s="16">
        <v>9.31</v>
      </c>
      <c r="S82" s="46"/>
      <c r="T82" s="50" t="s">
        <v>88</v>
      </c>
      <c r="U82" s="16">
        <v>0.71299999999999997</v>
      </c>
      <c r="V82" s="47"/>
      <c r="W82" s="60" t="s">
        <v>71</v>
      </c>
      <c r="X82" s="16">
        <v>1.4911900000000001E-2</v>
      </c>
      <c r="Y82" s="16">
        <v>12.28</v>
      </c>
      <c r="Z82" s="46"/>
      <c r="AA82" s="50" t="s">
        <v>88</v>
      </c>
      <c r="AB82" s="16">
        <v>0.70899999999999996</v>
      </c>
    </row>
    <row r="83" spans="2:28" ht="14.5" x14ac:dyDescent="0.35">
      <c r="B83" s="45"/>
      <c r="C83" s="46"/>
      <c r="D83" s="46"/>
      <c r="E83" s="46"/>
      <c r="F83" s="50" t="s">
        <v>90</v>
      </c>
      <c r="G83" s="16">
        <v>0.79500000000000004</v>
      </c>
      <c r="H83" s="55"/>
      <c r="I83" s="60" t="s">
        <v>91</v>
      </c>
      <c r="J83" s="16">
        <v>-0.21576000000000001</v>
      </c>
      <c r="K83" s="16">
        <v>-1.39</v>
      </c>
      <c r="L83" s="46"/>
      <c r="M83" s="50" t="s">
        <v>90</v>
      </c>
      <c r="N83" s="16">
        <v>0.80200000000000005</v>
      </c>
      <c r="O83" s="47"/>
      <c r="P83" s="60" t="s">
        <v>74</v>
      </c>
      <c r="Q83" s="16">
        <v>-0.39345000000000002</v>
      </c>
      <c r="R83" s="16">
        <v>-3.22</v>
      </c>
      <c r="S83" s="46"/>
      <c r="T83" s="50" t="s">
        <v>90</v>
      </c>
      <c r="U83" s="16">
        <v>0.66700000000000004</v>
      </c>
      <c r="V83" s="47"/>
      <c r="W83" s="60" t="s">
        <v>74</v>
      </c>
      <c r="X83" s="16">
        <v>0.13709840000000001</v>
      </c>
      <c r="Y83" s="16">
        <v>1.1299999999999999</v>
      </c>
      <c r="Z83" s="46"/>
      <c r="AA83" s="50" t="s">
        <v>90</v>
      </c>
      <c r="AB83" s="16">
        <v>0.86899999999999999</v>
      </c>
    </row>
    <row r="84" spans="2:28" ht="14.5" x14ac:dyDescent="0.35">
      <c r="B84" s="45"/>
      <c r="C84" s="46"/>
      <c r="D84" s="46"/>
      <c r="E84" s="46"/>
      <c r="F84" s="46"/>
      <c r="G84" s="46"/>
      <c r="H84" s="46"/>
      <c r="I84" s="60" t="s">
        <v>92</v>
      </c>
      <c r="J84" s="16">
        <v>-0.39885999999999999</v>
      </c>
      <c r="K84" s="16">
        <v>-2.42</v>
      </c>
      <c r="L84" s="47"/>
      <c r="M84" s="47"/>
      <c r="N84" s="47"/>
      <c r="O84" s="47"/>
      <c r="P84" s="60" t="s">
        <v>77</v>
      </c>
      <c r="Q84" s="16">
        <v>-0.21782000000000001</v>
      </c>
      <c r="R84" s="16">
        <v>-1.8</v>
      </c>
      <c r="S84" s="47"/>
      <c r="T84" s="47"/>
      <c r="U84" s="47"/>
      <c r="V84" s="47"/>
      <c r="W84" s="60" t="s">
        <v>77</v>
      </c>
      <c r="X84" s="16">
        <v>0.32140030000000003</v>
      </c>
      <c r="Y84" s="16">
        <v>4.04</v>
      </c>
      <c r="Z84" s="47"/>
      <c r="AA84" s="47"/>
      <c r="AB84" s="62"/>
    </row>
    <row r="85" spans="2:28" ht="15" thickBot="1" x14ac:dyDescent="0.4">
      <c r="B85" s="45"/>
      <c r="C85" s="46"/>
      <c r="D85" s="46"/>
      <c r="E85" s="46"/>
      <c r="F85" s="46"/>
      <c r="G85" s="46"/>
      <c r="H85" s="46"/>
      <c r="I85" s="60" t="s">
        <v>93</v>
      </c>
      <c r="J85" s="16">
        <v>-0.35521999999999998</v>
      </c>
      <c r="K85" s="16">
        <v>-2.46</v>
      </c>
      <c r="L85" s="47"/>
      <c r="M85" s="47"/>
      <c r="N85" s="47"/>
      <c r="O85" s="47"/>
      <c r="P85" s="60" t="s">
        <v>81</v>
      </c>
      <c r="Q85" s="16">
        <v>-7.553E-2</v>
      </c>
      <c r="R85" s="16">
        <v>-0.46</v>
      </c>
      <c r="S85" s="47"/>
      <c r="T85" s="47"/>
      <c r="U85" s="47"/>
      <c r="V85" s="47"/>
      <c r="W85" s="63" t="s">
        <v>79</v>
      </c>
      <c r="X85" s="16">
        <v>-20.623180000000001</v>
      </c>
      <c r="Y85" s="16">
        <v>-8.39</v>
      </c>
      <c r="Z85" s="47"/>
      <c r="AA85" s="47"/>
      <c r="AB85" s="62"/>
    </row>
    <row r="86" spans="2:28" ht="14.5" x14ac:dyDescent="0.35">
      <c r="B86" s="45"/>
      <c r="C86" s="46"/>
      <c r="D86" s="46"/>
      <c r="E86" s="46"/>
      <c r="F86" s="46"/>
      <c r="G86" s="46"/>
      <c r="H86" s="46"/>
      <c r="I86" s="60" t="s">
        <v>94</v>
      </c>
      <c r="J86" s="16">
        <v>-0.81228</v>
      </c>
      <c r="K86" s="16">
        <v>-5.49</v>
      </c>
      <c r="L86" s="47"/>
      <c r="M86" s="47"/>
      <c r="N86" s="47"/>
      <c r="O86" s="47"/>
      <c r="P86" s="60" t="s">
        <v>84</v>
      </c>
      <c r="Q86" s="16">
        <v>-0.71750000000000003</v>
      </c>
      <c r="R86" s="16">
        <v>-5.2</v>
      </c>
      <c r="S86" s="47"/>
      <c r="T86" s="47"/>
      <c r="U86" s="47"/>
      <c r="V86" s="47"/>
      <c r="W86" s="47"/>
      <c r="Z86" s="47"/>
      <c r="AA86" s="47"/>
      <c r="AB86" s="62"/>
    </row>
    <row r="87" spans="2:28" ht="14.5" x14ac:dyDescent="0.35">
      <c r="B87" s="45"/>
      <c r="C87" s="46"/>
      <c r="D87" s="46"/>
      <c r="E87" s="46"/>
      <c r="F87" s="46"/>
      <c r="G87" s="46"/>
      <c r="H87" s="46"/>
      <c r="I87" s="60" t="s">
        <v>95</v>
      </c>
      <c r="J87" s="16">
        <v>-0.58689000000000002</v>
      </c>
      <c r="K87" s="16">
        <v>-3.98</v>
      </c>
      <c r="L87" s="47"/>
      <c r="M87" s="47"/>
      <c r="N87" s="47"/>
      <c r="O87" s="47"/>
      <c r="P87" s="60" t="s">
        <v>87</v>
      </c>
      <c r="Q87" s="16">
        <v>-0.36591000000000001</v>
      </c>
      <c r="R87" s="16">
        <v>-2.68</v>
      </c>
      <c r="S87" s="47"/>
      <c r="T87" s="47"/>
      <c r="U87" s="47"/>
      <c r="V87" s="47"/>
      <c r="W87" s="47"/>
      <c r="Z87" s="47"/>
      <c r="AA87" s="47"/>
      <c r="AB87" s="62"/>
    </row>
    <row r="88" spans="2:28" ht="14.5" x14ac:dyDescent="0.35">
      <c r="B88" s="45"/>
      <c r="C88" s="46"/>
      <c r="D88" s="46"/>
      <c r="E88" s="46"/>
      <c r="F88" s="46"/>
      <c r="G88" s="46"/>
      <c r="H88" s="64"/>
      <c r="I88" s="60" t="s">
        <v>96</v>
      </c>
      <c r="J88" s="16">
        <v>-0.53710000000000002</v>
      </c>
      <c r="K88" s="16">
        <v>-3.63</v>
      </c>
      <c r="L88" s="46"/>
      <c r="M88" s="46"/>
      <c r="N88" s="46"/>
      <c r="O88" s="46"/>
      <c r="P88" s="60" t="s">
        <v>89</v>
      </c>
      <c r="Q88" s="16">
        <v>-0.40526000000000001</v>
      </c>
      <c r="R88" s="16">
        <v>-3.03</v>
      </c>
      <c r="S88" s="47"/>
      <c r="T88" s="47"/>
      <c r="U88" s="47"/>
      <c r="V88" s="47"/>
      <c r="W88" s="47"/>
      <c r="Z88" s="47"/>
      <c r="AA88" s="47"/>
      <c r="AB88" s="62"/>
    </row>
    <row r="89" spans="2:28" ht="14.5" x14ac:dyDescent="0.35">
      <c r="B89" s="45"/>
      <c r="C89" s="46"/>
      <c r="D89" s="46"/>
      <c r="E89" s="46"/>
      <c r="F89" s="65"/>
      <c r="G89" s="46"/>
      <c r="H89" s="64"/>
      <c r="I89" s="60" t="s">
        <v>97</v>
      </c>
      <c r="J89" s="16">
        <v>-0.51863999999999999</v>
      </c>
      <c r="K89" s="16">
        <v>-3.34</v>
      </c>
      <c r="L89" s="46"/>
      <c r="M89" s="46"/>
      <c r="N89" s="46"/>
      <c r="O89" s="46"/>
      <c r="P89" s="60" t="s">
        <v>91</v>
      </c>
      <c r="Q89" s="16">
        <v>-0.33750000000000002</v>
      </c>
      <c r="R89" s="16">
        <v>-2.08</v>
      </c>
      <c r="S89" s="47"/>
      <c r="T89" s="47"/>
      <c r="U89" s="47"/>
      <c r="V89" s="47"/>
      <c r="W89" s="47"/>
      <c r="Z89" s="47"/>
      <c r="AA89" s="47"/>
      <c r="AB89" s="62"/>
    </row>
    <row r="90" spans="2:28" ht="14.5" x14ac:dyDescent="0.35">
      <c r="B90" s="45"/>
      <c r="C90" s="46"/>
      <c r="D90" s="46"/>
      <c r="E90" s="46"/>
      <c r="F90" s="65"/>
      <c r="G90" s="46"/>
      <c r="H90" s="64"/>
      <c r="I90" s="60" t="s">
        <v>98</v>
      </c>
      <c r="J90" s="16">
        <v>-0.59177000000000002</v>
      </c>
      <c r="K90" s="16">
        <v>-3.88</v>
      </c>
      <c r="L90" s="46"/>
      <c r="M90" s="46"/>
      <c r="N90" s="46"/>
      <c r="O90" s="46"/>
      <c r="P90" s="60" t="s">
        <v>92</v>
      </c>
      <c r="Q90" s="16">
        <v>-0.55413000000000001</v>
      </c>
      <c r="R90" s="16">
        <v>-3.27</v>
      </c>
      <c r="S90" s="47"/>
      <c r="T90" s="47"/>
      <c r="U90" s="47"/>
      <c r="V90" s="47"/>
      <c r="W90" s="47"/>
      <c r="Z90" s="47"/>
      <c r="AA90" s="47"/>
      <c r="AB90" s="62"/>
    </row>
    <row r="91" spans="2:28" ht="14.5" x14ac:dyDescent="0.35">
      <c r="B91" s="45"/>
      <c r="C91" s="46"/>
      <c r="D91" s="46"/>
      <c r="E91" s="46"/>
      <c r="F91" s="65"/>
      <c r="G91" s="46"/>
      <c r="H91" s="64"/>
      <c r="I91" s="60" t="s">
        <v>79</v>
      </c>
      <c r="J91" s="16">
        <v>-22.5412</v>
      </c>
      <c r="K91" s="16">
        <v>-5.74</v>
      </c>
      <c r="L91" s="46"/>
      <c r="M91" s="46"/>
      <c r="N91" s="46"/>
      <c r="O91" s="46"/>
      <c r="P91" s="60" t="s">
        <v>93</v>
      </c>
      <c r="Q91" s="16">
        <v>-0.2366</v>
      </c>
      <c r="R91" s="16">
        <v>-1.71</v>
      </c>
      <c r="S91" s="47"/>
      <c r="T91" s="47"/>
      <c r="U91" s="47"/>
      <c r="V91" s="47"/>
      <c r="W91" s="47"/>
      <c r="Z91" s="47"/>
      <c r="AA91" s="47"/>
      <c r="AB91" s="62"/>
    </row>
    <row r="92" spans="2:28" ht="14.5" x14ac:dyDescent="0.35">
      <c r="B92" s="45"/>
      <c r="C92" s="46"/>
      <c r="D92" s="46"/>
      <c r="E92" s="46"/>
      <c r="F92" s="65"/>
      <c r="G92" s="46"/>
      <c r="H92" s="64"/>
      <c r="I92" s="46"/>
      <c r="J92" s="46"/>
      <c r="K92" s="46"/>
      <c r="L92" s="46"/>
      <c r="M92" s="46"/>
      <c r="N92" s="46"/>
      <c r="O92" s="46"/>
      <c r="P92" s="60" t="s">
        <v>94</v>
      </c>
      <c r="Q92" s="16">
        <v>-0.89290999999999998</v>
      </c>
      <c r="R92" s="16">
        <v>-6.36</v>
      </c>
      <c r="S92" s="47"/>
      <c r="T92" s="47"/>
      <c r="U92" s="47"/>
      <c r="V92" s="47"/>
      <c r="W92" s="47"/>
      <c r="Z92" s="47"/>
      <c r="AA92" s="47"/>
      <c r="AB92" s="62"/>
    </row>
    <row r="93" spans="2:28" ht="14.5" x14ac:dyDescent="0.35">
      <c r="B93" s="45"/>
      <c r="C93" s="46"/>
      <c r="D93" s="46"/>
      <c r="E93" s="46"/>
      <c r="F93" s="65"/>
      <c r="G93" s="46"/>
      <c r="H93" s="64"/>
      <c r="I93" s="46"/>
      <c r="J93" s="46"/>
      <c r="K93" s="46"/>
      <c r="L93" s="46"/>
      <c r="M93" s="46"/>
      <c r="N93" s="46"/>
      <c r="O93" s="46"/>
      <c r="P93" s="60" t="s">
        <v>95</v>
      </c>
      <c r="Q93" s="16">
        <v>-0.70638999999999996</v>
      </c>
      <c r="R93" s="16">
        <v>-4.99</v>
      </c>
      <c r="S93" s="47"/>
      <c r="T93" s="47"/>
      <c r="U93" s="47"/>
      <c r="V93" s="47"/>
      <c r="W93" s="47"/>
      <c r="Z93" s="47"/>
      <c r="AA93" s="47"/>
      <c r="AB93" s="62"/>
    </row>
    <row r="94" spans="2:28" ht="14.5" x14ac:dyDescent="0.35">
      <c r="B94" s="45"/>
      <c r="C94" s="46"/>
      <c r="D94" s="46"/>
      <c r="E94" s="46"/>
      <c r="F94" s="65"/>
      <c r="G94" s="46"/>
      <c r="H94" s="64"/>
      <c r="I94" s="46"/>
      <c r="J94" s="46"/>
      <c r="K94" s="46"/>
      <c r="L94" s="46"/>
      <c r="M94" s="46"/>
      <c r="N94" s="46"/>
      <c r="O94" s="46"/>
      <c r="P94" s="60" t="s">
        <v>96</v>
      </c>
      <c r="Q94" s="16">
        <v>-0.53585000000000005</v>
      </c>
      <c r="R94" s="16">
        <v>-3.78</v>
      </c>
      <c r="S94" s="47"/>
      <c r="T94" s="47"/>
      <c r="U94" s="47"/>
      <c r="V94" s="47"/>
      <c r="W94" s="47"/>
      <c r="Z94" s="47"/>
      <c r="AA94" s="47"/>
      <c r="AB94" s="62"/>
    </row>
    <row r="95" spans="2:28" ht="14.5" x14ac:dyDescent="0.35">
      <c r="B95" s="45"/>
      <c r="C95" s="46"/>
      <c r="D95" s="46"/>
      <c r="E95" s="46"/>
      <c r="F95" s="65"/>
      <c r="G95" s="46"/>
      <c r="H95" s="64"/>
      <c r="I95" s="46"/>
      <c r="J95" s="46"/>
      <c r="K95" s="46"/>
      <c r="L95" s="46"/>
      <c r="M95" s="46"/>
      <c r="N95" s="46"/>
      <c r="O95" s="46"/>
      <c r="P95" s="60" t="s">
        <v>97</v>
      </c>
      <c r="Q95" s="16">
        <v>-0.55462999999999996</v>
      </c>
      <c r="R95" s="16">
        <v>-3.87</v>
      </c>
      <c r="S95" s="47"/>
      <c r="T95" s="47"/>
      <c r="U95" s="47"/>
      <c r="V95" s="47"/>
      <c r="W95" s="47"/>
      <c r="Z95" s="47"/>
      <c r="AA95" s="47"/>
      <c r="AB95" s="62"/>
    </row>
    <row r="96" spans="2:28" ht="14.5" x14ac:dyDescent="0.35">
      <c r="B96" s="45"/>
      <c r="C96" s="46"/>
      <c r="D96" s="46"/>
      <c r="E96" s="46"/>
      <c r="F96" s="65"/>
      <c r="G96" s="46"/>
      <c r="H96" s="64"/>
      <c r="I96" s="46"/>
      <c r="J96" s="46"/>
      <c r="K96" s="46"/>
      <c r="L96" s="46"/>
      <c r="M96" s="46"/>
      <c r="N96" s="46"/>
      <c r="O96" s="46"/>
      <c r="P96" s="60" t="s">
        <v>98</v>
      </c>
      <c r="Q96" s="16">
        <v>-0.48731999999999998</v>
      </c>
      <c r="R96" s="16">
        <v>-3.27</v>
      </c>
      <c r="S96" s="47"/>
      <c r="T96" s="47"/>
      <c r="U96" s="47"/>
      <c r="V96" s="47"/>
      <c r="W96" s="47"/>
      <c r="Z96" s="47"/>
      <c r="AA96" s="47"/>
      <c r="AB96" s="62"/>
    </row>
    <row r="97" spans="2:66" ht="14.5" x14ac:dyDescent="0.35">
      <c r="B97" s="66"/>
      <c r="C97" s="67"/>
      <c r="D97" s="67"/>
      <c r="E97" s="67"/>
      <c r="F97" s="68"/>
      <c r="G97" s="67"/>
      <c r="H97" s="69"/>
      <c r="I97" s="67"/>
      <c r="J97" s="67"/>
      <c r="K97" s="67"/>
      <c r="L97" s="67"/>
      <c r="M97" s="67"/>
      <c r="N97" s="67"/>
      <c r="O97" s="67"/>
      <c r="P97" s="70" t="s">
        <v>79</v>
      </c>
      <c r="Q97" s="16">
        <v>-25.050999999999998</v>
      </c>
      <c r="R97" s="16">
        <v>-6.61</v>
      </c>
      <c r="S97" s="71"/>
      <c r="T97" s="71"/>
      <c r="U97" s="71"/>
      <c r="V97" s="71"/>
      <c r="W97" s="71"/>
      <c r="Z97" s="71"/>
      <c r="AA97" s="71"/>
      <c r="AB97" s="72"/>
    </row>
    <row r="99" spans="2:66" ht="14.5" x14ac:dyDescent="0.35"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  <c r="BA99" s="46"/>
      <c r="BB99" s="46"/>
      <c r="BC99" s="46"/>
      <c r="BD99" s="46"/>
      <c r="BE99" s="46"/>
      <c r="BF99" s="46"/>
      <c r="BG99" s="46"/>
      <c r="BH99" s="46"/>
      <c r="BI99" s="46"/>
      <c r="BJ99" s="46"/>
      <c r="BK99" s="46"/>
      <c r="BL99" s="46"/>
      <c r="BM99" s="46"/>
      <c r="BN99" s="46"/>
    </row>
    <row r="100" spans="2:66" ht="14.5" x14ac:dyDescent="0.35"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  <c r="BA100" s="46"/>
      <c r="BB100" s="46"/>
      <c r="BC100" s="46"/>
      <c r="BD100" s="46"/>
      <c r="BE100" s="46"/>
      <c r="BF100" s="46"/>
      <c r="BG100" s="46"/>
      <c r="BH100" s="46"/>
      <c r="BI100" s="46"/>
      <c r="BJ100" s="46"/>
      <c r="BK100" s="46"/>
      <c r="BL100" s="46"/>
      <c r="BM100" s="46"/>
      <c r="BN100" s="46"/>
    </row>
    <row r="101" spans="2:66" ht="14.5" x14ac:dyDescent="0.35"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  <c r="BA101" s="46"/>
      <c r="BB101" s="46"/>
      <c r="BC101" s="46"/>
      <c r="BD101" s="46"/>
      <c r="BE101" s="46"/>
      <c r="BF101" s="46"/>
      <c r="BG101" s="46"/>
      <c r="BH101" s="46"/>
      <c r="BI101" s="46"/>
      <c r="BJ101" s="46"/>
      <c r="BK101" s="46"/>
      <c r="BL101" s="46"/>
      <c r="BM101" s="46"/>
      <c r="BN101" s="46"/>
    </row>
    <row r="102" spans="2:66" ht="14.5" x14ac:dyDescent="0.35"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  <c r="BA102" s="46"/>
      <c r="BB102" s="46"/>
      <c r="BC102" s="46"/>
      <c r="BD102" s="46"/>
      <c r="BE102" s="46"/>
      <c r="BF102" s="46"/>
      <c r="BG102" s="46"/>
      <c r="BH102" s="46"/>
      <c r="BI102" s="46"/>
      <c r="BJ102" s="46"/>
      <c r="BK102" s="46"/>
      <c r="BL102" s="46"/>
      <c r="BM102" s="46"/>
      <c r="BN102" s="46"/>
    </row>
    <row r="103" spans="2:66" ht="14.5" x14ac:dyDescent="0.35"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46"/>
    </row>
    <row r="104" spans="2:66" ht="14.5" x14ac:dyDescent="0.35"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  <c r="BA104" s="46"/>
      <c r="BB104" s="46"/>
      <c r="BC104" s="46"/>
      <c r="BD104" s="46"/>
      <c r="BE104" s="46"/>
      <c r="BF104" s="46"/>
      <c r="BG104" s="46"/>
      <c r="BH104" s="46"/>
      <c r="BI104" s="46"/>
      <c r="BJ104" s="46"/>
      <c r="BK104" s="46"/>
      <c r="BL104" s="46"/>
      <c r="BM104" s="46"/>
      <c r="BN104" s="46"/>
    </row>
    <row r="105" spans="2:66" ht="14.5" x14ac:dyDescent="0.35"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  <c r="BA105" s="46"/>
      <c r="BB105" s="46"/>
      <c r="BC105" s="46"/>
      <c r="BD105" s="46"/>
      <c r="BE105" s="46"/>
      <c r="BF105" s="46"/>
      <c r="BG105" s="46"/>
      <c r="BH105" s="46"/>
      <c r="BI105" s="46"/>
      <c r="BJ105" s="46"/>
      <c r="BK105" s="46"/>
      <c r="BL105" s="46"/>
      <c r="BM105" s="46"/>
      <c r="BN105" s="46"/>
    </row>
    <row r="106" spans="2:66" ht="14.5" x14ac:dyDescent="0.35"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  <c r="BA106" s="46"/>
      <c r="BB106" s="46"/>
      <c r="BC106" s="46"/>
      <c r="BD106" s="46"/>
      <c r="BE106" s="46"/>
      <c r="BF106" s="46"/>
      <c r="BG106" s="46"/>
      <c r="BH106" s="46"/>
      <c r="BI106" s="46"/>
      <c r="BJ106" s="46"/>
      <c r="BK106" s="46"/>
      <c r="BL106" s="46"/>
      <c r="BM106" s="46"/>
      <c r="BN106" s="46"/>
    </row>
    <row r="107" spans="2:66" ht="14.5" x14ac:dyDescent="0.35"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  <c r="BA107" s="46"/>
      <c r="BB107" s="46"/>
      <c r="BC107" s="46"/>
      <c r="BD107" s="46"/>
      <c r="BE107" s="46"/>
      <c r="BF107" s="46"/>
      <c r="BG107" s="46"/>
      <c r="BH107" s="46"/>
      <c r="BI107" s="46"/>
      <c r="BJ107" s="46"/>
      <c r="BK107" s="46"/>
      <c r="BL107" s="46"/>
      <c r="BM107" s="46"/>
      <c r="BN107" s="46"/>
    </row>
    <row r="108" spans="2:66" ht="14.5" x14ac:dyDescent="0.35"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  <c r="BA108" s="46"/>
      <c r="BB108" s="46"/>
      <c r="BC108" s="46"/>
      <c r="BD108" s="46"/>
      <c r="BE108" s="46"/>
      <c r="BF108" s="46"/>
      <c r="BG108" s="46"/>
      <c r="BH108" s="46"/>
      <c r="BI108" s="46"/>
      <c r="BJ108" s="46"/>
      <c r="BK108" s="46"/>
      <c r="BL108" s="46"/>
      <c r="BM108" s="46"/>
      <c r="BN108" s="46"/>
    </row>
    <row r="109" spans="2:66" ht="14.5" x14ac:dyDescent="0.35"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  <c r="AV109" s="46"/>
      <c r="AW109" s="46"/>
      <c r="AX109" s="46"/>
      <c r="AY109" s="46"/>
      <c r="AZ109" s="46"/>
      <c r="BA109" s="46"/>
      <c r="BB109" s="46"/>
      <c r="BC109" s="46"/>
      <c r="BD109" s="46"/>
      <c r="BE109" s="46"/>
      <c r="BF109" s="46"/>
      <c r="BG109" s="46"/>
      <c r="BH109" s="46"/>
      <c r="BI109" s="46"/>
      <c r="BJ109" s="46"/>
      <c r="BK109" s="46"/>
      <c r="BL109" s="46"/>
      <c r="BM109" s="46"/>
      <c r="BN109" s="46"/>
    </row>
    <row r="110" spans="2:66" ht="14.5" x14ac:dyDescent="0.35"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  <c r="BA110" s="46"/>
      <c r="BB110" s="46"/>
      <c r="BC110" s="46"/>
      <c r="BD110" s="46"/>
      <c r="BE110" s="46"/>
      <c r="BF110" s="46"/>
      <c r="BG110" s="46"/>
      <c r="BH110" s="46"/>
      <c r="BI110" s="46"/>
      <c r="BJ110" s="46"/>
      <c r="BK110" s="46"/>
      <c r="BL110" s="46"/>
      <c r="BM110" s="46"/>
      <c r="BN110" s="46"/>
    </row>
    <row r="111" spans="2:66" ht="14.5" x14ac:dyDescent="0.35"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6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46"/>
      <c r="AW111" s="46"/>
      <c r="AX111" s="46"/>
      <c r="AY111" s="46"/>
      <c r="AZ111" s="46"/>
      <c r="BA111" s="46"/>
      <c r="BB111" s="46"/>
      <c r="BC111" s="46"/>
      <c r="BD111" s="46"/>
      <c r="BE111" s="46"/>
      <c r="BF111" s="46"/>
      <c r="BG111" s="46"/>
      <c r="BH111" s="46"/>
      <c r="BI111" s="46"/>
      <c r="BJ111" s="46"/>
      <c r="BK111" s="46"/>
      <c r="BL111" s="46"/>
      <c r="BM111" s="46"/>
      <c r="BN111" s="46"/>
    </row>
    <row r="112" spans="2:66" ht="14.5" x14ac:dyDescent="0.35"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46"/>
      <c r="AN112" s="46"/>
      <c r="AO112" s="46"/>
      <c r="AP112" s="46"/>
      <c r="AQ112" s="46"/>
      <c r="AR112" s="46"/>
      <c r="AS112" s="46"/>
      <c r="AT112" s="46"/>
      <c r="AU112" s="46"/>
      <c r="AV112" s="46"/>
      <c r="AW112" s="46"/>
      <c r="AX112" s="46"/>
      <c r="AY112" s="46"/>
      <c r="AZ112" s="46"/>
      <c r="BA112" s="46"/>
      <c r="BB112" s="46"/>
      <c r="BC112" s="46"/>
      <c r="BD112" s="46"/>
      <c r="BE112" s="46"/>
      <c r="BF112" s="46"/>
      <c r="BG112" s="46"/>
      <c r="BH112" s="46"/>
      <c r="BI112" s="46"/>
      <c r="BJ112" s="46"/>
      <c r="BK112" s="46"/>
      <c r="BL112" s="46"/>
      <c r="BM112" s="46"/>
      <c r="BN112" s="46"/>
    </row>
    <row r="113" spans="2:66" ht="14.5" x14ac:dyDescent="0.35"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46"/>
      <c r="AN113" s="46"/>
      <c r="AO113" s="46"/>
      <c r="AP113" s="46"/>
      <c r="AQ113" s="46"/>
      <c r="AR113" s="46"/>
      <c r="AS113" s="46"/>
      <c r="AT113" s="46"/>
      <c r="AU113" s="46"/>
      <c r="AV113" s="46"/>
      <c r="AW113" s="46"/>
      <c r="AX113" s="46"/>
      <c r="AY113" s="46"/>
      <c r="AZ113" s="46"/>
      <c r="BA113" s="46"/>
      <c r="BB113" s="46"/>
      <c r="BC113" s="46"/>
      <c r="BD113" s="46"/>
      <c r="BE113" s="46"/>
      <c r="BF113" s="46"/>
      <c r="BG113" s="46"/>
      <c r="BH113" s="46"/>
      <c r="BI113" s="46"/>
      <c r="BJ113" s="46"/>
      <c r="BK113" s="46"/>
      <c r="BL113" s="46"/>
      <c r="BM113" s="46"/>
      <c r="BN113" s="46"/>
    </row>
    <row r="114" spans="2:66" ht="14.5" x14ac:dyDescent="0.35"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46"/>
      <c r="AN114" s="46"/>
      <c r="AO114" s="46"/>
      <c r="AP114" s="46"/>
      <c r="AQ114" s="46"/>
      <c r="AR114" s="46"/>
      <c r="AS114" s="46"/>
      <c r="AT114" s="46"/>
      <c r="AU114" s="46"/>
      <c r="AV114" s="46"/>
      <c r="AW114" s="46"/>
      <c r="AX114" s="46"/>
      <c r="AY114" s="46"/>
      <c r="AZ114" s="46"/>
      <c r="BA114" s="46"/>
      <c r="BB114" s="46"/>
      <c r="BC114" s="46"/>
      <c r="BD114" s="46"/>
      <c r="BE114" s="46"/>
      <c r="BF114" s="46"/>
      <c r="BG114" s="46"/>
      <c r="BH114" s="46"/>
      <c r="BI114" s="46"/>
      <c r="BJ114" s="46"/>
      <c r="BK114" s="46"/>
      <c r="BL114" s="46"/>
      <c r="BM114" s="46"/>
      <c r="BN114" s="46"/>
    </row>
    <row r="115" spans="2:66" ht="14.5" x14ac:dyDescent="0.35"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46"/>
      <c r="AU115" s="46"/>
      <c r="AV115" s="46"/>
      <c r="AW115" s="46"/>
      <c r="AX115" s="46"/>
      <c r="AY115" s="46"/>
      <c r="AZ115" s="46"/>
      <c r="BA115" s="46"/>
      <c r="BB115" s="46"/>
      <c r="BC115" s="46"/>
      <c r="BD115" s="46"/>
      <c r="BE115" s="46"/>
      <c r="BF115" s="46"/>
      <c r="BG115" s="46"/>
      <c r="BH115" s="46"/>
      <c r="BI115" s="46"/>
      <c r="BJ115" s="46"/>
      <c r="BK115" s="46"/>
      <c r="BL115" s="46"/>
      <c r="BM115" s="46"/>
      <c r="BN115" s="46"/>
    </row>
    <row r="116" spans="2:66" ht="14.5" x14ac:dyDescent="0.35"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46"/>
      <c r="AU116" s="46"/>
      <c r="AV116" s="46"/>
      <c r="AW116" s="46"/>
      <c r="AX116" s="46"/>
      <c r="AY116" s="46"/>
      <c r="AZ116" s="46"/>
      <c r="BA116" s="46"/>
      <c r="BB116" s="46"/>
      <c r="BC116" s="46"/>
      <c r="BD116" s="46"/>
      <c r="BE116" s="46"/>
      <c r="BF116" s="46"/>
      <c r="BG116" s="46"/>
      <c r="BH116" s="46"/>
      <c r="BI116" s="46"/>
      <c r="BJ116" s="46"/>
      <c r="BK116" s="46"/>
      <c r="BL116" s="46"/>
      <c r="BM116" s="46"/>
      <c r="BN116" s="46"/>
    </row>
    <row r="117" spans="2:66" ht="14.5" x14ac:dyDescent="0.35"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  <c r="AV117" s="46"/>
      <c r="AW117" s="46"/>
      <c r="AX117" s="46"/>
      <c r="AY117" s="46"/>
      <c r="AZ117" s="46"/>
      <c r="BA117" s="46"/>
      <c r="BB117" s="46"/>
      <c r="BC117" s="46"/>
      <c r="BD117" s="46"/>
      <c r="BE117" s="46"/>
      <c r="BF117" s="46"/>
      <c r="BG117" s="46"/>
      <c r="BH117" s="46"/>
      <c r="BI117" s="46"/>
      <c r="BJ117" s="46"/>
      <c r="BK117" s="46"/>
      <c r="BL117" s="46"/>
      <c r="BM117" s="46"/>
      <c r="BN117" s="46"/>
    </row>
    <row r="118" spans="2:66" ht="14.5" x14ac:dyDescent="0.35"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  <c r="AV118" s="46"/>
      <c r="AW118" s="46"/>
      <c r="AX118" s="46"/>
      <c r="AY118" s="46"/>
      <c r="AZ118" s="46"/>
      <c r="BA118" s="46"/>
      <c r="BB118" s="46"/>
      <c r="BC118" s="46"/>
      <c r="BD118" s="46"/>
      <c r="BE118" s="46"/>
      <c r="BF118" s="46"/>
      <c r="BG118" s="46"/>
      <c r="BH118" s="46"/>
      <c r="BI118" s="46"/>
      <c r="BJ118" s="46"/>
      <c r="BK118" s="46"/>
      <c r="BL118" s="46"/>
      <c r="BM118" s="46"/>
      <c r="BN118" s="46"/>
    </row>
    <row r="119" spans="2:66" ht="14.5" x14ac:dyDescent="0.35"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46"/>
    </row>
    <row r="120" spans="2:66" ht="14.5" x14ac:dyDescent="0.35"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  <c r="AV120" s="46"/>
      <c r="AW120" s="46"/>
      <c r="AX120" s="46"/>
      <c r="AY120" s="46"/>
      <c r="AZ120" s="46"/>
      <c r="BA120" s="46"/>
      <c r="BB120" s="46"/>
      <c r="BC120" s="46"/>
      <c r="BD120" s="46"/>
      <c r="BE120" s="46"/>
      <c r="BF120" s="46"/>
      <c r="BG120" s="46"/>
      <c r="BH120" s="46"/>
      <c r="BI120" s="46"/>
      <c r="BJ120" s="46"/>
      <c r="BK120" s="46"/>
      <c r="BL120" s="46"/>
      <c r="BM120" s="46"/>
      <c r="BN120" s="46"/>
    </row>
    <row r="121" spans="2:66" ht="14.5" x14ac:dyDescent="0.35"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  <c r="AV121" s="46"/>
      <c r="AW121" s="46"/>
      <c r="AX121" s="46"/>
      <c r="AY121" s="46"/>
      <c r="AZ121" s="46"/>
      <c r="BA121" s="46"/>
      <c r="BB121" s="46"/>
      <c r="BC121" s="46"/>
      <c r="BD121" s="46"/>
      <c r="BE121" s="46"/>
      <c r="BF121" s="46"/>
      <c r="BG121" s="46"/>
      <c r="BH121" s="46"/>
      <c r="BI121" s="46"/>
      <c r="BJ121" s="46"/>
      <c r="BK121" s="46"/>
      <c r="BL121" s="46"/>
      <c r="BM121" s="46"/>
      <c r="BN121" s="46"/>
    </row>
    <row r="122" spans="2:66" ht="14.5" x14ac:dyDescent="0.35"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  <c r="AU122" s="46"/>
      <c r="AV122" s="46"/>
      <c r="AW122" s="46"/>
      <c r="AX122" s="46"/>
      <c r="AY122" s="46"/>
      <c r="AZ122" s="46"/>
      <c r="BA122" s="46"/>
      <c r="BB122" s="46"/>
      <c r="BC122" s="46"/>
      <c r="BD122" s="46"/>
      <c r="BE122" s="46"/>
      <c r="BF122" s="46"/>
      <c r="BG122" s="46"/>
      <c r="BH122" s="46"/>
      <c r="BI122" s="46"/>
      <c r="BJ122" s="46"/>
      <c r="BK122" s="46"/>
      <c r="BL122" s="46"/>
      <c r="BM122" s="46"/>
      <c r="BN122" s="46"/>
    </row>
    <row r="123" spans="2:66" ht="14.5" x14ac:dyDescent="0.35"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  <c r="AO123" s="46"/>
      <c r="AP123" s="46"/>
      <c r="AQ123" s="46"/>
      <c r="AR123" s="46"/>
      <c r="AS123" s="46"/>
      <c r="AT123" s="46"/>
      <c r="AU123" s="46"/>
      <c r="AV123" s="46"/>
      <c r="AW123" s="46"/>
      <c r="AX123" s="46"/>
      <c r="AY123" s="46"/>
      <c r="AZ123" s="46"/>
      <c r="BA123" s="46"/>
      <c r="BB123" s="46"/>
      <c r="BC123" s="46"/>
      <c r="BD123" s="46"/>
      <c r="BE123" s="46"/>
      <c r="BF123" s="46"/>
      <c r="BG123" s="46"/>
      <c r="BH123" s="46"/>
      <c r="BI123" s="46"/>
      <c r="BJ123" s="46"/>
      <c r="BK123" s="46"/>
      <c r="BL123" s="46"/>
      <c r="BM123" s="46"/>
      <c r="BN123" s="46"/>
    </row>
    <row r="124" spans="2:66" ht="14.5" x14ac:dyDescent="0.35"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46"/>
      <c r="BB124" s="46"/>
      <c r="BC124" s="46"/>
      <c r="BD124" s="46"/>
      <c r="BE124" s="46"/>
      <c r="BF124" s="46"/>
      <c r="BG124" s="46"/>
      <c r="BH124" s="46"/>
      <c r="BI124" s="46"/>
      <c r="BJ124" s="46"/>
      <c r="BK124" s="46"/>
      <c r="BL124" s="46"/>
      <c r="BM124" s="46"/>
      <c r="BN124" s="46"/>
    </row>
    <row r="125" spans="2:66" ht="14.5" x14ac:dyDescent="0.35"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  <c r="AO125" s="46"/>
      <c r="AP125" s="46"/>
      <c r="AQ125" s="46"/>
      <c r="AR125" s="46"/>
      <c r="AS125" s="46"/>
      <c r="AT125" s="46"/>
      <c r="AU125" s="46"/>
      <c r="AV125" s="46"/>
      <c r="AW125" s="46"/>
      <c r="AX125" s="46"/>
      <c r="AY125" s="46"/>
      <c r="AZ125" s="46"/>
      <c r="BA125" s="46"/>
      <c r="BB125" s="46"/>
      <c r="BC125" s="46"/>
      <c r="BD125" s="46"/>
      <c r="BE125" s="46"/>
      <c r="BF125" s="46"/>
      <c r="BG125" s="46"/>
      <c r="BH125" s="46"/>
      <c r="BI125" s="46"/>
      <c r="BJ125" s="46"/>
      <c r="BK125" s="46"/>
      <c r="BL125" s="46"/>
      <c r="BM125" s="46"/>
      <c r="BN125" s="46"/>
    </row>
    <row r="126" spans="2:66" ht="14.5" x14ac:dyDescent="0.35"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  <c r="AJ126" s="46"/>
      <c r="AK126" s="46"/>
      <c r="AL126" s="46"/>
      <c r="AM126" s="46"/>
      <c r="AN126" s="46"/>
      <c r="AO126" s="46"/>
      <c r="AP126" s="46"/>
      <c r="AQ126" s="46"/>
      <c r="AR126" s="46"/>
      <c r="AS126" s="46"/>
      <c r="AT126" s="46"/>
      <c r="AU126" s="46"/>
      <c r="AV126" s="46"/>
      <c r="AW126" s="46"/>
      <c r="AX126" s="46"/>
      <c r="AY126" s="46"/>
      <c r="AZ126" s="46"/>
      <c r="BA126" s="46"/>
      <c r="BB126" s="46"/>
      <c r="BC126" s="46"/>
      <c r="BD126" s="46"/>
      <c r="BE126" s="46"/>
      <c r="BF126" s="46"/>
      <c r="BG126" s="46"/>
      <c r="BH126" s="46"/>
      <c r="BI126" s="46"/>
      <c r="BJ126" s="46"/>
      <c r="BK126" s="46"/>
      <c r="BL126" s="46"/>
      <c r="BM126" s="46"/>
      <c r="BN126" s="46"/>
    </row>
    <row r="127" spans="2:66" ht="14.5" x14ac:dyDescent="0.35"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  <c r="AL127" s="46"/>
      <c r="AM127" s="46"/>
      <c r="AN127" s="46"/>
      <c r="AO127" s="46"/>
      <c r="AP127" s="46"/>
      <c r="AQ127" s="46"/>
      <c r="AR127" s="46"/>
      <c r="AS127" s="46"/>
      <c r="AT127" s="46"/>
      <c r="AU127" s="46"/>
      <c r="AV127" s="46"/>
      <c r="AW127" s="46"/>
      <c r="AX127" s="46"/>
      <c r="AY127" s="46"/>
      <c r="AZ127" s="46"/>
      <c r="BA127" s="46"/>
      <c r="BB127" s="46"/>
      <c r="BC127" s="46"/>
      <c r="BD127" s="46"/>
      <c r="BE127" s="46"/>
      <c r="BF127" s="46"/>
      <c r="BG127" s="46"/>
      <c r="BH127" s="46"/>
      <c r="BI127" s="46"/>
      <c r="BJ127" s="46"/>
      <c r="BK127" s="46"/>
      <c r="BL127" s="46"/>
      <c r="BM127" s="46"/>
      <c r="BN127" s="46"/>
    </row>
    <row r="128" spans="2:66" ht="14.5" x14ac:dyDescent="0.35"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6"/>
      <c r="AH128" s="46"/>
      <c r="AI128" s="46"/>
      <c r="AJ128" s="46"/>
      <c r="AK128" s="46"/>
      <c r="AL128" s="46"/>
      <c r="AM128" s="46"/>
      <c r="AN128" s="46"/>
      <c r="AO128" s="46"/>
      <c r="AP128" s="46"/>
      <c r="AQ128" s="46"/>
      <c r="AR128" s="46"/>
      <c r="AS128" s="46"/>
      <c r="AT128" s="46"/>
      <c r="AU128" s="46"/>
      <c r="AV128" s="46"/>
      <c r="AW128" s="46"/>
      <c r="AX128" s="46"/>
      <c r="AY128" s="46"/>
      <c r="AZ128" s="46"/>
      <c r="BA128" s="46"/>
      <c r="BB128" s="46"/>
      <c r="BC128" s="46"/>
      <c r="BD128" s="46"/>
      <c r="BE128" s="46"/>
      <c r="BF128" s="46"/>
      <c r="BG128" s="46"/>
      <c r="BH128" s="46"/>
      <c r="BI128" s="46"/>
      <c r="BJ128" s="46"/>
      <c r="BK128" s="46"/>
      <c r="BL128" s="46"/>
      <c r="BM128" s="46"/>
      <c r="BN128" s="46"/>
    </row>
    <row r="129" spans="2:66" ht="14.5" x14ac:dyDescent="0.35"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/>
      <c r="AM129" s="46"/>
      <c r="AN129" s="46"/>
      <c r="AO129" s="46"/>
      <c r="AP129" s="46"/>
      <c r="AQ129" s="46"/>
      <c r="AR129" s="46"/>
      <c r="AS129" s="46"/>
      <c r="AT129" s="46"/>
      <c r="AU129" s="46"/>
      <c r="AV129" s="46"/>
      <c r="AW129" s="46"/>
      <c r="AX129" s="46"/>
      <c r="AY129" s="46"/>
      <c r="AZ129" s="46"/>
      <c r="BA129" s="46"/>
      <c r="BB129" s="46"/>
      <c r="BC129" s="46"/>
      <c r="BD129" s="46"/>
      <c r="BE129" s="46"/>
      <c r="BF129" s="46"/>
      <c r="BG129" s="46"/>
      <c r="BH129" s="46"/>
      <c r="BI129" s="46"/>
      <c r="BJ129" s="46"/>
      <c r="BK129" s="46"/>
      <c r="BL129" s="46"/>
      <c r="BM129" s="46"/>
      <c r="BN129" s="46"/>
    </row>
    <row r="130" spans="2:66" ht="14.5" x14ac:dyDescent="0.35"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46"/>
      <c r="AN130" s="46"/>
      <c r="AO130" s="46"/>
      <c r="AP130" s="46"/>
      <c r="AQ130" s="46"/>
      <c r="AR130" s="46"/>
      <c r="AS130" s="46"/>
      <c r="AT130" s="46"/>
      <c r="AU130" s="46"/>
      <c r="AV130" s="46"/>
      <c r="AW130" s="46"/>
      <c r="AX130" s="46"/>
      <c r="AY130" s="46"/>
      <c r="AZ130" s="46"/>
      <c r="BA130" s="46"/>
      <c r="BB130" s="46"/>
      <c r="BC130" s="46"/>
      <c r="BD130" s="46"/>
      <c r="BE130" s="46"/>
      <c r="BF130" s="46"/>
      <c r="BG130" s="46"/>
      <c r="BH130" s="46"/>
      <c r="BI130" s="46"/>
      <c r="BJ130" s="46"/>
      <c r="BK130" s="46"/>
      <c r="BL130" s="46"/>
      <c r="BM130" s="46"/>
      <c r="BN130" s="46"/>
    </row>
    <row r="131" spans="2:66" ht="14.5" x14ac:dyDescent="0.35"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  <c r="AM131" s="46"/>
      <c r="AN131" s="46"/>
      <c r="AO131" s="46"/>
      <c r="AP131" s="46"/>
      <c r="AQ131" s="46"/>
      <c r="AR131" s="46"/>
      <c r="AS131" s="46"/>
      <c r="AT131" s="46"/>
      <c r="AU131" s="46"/>
      <c r="AV131" s="46"/>
      <c r="AW131" s="46"/>
      <c r="AX131" s="46"/>
      <c r="AY131" s="46"/>
      <c r="AZ131" s="46"/>
      <c r="BA131" s="46"/>
      <c r="BB131" s="46"/>
      <c r="BC131" s="46"/>
      <c r="BD131" s="46"/>
      <c r="BE131" s="46"/>
      <c r="BF131" s="46"/>
      <c r="BG131" s="46"/>
      <c r="BH131" s="46"/>
      <c r="BI131" s="46"/>
      <c r="BJ131" s="46"/>
      <c r="BK131" s="46"/>
      <c r="BL131" s="46"/>
      <c r="BM131" s="46"/>
      <c r="BN131" s="46"/>
    </row>
    <row r="132" spans="2:66" ht="14.5" x14ac:dyDescent="0.35"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  <c r="AM132" s="46"/>
      <c r="AN132" s="46"/>
      <c r="AO132" s="46"/>
      <c r="AP132" s="46"/>
      <c r="AQ132" s="46"/>
      <c r="AR132" s="46"/>
      <c r="AS132" s="46"/>
      <c r="AT132" s="46"/>
      <c r="AU132" s="46"/>
      <c r="AV132" s="46"/>
      <c r="AW132" s="46"/>
      <c r="AX132" s="46"/>
      <c r="AY132" s="46"/>
      <c r="AZ132" s="46"/>
      <c r="BA132" s="46"/>
      <c r="BB132" s="46"/>
      <c r="BC132" s="46"/>
      <c r="BD132" s="46"/>
      <c r="BE132" s="46"/>
      <c r="BF132" s="46"/>
      <c r="BG132" s="46"/>
      <c r="BH132" s="46"/>
      <c r="BI132" s="46"/>
      <c r="BJ132" s="46"/>
      <c r="BK132" s="46"/>
      <c r="BL132" s="46"/>
      <c r="BM132" s="46"/>
      <c r="BN132" s="46"/>
    </row>
    <row r="133" spans="2:66" ht="14.5" x14ac:dyDescent="0.35"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46"/>
      <c r="AN133" s="46"/>
      <c r="AO133" s="46"/>
      <c r="AP133" s="46"/>
      <c r="AQ133" s="46"/>
      <c r="AR133" s="46"/>
      <c r="AS133" s="46"/>
      <c r="AT133" s="46"/>
      <c r="AU133" s="46"/>
      <c r="AV133" s="46"/>
      <c r="AW133" s="46"/>
      <c r="AX133" s="46"/>
      <c r="AY133" s="46"/>
      <c r="AZ133" s="46"/>
      <c r="BA133" s="46"/>
      <c r="BB133" s="46"/>
      <c r="BC133" s="46"/>
      <c r="BD133" s="46"/>
      <c r="BE133" s="46"/>
      <c r="BF133" s="46"/>
      <c r="BG133" s="46"/>
      <c r="BH133" s="46"/>
      <c r="BI133" s="46"/>
      <c r="BJ133" s="46"/>
      <c r="BK133" s="46"/>
      <c r="BL133" s="46"/>
      <c r="BM133" s="46"/>
      <c r="BN133" s="46"/>
    </row>
    <row r="134" spans="2:66" ht="14.5" x14ac:dyDescent="0.35"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/>
      <c r="AG134" s="46"/>
      <c r="AH134" s="46"/>
      <c r="AI134" s="46"/>
      <c r="AJ134" s="46"/>
      <c r="AK134" s="46"/>
      <c r="AL134" s="46"/>
      <c r="AM134" s="46"/>
      <c r="AN134" s="46"/>
      <c r="AO134" s="46"/>
      <c r="AP134" s="46"/>
      <c r="AQ134" s="46"/>
      <c r="AR134" s="46"/>
      <c r="AS134" s="46"/>
      <c r="AT134" s="46"/>
      <c r="AU134" s="46"/>
      <c r="AV134" s="46"/>
      <c r="AW134" s="46"/>
      <c r="AX134" s="46"/>
      <c r="AY134" s="46"/>
      <c r="AZ134" s="46"/>
      <c r="BA134" s="46"/>
      <c r="BB134" s="46"/>
      <c r="BC134" s="46"/>
      <c r="BD134" s="46"/>
      <c r="BE134" s="46"/>
      <c r="BF134" s="46"/>
      <c r="BG134" s="46"/>
      <c r="BH134" s="46"/>
      <c r="BI134" s="46"/>
      <c r="BJ134" s="46"/>
      <c r="BK134" s="46"/>
      <c r="BL134" s="46"/>
      <c r="BM134" s="46"/>
      <c r="BN134" s="46"/>
    </row>
    <row r="135" spans="2:66" ht="14.5" x14ac:dyDescent="0.35"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6"/>
      <c r="AD135" s="46"/>
      <c r="AE135" s="46"/>
      <c r="AF135" s="46"/>
      <c r="AG135" s="46"/>
      <c r="AH135" s="46"/>
      <c r="AI135" s="46"/>
      <c r="AJ135" s="46"/>
      <c r="AK135" s="46"/>
      <c r="AL135" s="46"/>
      <c r="AM135" s="46"/>
      <c r="AN135" s="46"/>
      <c r="AO135" s="46"/>
      <c r="AP135" s="46"/>
      <c r="AQ135" s="46"/>
      <c r="AR135" s="46"/>
      <c r="AS135" s="46"/>
      <c r="AT135" s="46"/>
      <c r="AU135" s="46"/>
      <c r="AV135" s="46"/>
      <c r="AW135" s="46"/>
      <c r="AX135" s="46"/>
      <c r="AY135" s="46"/>
      <c r="AZ135" s="46"/>
      <c r="BA135" s="46"/>
      <c r="BB135" s="46"/>
      <c r="BC135" s="46"/>
      <c r="BD135" s="46"/>
      <c r="BE135" s="46"/>
      <c r="BF135" s="46"/>
      <c r="BG135" s="46"/>
      <c r="BH135" s="46"/>
      <c r="BI135" s="46"/>
      <c r="BJ135" s="46"/>
      <c r="BK135" s="46"/>
      <c r="BL135" s="46"/>
      <c r="BM135" s="46"/>
      <c r="BN135" s="46"/>
    </row>
    <row r="136" spans="2:66" ht="14.5" x14ac:dyDescent="0.35"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  <c r="AL136" s="46"/>
      <c r="AM136" s="46"/>
      <c r="AN136" s="46"/>
      <c r="AO136" s="46"/>
      <c r="AP136" s="46"/>
      <c r="AQ136" s="46"/>
      <c r="AR136" s="46"/>
      <c r="AS136" s="46"/>
      <c r="AT136" s="46"/>
      <c r="AU136" s="46"/>
      <c r="AV136" s="46"/>
      <c r="AW136" s="46"/>
      <c r="AX136" s="46"/>
      <c r="AY136" s="46"/>
      <c r="AZ136" s="46"/>
      <c r="BA136" s="46"/>
      <c r="BB136" s="46"/>
      <c r="BC136" s="46"/>
      <c r="BD136" s="46"/>
      <c r="BE136" s="46"/>
      <c r="BF136" s="46"/>
      <c r="BG136" s="46"/>
      <c r="BH136" s="46"/>
      <c r="BI136" s="46"/>
      <c r="BJ136" s="46"/>
      <c r="BK136" s="46"/>
      <c r="BL136" s="46"/>
      <c r="BM136" s="46"/>
      <c r="BN136" s="46"/>
    </row>
    <row r="137" spans="2:66" ht="14.5" x14ac:dyDescent="0.35"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  <c r="AL137" s="46"/>
      <c r="AM137" s="46"/>
      <c r="AN137" s="46"/>
      <c r="AO137" s="46"/>
      <c r="AP137" s="46"/>
      <c r="AQ137" s="46"/>
      <c r="AR137" s="46"/>
      <c r="AS137" s="46"/>
      <c r="AT137" s="46"/>
      <c r="AU137" s="46"/>
      <c r="AV137" s="46"/>
      <c r="AW137" s="46"/>
      <c r="AX137" s="46"/>
      <c r="AY137" s="46"/>
      <c r="AZ137" s="46"/>
      <c r="BA137" s="46"/>
      <c r="BB137" s="46"/>
      <c r="BC137" s="46"/>
      <c r="BD137" s="46"/>
      <c r="BE137" s="46"/>
      <c r="BF137" s="46"/>
      <c r="BG137" s="46"/>
      <c r="BH137" s="46"/>
      <c r="BI137" s="46"/>
      <c r="BJ137" s="46"/>
      <c r="BK137" s="46"/>
      <c r="BL137" s="46"/>
      <c r="BM137" s="46"/>
      <c r="BN137" s="46"/>
    </row>
    <row r="138" spans="2:66" ht="14.5" x14ac:dyDescent="0.35"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6"/>
      <c r="AH138" s="46"/>
      <c r="AI138" s="46"/>
      <c r="AJ138" s="46"/>
      <c r="AK138" s="46"/>
      <c r="AL138" s="46"/>
      <c r="AM138" s="46"/>
      <c r="AN138" s="46"/>
      <c r="AO138" s="46"/>
      <c r="AP138" s="46"/>
      <c r="AQ138" s="46"/>
      <c r="AR138" s="46"/>
      <c r="AS138" s="46"/>
      <c r="AT138" s="46"/>
      <c r="AU138" s="46"/>
      <c r="AV138" s="46"/>
      <c r="AW138" s="46"/>
      <c r="AX138" s="46"/>
      <c r="AY138" s="46"/>
      <c r="AZ138" s="46"/>
      <c r="BA138" s="46"/>
      <c r="BB138" s="46"/>
      <c r="BC138" s="46"/>
      <c r="BD138" s="46"/>
      <c r="BE138" s="46"/>
      <c r="BF138" s="46"/>
      <c r="BG138" s="46"/>
      <c r="BH138" s="46"/>
      <c r="BI138" s="46"/>
      <c r="BJ138" s="46"/>
      <c r="BK138" s="46"/>
      <c r="BL138" s="46"/>
      <c r="BM138" s="46"/>
      <c r="BN138" s="46"/>
    </row>
    <row r="139" spans="2:66" ht="14.5" x14ac:dyDescent="0.35"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6"/>
      <c r="AH139" s="46"/>
      <c r="AI139" s="46"/>
      <c r="AJ139" s="46"/>
      <c r="AK139" s="46"/>
      <c r="AL139" s="46"/>
      <c r="AM139" s="46"/>
      <c r="AN139" s="46"/>
      <c r="AO139" s="46"/>
      <c r="AP139" s="46"/>
      <c r="AQ139" s="46"/>
      <c r="AR139" s="46"/>
      <c r="AS139" s="46"/>
      <c r="AT139" s="46"/>
      <c r="AU139" s="46"/>
      <c r="AV139" s="46"/>
      <c r="AW139" s="46"/>
      <c r="AX139" s="46"/>
      <c r="AY139" s="46"/>
      <c r="AZ139" s="46"/>
      <c r="BA139" s="46"/>
      <c r="BB139" s="46"/>
      <c r="BC139" s="46"/>
      <c r="BD139" s="46"/>
      <c r="BE139" s="46"/>
      <c r="BF139" s="46"/>
      <c r="BG139" s="46"/>
      <c r="BH139" s="46"/>
      <c r="BI139" s="46"/>
      <c r="BJ139" s="46"/>
      <c r="BK139" s="46"/>
      <c r="BL139" s="46"/>
      <c r="BM139" s="46"/>
      <c r="BN139" s="46"/>
    </row>
    <row r="140" spans="2:66" ht="14.5" x14ac:dyDescent="0.35"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  <c r="AF140" s="46"/>
      <c r="AG140" s="46"/>
      <c r="AH140" s="46"/>
      <c r="AI140" s="46"/>
      <c r="AJ140" s="46"/>
      <c r="AK140" s="46"/>
      <c r="AL140" s="46"/>
      <c r="AM140" s="46"/>
      <c r="AN140" s="46"/>
      <c r="AO140" s="46"/>
      <c r="AP140" s="46"/>
      <c r="AQ140" s="46"/>
      <c r="AR140" s="46"/>
      <c r="AS140" s="46"/>
      <c r="AT140" s="46"/>
      <c r="AU140" s="46"/>
      <c r="AV140" s="46"/>
      <c r="AW140" s="46"/>
      <c r="AX140" s="46"/>
      <c r="AY140" s="46"/>
      <c r="AZ140" s="46"/>
      <c r="BA140" s="46"/>
      <c r="BB140" s="46"/>
      <c r="BC140" s="46"/>
      <c r="BD140" s="46"/>
      <c r="BE140" s="46"/>
      <c r="BF140" s="46"/>
      <c r="BG140" s="46"/>
      <c r="BH140" s="46"/>
      <c r="BI140" s="46"/>
      <c r="BJ140" s="46"/>
      <c r="BK140" s="46"/>
      <c r="BL140" s="46"/>
      <c r="BM140" s="46"/>
      <c r="BN140" s="46"/>
    </row>
    <row r="141" spans="2:66" ht="14.5" x14ac:dyDescent="0.35"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  <c r="AG141" s="46"/>
      <c r="AH141" s="46"/>
      <c r="AI141" s="46"/>
      <c r="AJ141" s="46"/>
      <c r="AK141" s="46"/>
      <c r="AL141" s="46"/>
      <c r="AM141" s="46"/>
      <c r="AN141" s="46"/>
      <c r="AO141" s="46"/>
      <c r="AP141" s="46"/>
      <c r="AQ141" s="46"/>
      <c r="AR141" s="46"/>
      <c r="AS141" s="46"/>
      <c r="AT141" s="46"/>
      <c r="AU141" s="46"/>
      <c r="AV141" s="46"/>
      <c r="AW141" s="46"/>
      <c r="AX141" s="46"/>
      <c r="AY141" s="46"/>
      <c r="AZ141" s="46"/>
      <c r="BA141" s="46"/>
      <c r="BB141" s="46"/>
      <c r="BC141" s="46"/>
      <c r="BD141" s="46"/>
      <c r="BE141" s="46"/>
      <c r="BF141" s="46"/>
      <c r="BG141" s="46"/>
      <c r="BH141" s="46"/>
      <c r="BI141" s="46"/>
      <c r="BJ141" s="46"/>
      <c r="BK141" s="46"/>
      <c r="BL141" s="46"/>
      <c r="BM141" s="46"/>
      <c r="BN141" s="46"/>
    </row>
    <row r="142" spans="2:66" ht="14.5" x14ac:dyDescent="0.35"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AD142" s="46"/>
      <c r="AE142" s="46"/>
      <c r="AF142" s="46"/>
      <c r="AG142" s="46"/>
      <c r="AH142" s="46"/>
      <c r="AI142" s="46"/>
      <c r="AJ142" s="46"/>
      <c r="AK142" s="46"/>
      <c r="AL142" s="46"/>
      <c r="AM142" s="46"/>
      <c r="AN142" s="46"/>
      <c r="AO142" s="46"/>
      <c r="AP142" s="46"/>
      <c r="AQ142" s="46"/>
      <c r="AR142" s="46"/>
      <c r="AS142" s="46"/>
      <c r="AT142" s="46"/>
      <c r="AU142" s="46"/>
      <c r="AV142" s="46"/>
      <c r="AW142" s="46"/>
      <c r="AX142" s="46"/>
      <c r="AY142" s="46"/>
      <c r="AZ142" s="46"/>
      <c r="BA142" s="46"/>
      <c r="BB142" s="46"/>
      <c r="BC142" s="46"/>
      <c r="BD142" s="46"/>
      <c r="BE142" s="46"/>
      <c r="BF142" s="46"/>
      <c r="BG142" s="46"/>
      <c r="BH142" s="46"/>
      <c r="BI142" s="46"/>
      <c r="BJ142" s="46"/>
      <c r="BK142" s="46"/>
      <c r="BL142" s="46"/>
      <c r="BM142" s="46"/>
      <c r="BN142" s="46"/>
    </row>
    <row r="143" spans="2:66" ht="14.5" x14ac:dyDescent="0.35"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/>
      <c r="AB143" s="46"/>
      <c r="AC143" s="46"/>
      <c r="AD143" s="46"/>
      <c r="AE143" s="46"/>
      <c r="AF143" s="46"/>
      <c r="AG143" s="46"/>
      <c r="AH143" s="46"/>
      <c r="AI143" s="46"/>
      <c r="AJ143" s="46"/>
      <c r="AK143" s="46"/>
      <c r="AL143" s="46"/>
      <c r="AM143" s="46"/>
      <c r="AN143" s="46"/>
      <c r="AO143" s="46"/>
      <c r="AP143" s="46"/>
      <c r="AQ143" s="46"/>
      <c r="AR143" s="46"/>
      <c r="AS143" s="46"/>
      <c r="AT143" s="46"/>
      <c r="AU143" s="46"/>
      <c r="AV143" s="46"/>
      <c r="AW143" s="46"/>
      <c r="AX143" s="46"/>
      <c r="AY143" s="46"/>
      <c r="AZ143" s="46"/>
      <c r="BA143" s="46"/>
      <c r="BB143" s="46"/>
      <c r="BC143" s="46"/>
      <c r="BD143" s="46"/>
      <c r="BE143" s="46"/>
      <c r="BF143" s="46"/>
      <c r="BG143" s="46"/>
      <c r="BH143" s="46"/>
      <c r="BI143" s="46"/>
      <c r="BJ143" s="46"/>
      <c r="BK143" s="46"/>
      <c r="BL143" s="46"/>
      <c r="BM143" s="46"/>
      <c r="BN143" s="46"/>
    </row>
    <row r="144" spans="2:66" ht="14.5" x14ac:dyDescent="0.35"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  <c r="AC144" s="46"/>
      <c r="AD144" s="46"/>
      <c r="AE144" s="46"/>
      <c r="AF144" s="46"/>
      <c r="AG144" s="46"/>
      <c r="AH144" s="46"/>
      <c r="AI144" s="46"/>
      <c r="AJ144" s="46"/>
      <c r="AK144" s="46"/>
      <c r="AL144" s="46"/>
      <c r="AM144" s="46"/>
      <c r="AN144" s="46"/>
      <c r="AO144" s="46"/>
      <c r="AP144" s="46"/>
      <c r="AQ144" s="46"/>
      <c r="AR144" s="46"/>
      <c r="AS144" s="46"/>
      <c r="AT144" s="46"/>
      <c r="AU144" s="46"/>
      <c r="AV144" s="46"/>
      <c r="AW144" s="46"/>
      <c r="AX144" s="46"/>
      <c r="AY144" s="46"/>
      <c r="AZ144" s="46"/>
      <c r="BA144" s="46"/>
      <c r="BB144" s="46"/>
      <c r="BC144" s="46"/>
      <c r="BD144" s="46"/>
      <c r="BE144" s="46"/>
      <c r="BF144" s="46"/>
      <c r="BG144" s="46"/>
      <c r="BH144" s="46"/>
      <c r="BI144" s="46"/>
      <c r="BJ144" s="46"/>
      <c r="BK144" s="46"/>
      <c r="BL144" s="46"/>
      <c r="BM144" s="46"/>
      <c r="BN144" s="46"/>
    </row>
    <row r="145" spans="2:66" ht="14.5" x14ac:dyDescent="0.35"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  <c r="AC145" s="46"/>
      <c r="AD145" s="46"/>
      <c r="AE145" s="46"/>
      <c r="AF145" s="46"/>
      <c r="AG145" s="46"/>
      <c r="AH145" s="46"/>
      <c r="AI145" s="46"/>
      <c r="AJ145" s="46"/>
      <c r="AK145" s="46"/>
      <c r="AL145" s="46"/>
      <c r="AM145" s="46"/>
      <c r="AN145" s="46"/>
      <c r="AO145" s="46"/>
      <c r="AP145" s="46"/>
      <c r="AQ145" s="46"/>
      <c r="AR145" s="46"/>
      <c r="AS145" s="46"/>
      <c r="AT145" s="46"/>
      <c r="AU145" s="46"/>
      <c r="AV145" s="46"/>
      <c r="AW145" s="46"/>
      <c r="AX145" s="46"/>
      <c r="AY145" s="46"/>
      <c r="AZ145" s="46"/>
      <c r="BA145" s="46"/>
      <c r="BB145" s="46"/>
      <c r="BC145" s="46"/>
      <c r="BD145" s="46"/>
      <c r="BE145" s="46"/>
      <c r="BF145" s="46"/>
      <c r="BG145" s="46"/>
      <c r="BH145" s="46"/>
      <c r="BI145" s="46"/>
      <c r="BJ145" s="46"/>
      <c r="BK145" s="46"/>
      <c r="BL145" s="46"/>
      <c r="BM145" s="46"/>
      <c r="BN145" s="46"/>
    </row>
    <row r="146" spans="2:66" ht="14.5" x14ac:dyDescent="0.35"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  <c r="AA146" s="46"/>
      <c r="AB146" s="46"/>
      <c r="AC146" s="46"/>
      <c r="AD146" s="46"/>
      <c r="AE146" s="46"/>
      <c r="AF146" s="46"/>
      <c r="AG146" s="46"/>
      <c r="AH146" s="46"/>
      <c r="AI146" s="46"/>
      <c r="AJ146" s="46"/>
      <c r="AK146" s="46"/>
      <c r="AL146" s="46"/>
      <c r="AM146" s="46"/>
      <c r="AN146" s="46"/>
      <c r="AO146" s="46"/>
      <c r="AP146" s="46"/>
      <c r="AQ146" s="46"/>
      <c r="AR146" s="46"/>
      <c r="AS146" s="46"/>
      <c r="AT146" s="46"/>
      <c r="AU146" s="46"/>
      <c r="AV146" s="46"/>
      <c r="AW146" s="46"/>
      <c r="AX146" s="46"/>
      <c r="AY146" s="46"/>
      <c r="AZ146" s="46"/>
      <c r="BA146" s="46"/>
      <c r="BB146" s="46"/>
      <c r="BC146" s="46"/>
      <c r="BD146" s="46"/>
      <c r="BE146" s="46"/>
      <c r="BF146" s="46"/>
      <c r="BG146" s="46"/>
      <c r="BH146" s="46"/>
      <c r="BI146" s="46"/>
      <c r="BJ146" s="46"/>
      <c r="BK146" s="46"/>
      <c r="BL146" s="46"/>
      <c r="BM146" s="46"/>
      <c r="BN146" s="46"/>
    </row>
    <row r="147" spans="2:66" ht="14.5" x14ac:dyDescent="0.35"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46"/>
      <c r="AC147" s="46"/>
      <c r="AD147" s="46"/>
      <c r="AE147" s="46"/>
      <c r="AF147" s="46"/>
      <c r="AG147" s="46"/>
      <c r="AH147" s="46"/>
      <c r="AI147" s="46"/>
      <c r="AJ147" s="46"/>
      <c r="AK147" s="46"/>
      <c r="AL147" s="46"/>
      <c r="AM147" s="46"/>
      <c r="AN147" s="46"/>
      <c r="AO147" s="46"/>
      <c r="AP147" s="46"/>
      <c r="AQ147" s="46"/>
      <c r="AR147" s="46"/>
      <c r="AS147" s="46"/>
      <c r="AT147" s="46"/>
      <c r="AU147" s="46"/>
      <c r="AV147" s="46"/>
      <c r="AW147" s="46"/>
      <c r="AX147" s="46"/>
      <c r="AY147" s="46"/>
      <c r="AZ147" s="46"/>
      <c r="BA147" s="46"/>
      <c r="BB147" s="46"/>
      <c r="BC147" s="46"/>
      <c r="BD147" s="46"/>
      <c r="BE147" s="46"/>
      <c r="BF147" s="46"/>
      <c r="BG147" s="46"/>
      <c r="BH147" s="46"/>
      <c r="BI147" s="46"/>
      <c r="BJ147" s="46"/>
      <c r="BK147" s="46"/>
      <c r="BL147" s="46"/>
      <c r="BM147" s="46"/>
      <c r="BN147" s="46"/>
    </row>
    <row r="148" spans="2:66" ht="14.5" x14ac:dyDescent="0.35"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46"/>
      <c r="AB148" s="46"/>
      <c r="AC148" s="46"/>
      <c r="AD148" s="46"/>
      <c r="AE148" s="46"/>
      <c r="AF148" s="46"/>
      <c r="AG148" s="46"/>
      <c r="AH148" s="46"/>
      <c r="AI148" s="46"/>
      <c r="AJ148" s="46"/>
      <c r="AK148" s="46"/>
      <c r="AL148" s="46"/>
      <c r="AM148" s="46"/>
      <c r="AN148" s="46"/>
      <c r="AO148" s="46"/>
      <c r="AP148" s="46"/>
      <c r="AQ148" s="46"/>
      <c r="AR148" s="46"/>
      <c r="AS148" s="46"/>
      <c r="AT148" s="46"/>
      <c r="AU148" s="46"/>
      <c r="AV148" s="46"/>
      <c r="AW148" s="46"/>
      <c r="AX148" s="46"/>
      <c r="AY148" s="46"/>
      <c r="AZ148" s="46"/>
      <c r="BA148" s="46"/>
      <c r="BB148" s="46"/>
      <c r="BC148" s="46"/>
      <c r="BD148" s="46"/>
      <c r="BE148" s="46"/>
      <c r="BF148" s="46"/>
      <c r="BG148" s="46"/>
      <c r="BH148" s="46"/>
      <c r="BI148" s="46"/>
      <c r="BJ148" s="46"/>
      <c r="BK148" s="46"/>
      <c r="BL148" s="46"/>
      <c r="BM148" s="46"/>
      <c r="BN148" s="46"/>
    </row>
    <row r="149" spans="2:66" ht="14.5" x14ac:dyDescent="0.35"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  <c r="AA149" s="46"/>
      <c r="AB149" s="46"/>
      <c r="AC149" s="46"/>
      <c r="AD149" s="46"/>
      <c r="AE149" s="46"/>
      <c r="AF149" s="46"/>
      <c r="AG149" s="46"/>
      <c r="AH149" s="46"/>
      <c r="AI149" s="46"/>
      <c r="AJ149" s="46"/>
      <c r="AK149" s="46"/>
      <c r="AL149" s="46"/>
      <c r="AM149" s="46"/>
      <c r="AN149" s="46"/>
      <c r="AO149" s="46"/>
      <c r="AP149" s="46"/>
      <c r="AQ149" s="46"/>
      <c r="AR149" s="46"/>
      <c r="AS149" s="46"/>
      <c r="AT149" s="46"/>
      <c r="AU149" s="46"/>
      <c r="AV149" s="46"/>
      <c r="AW149" s="46"/>
      <c r="AX149" s="46"/>
      <c r="AY149" s="46"/>
      <c r="AZ149" s="46"/>
      <c r="BA149" s="46"/>
      <c r="BB149" s="46"/>
      <c r="BC149" s="46"/>
      <c r="BD149" s="46"/>
      <c r="BE149" s="46"/>
      <c r="BF149" s="46"/>
      <c r="BG149" s="46"/>
      <c r="BH149" s="46"/>
      <c r="BI149" s="46"/>
      <c r="BJ149" s="46"/>
      <c r="BK149" s="46"/>
      <c r="BL149" s="46"/>
      <c r="BM149" s="46"/>
      <c r="BN149" s="46"/>
    </row>
    <row r="150" spans="2:66" ht="14.5" x14ac:dyDescent="0.35"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46"/>
    </row>
    <row r="151" spans="2:66" ht="14.5" x14ac:dyDescent="0.35"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46"/>
      <c r="AB151" s="46"/>
      <c r="AC151" s="46"/>
      <c r="AD151" s="46"/>
      <c r="AE151" s="46"/>
      <c r="AF151" s="46"/>
      <c r="AG151" s="46"/>
      <c r="AH151" s="46"/>
      <c r="AI151" s="46"/>
      <c r="AJ151" s="46"/>
      <c r="AK151" s="46"/>
      <c r="AL151" s="46"/>
      <c r="AM151" s="46"/>
      <c r="AN151" s="46"/>
      <c r="AO151" s="46"/>
      <c r="AP151" s="46"/>
      <c r="AQ151" s="46"/>
      <c r="AR151" s="46"/>
      <c r="AS151" s="46"/>
      <c r="AT151" s="46"/>
      <c r="AU151" s="46"/>
      <c r="AV151" s="46"/>
      <c r="AW151" s="46"/>
      <c r="AX151" s="46"/>
      <c r="AY151" s="46"/>
      <c r="AZ151" s="46"/>
      <c r="BA151" s="46"/>
      <c r="BB151" s="46"/>
      <c r="BC151" s="46"/>
      <c r="BD151" s="46"/>
      <c r="BE151" s="46"/>
      <c r="BF151" s="46"/>
      <c r="BG151" s="46"/>
      <c r="BH151" s="46"/>
      <c r="BI151" s="46"/>
      <c r="BJ151" s="46"/>
      <c r="BK151" s="46"/>
      <c r="BL151" s="46"/>
      <c r="BM151" s="46"/>
      <c r="BN151" s="46"/>
    </row>
    <row r="152" spans="2:66" ht="14.5" x14ac:dyDescent="0.35"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  <c r="AA152" s="46"/>
      <c r="AB152" s="46"/>
      <c r="AC152" s="46"/>
      <c r="AD152" s="46"/>
      <c r="AE152" s="46"/>
      <c r="AF152" s="46"/>
      <c r="AG152" s="46"/>
      <c r="AH152" s="46"/>
      <c r="AI152" s="46"/>
      <c r="AJ152" s="46"/>
      <c r="AK152" s="46"/>
      <c r="AL152" s="46"/>
      <c r="AM152" s="46"/>
      <c r="AN152" s="46"/>
      <c r="AO152" s="46"/>
      <c r="AP152" s="46"/>
      <c r="AQ152" s="46"/>
      <c r="AR152" s="46"/>
      <c r="AS152" s="46"/>
      <c r="AT152" s="46"/>
      <c r="AU152" s="46"/>
      <c r="AV152" s="46"/>
      <c r="AW152" s="46"/>
      <c r="AX152" s="46"/>
      <c r="AY152" s="46"/>
      <c r="AZ152" s="46"/>
      <c r="BA152" s="46"/>
      <c r="BB152" s="46"/>
      <c r="BC152" s="46"/>
      <c r="BD152" s="46"/>
      <c r="BE152" s="46"/>
      <c r="BF152" s="46"/>
      <c r="BG152" s="46"/>
      <c r="BH152" s="46"/>
      <c r="BI152" s="46"/>
      <c r="BJ152" s="46"/>
      <c r="BK152" s="46"/>
      <c r="BL152" s="46"/>
      <c r="BM152" s="46"/>
      <c r="BN152" s="46"/>
    </row>
    <row r="153" spans="2:66" ht="14.5" x14ac:dyDescent="0.35"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D153" s="46"/>
      <c r="AE153" s="46"/>
      <c r="AF153" s="46"/>
      <c r="AG153" s="46"/>
      <c r="AH153" s="46"/>
      <c r="AI153" s="46"/>
      <c r="AJ153" s="46"/>
      <c r="AK153" s="46"/>
      <c r="AL153" s="46"/>
      <c r="AM153" s="46"/>
      <c r="AN153" s="46"/>
      <c r="AO153" s="46"/>
      <c r="AP153" s="46"/>
      <c r="AQ153" s="46"/>
      <c r="AR153" s="46"/>
      <c r="AS153" s="46"/>
      <c r="AT153" s="46"/>
      <c r="AU153" s="46"/>
      <c r="AV153" s="46"/>
      <c r="AW153" s="46"/>
      <c r="AX153" s="46"/>
      <c r="AY153" s="46"/>
      <c r="AZ153" s="46"/>
      <c r="BA153" s="46"/>
      <c r="BB153" s="46"/>
      <c r="BC153" s="46"/>
      <c r="BD153" s="46"/>
      <c r="BE153" s="46"/>
      <c r="BF153" s="46"/>
      <c r="BG153" s="46"/>
      <c r="BH153" s="46"/>
      <c r="BI153" s="46"/>
      <c r="BJ153" s="46"/>
      <c r="BK153" s="46"/>
      <c r="BL153" s="46"/>
      <c r="BM153" s="46"/>
      <c r="BN153" s="46"/>
    </row>
    <row r="154" spans="2:66" ht="14.5" x14ac:dyDescent="0.35"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46"/>
      <c r="AD154" s="46"/>
      <c r="AE154" s="46"/>
      <c r="AF154" s="46"/>
      <c r="AG154" s="46"/>
      <c r="AH154" s="46"/>
      <c r="AI154" s="46"/>
      <c r="AJ154" s="46"/>
      <c r="AK154" s="46"/>
      <c r="AL154" s="46"/>
      <c r="AM154" s="46"/>
      <c r="AN154" s="46"/>
      <c r="AO154" s="46"/>
      <c r="AP154" s="46"/>
      <c r="AQ154" s="46"/>
      <c r="AR154" s="46"/>
      <c r="AS154" s="46"/>
      <c r="AT154" s="46"/>
      <c r="AU154" s="46"/>
      <c r="AV154" s="46"/>
      <c r="AW154" s="46"/>
      <c r="AX154" s="46"/>
      <c r="AY154" s="46"/>
      <c r="AZ154" s="46"/>
      <c r="BA154" s="46"/>
      <c r="BB154" s="46"/>
      <c r="BC154" s="46"/>
      <c r="BD154" s="46"/>
      <c r="BE154" s="46"/>
      <c r="BF154" s="46"/>
      <c r="BG154" s="46"/>
      <c r="BH154" s="46"/>
      <c r="BI154" s="46"/>
      <c r="BJ154" s="46"/>
      <c r="BK154" s="46"/>
      <c r="BL154" s="46"/>
      <c r="BM154" s="46"/>
      <c r="BN154" s="46"/>
    </row>
    <row r="155" spans="2:66" ht="14.5" x14ac:dyDescent="0.35"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6"/>
      <c r="AD155" s="46"/>
      <c r="AE155" s="46"/>
      <c r="AF155" s="46"/>
      <c r="AG155" s="46"/>
      <c r="AH155" s="46"/>
      <c r="AI155" s="46"/>
      <c r="AJ155" s="46"/>
      <c r="AK155" s="46"/>
      <c r="AL155" s="46"/>
      <c r="AM155" s="46"/>
      <c r="AN155" s="46"/>
      <c r="AO155" s="46"/>
      <c r="AP155" s="46"/>
      <c r="AQ155" s="46"/>
      <c r="AR155" s="46"/>
      <c r="AS155" s="46"/>
      <c r="AT155" s="46"/>
      <c r="AU155" s="46"/>
      <c r="AV155" s="46"/>
      <c r="AW155" s="46"/>
      <c r="AX155" s="46"/>
      <c r="AY155" s="46"/>
      <c r="AZ155" s="46"/>
      <c r="BA155" s="46"/>
      <c r="BB155" s="46"/>
      <c r="BC155" s="46"/>
      <c r="BD155" s="46"/>
      <c r="BE155" s="46"/>
      <c r="BF155" s="46"/>
      <c r="BG155" s="46"/>
      <c r="BH155" s="46"/>
      <c r="BI155" s="46"/>
      <c r="BJ155" s="46"/>
      <c r="BK155" s="46"/>
      <c r="BL155" s="46"/>
      <c r="BM155" s="46"/>
      <c r="BN155" s="46"/>
    </row>
    <row r="156" spans="2:66" ht="14.5" x14ac:dyDescent="0.35"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  <c r="AA156" s="46"/>
      <c r="AB156" s="46"/>
      <c r="AC156" s="46"/>
      <c r="AD156" s="46"/>
      <c r="AE156" s="46"/>
      <c r="AF156" s="46"/>
      <c r="AG156" s="46"/>
      <c r="AH156" s="46"/>
      <c r="AI156" s="46"/>
      <c r="AJ156" s="46"/>
      <c r="AK156" s="46"/>
      <c r="AL156" s="46"/>
      <c r="AM156" s="46"/>
      <c r="AN156" s="46"/>
      <c r="AO156" s="46"/>
      <c r="AP156" s="46"/>
      <c r="AQ156" s="46"/>
      <c r="AR156" s="46"/>
      <c r="AS156" s="46"/>
      <c r="AT156" s="46"/>
      <c r="AU156" s="46"/>
      <c r="AV156" s="46"/>
      <c r="AW156" s="46"/>
      <c r="AX156" s="46"/>
      <c r="AY156" s="46"/>
      <c r="AZ156" s="46"/>
      <c r="BA156" s="46"/>
      <c r="BB156" s="46"/>
      <c r="BC156" s="46"/>
      <c r="BD156" s="46"/>
      <c r="BE156" s="46"/>
      <c r="BF156" s="46"/>
      <c r="BG156" s="46"/>
      <c r="BH156" s="46"/>
      <c r="BI156" s="46"/>
      <c r="BJ156" s="46"/>
      <c r="BK156" s="46"/>
      <c r="BL156" s="46"/>
      <c r="BM156" s="46"/>
      <c r="BN156" s="46"/>
    </row>
    <row r="157" spans="2:66" ht="14.5" x14ac:dyDescent="0.35"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  <c r="AC157" s="46"/>
      <c r="AD157" s="46"/>
      <c r="AE157" s="46"/>
      <c r="AF157" s="46"/>
      <c r="AG157" s="46"/>
      <c r="AH157" s="46"/>
      <c r="AI157" s="46"/>
      <c r="AJ157" s="46"/>
      <c r="AK157" s="46"/>
      <c r="AL157" s="46"/>
      <c r="AM157" s="46"/>
      <c r="AN157" s="46"/>
      <c r="AO157" s="46"/>
      <c r="AP157" s="46"/>
      <c r="AQ157" s="46"/>
      <c r="AR157" s="46"/>
      <c r="AS157" s="46"/>
      <c r="AT157" s="46"/>
      <c r="AU157" s="46"/>
      <c r="AV157" s="46"/>
      <c r="AW157" s="46"/>
      <c r="AX157" s="46"/>
      <c r="AY157" s="46"/>
      <c r="AZ157" s="46"/>
      <c r="BA157" s="46"/>
      <c r="BB157" s="46"/>
      <c r="BC157" s="46"/>
      <c r="BD157" s="46"/>
      <c r="BE157" s="46"/>
      <c r="BF157" s="46"/>
      <c r="BG157" s="46"/>
      <c r="BH157" s="46"/>
      <c r="BI157" s="46"/>
      <c r="BJ157" s="46"/>
      <c r="BK157" s="46"/>
      <c r="BL157" s="46"/>
      <c r="BM157" s="46"/>
      <c r="BN157" s="46"/>
    </row>
    <row r="158" spans="2:66" ht="14.5" x14ac:dyDescent="0.35"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  <c r="AA158" s="46"/>
      <c r="AB158" s="46"/>
      <c r="AC158" s="46"/>
      <c r="AD158" s="46"/>
      <c r="AE158" s="46"/>
      <c r="AF158" s="46"/>
      <c r="AG158" s="46"/>
      <c r="AH158" s="46"/>
      <c r="AI158" s="46"/>
      <c r="AJ158" s="46"/>
      <c r="AK158" s="46"/>
      <c r="AL158" s="46"/>
      <c r="AM158" s="46"/>
      <c r="AN158" s="46"/>
      <c r="AO158" s="46"/>
      <c r="AP158" s="46"/>
      <c r="AQ158" s="46"/>
      <c r="AR158" s="46"/>
      <c r="AS158" s="46"/>
      <c r="AT158" s="46"/>
      <c r="AU158" s="46"/>
      <c r="AV158" s="46"/>
      <c r="AW158" s="46"/>
      <c r="AX158" s="46"/>
      <c r="AY158" s="46"/>
      <c r="AZ158" s="46"/>
      <c r="BA158" s="46"/>
      <c r="BB158" s="46"/>
      <c r="BC158" s="46"/>
      <c r="BD158" s="46"/>
      <c r="BE158" s="46"/>
      <c r="BF158" s="46"/>
      <c r="BG158" s="46"/>
      <c r="BH158" s="46"/>
      <c r="BI158" s="46"/>
      <c r="BJ158" s="46"/>
      <c r="BK158" s="46"/>
      <c r="BL158" s="46"/>
      <c r="BM158" s="46"/>
      <c r="BN158" s="46"/>
    </row>
    <row r="159" spans="2:66" ht="14.5" x14ac:dyDescent="0.35"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  <c r="AA159" s="46"/>
      <c r="AB159" s="46"/>
      <c r="AC159" s="46"/>
      <c r="AD159" s="46"/>
      <c r="AE159" s="46"/>
      <c r="AF159" s="46"/>
      <c r="AG159" s="46"/>
      <c r="AH159" s="46"/>
      <c r="AI159" s="46"/>
      <c r="AJ159" s="46"/>
      <c r="AK159" s="46"/>
      <c r="AL159" s="46"/>
      <c r="AM159" s="46"/>
      <c r="AN159" s="46"/>
      <c r="AO159" s="46"/>
      <c r="AP159" s="46"/>
      <c r="AQ159" s="46"/>
      <c r="AR159" s="46"/>
      <c r="AS159" s="46"/>
      <c r="AT159" s="46"/>
      <c r="AU159" s="46"/>
      <c r="AV159" s="46"/>
      <c r="AW159" s="46"/>
      <c r="AX159" s="46"/>
      <c r="AY159" s="46"/>
      <c r="AZ159" s="46"/>
      <c r="BA159" s="46"/>
      <c r="BB159" s="46"/>
      <c r="BC159" s="46"/>
      <c r="BD159" s="46"/>
      <c r="BE159" s="46"/>
      <c r="BF159" s="46"/>
      <c r="BG159" s="46"/>
      <c r="BH159" s="46"/>
      <c r="BI159" s="46"/>
      <c r="BJ159" s="46"/>
      <c r="BK159" s="46"/>
      <c r="BL159" s="46"/>
      <c r="BM159" s="46"/>
      <c r="BN159" s="46"/>
    </row>
    <row r="160" spans="2:66" ht="14.5" x14ac:dyDescent="0.35"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46"/>
    </row>
    <row r="161" spans="2:66" ht="14.5" x14ac:dyDescent="0.35"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  <c r="AA161" s="46"/>
      <c r="AB161" s="46"/>
      <c r="AC161" s="46"/>
      <c r="AD161" s="46"/>
      <c r="AE161" s="46"/>
      <c r="AF161" s="46"/>
      <c r="AG161" s="46"/>
      <c r="AH161" s="46"/>
      <c r="AI161" s="46"/>
      <c r="AJ161" s="46"/>
      <c r="AK161" s="46"/>
      <c r="AL161" s="46"/>
      <c r="AM161" s="46"/>
      <c r="AN161" s="46"/>
      <c r="AO161" s="46"/>
      <c r="AP161" s="46"/>
      <c r="AQ161" s="46"/>
      <c r="AR161" s="46"/>
      <c r="AS161" s="46"/>
      <c r="AT161" s="46"/>
      <c r="AU161" s="46"/>
      <c r="AV161" s="46"/>
      <c r="AW161" s="46"/>
      <c r="AX161" s="46"/>
      <c r="AY161" s="46"/>
      <c r="AZ161" s="46"/>
      <c r="BA161" s="46"/>
      <c r="BB161" s="46"/>
      <c r="BC161" s="46"/>
      <c r="BD161" s="46"/>
      <c r="BE161" s="46"/>
      <c r="BF161" s="46"/>
      <c r="BG161" s="46"/>
      <c r="BH161" s="46"/>
      <c r="BI161" s="46"/>
      <c r="BJ161" s="46"/>
      <c r="BK161" s="46"/>
      <c r="BL161" s="46"/>
      <c r="BM161" s="46"/>
      <c r="BN161" s="46"/>
    </row>
    <row r="162" spans="2:66" ht="14.5" x14ac:dyDescent="0.35"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  <c r="AA162" s="46"/>
      <c r="AB162" s="46"/>
      <c r="AC162" s="46"/>
      <c r="AD162" s="46"/>
      <c r="AE162" s="46"/>
      <c r="AF162" s="46"/>
      <c r="AG162" s="46"/>
      <c r="AH162" s="46"/>
      <c r="AI162" s="46"/>
      <c r="AJ162" s="46"/>
      <c r="AK162" s="46"/>
      <c r="AL162" s="46"/>
      <c r="AM162" s="46"/>
      <c r="AN162" s="46"/>
      <c r="AO162" s="46"/>
      <c r="AP162" s="46"/>
      <c r="AQ162" s="46"/>
      <c r="AR162" s="46"/>
      <c r="AS162" s="46"/>
      <c r="AT162" s="46"/>
      <c r="AU162" s="46"/>
      <c r="AV162" s="46"/>
      <c r="AW162" s="46"/>
      <c r="AX162" s="46"/>
      <c r="AY162" s="46"/>
      <c r="AZ162" s="46"/>
      <c r="BA162" s="46"/>
      <c r="BB162" s="46"/>
      <c r="BC162" s="46"/>
      <c r="BD162" s="46"/>
      <c r="BE162" s="46"/>
      <c r="BF162" s="46"/>
      <c r="BG162" s="46"/>
      <c r="BH162" s="46"/>
      <c r="BI162" s="46"/>
      <c r="BJ162" s="46"/>
      <c r="BK162" s="46"/>
      <c r="BL162" s="46"/>
      <c r="BM162" s="46"/>
      <c r="BN162" s="46"/>
    </row>
    <row r="163" spans="2:66" ht="14.5" x14ac:dyDescent="0.35"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  <c r="AA163" s="46"/>
      <c r="AB163" s="46"/>
      <c r="AC163" s="46"/>
      <c r="AD163" s="46"/>
      <c r="AE163" s="46"/>
      <c r="AF163" s="46"/>
      <c r="AG163" s="46"/>
      <c r="AH163" s="46"/>
      <c r="AI163" s="46"/>
      <c r="AJ163" s="46"/>
      <c r="AK163" s="46"/>
      <c r="AL163" s="46"/>
      <c r="AM163" s="46"/>
      <c r="AN163" s="46"/>
      <c r="AO163" s="46"/>
      <c r="AP163" s="46"/>
      <c r="AQ163" s="46"/>
      <c r="AR163" s="46"/>
      <c r="AS163" s="46"/>
      <c r="AT163" s="46"/>
      <c r="AU163" s="46"/>
      <c r="AV163" s="46"/>
      <c r="AW163" s="46"/>
      <c r="AX163" s="46"/>
      <c r="AY163" s="46"/>
      <c r="AZ163" s="46"/>
      <c r="BA163" s="46"/>
      <c r="BB163" s="46"/>
      <c r="BC163" s="46"/>
      <c r="BD163" s="46"/>
      <c r="BE163" s="46"/>
      <c r="BF163" s="46"/>
      <c r="BG163" s="46"/>
      <c r="BH163" s="46"/>
      <c r="BI163" s="46"/>
      <c r="BJ163" s="46"/>
      <c r="BK163" s="46"/>
      <c r="BL163" s="46"/>
      <c r="BM163" s="46"/>
      <c r="BN163" s="46"/>
    </row>
    <row r="164" spans="2:66" ht="14.5" x14ac:dyDescent="0.35"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  <c r="AA164" s="46"/>
      <c r="AB164" s="46"/>
      <c r="AC164" s="46"/>
      <c r="AD164" s="46"/>
      <c r="AE164" s="46"/>
      <c r="AF164" s="46"/>
      <c r="AG164" s="46"/>
      <c r="AH164" s="46"/>
      <c r="AI164" s="46"/>
      <c r="AJ164" s="46"/>
      <c r="AK164" s="46"/>
      <c r="AL164" s="46"/>
      <c r="AM164" s="46"/>
      <c r="AN164" s="46"/>
      <c r="AO164" s="46"/>
      <c r="AP164" s="46"/>
      <c r="AQ164" s="46"/>
      <c r="AR164" s="46"/>
      <c r="AS164" s="46"/>
      <c r="AT164" s="46"/>
      <c r="AU164" s="46"/>
      <c r="AV164" s="46"/>
      <c r="AW164" s="46"/>
      <c r="AX164" s="46"/>
      <c r="AY164" s="46"/>
      <c r="AZ164" s="46"/>
      <c r="BA164" s="46"/>
      <c r="BB164" s="46"/>
      <c r="BC164" s="46"/>
      <c r="BD164" s="46"/>
      <c r="BE164" s="46"/>
      <c r="BF164" s="46"/>
      <c r="BG164" s="46"/>
      <c r="BH164" s="46"/>
      <c r="BI164" s="46"/>
      <c r="BJ164" s="46"/>
      <c r="BK164" s="46"/>
      <c r="BL164" s="46"/>
      <c r="BM164" s="46"/>
      <c r="BN164" s="46"/>
    </row>
    <row r="165" spans="2:66" ht="14.5" x14ac:dyDescent="0.35"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  <c r="AE165" s="46"/>
      <c r="AF165" s="46"/>
      <c r="AG165" s="46"/>
      <c r="AH165" s="46"/>
      <c r="AI165" s="46"/>
      <c r="AJ165" s="46"/>
      <c r="AK165" s="46"/>
      <c r="AL165" s="46"/>
      <c r="AM165" s="46"/>
      <c r="AN165" s="46"/>
      <c r="AO165" s="46"/>
      <c r="AP165" s="46"/>
      <c r="AQ165" s="46"/>
      <c r="AR165" s="46"/>
      <c r="AS165" s="46"/>
      <c r="AT165" s="46"/>
      <c r="AU165" s="46"/>
      <c r="AV165" s="46"/>
      <c r="AW165" s="46"/>
      <c r="AX165" s="46"/>
      <c r="AY165" s="46"/>
      <c r="AZ165" s="46"/>
      <c r="BA165" s="46"/>
      <c r="BB165" s="46"/>
      <c r="BC165" s="46"/>
      <c r="BD165" s="46"/>
      <c r="BE165" s="46"/>
      <c r="BF165" s="46"/>
      <c r="BG165" s="46"/>
      <c r="BH165" s="46"/>
      <c r="BI165" s="46"/>
      <c r="BJ165" s="46"/>
      <c r="BK165" s="46"/>
      <c r="BL165" s="46"/>
      <c r="BM165" s="46"/>
      <c r="BN165" s="46"/>
    </row>
    <row r="166" spans="2:66" ht="14.5" x14ac:dyDescent="0.35"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6"/>
      <c r="AD166" s="46"/>
      <c r="AE166" s="46"/>
      <c r="AF166" s="46"/>
      <c r="AG166" s="46"/>
      <c r="AH166" s="46"/>
      <c r="AI166" s="46"/>
      <c r="AJ166" s="46"/>
      <c r="AK166" s="46"/>
      <c r="AL166" s="46"/>
      <c r="AM166" s="46"/>
      <c r="AN166" s="46"/>
      <c r="AO166" s="46"/>
      <c r="AP166" s="46"/>
      <c r="AQ166" s="46"/>
      <c r="AR166" s="46"/>
      <c r="AS166" s="46"/>
      <c r="AT166" s="46"/>
      <c r="AU166" s="46"/>
      <c r="AV166" s="46"/>
      <c r="AW166" s="46"/>
      <c r="AX166" s="46"/>
      <c r="AY166" s="46"/>
      <c r="AZ166" s="46"/>
      <c r="BA166" s="46"/>
      <c r="BB166" s="46"/>
      <c r="BC166" s="46"/>
      <c r="BD166" s="46"/>
      <c r="BE166" s="46"/>
      <c r="BF166" s="46"/>
      <c r="BG166" s="46"/>
      <c r="BH166" s="46"/>
      <c r="BI166" s="46"/>
      <c r="BJ166" s="46"/>
      <c r="BK166" s="46"/>
      <c r="BL166" s="46"/>
      <c r="BM166" s="46"/>
      <c r="BN166" s="46"/>
    </row>
    <row r="167" spans="2:66" ht="14.5" x14ac:dyDescent="0.35"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  <c r="AC167" s="46"/>
      <c r="AD167" s="46"/>
      <c r="AE167" s="46"/>
      <c r="AF167" s="46"/>
      <c r="AG167" s="46"/>
      <c r="AH167" s="46"/>
      <c r="AI167" s="46"/>
      <c r="AJ167" s="46"/>
      <c r="AK167" s="46"/>
      <c r="AL167" s="46"/>
      <c r="AM167" s="46"/>
      <c r="AN167" s="46"/>
      <c r="AO167" s="46"/>
      <c r="AP167" s="46"/>
      <c r="AQ167" s="46"/>
      <c r="AR167" s="46"/>
      <c r="AS167" s="46"/>
      <c r="AT167" s="46"/>
      <c r="AU167" s="46"/>
      <c r="AV167" s="46"/>
      <c r="AW167" s="46"/>
      <c r="AX167" s="46"/>
      <c r="AY167" s="46"/>
      <c r="AZ167" s="46"/>
      <c r="BA167" s="46"/>
      <c r="BB167" s="46"/>
      <c r="BC167" s="46"/>
      <c r="BD167" s="46"/>
      <c r="BE167" s="46"/>
      <c r="BF167" s="46"/>
      <c r="BG167" s="46"/>
      <c r="BH167" s="46"/>
      <c r="BI167" s="46"/>
      <c r="BJ167" s="46"/>
      <c r="BK167" s="46"/>
      <c r="BL167" s="46"/>
      <c r="BM167" s="46"/>
      <c r="BN167" s="46"/>
    </row>
    <row r="168" spans="2:66" ht="14.5" x14ac:dyDescent="0.35"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  <c r="AC168" s="46"/>
      <c r="AD168" s="46"/>
      <c r="AE168" s="46"/>
      <c r="AF168" s="46"/>
      <c r="AG168" s="46"/>
      <c r="AH168" s="46"/>
      <c r="AI168" s="46"/>
      <c r="AJ168" s="46"/>
      <c r="AK168" s="46"/>
      <c r="AL168" s="46"/>
      <c r="AM168" s="46"/>
      <c r="AN168" s="46"/>
      <c r="AO168" s="46"/>
      <c r="AP168" s="46"/>
      <c r="AQ168" s="46"/>
      <c r="AR168" s="46"/>
      <c r="AS168" s="46"/>
      <c r="AT168" s="46"/>
      <c r="AU168" s="46"/>
      <c r="AV168" s="46"/>
      <c r="AW168" s="46"/>
      <c r="AX168" s="46"/>
      <c r="AY168" s="46"/>
      <c r="AZ168" s="46"/>
      <c r="BA168" s="46"/>
      <c r="BB168" s="46"/>
      <c r="BC168" s="46"/>
      <c r="BD168" s="46"/>
      <c r="BE168" s="46"/>
      <c r="BF168" s="46"/>
      <c r="BG168" s="46"/>
      <c r="BH168" s="46"/>
      <c r="BI168" s="46"/>
      <c r="BJ168" s="46"/>
      <c r="BK168" s="46"/>
      <c r="BL168" s="46"/>
      <c r="BM168" s="46"/>
      <c r="BN168" s="46"/>
    </row>
    <row r="169" spans="2:66" ht="14.5" x14ac:dyDescent="0.35"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  <c r="AA169" s="46"/>
      <c r="AB169" s="46"/>
      <c r="AC169" s="46"/>
      <c r="AD169" s="46"/>
      <c r="AE169" s="46"/>
      <c r="AF169" s="46"/>
      <c r="AG169" s="46"/>
      <c r="AH169" s="46"/>
      <c r="AI169" s="46"/>
      <c r="AJ169" s="46"/>
      <c r="AK169" s="46"/>
      <c r="AL169" s="46"/>
      <c r="AM169" s="46"/>
      <c r="AN169" s="46"/>
      <c r="AO169" s="46"/>
      <c r="AP169" s="46"/>
      <c r="AQ169" s="46"/>
      <c r="AR169" s="46"/>
      <c r="AS169" s="46"/>
      <c r="AT169" s="46"/>
      <c r="AU169" s="46"/>
      <c r="AV169" s="46"/>
      <c r="AW169" s="46"/>
      <c r="AX169" s="46"/>
      <c r="AY169" s="46"/>
      <c r="AZ169" s="46"/>
      <c r="BA169" s="46"/>
      <c r="BB169" s="46"/>
      <c r="BC169" s="46"/>
      <c r="BD169" s="46"/>
      <c r="BE169" s="46"/>
      <c r="BF169" s="46"/>
      <c r="BG169" s="46"/>
      <c r="BH169" s="46"/>
      <c r="BI169" s="46"/>
      <c r="BJ169" s="46"/>
      <c r="BK169" s="46"/>
      <c r="BL169" s="46"/>
      <c r="BM169" s="46"/>
      <c r="BN169" s="46"/>
    </row>
    <row r="170" spans="2:66" ht="14.5" x14ac:dyDescent="0.35"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  <c r="AA170" s="46"/>
      <c r="AB170" s="46"/>
      <c r="AC170" s="46"/>
      <c r="AD170" s="46"/>
      <c r="AE170" s="46"/>
      <c r="AF170" s="46"/>
      <c r="AG170" s="46"/>
      <c r="AH170" s="46"/>
      <c r="AI170" s="46"/>
      <c r="AJ170" s="46"/>
      <c r="AK170" s="46"/>
      <c r="AL170" s="46"/>
      <c r="AM170" s="46"/>
      <c r="AN170" s="46"/>
      <c r="AO170" s="46"/>
      <c r="AP170" s="46"/>
      <c r="AQ170" s="46"/>
      <c r="AR170" s="46"/>
      <c r="AS170" s="46"/>
      <c r="AT170" s="46"/>
      <c r="AU170" s="46"/>
      <c r="AV170" s="46"/>
      <c r="AW170" s="46"/>
      <c r="AX170" s="46"/>
      <c r="AY170" s="46"/>
      <c r="AZ170" s="46"/>
      <c r="BA170" s="46"/>
      <c r="BB170" s="46"/>
      <c r="BC170" s="46"/>
      <c r="BD170" s="46"/>
      <c r="BE170" s="46"/>
      <c r="BF170" s="46"/>
      <c r="BG170" s="46"/>
      <c r="BH170" s="46"/>
      <c r="BI170" s="46"/>
      <c r="BJ170" s="46"/>
      <c r="BK170" s="46"/>
      <c r="BL170" s="46"/>
      <c r="BM170" s="46"/>
      <c r="BN170" s="46"/>
    </row>
    <row r="171" spans="2:66" ht="14.5" x14ac:dyDescent="0.35"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  <c r="AA171" s="46"/>
      <c r="AB171" s="46"/>
      <c r="AC171" s="46"/>
      <c r="AD171" s="46"/>
      <c r="AE171" s="46"/>
      <c r="AF171" s="46"/>
      <c r="AG171" s="46"/>
      <c r="AH171" s="46"/>
      <c r="AI171" s="46"/>
      <c r="AJ171" s="46"/>
      <c r="AK171" s="46"/>
      <c r="AL171" s="46"/>
      <c r="AM171" s="46"/>
      <c r="AN171" s="46"/>
      <c r="AO171" s="46"/>
      <c r="AP171" s="46"/>
      <c r="AQ171" s="46"/>
      <c r="AR171" s="46"/>
      <c r="AS171" s="46"/>
      <c r="AT171" s="46"/>
      <c r="AU171" s="46"/>
      <c r="AV171" s="46"/>
      <c r="AW171" s="46"/>
      <c r="AX171" s="46"/>
      <c r="AY171" s="46"/>
      <c r="AZ171" s="46"/>
      <c r="BA171" s="46"/>
      <c r="BB171" s="46"/>
      <c r="BC171" s="46"/>
      <c r="BD171" s="46"/>
      <c r="BE171" s="46"/>
      <c r="BF171" s="46"/>
      <c r="BG171" s="46"/>
      <c r="BH171" s="46"/>
      <c r="BI171" s="46"/>
      <c r="BJ171" s="46"/>
      <c r="BK171" s="46"/>
      <c r="BL171" s="46"/>
      <c r="BM171" s="46"/>
      <c r="BN171" s="46"/>
    </row>
    <row r="172" spans="2:66" ht="14.5" x14ac:dyDescent="0.35"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46"/>
    </row>
    <row r="173" spans="2:66" ht="14.5" x14ac:dyDescent="0.35"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  <c r="AA173" s="46"/>
      <c r="AB173" s="46"/>
      <c r="AC173" s="46"/>
      <c r="AD173" s="46"/>
      <c r="AE173" s="46"/>
      <c r="AF173" s="46"/>
      <c r="AG173" s="46"/>
      <c r="AH173" s="46"/>
      <c r="AI173" s="46"/>
      <c r="AJ173" s="46"/>
      <c r="AK173" s="46"/>
      <c r="AL173" s="46"/>
      <c r="AM173" s="46"/>
      <c r="AN173" s="46"/>
      <c r="AO173" s="46"/>
      <c r="AP173" s="46"/>
      <c r="AQ173" s="46"/>
      <c r="AR173" s="46"/>
      <c r="AS173" s="46"/>
      <c r="AT173" s="46"/>
      <c r="AU173" s="46"/>
      <c r="AV173" s="46"/>
      <c r="AW173" s="46"/>
      <c r="AX173" s="46"/>
      <c r="AY173" s="46"/>
      <c r="AZ173" s="46"/>
      <c r="BA173" s="46"/>
      <c r="BB173" s="46"/>
      <c r="BC173" s="46"/>
      <c r="BD173" s="46"/>
      <c r="BE173" s="46"/>
      <c r="BF173" s="46"/>
      <c r="BG173" s="46"/>
      <c r="BH173" s="46"/>
      <c r="BI173" s="46"/>
      <c r="BJ173" s="46"/>
      <c r="BK173" s="46"/>
      <c r="BL173" s="46"/>
      <c r="BM173" s="46"/>
      <c r="BN173" s="46"/>
    </row>
    <row r="174" spans="2:66" ht="14.5" x14ac:dyDescent="0.35"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  <c r="AA174" s="46"/>
      <c r="AB174" s="46"/>
      <c r="AC174" s="46"/>
      <c r="AD174" s="46"/>
      <c r="AE174" s="46"/>
      <c r="AF174" s="46"/>
      <c r="AG174" s="46"/>
      <c r="AH174" s="46"/>
      <c r="AI174" s="46"/>
      <c r="AJ174" s="46"/>
      <c r="AK174" s="46"/>
      <c r="AL174" s="46"/>
      <c r="AM174" s="46"/>
      <c r="AN174" s="46"/>
      <c r="AO174" s="46"/>
      <c r="AP174" s="46"/>
      <c r="AQ174" s="46"/>
      <c r="AR174" s="46"/>
      <c r="AS174" s="46"/>
      <c r="AT174" s="46"/>
      <c r="AU174" s="46"/>
      <c r="AV174" s="46"/>
      <c r="AW174" s="46"/>
      <c r="AX174" s="46"/>
      <c r="AY174" s="46"/>
      <c r="AZ174" s="46"/>
      <c r="BA174" s="46"/>
      <c r="BB174" s="46"/>
      <c r="BC174" s="46"/>
      <c r="BD174" s="46"/>
      <c r="BE174" s="46"/>
      <c r="BF174" s="46"/>
      <c r="BG174" s="46"/>
      <c r="BH174" s="46"/>
      <c r="BI174" s="46"/>
      <c r="BJ174" s="46"/>
      <c r="BK174" s="46"/>
      <c r="BL174" s="46"/>
      <c r="BM174" s="46"/>
      <c r="BN174" s="46"/>
    </row>
    <row r="175" spans="2:66" ht="14.5" x14ac:dyDescent="0.35"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46"/>
    </row>
    <row r="176" spans="2:66" ht="14.5" x14ac:dyDescent="0.35"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  <c r="AA176" s="46"/>
      <c r="AB176" s="46"/>
      <c r="AC176" s="46"/>
      <c r="AD176" s="46"/>
      <c r="AE176" s="46"/>
      <c r="AF176" s="46"/>
      <c r="AG176" s="46"/>
      <c r="AH176" s="46"/>
      <c r="AI176" s="46"/>
      <c r="AJ176" s="46"/>
      <c r="AK176" s="46"/>
      <c r="AL176" s="46"/>
      <c r="AM176" s="46"/>
      <c r="AN176" s="46"/>
      <c r="AO176" s="46"/>
      <c r="AP176" s="46"/>
      <c r="AQ176" s="46"/>
      <c r="AR176" s="46"/>
      <c r="AS176" s="46"/>
      <c r="AT176" s="46"/>
      <c r="AU176" s="46"/>
      <c r="AV176" s="46"/>
      <c r="AW176" s="46"/>
      <c r="AX176" s="46"/>
      <c r="AY176" s="46"/>
      <c r="AZ176" s="46"/>
      <c r="BA176" s="46"/>
      <c r="BB176" s="46"/>
      <c r="BC176" s="46"/>
      <c r="BD176" s="46"/>
      <c r="BE176" s="46"/>
      <c r="BF176" s="46"/>
      <c r="BG176" s="46"/>
      <c r="BH176" s="46"/>
      <c r="BI176" s="46"/>
      <c r="BJ176" s="46"/>
      <c r="BK176" s="46"/>
      <c r="BL176" s="46"/>
      <c r="BM176" s="46"/>
      <c r="BN176" s="46"/>
    </row>
    <row r="177" spans="2:66" ht="14.5" x14ac:dyDescent="0.35"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D177" s="46"/>
      <c r="AE177" s="46"/>
      <c r="AF177" s="46"/>
      <c r="AG177" s="46"/>
      <c r="AH177" s="46"/>
      <c r="AI177" s="46"/>
      <c r="AJ177" s="46"/>
      <c r="AK177" s="46"/>
      <c r="AL177" s="46"/>
      <c r="AM177" s="46"/>
      <c r="AN177" s="46"/>
      <c r="AO177" s="46"/>
      <c r="AP177" s="46"/>
      <c r="AQ177" s="46"/>
      <c r="AR177" s="46"/>
      <c r="AS177" s="46"/>
      <c r="AT177" s="46"/>
      <c r="AU177" s="46"/>
      <c r="AV177" s="46"/>
      <c r="AW177" s="46"/>
      <c r="AX177" s="46"/>
      <c r="AY177" s="46"/>
      <c r="AZ177" s="46"/>
      <c r="BA177" s="46"/>
      <c r="BB177" s="46"/>
      <c r="BC177" s="46"/>
      <c r="BD177" s="46"/>
      <c r="BE177" s="46"/>
      <c r="BF177" s="46"/>
      <c r="BG177" s="46"/>
      <c r="BH177" s="46"/>
      <c r="BI177" s="46"/>
      <c r="BJ177" s="46"/>
      <c r="BK177" s="46"/>
      <c r="BL177" s="46"/>
      <c r="BM177" s="46"/>
      <c r="BN177" s="46"/>
    </row>
    <row r="178" spans="2:66" ht="14.5" x14ac:dyDescent="0.35"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  <c r="AA178" s="46"/>
      <c r="AB178" s="46"/>
      <c r="AC178" s="46"/>
      <c r="AD178" s="46"/>
      <c r="AE178" s="46"/>
      <c r="AF178" s="46"/>
      <c r="AG178" s="46"/>
      <c r="AH178" s="46"/>
      <c r="AI178" s="46"/>
      <c r="AJ178" s="46"/>
      <c r="AK178" s="46"/>
      <c r="AL178" s="46"/>
      <c r="AM178" s="46"/>
      <c r="AN178" s="46"/>
      <c r="AO178" s="46"/>
      <c r="AP178" s="46"/>
      <c r="AQ178" s="46"/>
      <c r="AR178" s="46"/>
      <c r="AS178" s="46"/>
      <c r="AT178" s="46"/>
      <c r="AU178" s="46"/>
      <c r="AV178" s="46"/>
      <c r="AW178" s="46"/>
      <c r="AX178" s="46"/>
      <c r="AY178" s="46"/>
      <c r="AZ178" s="46"/>
      <c r="BA178" s="46"/>
      <c r="BB178" s="46"/>
      <c r="BC178" s="46"/>
      <c r="BD178" s="46"/>
      <c r="BE178" s="46"/>
      <c r="BF178" s="46"/>
      <c r="BG178" s="46"/>
      <c r="BH178" s="46"/>
      <c r="BI178" s="46"/>
      <c r="BJ178" s="46"/>
      <c r="BK178" s="46"/>
      <c r="BL178" s="46"/>
      <c r="BM178" s="46"/>
      <c r="BN178" s="46"/>
    </row>
    <row r="179" spans="2:66" ht="14.5" x14ac:dyDescent="0.35"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  <c r="AA179" s="46"/>
      <c r="AB179" s="46"/>
      <c r="AC179" s="46"/>
      <c r="AD179" s="46"/>
      <c r="AE179" s="46"/>
      <c r="AF179" s="46"/>
      <c r="AG179" s="46"/>
      <c r="AH179" s="46"/>
      <c r="AI179" s="46"/>
      <c r="AJ179" s="46"/>
      <c r="AK179" s="46"/>
      <c r="AL179" s="46"/>
      <c r="AM179" s="46"/>
      <c r="AN179" s="46"/>
      <c r="AO179" s="46"/>
      <c r="AP179" s="46"/>
      <c r="AQ179" s="46"/>
      <c r="AR179" s="46"/>
      <c r="AS179" s="46"/>
      <c r="AT179" s="46"/>
      <c r="AU179" s="46"/>
      <c r="AV179" s="46"/>
      <c r="AW179" s="46"/>
      <c r="AX179" s="46"/>
      <c r="AY179" s="46"/>
      <c r="AZ179" s="46"/>
      <c r="BA179" s="46"/>
      <c r="BB179" s="46"/>
      <c r="BC179" s="46"/>
      <c r="BD179" s="46"/>
      <c r="BE179" s="46"/>
      <c r="BF179" s="46"/>
      <c r="BG179" s="46"/>
      <c r="BH179" s="46"/>
      <c r="BI179" s="46"/>
      <c r="BJ179" s="46"/>
      <c r="BK179" s="46"/>
      <c r="BL179" s="46"/>
      <c r="BM179" s="46"/>
      <c r="BN179" s="46"/>
    </row>
    <row r="180" spans="2:66" ht="14.5" x14ac:dyDescent="0.35"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  <c r="AA180" s="46"/>
      <c r="AB180" s="46"/>
      <c r="AC180" s="46"/>
      <c r="AD180" s="46"/>
      <c r="AE180" s="46"/>
      <c r="AF180" s="46"/>
      <c r="AG180" s="46"/>
      <c r="AH180" s="46"/>
      <c r="AI180" s="46"/>
      <c r="AJ180" s="46"/>
      <c r="AK180" s="46"/>
      <c r="AL180" s="46"/>
      <c r="AM180" s="46"/>
      <c r="AN180" s="46"/>
      <c r="AO180" s="46"/>
      <c r="AP180" s="46"/>
      <c r="AQ180" s="46"/>
      <c r="AR180" s="46"/>
      <c r="AS180" s="46"/>
      <c r="AT180" s="46"/>
      <c r="AU180" s="46"/>
      <c r="AV180" s="46"/>
      <c r="AW180" s="46"/>
      <c r="AX180" s="46"/>
      <c r="AY180" s="46"/>
      <c r="AZ180" s="46"/>
      <c r="BA180" s="46"/>
      <c r="BB180" s="46"/>
      <c r="BC180" s="46"/>
      <c r="BD180" s="46"/>
      <c r="BE180" s="46"/>
      <c r="BF180" s="46"/>
      <c r="BG180" s="46"/>
      <c r="BH180" s="46"/>
      <c r="BI180" s="46"/>
      <c r="BJ180" s="46"/>
      <c r="BK180" s="46"/>
      <c r="BL180" s="46"/>
      <c r="BM180" s="46"/>
      <c r="BN180" s="46"/>
    </row>
    <row r="181" spans="2:66" ht="14.5" x14ac:dyDescent="0.35"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  <c r="AA181" s="46"/>
      <c r="AB181" s="46"/>
      <c r="AC181" s="46"/>
      <c r="AD181" s="46"/>
      <c r="AE181" s="46"/>
      <c r="AF181" s="46"/>
      <c r="AG181" s="46"/>
      <c r="AH181" s="46"/>
      <c r="AI181" s="46"/>
      <c r="AJ181" s="46"/>
      <c r="AK181" s="46"/>
      <c r="AL181" s="46"/>
      <c r="AM181" s="46"/>
      <c r="AN181" s="46"/>
      <c r="AO181" s="46"/>
      <c r="AP181" s="46"/>
      <c r="AQ181" s="46"/>
      <c r="AR181" s="46"/>
      <c r="AS181" s="46"/>
      <c r="AT181" s="46"/>
      <c r="AU181" s="46"/>
      <c r="AV181" s="46"/>
      <c r="AW181" s="46"/>
      <c r="AX181" s="46"/>
      <c r="AY181" s="46"/>
      <c r="AZ181" s="46"/>
      <c r="BA181" s="46"/>
      <c r="BB181" s="46"/>
      <c r="BC181" s="46"/>
      <c r="BD181" s="46"/>
      <c r="BE181" s="46"/>
      <c r="BF181" s="46"/>
      <c r="BG181" s="46"/>
      <c r="BH181" s="46"/>
      <c r="BI181" s="46"/>
      <c r="BJ181" s="46"/>
      <c r="BK181" s="46"/>
      <c r="BL181" s="46"/>
      <c r="BM181" s="46"/>
      <c r="BN181" s="46"/>
    </row>
    <row r="182" spans="2:66" ht="14.5" x14ac:dyDescent="0.35"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  <c r="AA182" s="46"/>
      <c r="AB182" s="46"/>
      <c r="AC182" s="46"/>
      <c r="AD182" s="46"/>
      <c r="AE182" s="46"/>
      <c r="AF182" s="46"/>
      <c r="AG182" s="46"/>
      <c r="AH182" s="46"/>
      <c r="AI182" s="46"/>
      <c r="AJ182" s="46"/>
      <c r="AK182" s="46"/>
      <c r="AL182" s="46"/>
      <c r="AM182" s="46"/>
      <c r="AN182" s="46"/>
      <c r="AO182" s="46"/>
      <c r="AP182" s="46"/>
      <c r="AQ182" s="46"/>
      <c r="AR182" s="46"/>
      <c r="AS182" s="46"/>
      <c r="AT182" s="46"/>
      <c r="AU182" s="46"/>
      <c r="AV182" s="46"/>
      <c r="AW182" s="46"/>
      <c r="AX182" s="46"/>
      <c r="AY182" s="46"/>
      <c r="AZ182" s="46"/>
      <c r="BA182" s="46"/>
      <c r="BB182" s="46"/>
      <c r="BC182" s="46"/>
      <c r="BD182" s="46"/>
      <c r="BE182" s="46"/>
      <c r="BF182" s="46"/>
      <c r="BG182" s="46"/>
      <c r="BH182" s="46"/>
      <c r="BI182" s="46"/>
      <c r="BJ182" s="46"/>
      <c r="BK182" s="46"/>
      <c r="BL182" s="46"/>
      <c r="BM182" s="46"/>
      <c r="BN182" s="46"/>
    </row>
    <row r="183" spans="2:66" ht="14.5" x14ac:dyDescent="0.35"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  <c r="AA183" s="46"/>
      <c r="AB183" s="46"/>
      <c r="AC183" s="46"/>
      <c r="AD183" s="46"/>
      <c r="AE183" s="46"/>
      <c r="AF183" s="46"/>
      <c r="AG183" s="46"/>
      <c r="AH183" s="46"/>
      <c r="AI183" s="46"/>
      <c r="AJ183" s="46"/>
      <c r="AK183" s="46"/>
      <c r="AL183" s="46"/>
      <c r="AM183" s="46"/>
      <c r="AN183" s="46"/>
      <c r="AO183" s="46"/>
      <c r="AP183" s="46"/>
      <c r="AQ183" s="46"/>
      <c r="AR183" s="46"/>
      <c r="AS183" s="46"/>
      <c r="AT183" s="46"/>
      <c r="AU183" s="46"/>
      <c r="AV183" s="46"/>
      <c r="AW183" s="46"/>
      <c r="AX183" s="46"/>
      <c r="AY183" s="46"/>
      <c r="AZ183" s="46"/>
      <c r="BA183" s="46"/>
      <c r="BB183" s="46"/>
      <c r="BC183" s="46"/>
      <c r="BD183" s="46"/>
      <c r="BE183" s="46"/>
      <c r="BF183" s="46"/>
      <c r="BG183" s="46"/>
      <c r="BH183" s="46"/>
      <c r="BI183" s="46"/>
      <c r="BJ183" s="46"/>
      <c r="BK183" s="46"/>
      <c r="BL183" s="46"/>
      <c r="BM183" s="46"/>
      <c r="BN183" s="46"/>
    </row>
    <row r="184" spans="2:66" ht="14.5" x14ac:dyDescent="0.35"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  <c r="AF184" s="46"/>
      <c r="AG184" s="46"/>
      <c r="AH184" s="46"/>
      <c r="AI184" s="46"/>
      <c r="AJ184" s="46"/>
      <c r="AK184" s="46"/>
      <c r="AL184" s="46"/>
      <c r="AM184" s="46"/>
      <c r="AN184" s="46"/>
      <c r="AO184" s="46"/>
      <c r="AP184" s="46"/>
      <c r="AQ184" s="46"/>
      <c r="AR184" s="46"/>
      <c r="AS184" s="46"/>
      <c r="AT184" s="46"/>
      <c r="AU184" s="46"/>
      <c r="AV184" s="46"/>
      <c r="AW184" s="46"/>
      <c r="AX184" s="46"/>
      <c r="AY184" s="46"/>
      <c r="AZ184" s="46"/>
      <c r="BA184" s="46"/>
      <c r="BB184" s="46"/>
      <c r="BC184" s="46"/>
      <c r="BD184" s="46"/>
      <c r="BE184" s="46"/>
      <c r="BF184" s="46"/>
      <c r="BG184" s="46"/>
      <c r="BH184" s="46"/>
      <c r="BI184" s="46"/>
      <c r="BJ184" s="46"/>
      <c r="BK184" s="46"/>
      <c r="BL184" s="46"/>
      <c r="BM184" s="46"/>
      <c r="BN184" s="46"/>
    </row>
    <row r="185" spans="2:66" ht="14.5" x14ac:dyDescent="0.35"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  <c r="AA185" s="46"/>
      <c r="AB185" s="46"/>
      <c r="AC185" s="46"/>
      <c r="AD185" s="46"/>
      <c r="AE185" s="46"/>
      <c r="AF185" s="46"/>
      <c r="AG185" s="46"/>
      <c r="AH185" s="46"/>
      <c r="AI185" s="46"/>
      <c r="AJ185" s="46"/>
      <c r="AK185" s="46"/>
      <c r="AL185" s="46"/>
      <c r="AM185" s="46"/>
      <c r="AN185" s="46"/>
      <c r="AO185" s="46"/>
      <c r="AP185" s="46"/>
      <c r="AQ185" s="46"/>
      <c r="AR185" s="46"/>
      <c r="AS185" s="46"/>
      <c r="AT185" s="46"/>
      <c r="AU185" s="46"/>
      <c r="AV185" s="46"/>
      <c r="AW185" s="46"/>
      <c r="AX185" s="46"/>
      <c r="AY185" s="46"/>
      <c r="AZ185" s="46"/>
      <c r="BA185" s="46"/>
      <c r="BB185" s="46"/>
      <c r="BC185" s="46"/>
      <c r="BD185" s="46"/>
      <c r="BE185" s="46"/>
      <c r="BF185" s="46"/>
      <c r="BG185" s="46"/>
      <c r="BH185" s="46"/>
      <c r="BI185" s="46"/>
      <c r="BJ185" s="46"/>
      <c r="BK185" s="46"/>
      <c r="BL185" s="46"/>
      <c r="BM185" s="46"/>
      <c r="BN185" s="46"/>
    </row>
    <row r="186" spans="2:66" ht="14.5" x14ac:dyDescent="0.35"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46"/>
    </row>
    <row r="187" spans="2:66" ht="14.5" x14ac:dyDescent="0.35"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  <c r="AA187" s="46"/>
      <c r="AB187" s="46"/>
      <c r="AC187" s="46"/>
      <c r="AD187" s="46"/>
      <c r="AE187" s="46"/>
      <c r="AF187" s="46"/>
      <c r="AG187" s="46"/>
      <c r="AH187" s="46"/>
      <c r="AI187" s="46"/>
      <c r="AJ187" s="46"/>
      <c r="AK187" s="46"/>
      <c r="AL187" s="46"/>
      <c r="AM187" s="46"/>
      <c r="AN187" s="46"/>
      <c r="AO187" s="46"/>
      <c r="AP187" s="46"/>
      <c r="AQ187" s="46"/>
      <c r="AR187" s="46"/>
      <c r="AS187" s="46"/>
      <c r="AT187" s="46"/>
      <c r="AU187" s="46"/>
      <c r="AV187" s="46"/>
      <c r="AW187" s="46"/>
      <c r="AX187" s="46"/>
      <c r="AY187" s="46"/>
      <c r="AZ187" s="46"/>
      <c r="BA187" s="46"/>
      <c r="BB187" s="46"/>
      <c r="BC187" s="46"/>
      <c r="BD187" s="46"/>
      <c r="BE187" s="46"/>
      <c r="BF187" s="46"/>
      <c r="BG187" s="46"/>
      <c r="BH187" s="46"/>
      <c r="BI187" s="46"/>
      <c r="BJ187" s="46"/>
      <c r="BK187" s="46"/>
      <c r="BL187" s="46"/>
      <c r="BM187" s="46"/>
      <c r="BN187" s="46"/>
    </row>
    <row r="188" spans="2:66" ht="14.5" x14ac:dyDescent="0.35"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  <c r="AA188" s="46"/>
      <c r="AB188" s="46"/>
      <c r="AC188" s="46"/>
      <c r="AD188" s="46"/>
      <c r="AE188" s="46"/>
      <c r="AF188" s="46"/>
      <c r="AG188" s="46"/>
      <c r="AH188" s="46"/>
      <c r="AI188" s="46"/>
      <c r="AJ188" s="46"/>
      <c r="AK188" s="46"/>
      <c r="AL188" s="46"/>
      <c r="AM188" s="46"/>
      <c r="AN188" s="46"/>
      <c r="AO188" s="46"/>
      <c r="AP188" s="46"/>
      <c r="AQ188" s="46"/>
      <c r="AR188" s="46"/>
      <c r="AS188" s="46"/>
      <c r="AT188" s="46"/>
      <c r="AU188" s="46"/>
      <c r="AV188" s="46"/>
      <c r="AW188" s="46"/>
      <c r="AX188" s="46"/>
      <c r="AY188" s="46"/>
      <c r="AZ188" s="46"/>
      <c r="BA188" s="46"/>
      <c r="BB188" s="46"/>
      <c r="BC188" s="46"/>
      <c r="BD188" s="46"/>
      <c r="BE188" s="46"/>
      <c r="BF188" s="46"/>
      <c r="BG188" s="46"/>
      <c r="BH188" s="46"/>
      <c r="BI188" s="46"/>
      <c r="BJ188" s="46"/>
      <c r="BK188" s="46"/>
      <c r="BL188" s="46"/>
      <c r="BM188" s="46"/>
      <c r="BN188" s="46"/>
    </row>
    <row r="189" spans="2:66" ht="14.5" x14ac:dyDescent="0.35"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  <c r="AA189" s="46"/>
      <c r="AB189" s="46"/>
      <c r="AC189" s="46"/>
      <c r="AD189" s="46"/>
      <c r="AE189" s="46"/>
      <c r="AF189" s="46"/>
      <c r="AG189" s="46"/>
      <c r="AH189" s="46"/>
      <c r="AI189" s="46"/>
      <c r="AJ189" s="46"/>
      <c r="AK189" s="46"/>
      <c r="AL189" s="46"/>
      <c r="AM189" s="46"/>
      <c r="AN189" s="46"/>
      <c r="AO189" s="46"/>
      <c r="AP189" s="46"/>
      <c r="AQ189" s="46"/>
      <c r="AR189" s="46"/>
      <c r="AS189" s="46"/>
      <c r="AT189" s="46"/>
      <c r="AU189" s="46"/>
      <c r="AV189" s="46"/>
      <c r="AW189" s="46"/>
      <c r="AX189" s="46"/>
      <c r="AY189" s="46"/>
      <c r="AZ189" s="46"/>
      <c r="BA189" s="46"/>
      <c r="BB189" s="46"/>
      <c r="BC189" s="46"/>
      <c r="BD189" s="46"/>
      <c r="BE189" s="46"/>
      <c r="BF189" s="46"/>
      <c r="BG189" s="46"/>
      <c r="BH189" s="46"/>
      <c r="BI189" s="46"/>
      <c r="BJ189" s="46"/>
      <c r="BK189" s="46"/>
      <c r="BL189" s="46"/>
      <c r="BM189" s="46"/>
      <c r="BN189" s="46"/>
    </row>
    <row r="190" spans="2:66" ht="14.5" x14ac:dyDescent="0.35"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  <c r="AA190" s="46"/>
      <c r="AB190" s="46"/>
      <c r="AC190" s="46"/>
      <c r="AD190" s="46"/>
      <c r="AE190" s="46"/>
      <c r="AF190" s="46"/>
      <c r="AG190" s="46"/>
      <c r="AH190" s="46"/>
      <c r="AI190" s="46"/>
      <c r="AJ190" s="46"/>
      <c r="AK190" s="46"/>
      <c r="AL190" s="46"/>
      <c r="AM190" s="46"/>
      <c r="AN190" s="46"/>
      <c r="AO190" s="46"/>
      <c r="AP190" s="46"/>
      <c r="AQ190" s="46"/>
      <c r="AR190" s="46"/>
      <c r="AS190" s="46"/>
      <c r="AT190" s="46"/>
      <c r="AU190" s="46"/>
      <c r="AV190" s="46"/>
      <c r="AW190" s="46"/>
      <c r="AX190" s="46"/>
      <c r="AY190" s="46"/>
      <c r="AZ190" s="46"/>
      <c r="BA190" s="46"/>
      <c r="BB190" s="46"/>
      <c r="BC190" s="46"/>
      <c r="BD190" s="46"/>
      <c r="BE190" s="46"/>
      <c r="BF190" s="46"/>
      <c r="BG190" s="46"/>
      <c r="BH190" s="46"/>
      <c r="BI190" s="46"/>
      <c r="BJ190" s="46"/>
      <c r="BK190" s="46"/>
      <c r="BL190" s="46"/>
      <c r="BM190" s="46"/>
      <c r="BN190" s="46"/>
    </row>
    <row r="191" spans="2:66" ht="14.5" x14ac:dyDescent="0.35"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  <c r="AA191" s="46"/>
      <c r="AB191" s="46"/>
      <c r="AC191" s="46"/>
      <c r="AD191" s="46"/>
      <c r="AE191" s="46"/>
      <c r="AF191" s="46"/>
      <c r="AG191" s="46"/>
      <c r="AH191" s="46"/>
      <c r="AI191" s="46"/>
      <c r="AJ191" s="46"/>
      <c r="AK191" s="46"/>
      <c r="AL191" s="46"/>
      <c r="AM191" s="46"/>
      <c r="AN191" s="46"/>
      <c r="AO191" s="46"/>
      <c r="AP191" s="46"/>
      <c r="AQ191" s="46"/>
      <c r="AR191" s="46"/>
      <c r="AS191" s="46"/>
      <c r="AT191" s="46"/>
      <c r="AU191" s="46"/>
      <c r="AV191" s="46"/>
      <c r="AW191" s="46"/>
      <c r="AX191" s="46"/>
      <c r="AY191" s="46"/>
      <c r="AZ191" s="46"/>
      <c r="BA191" s="46"/>
      <c r="BB191" s="46"/>
      <c r="BC191" s="46"/>
      <c r="BD191" s="46"/>
      <c r="BE191" s="46"/>
      <c r="BF191" s="46"/>
      <c r="BG191" s="46"/>
      <c r="BH191" s="46"/>
      <c r="BI191" s="46"/>
      <c r="BJ191" s="46"/>
      <c r="BK191" s="46"/>
      <c r="BL191" s="46"/>
      <c r="BM191" s="46"/>
      <c r="BN191" s="46"/>
    </row>
    <row r="192" spans="2:66" ht="14.5" x14ac:dyDescent="0.35"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  <c r="AA192" s="46"/>
      <c r="AB192" s="46"/>
      <c r="AC192" s="46"/>
      <c r="AD192" s="46"/>
      <c r="AE192" s="46"/>
      <c r="AF192" s="46"/>
      <c r="AG192" s="46"/>
      <c r="AH192" s="46"/>
      <c r="AI192" s="46"/>
      <c r="AJ192" s="46"/>
      <c r="AK192" s="46"/>
      <c r="AL192" s="46"/>
      <c r="AM192" s="46"/>
      <c r="AN192" s="46"/>
      <c r="AO192" s="46"/>
      <c r="AP192" s="46"/>
      <c r="AQ192" s="46"/>
      <c r="AR192" s="46"/>
      <c r="AS192" s="46"/>
      <c r="AT192" s="46"/>
      <c r="AU192" s="46"/>
      <c r="AV192" s="46"/>
      <c r="AW192" s="46"/>
      <c r="AX192" s="46"/>
      <c r="AY192" s="46"/>
      <c r="AZ192" s="46"/>
      <c r="BA192" s="46"/>
      <c r="BB192" s="46"/>
      <c r="BC192" s="46"/>
      <c r="BD192" s="46"/>
      <c r="BE192" s="46"/>
      <c r="BF192" s="46"/>
      <c r="BG192" s="46"/>
      <c r="BH192" s="46"/>
      <c r="BI192" s="46"/>
      <c r="BJ192" s="46"/>
      <c r="BK192" s="46"/>
      <c r="BL192" s="46"/>
      <c r="BM192" s="46"/>
      <c r="BN192" s="46"/>
    </row>
    <row r="193" spans="2:66" ht="14.5" x14ac:dyDescent="0.35"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  <c r="AA193" s="46"/>
      <c r="AB193" s="46"/>
      <c r="AC193" s="46"/>
      <c r="AD193" s="46"/>
      <c r="AE193" s="46"/>
      <c r="AF193" s="46"/>
      <c r="AG193" s="46"/>
      <c r="AH193" s="46"/>
      <c r="AI193" s="46"/>
      <c r="AJ193" s="46"/>
      <c r="AK193" s="46"/>
      <c r="AL193" s="46"/>
      <c r="AM193" s="46"/>
      <c r="AN193" s="46"/>
      <c r="AO193" s="46"/>
      <c r="AP193" s="46"/>
      <c r="AQ193" s="46"/>
      <c r="AR193" s="46"/>
      <c r="AS193" s="46"/>
      <c r="AT193" s="46"/>
      <c r="AU193" s="46"/>
      <c r="AV193" s="46"/>
      <c r="AW193" s="46"/>
      <c r="AX193" s="46"/>
      <c r="AY193" s="46"/>
      <c r="AZ193" s="46"/>
      <c r="BA193" s="46"/>
      <c r="BB193" s="46"/>
      <c r="BC193" s="46"/>
      <c r="BD193" s="46"/>
      <c r="BE193" s="46"/>
      <c r="BF193" s="46"/>
      <c r="BG193" s="46"/>
      <c r="BH193" s="46"/>
      <c r="BI193" s="46"/>
      <c r="BJ193" s="46"/>
      <c r="BK193" s="46"/>
      <c r="BL193" s="46"/>
      <c r="BM193" s="46"/>
      <c r="BN193" s="46"/>
    </row>
    <row r="194" spans="2:66" ht="14.5" x14ac:dyDescent="0.35"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  <c r="AA194" s="46"/>
      <c r="AB194" s="46"/>
      <c r="AC194" s="46"/>
      <c r="AD194" s="46"/>
      <c r="AE194" s="46"/>
      <c r="AF194" s="46"/>
      <c r="AG194" s="46"/>
      <c r="AH194" s="46"/>
      <c r="AI194" s="46"/>
      <c r="AJ194" s="46"/>
      <c r="AK194" s="46"/>
      <c r="AL194" s="46"/>
      <c r="AM194" s="46"/>
      <c r="AN194" s="46"/>
      <c r="AO194" s="46"/>
      <c r="AP194" s="46"/>
      <c r="AQ194" s="46"/>
      <c r="AR194" s="46"/>
      <c r="AS194" s="46"/>
      <c r="AT194" s="46"/>
      <c r="AU194" s="46"/>
      <c r="AV194" s="46"/>
      <c r="AW194" s="46"/>
      <c r="AX194" s="46"/>
      <c r="AY194" s="46"/>
      <c r="AZ194" s="46"/>
      <c r="BA194" s="46"/>
      <c r="BB194" s="46"/>
      <c r="BC194" s="46"/>
      <c r="BD194" s="46"/>
      <c r="BE194" s="46"/>
      <c r="BF194" s="46"/>
      <c r="BG194" s="46"/>
      <c r="BH194" s="46"/>
      <c r="BI194" s="46"/>
      <c r="BJ194" s="46"/>
      <c r="BK194" s="46"/>
      <c r="BL194" s="46"/>
      <c r="BM194" s="46"/>
      <c r="BN194" s="46"/>
    </row>
    <row r="195" spans="2:66" ht="14.5" x14ac:dyDescent="0.35"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  <c r="AA195" s="46"/>
      <c r="AB195" s="46"/>
      <c r="AC195" s="46"/>
      <c r="AD195" s="46"/>
      <c r="AE195" s="46"/>
      <c r="AF195" s="46"/>
      <c r="AG195" s="46"/>
      <c r="AH195" s="46"/>
      <c r="AI195" s="46"/>
      <c r="AJ195" s="46"/>
      <c r="AK195" s="46"/>
      <c r="AL195" s="46"/>
      <c r="AM195" s="46"/>
      <c r="AN195" s="46"/>
      <c r="AO195" s="46"/>
      <c r="AP195" s="46"/>
      <c r="AQ195" s="46"/>
      <c r="AR195" s="46"/>
      <c r="AS195" s="46"/>
      <c r="AT195" s="46"/>
      <c r="AU195" s="46"/>
      <c r="AV195" s="46"/>
      <c r="AW195" s="46"/>
      <c r="AX195" s="46"/>
      <c r="AY195" s="46"/>
      <c r="AZ195" s="46"/>
      <c r="BA195" s="46"/>
      <c r="BB195" s="46"/>
      <c r="BC195" s="46"/>
      <c r="BD195" s="46"/>
      <c r="BE195" s="46"/>
      <c r="BF195" s="46"/>
      <c r="BG195" s="46"/>
      <c r="BH195" s="46"/>
      <c r="BI195" s="46"/>
      <c r="BJ195" s="46"/>
      <c r="BK195" s="46"/>
      <c r="BL195" s="46"/>
      <c r="BM195" s="46"/>
      <c r="BN195" s="46"/>
    </row>
    <row r="196" spans="2:66" ht="14.5" x14ac:dyDescent="0.35"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  <c r="AA196" s="46"/>
      <c r="AB196" s="46"/>
      <c r="AC196" s="46"/>
      <c r="AD196" s="46"/>
      <c r="AE196" s="46"/>
      <c r="AF196" s="46"/>
      <c r="AG196" s="46"/>
      <c r="AH196" s="46"/>
      <c r="AI196" s="46"/>
      <c r="AJ196" s="46"/>
      <c r="AK196" s="46"/>
      <c r="AL196" s="46"/>
      <c r="AM196" s="46"/>
      <c r="AN196" s="46"/>
      <c r="AO196" s="46"/>
      <c r="AP196" s="46"/>
      <c r="AQ196" s="46"/>
      <c r="AR196" s="46"/>
      <c r="AS196" s="46"/>
      <c r="AT196" s="46"/>
      <c r="AU196" s="46"/>
      <c r="AV196" s="46"/>
      <c r="AW196" s="46"/>
      <c r="AX196" s="46"/>
      <c r="AY196" s="46"/>
      <c r="AZ196" s="46"/>
      <c r="BA196" s="46"/>
      <c r="BB196" s="46"/>
      <c r="BC196" s="46"/>
      <c r="BD196" s="46"/>
      <c r="BE196" s="46"/>
      <c r="BF196" s="46"/>
      <c r="BG196" s="46"/>
      <c r="BH196" s="46"/>
      <c r="BI196" s="46"/>
      <c r="BJ196" s="46"/>
      <c r="BK196" s="46"/>
      <c r="BL196" s="46"/>
      <c r="BM196" s="46"/>
      <c r="BN196" s="46"/>
    </row>
    <row r="197" spans="2:66" ht="14.5" x14ac:dyDescent="0.35"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  <c r="AA197" s="46"/>
      <c r="AB197" s="46"/>
      <c r="AC197" s="46"/>
      <c r="AD197" s="46"/>
      <c r="AE197" s="46"/>
      <c r="AF197" s="46"/>
      <c r="AG197" s="46"/>
      <c r="AH197" s="46"/>
      <c r="AI197" s="46"/>
      <c r="AJ197" s="46"/>
      <c r="AK197" s="46"/>
      <c r="AL197" s="46"/>
      <c r="AM197" s="46"/>
      <c r="AN197" s="46"/>
      <c r="AO197" s="46"/>
      <c r="AP197" s="46"/>
      <c r="AQ197" s="46"/>
      <c r="AR197" s="46"/>
      <c r="AS197" s="46"/>
      <c r="AT197" s="46"/>
      <c r="AU197" s="46"/>
      <c r="AV197" s="46"/>
      <c r="AW197" s="46"/>
      <c r="AX197" s="46"/>
      <c r="AY197" s="46"/>
      <c r="AZ197" s="46"/>
      <c r="BA197" s="46"/>
      <c r="BB197" s="46"/>
      <c r="BC197" s="46"/>
      <c r="BD197" s="46"/>
      <c r="BE197" s="46"/>
      <c r="BF197" s="46"/>
      <c r="BG197" s="46"/>
      <c r="BH197" s="46"/>
      <c r="BI197" s="46"/>
      <c r="BJ197" s="46"/>
      <c r="BK197" s="46"/>
      <c r="BL197" s="46"/>
      <c r="BM197" s="46"/>
      <c r="BN197" s="46"/>
    </row>
    <row r="198" spans="2:66" ht="14.5" x14ac:dyDescent="0.35"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  <c r="AA198" s="46"/>
      <c r="AB198" s="46"/>
      <c r="AC198" s="46"/>
      <c r="AD198" s="46"/>
      <c r="AE198" s="46"/>
      <c r="AF198" s="46"/>
      <c r="AG198" s="46"/>
      <c r="AH198" s="46"/>
      <c r="AI198" s="46"/>
      <c r="AJ198" s="46"/>
      <c r="AK198" s="46"/>
      <c r="AL198" s="46"/>
      <c r="AM198" s="46"/>
      <c r="AN198" s="46"/>
      <c r="AO198" s="46"/>
      <c r="AP198" s="46"/>
      <c r="AQ198" s="46"/>
      <c r="AR198" s="46"/>
      <c r="AS198" s="46"/>
      <c r="AT198" s="46"/>
      <c r="AU198" s="46"/>
      <c r="AV198" s="46"/>
      <c r="AW198" s="46"/>
      <c r="AX198" s="46"/>
      <c r="AY198" s="46"/>
      <c r="AZ198" s="46"/>
      <c r="BA198" s="46"/>
      <c r="BB198" s="46"/>
      <c r="BC198" s="46"/>
      <c r="BD198" s="46"/>
      <c r="BE198" s="46"/>
      <c r="BF198" s="46"/>
      <c r="BG198" s="46"/>
      <c r="BH198" s="46"/>
      <c r="BI198" s="46"/>
      <c r="BJ198" s="46"/>
      <c r="BK198" s="46"/>
      <c r="BL198" s="46"/>
      <c r="BM198" s="46"/>
      <c r="BN198" s="46"/>
    </row>
    <row r="199" spans="2:66" ht="14.5" x14ac:dyDescent="0.35"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  <c r="AA199" s="46"/>
      <c r="AB199" s="46"/>
      <c r="AC199" s="46"/>
      <c r="AD199" s="46"/>
      <c r="AE199" s="46"/>
      <c r="AF199" s="46"/>
      <c r="AG199" s="46"/>
      <c r="AH199" s="46"/>
      <c r="AI199" s="46"/>
      <c r="AJ199" s="46"/>
      <c r="AK199" s="46"/>
      <c r="AL199" s="46"/>
      <c r="AM199" s="46"/>
      <c r="AN199" s="46"/>
      <c r="AO199" s="46"/>
      <c r="AP199" s="46"/>
      <c r="AQ199" s="46"/>
      <c r="AR199" s="46"/>
      <c r="AS199" s="46"/>
      <c r="AT199" s="46"/>
      <c r="AU199" s="46"/>
      <c r="AV199" s="46"/>
      <c r="AW199" s="46"/>
      <c r="AX199" s="46"/>
      <c r="AY199" s="46"/>
      <c r="AZ199" s="46"/>
      <c r="BA199" s="46"/>
      <c r="BB199" s="46"/>
      <c r="BC199" s="46"/>
      <c r="BD199" s="46"/>
      <c r="BE199" s="46"/>
      <c r="BF199" s="46"/>
      <c r="BG199" s="46"/>
      <c r="BH199" s="46"/>
      <c r="BI199" s="46"/>
      <c r="BJ199" s="46"/>
      <c r="BK199" s="46"/>
      <c r="BL199" s="46"/>
      <c r="BM199" s="46"/>
      <c r="BN199" s="46"/>
    </row>
    <row r="200" spans="2:66" ht="14.5" x14ac:dyDescent="0.35"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  <c r="AA200" s="46"/>
      <c r="AB200" s="46"/>
      <c r="AC200" s="46"/>
      <c r="AD200" s="46"/>
      <c r="AE200" s="46"/>
      <c r="AF200" s="46"/>
      <c r="AG200" s="46"/>
      <c r="AH200" s="46"/>
      <c r="AI200" s="46"/>
      <c r="AJ200" s="46"/>
      <c r="AK200" s="46"/>
      <c r="AL200" s="46"/>
      <c r="AM200" s="46"/>
      <c r="AN200" s="46"/>
      <c r="AO200" s="46"/>
      <c r="AP200" s="46"/>
      <c r="AQ200" s="46"/>
      <c r="AR200" s="46"/>
      <c r="AS200" s="46"/>
      <c r="AT200" s="46"/>
      <c r="AU200" s="46"/>
      <c r="AV200" s="46"/>
      <c r="AW200" s="46"/>
      <c r="AX200" s="46"/>
      <c r="AY200" s="46"/>
      <c r="AZ200" s="46"/>
      <c r="BA200" s="46"/>
      <c r="BB200" s="46"/>
      <c r="BC200" s="46"/>
      <c r="BD200" s="46"/>
      <c r="BE200" s="46"/>
      <c r="BF200" s="46"/>
      <c r="BG200" s="46"/>
      <c r="BH200" s="46"/>
      <c r="BI200" s="46"/>
      <c r="BJ200" s="46"/>
      <c r="BK200" s="46"/>
      <c r="BL200" s="46"/>
      <c r="BM200" s="46"/>
      <c r="BN200" s="46"/>
    </row>
    <row r="201" spans="2:66" ht="14.5" x14ac:dyDescent="0.35"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  <c r="AA201" s="46"/>
      <c r="AB201" s="46"/>
      <c r="AC201" s="46"/>
      <c r="AD201" s="46"/>
      <c r="AE201" s="46"/>
      <c r="AF201" s="46"/>
      <c r="AG201" s="46"/>
      <c r="AH201" s="46"/>
      <c r="AI201" s="46"/>
      <c r="AJ201" s="46"/>
      <c r="AK201" s="46"/>
      <c r="AL201" s="46"/>
      <c r="AM201" s="46"/>
      <c r="AN201" s="46"/>
      <c r="AO201" s="46"/>
      <c r="AP201" s="46"/>
      <c r="AQ201" s="46"/>
      <c r="AR201" s="46"/>
      <c r="AS201" s="46"/>
      <c r="AT201" s="46"/>
      <c r="AU201" s="46"/>
      <c r="AV201" s="46"/>
      <c r="AW201" s="46"/>
      <c r="AX201" s="46"/>
      <c r="AY201" s="46"/>
      <c r="AZ201" s="46"/>
      <c r="BA201" s="46"/>
      <c r="BB201" s="46"/>
      <c r="BC201" s="46"/>
      <c r="BD201" s="46"/>
      <c r="BE201" s="46"/>
      <c r="BF201" s="46"/>
      <c r="BG201" s="46"/>
      <c r="BH201" s="46"/>
      <c r="BI201" s="46"/>
      <c r="BJ201" s="46"/>
      <c r="BK201" s="46"/>
      <c r="BL201" s="46"/>
      <c r="BM201" s="46"/>
      <c r="BN201" s="46"/>
    </row>
    <row r="202" spans="2:66" ht="14.5" x14ac:dyDescent="0.35"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  <c r="AA202" s="46"/>
      <c r="AB202" s="46"/>
      <c r="AC202" s="46"/>
      <c r="AD202" s="46"/>
      <c r="AE202" s="46"/>
      <c r="AF202" s="46"/>
      <c r="AG202" s="46"/>
      <c r="AH202" s="46"/>
      <c r="AI202" s="46"/>
      <c r="AJ202" s="46"/>
      <c r="AK202" s="46"/>
      <c r="AL202" s="46"/>
      <c r="AM202" s="46"/>
      <c r="AN202" s="46"/>
      <c r="AO202" s="46"/>
      <c r="AP202" s="46"/>
      <c r="AQ202" s="46"/>
      <c r="AR202" s="46"/>
      <c r="AS202" s="46"/>
      <c r="AT202" s="46"/>
      <c r="AU202" s="46"/>
      <c r="AV202" s="46"/>
      <c r="AW202" s="46"/>
      <c r="AX202" s="46"/>
      <c r="AY202" s="46"/>
      <c r="AZ202" s="46"/>
      <c r="BA202" s="46"/>
      <c r="BB202" s="46"/>
      <c r="BC202" s="46"/>
      <c r="BD202" s="46"/>
      <c r="BE202" s="46"/>
      <c r="BF202" s="46"/>
      <c r="BG202" s="46"/>
      <c r="BH202" s="46"/>
      <c r="BI202" s="46"/>
      <c r="BJ202" s="46"/>
      <c r="BK202" s="46"/>
      <c r="BL202" s="46"/>
      <c r="BM202" s="46"/>
      <c r="BN202" s="46"/>
    </row>
    <row r="203" spans="2:66" ht="14.5" x14ac:dyDescent="0.35"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  <c r="AA203" s="46"/>
      <c r="AB203" s="46"/>
      <c r="AC203" s="46"/>
      <c r="AD203" s="46"/>
      <c r="AE203" s="46"/>
      <c r="AF203" s="46"/>
      <c r="AG203" s="46"/>
      <c r="AH203" s="46"/>
      <c r="AI203" s="46"/>
      <c r="AJ203" s="46"/>
      <c r="AK203" s="46"/>
      <c r="AL203" s="46"/>
      <c r="AM203" s="46"/>
      <c r="AN203" s="46"/>
      <c r="AO203" s="46"/>
      <c r="AP203" s="46"/>
      <c r="AQ203" s="46"/>
      <c r="AR203" s="46"/>
      <c r="AS203" s="46"/>
      <c r="AT203" s="46"/>
      <c r="AU203" s="46"/>
      <c r="AV203" s="46"/>
      <c r="AW203" s="46"/>
      <c r="AX203" s="46"/>
      <c r="AY203" s="46"/>
      <c r="AZ203" s="46"/>
      <c r="BA203" s="46"/>
      <c r="BB203" s="46"/>
      <c r="BC203" s="46"/>
      <c r="BD203" s="46"/>
      <c r="BE203" s="46"/>
      <c r="BF203" s="46"/>
      <c r="BG203" s="46"/>
      <c r="BH203" s="46"/>
      <c r="BI203" s="46"/>
      <c r="BJ203" s="46"/>
      <c r="BK203" s="46"/>
      <c r="BL203" s="46"/>
      <c r="BM203" s="46"/>
      <c r="BN203" s="46"/>
    </row>
    <row r="204" spans="2:66" ht="14.5" x14ac:dyDescent="0.35"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  <c r="AA204" s="46"/>
      <c r="AB204" s="46"/>
      <c r="AC204" s="46"/>
      <c r="AD204" s="46"/>
      <c r="AE204" s="46"/>
      <c r="AF204" s="46"/>
      <c r="AG204" s="46"/>
      <c r="AH204" s="46"/>
      <c r="AI204" s="46"/>
      <c r="AJ204" s="46"/>
      <c r="AK204" s="46"/>
      <c r="AL204" s="46"/>
      <c r="AM204" s="46"/>
      <c r="AN204" s="46"/>
      <c r="AO204" s="46"/>
      <c r="AP204" s="46"/>
      <c r="AQ204" s="46"/>
      <c r="AR204" s="46"/>
      <c r="AS204" s="46"/>
      <c r="AT204" s="46"/>
      <c r="AU204" s="46"/>
      <c r="AV204" s="46"/>
      <c r="AW204" s="46"/>
      <c r="AX204" s="46"/>
      <c r="AY204" s="46"/>
      <c r="AZ204" s="46"/>
      <c r="BA204" s="46"/>
      <c r="BB204" s="46"/>
      <c r="BC204" s="46"/>
      <c r="BD204" s="46"/>
      <c r="BE204" s="46"/>
      <c r="BF204" s="46"/>
      <c r="BG204" s="46"/>
      <c r="BH204" s="46"/>
      <c r="BI204" s="46"/>
      <c r="BJ204" s="46"/>
      <c r="BK204" s="46"/>
      <c r="BL204" s="46"/>
      <c r="BM204" s="46"/>
      <c r="BN204" s="46"/>
    </row>
    <row r="205" spans="2:66" ht="14.5" x14ac:dyDescent="0.35"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  <c r="AA205" s="46"/>
      <c r="AB205" s="46"/>
      <c r="AC205" s="46"/>
      <c r="AD205" s="46"/>
      <c r="AE205" s="46"/>
      <c r="AF205" s="46"/>
      <c r="AG205" s="46"/>
      <c r="AH205" s="46"/>
      <c r="AI205" s="46"/>
      <c r="AJ205" s="46"/>
      <c r="AK205" s="46"/>
      <c r="AL205" s="46"/>
      <c r="AM205" s="46"/>
      <c r="AN205" s="46"/>
      <c r="AO205" s="46"/>
      <c r="AP205" s="46"/>
      <c r="AQ205" s="46"/>
      <c r="AR205" s="46"/>
      <c r="AS205" s="46"/>
      <c r="AT205" s="46"/>
      <c r="AU205" s="46"/>
      <c r="AV205" s="46"/>
      <c r="AW205" s="46"/>
      <c r="AX205" s="46"/>
      <c r="AY205" s="46"/>
      <c r="AZ205" s="46"/>
      <c r="BA205" s="46"/>
      <c r="BB205" s="46"/>
      <c r="BC205" s="46"/>
      <c r="BD205" s="46"/>
      <c r="BE205" s="46"/>
      <c r="BF205" s="46"/>
      <c r="BG205" s="46"/>
      <c r="BH205" s="46"/>
      <c r="BI205" s="46"/>
      <c r="BJ205" s="46"/>
      <c r="BK205" s="46"/>
      <c r="BL205" s="46"/>
      <c r="BM205" s="46"/>
      <c r="BN205" s="46"/>
    </row>
    <row r="206" spans="2:66" ht="14.5" x14ac:dyDescent="0.35"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  <c r="AA206" s="46"/>
      <c r="AB206" s="46"/>
      <c r="AC206" s="46"/>
      <c r="AD206" s="46"/>
      <c r="AE206" s="46"/>
      <c r="AF206" s="46"/>
      <c r="AG206" s="46"/>
      <c r="AH206" s="46"/>
      <c r="AI206" s="46"/>
      <c r="AJ206" s="46"/>
      <c r="AK206" s="46"/>
      <c r="AL206" s="46"/>
      <c r="AM206" s="46"/>
      <c r="AN206" s="46"/>
      <c r="AO206" s="46"/>
      <c r="AP206" s="46"/>
      <c r="AQ206" s="46"/>
      <c r="AR206" s="46"/>
      <c r="AS206" s="46"/>
      <c r="AT206" s="46"/>
      <c r="AU206" s="46"/>
      <c r="AV206" s="46"/>
      <c r="AW206" s="46"/>
      <c r="AX206" s="46"/>
      <c r="AY206" s="46"/>
      <c r="AZ206" s="46"/>
      <c r="BA206" s="46"/>
      <c r="BB206" s="46"/>
      <c r="BC206" s="46"/>
      <c r="BD206" s="46"/>
      <c r="BE206" s="46"/>
      <c r="BF206" s="46"/>
      <c r="BG206" s="46"/>
      <c r="BH206" s="46"/>
      <c r="BI206" s="46"/>
      <c r="BJ206" s="46"/>
      <c r="BK206" s="46"/>
      <c r="BL206" s="46"/>
      <c r="BM206" s="46"/>
      <c r="BN206" s="46"/>
    </row>
    <row r="207" spans="2:66" ht="14.5" x14ac:dyDescent="0.35"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  <c r="AA207" s="46"/>
      <c r="AB207" s="46"/>
      <c r="AC207" s="46"/>
      <c r="AD207" s="46"/>
      <c r="AE207" s="46"/>
      <c r="AF207" s="46"/>
      <c r="AG207" s="46"/>
      <c r="AH207" s="46"/>
      <c r="AI207" s="46"/>
      <c r="AJ207" s="46"/>
      <c r="AK207" s="46"/>
      <c r="AL207" s="46"/>
      <c r="AM207" s="46"/>
      <c r="AN207" s="46"/>
      <c r="AO207" s="46"/>
      <c r="AP207" s="46"/>
      <c r="AQ207" s="46"/>
      <c r="AR207" s="46"/>
      <c r="AS207" s="46"/>
      <c r="AT207" s="46"/>
      <c r="AU207" s="46"/>
      <c r="AV207" s="46"/>
      <c r="AW207" s="46"/>
      <c r="AX207" s="46"/>
      <c r="AY207" s="46"/>
      <c r="AZ207" s="46"/>
      <c r="BA207" s="46"/>
      <c r="BB207" s="46"/>
      <c r="BC207" s="46"/>
      <c r="BD207" s="46"/>
      <c r="BE207" s="46"/>
      <c r="BF207" s="46"/>
      <c r="BG207" s="46"/>
      <c r="BH207" s="46"/>
      <c r="BI207" s="46"/>
      <c r="BJ207" s="46"/>
      <c r="BK207" s="46"/>
      <c r="BL207" s="46"/>
      <c r="BM207" s="46"/>
      <c r="BN207" s="46"/>
    </row>
    <row r="208" spans="2:66" ht="14.5" x14ac:dyDescent="0.35"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  <c r="AA208" s="46"/>
      <c r="AB208" s="46"/>
      <c r="AC208" s="46"/>
      <c r="AD208" s="46"/>
      <c r="AE208" s="46"/>
      <c r="AF208" s="46"/>
      <c r="AG208" s="46"/>
      <c r="AH208" s="46"/>
      <c r="AI208" s="46"/>
      <c r="AJ208" s="46"/>
      <c r="AK208" s="46"/>
      <c r="AL208" s="46"/>
      <c r="AM208" s="46"/>
      <c r="AN208" s="46"/>
      <c r="AO208" s="46"/>
      <c r="AP208" s="46"/>
      <c r="AQ208" s="46"/>
      <c r="AR208" s="46"/>
      <c r="AS208" s="46"/>
      <c r="AT208" s="46"/>
      <c r="AU208" s="46"/>
      <c r="AV208" s="46"/>
      <c r="AW208" s="46"/>
      <c r="AX208" s="46"/>
      <c r="AY208" s="46"/>
      <c r="AZ208" s="46"/>
      <c r="BA208" s="46"/>
      <c r="BB208" s="46"/>
      <c r="BC208" s="46"/>
      <c r="BD208" s="46"/>
      <c r="BE208" s="46"/>
      <c r="BF208" s="46"/>
      <c r="BG208" s="46"/>
      <c r="BH208" s="46"/>
      <c r="BI208" s="46"/>
      <c r="BJ208" s="46"/>
      <c r="BK208" s="46"/>
      <c r="BL208" s="46"/>
      <c r="BM208" s="46"/>
      <c r="BN208" s="46"/>
    </row>
    <row r="209" spans="2:66" ht="14.5" x14ac:dyDescent="0.35"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  <c r="AA209" s="46"/>
      <c r="AB209" s="46"/>
      <c r="AC209" s="46"/>
      <c r="AD209" s="46"/>
      <c r="AE209" s="46"/>
      <c r="AF209" s="46"/>
      <c r="AG209" s="46"/>
      <c r="AH209" s="46"/>
      <c r="AI209" s="46"/>
      <c r="AJ209" s="46"/>
      <c r="AK209" s="46"/>
      <c r="AL209" s="46"/>
      <c r="AM209" s="46"/>
      <c r="AN209" s="46"/>
      <c r="AO209" s="46"/>
      <c r="AP209" s="46"/>
      <c r="AQ209" s="46"/>
      <c r="AR209" s="46"/>
      <c r="AS209" s="46"/>
      <c r="AT209" s="46"/>
      <c r="AU209" s="46"/>
      <c r="AV209" s="46"/>
      <c r="AW209" s="46"/>
      <c r="AX209" s="46"/>
      <c r="AY209" s="46"/>
      <c r="AZ209" s="46"/>
      <c r="BA209" s="46"/>
      <c r="BB209" s="46"/>
      <c r="BC209" s="46"/>
      <c r="BD209" s="46"/>
      <c r="BE209" s="46"/>
      <c r="BF209" s="46"/>
      <c r="BG209" s="46"/>
      <c r="BH209" s="46"/>
      <c r="BI209" s="46"/>
      <c r="BJ209" s="46"/>
      <c r="BK209" s="46"/>
      <c r="BL209" s="46"/>
      <c r="BM209" s="46"/>
      <c r="BN209" s="46"/>
    </row>
    <row r="210" spans="2:66" ht="14.5" x14ac:dyDescent="0.35"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  <c r="AA210" s="46"/>
      <c r="AB210" s="46"/>
      <c r="AC210" s="46"/>
      <c r="AD210" s="46"/>
      <c r="AE210" s="46"/>
      <c r="AF210" s="46"/>
      <c r="AG210" s="46"/>
      <c r="AH210" s="46"/>
      <c r="AI210" s="46"/>
      <c r="AJ210" s="46"/>
      <c r="AK210" s="46"/>
      <c r="AL210" s="46"/>
      <c r="AM210" s="46"/>
      <c r="AN210" s="46"/>
      <c r="AO210" s="46"/>
      <c r="AP210" s="46"/>
      <c r="AQ210" s="46"/>
      <c r="AR210" s="46"/>
      <c r="AS210" s="46"/>
      <c r="AT210" s="46"/>
      <c r="AU210" s="46"/>
      <c r="AV210" s="46"/>
      <c r="AW210" s="46"/>
      <c r="AX210" s="46"/>
      <c r="AY210" s="46"/>
      <c r="AZ210" s="46"/>
      <c r="BA210" s="46"/>
      <c r="BB210" s="46"/>
      <c r="BC210" s="46"/>
      <c r="BD210" s="46"/>
      <c r="BE210" s="46"/>
      <c r="BF210" s="46"/>
      <c r="BG210" s="46"/>
      <c r="BH210" s="46"/>
      <c r="BI210" s="46"/>
      <c r="BJ210" s="46"/>
      <c r="BK210" s="46"/>
      <c r="BL210" s="46"/>
      <c r="BM210" s="46"/>
      <c r="BN210" s="46"/>
    </row>
    <row r="211" spans="2:66" ht="14.5" x14ac:dyDescent="0.35"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  <c r="AA211" s="46"/>
      <c r="AB211" s="46"/>
      <c r="AC211" s="46"/>
      <c r="AD211" s="46"/>
      <c r="AE211" s="46"/>
      <c r="AF211" s="46"/>
      <c r="AG211" s="46"/>
      <c r="AH211" s="46"/>
      <c r="AI211" s="46"/>
      <c r="AJ211" s="46"/>
      <c r="AK211" s="46"/>
      <c r="AL211" s="46"/>
      <c r="AM211" s="46"/>
      <c r="AN211" s="46"/>
      <c r="AO211" s="46"/>
      <c r="AP211" s="46"/>
      <c r="AQ211" s="46"/>
      <c r="AR211" s="46"/>
      <c r="AS211" s="46"/>
      <c r="AT211" s="46"/>
      <c r="AU211" s="46"/>
      <c r="AV211" s="46"/>
      <c r="AW211" s="46"/>
      <c r="AX211" s="46"/>
      <c r="AY211" s="46"/>
      <c r="AZ211" s="46"/>
      <c r="BA211" s="46"/>
      <c r="BB211" s="46"/>
      <c r="BC211" s="46"/>
      <c r="BD211" s="46"/>
      <c r="BE211" s="46"/>
      <c r="BF211" s="46"/>
      <c r="BG211" s="46"/>
      <c r="BH211" s="46"/>
      <c r="BI211" s="46"/>
      <c r="BJ211" s="46"/>
      <c r="BK211" s="46"/>
      <c r="BL211" s="46"/>
      <c r="BM211" s="46"/>
      <c r="BN211" s="46"/>
    </row>
    <row r="212" spans="2:66" ht="14.5" x14ac:dyDescent="0.35"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  <c r="AA212" s="46"/>
      <c r="AB212" s="46"/>
      <c r="AC212" s="46"/>
      <c r="AD212" s="46"/>
      <c r="AE212" s="46"/>
      <c r="AF212" s="46"/>
      <c r="AG212" s="46"/>
      <c r="AH212" s="46"/>
      <c r="AI212" s="46"/>
      <c r="AJ212" s="46"/>
      <c r="AK212" s="46"/>
      <c r="AL212" s="46"/>
      <c r="AM212" s="46"/>
      <c r="AN212" s="46"/>
      <c r="AO212" s="46"/>
      <c r="AP212" s="46"/>
      <c r="AQ212" s="46"/>
      <c r="AR212" s="46"/>
      <c r="AS212" s="46"/>
      <c r="AT212" s="46"/>
      <c r="AU212" s="46"/>
      <c r="AV212" s="46"/>
      <c r="AW212" s="46"/>
      <c r="AX212" s="46"/>
      <c r="AY212" s="46"/>
      <c r="AZ212" s="46"/>
      <c r="BA212" s="46"/>
      <c r="BB212" s="46"/>
      <c r="BC212" s="46"/>
      <c r="BD212" s="46"/>
      <c r="BE212" s="46"/>
      <c r="BF212" s="46"/>
      <c r="BG212" s="46"/>
      <c r="BH212" s="46"/>
      <c r="BI212" s="46"/>
      <c r="BJ212" s="46"/>
      <c r="BK212" s="46"/>
      <c r="BL212" s="46"/>
      <c r="BM212" s="46"/>
      <c r="BN212" s="46"/>
    </row>
    <row r="213" spans="2:66" ht="14.5" x14ac:dyDescent="0.35"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  <c r="AA213" s="46"/>
      <c r="AB213" s="46"/>
      <c r="AC213" s="46"/>
      <c r="AD213" s="46"/>
      <c r="AE213" s="46"/>
      <c r="AF213" s="46"/>
      <c r="AG213" s="46"/>
      <c r="AH213" s="46"/>
      <c r="AI213" s="46"/>
      <c r="AJ213" s="46"/>
      <c r="AK213" s="46"/>
      <c r="AL213" s="46"/>
      <c r="AM213" s="46"/>
      <c r="AN213" s="46"/>
      <c r="AO213" s="46"/>
      <c r="AP213" s="46"/>
      <c r="AQ213" s="46"/>
      <c r="AR213" s="46"/>
      <c r="AS213" s="46"/>
      <c r="AT213" s="46"/>
      <c r="AU213" s="46"/>
      <c r="AV213" s="46"/>
      <c r="AW213" s="46"/>
      <c r="AX213" s="46"/>
      <c r="AY213" s="46"/>
      <c r="AZ213" s="46"/>
      <c r="BA213" s="46"/>
      <c r="BB213" s="46"/>
      <c r="BC213" s="46"/>
      <c r="BD213" s="46"/>
      <c r="BE213" s="46"/>
      <c r="BF213" s="46"/>
      <c r="BG213" s="46"/>
      <c r="BH213" s="46"/>
      <c r="BI213" s="46"/>
      <c r="BJ213" s="46"/>
      <c r="BK213" s="46"/>
      <c r="BL213" s="46"/>
      <c r="BM213" s="46"/>
      <c r="BN213" s="46"/>
    </row>
    <row r="214" spans="2:66" ht="14.5" x14ac:dyDescent="0.35"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  <c r="AA214" s="46"/>
      <c r="AB214" s="46"/>
      <c r="AC214" s="46"/>
      <c r="AD214" s="46"/>
      <c r="AE214" s="46"/>
      <c r="AF214" s="46"/>
      <c r="AG214" s="46"/>
      <c r="AH214" s="46"/>
      <c r="AI214" s="46"/>
      <c r="AJ214" s="46"/>
      <c r="AK214" s="46"/>
      <c r="AL214" s="46"/>
      <c r="AM214" s="46"/>
      <c r="AN214" s="46"/>
      <c r="AO214" s="46"/>
      <c r="AP214" s="46"/>
      <c r="AQ214" s="46"/>
      <c r="AR214" s="46"/>
      <c r="AS214" s="46"/>
      <c r="AT214" s="46"/>
      <c r="AU214" s="46"/>
      <c r="AV214" s="46"/>
      <c r="AW214" s="46"/>
      <c r="AX214" s="46"/>
      <c r="AY214" s="46"/>
      <c r="AZ214" s="46"/>
      <c r="BA214" s="46"/>
      <c r="BB214" s="46"/>
      <c r="BC214" s="46"/>
      <c r="BD214" s="46"/>
      <c r="BE214" s="46"/>
      <c r="BF214" s="46"/>
      <c r="BG214" s="46"/>
      <c r="BH214" s="46"/>
      <c r="BI214" s="46"/>
      <c r="BJ214" s="46"/>
      <c r="BK214" s="46"/>
      <c r="BL214" s="46"/>
      <c r="BM214" s="46"/>
      <c r="BN214" s="46"/>
    </row>
    <row r="215" spans="2:66" ht="14.5" x14ac:dyDescent="0.35"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  <c r="AA215" s="46"/>
      <c r="AB215" s="46"/>
      <c r="AC215" s="46"/>
      <c r="AD215" s="46"/>
      <c r="AE215" s="46"/>
      <c r="AF215" s="46"/>
      <c r="AG215" s="46"/>
      <c r="AH215" s="46"/>
      <c r="AI215" s="46"/>
      <c r="AJ215" s="46"/>
      <c r="AK215" s="46"/>
      <c r="AL215" s="46"/>
      <c r="AM215" s="46"/>
      <c r="AN215" s="46"/>
      <c r="AO215" s="46"/>
      <c r="AP215" s="46"/>
      <c r="AQ215" s="46"/>
      <c r="AR215" s="46"/>
      <c r="AS215" s="46"/>
      <c r="AT215" s="46"/>
      <c r="AU215" s="46"/>
      <c r="AV215" s="46"/>
      <c r="AW215" s="46"/>
      <c r="AX215" s="46"/>
      <c r="AY215" s="46"/>
      <c r="AZ215" s="46"/>
      <c r="BA215" s="46"/>
      <c r="BB215" s="46"/>
      <c r="BC215" s="46"/>
      <c r="BD215" s="46"/>
      <c r="BE215" s="46"/>
      <c r="BF215" s="46"/>
      <c r="BG215" s="46"/>
      <c r="BH215" s="46"/>
      <c r="BI215" s="46"/>
      <c r="BJ215" s="46"/>
      <c r="BK215" s="46"/>
      <c r="BL215" s="46"/>
      <c r="BM215" s="46"/>
      <c r="BN215" s="46"/>
    </row>
    <row r="216" spans="2:66" ht="14.5" x14ac:dyDescent="0.35"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46"/>
      <c r="BB216" s="46"/>
      <c r="BC216" s="46"/>
      <c r="BD216" s="46"/>
      <c r="BE216" s="46"/>
      <c r="BF216" s="46"/>
      <c r="BG216" s="46"/>
      <c r="BH216" s="46"/>
      <c r="BI216" s="46"/>
      <c r="BJ216" s="46"/>
      <c r="BK216" s="46"/>
      <c r="BL216" s="46"/>
      <c r="BM216" s="46"/>
      <c r="BN216" s="46"/>
    </row>
    <row r="217" spans="2:66" ht="14.5" x14ac:dyDescent="0.35"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  <c r="AA217" s="46"/>
      <c r="AB217" s="46"/>
      <c r="AC217" s="46"/>
      <c r="AD217" s="46"/>
      <c r="AE217" s="46"/>
      <c r="AF217" s="46"/>
      <c r="AG217" s="46"/>
      <c r="AH217" s="46"/>
      <c r="AI217" s="46"/>
      <c r="AJ217" s="46"/>
      <c r="AK217" s="46"/>
      <c r="AL217" s="46"/>
      <c r="AM217" s="46"/>
      <c r="AN217" s="46"/>
      <c r="AO217" s="46"/>
      <c r="AP217" s="46"/>
      <c r="AQ217" s="46"/>
      <c r="AR217" s="46"/>
      <c r="AS217" s="46"/>
      <c r="AT217" s="46"/>
      <c r="AU217" s="46"/>
      <c r="AV217" s="46"/>
      <c r="AW217" s="46"/>
      <c r="AX217" s="46"/>
      <c r="AY217" s="46"/>
      <c r="AZ217" s="46"/>
      <c r="BA217" s="46"/>
      <c r="BB217" s="46"/>
      <c r="BC217" s="46"/>
      <c r="BD217" s="46"/>
      <c r="BE217" s="46"/>
      <c r="BF217" s="46"/>
      <c r="BG217" s="46"/>
      <c r="BH217" s="46"/>
      <c r="BI217" s="46"/>
      <c r="BJ217" s="46"/>
      <c r="BK217" s="46"/>
      <c r="BL217" s="46"/>
      <c r="BM217" s="46"/>
      <c r="BN217" s="46"/>
    </row>
    <row r="218" spans="2:66" ht="14.5" x14ac:dyDescent="0.35"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  <c r="AA218" s="46"/>
      <c r="AB218" s="46"/>
      <c r="AC218" s="46"/>
      <c r="AD218" s="46"/>
      <c r="AE218" s="46"/>
      <c r="AF218" s="46"/>
      <c r="AG218" s="46"/>
      <c r="AH218" s="46"/>
      <c r="AI218" s="46"/>
      <c r="AJ218" s="46"/>
      <c r="AK218" s="46"/>
      <c r="AL218" s="46"/>
      <c r="AM218" s="46"/>
      <c r="AN218" s="46"/>
      <c r="AO218" s="46"/>
      <c r="AP218" s="46"/>
      <c r="AQ218" s="46"/>
      <c r="AR218" s="46"/>
      <c r="AS218" s="46"/>
      <c r="AT218" s="46"/>
      <c r="AU218" s="46"/>
      <c r="AV218" s="46"/>
      <c r="AW218" s="46"/>
      <c r="AX218" s="46"/>
      <c r="AY218" s="46"/>
      <c r="AZ218" s="46"/>
      <c r="BA218" s="46"/>
      <c r="BB218" s="46"/>
      <c r="BC218" s="46"/>
      <c r="BD218" s="46"/>
      <c r="BE218" s="46"/>
      <c r="BF218" s="46"/>
      <c r="BG218" s="46"/>
      <c r="BH218" s="46"/>
      <c r="BI218" s="46"/>
      <c r="BJ218" s="46"/>
      <c r="BK218" s="46"/>
      <c r="BL218" s="46"/>
      <c r="BM218" s="46"/>
      <c r="BN218" s="46"/>
    </row>
    <row r="219" spans="2:66" ht="14.5" x14ac:dyDescent="0.35"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  <c r="AA219" s="46"/>
      <c r="AB219" s="46"/>
      <c r="AC219" s="46"/>
      <c r="AD219" s="46"/>
      <c r="AE219" s="46"/>
      <c r="AF219" s="46"/>
      <c r="AG219" s="46"/>
      <c r="AH219" s="46"/>
      <c r="AI219" s="46"/>
      <c r="AJ219" s="46"/>
      <c r="AK219" s="46"/>
      <c r="AL219" s="46"/>
      <c r="AM219" s="46"/>
      <c r="AN219" s="46"/>
      <c r="AO219" s="46"/>
      <c r="AP219" s="46"/>
      <c r="AQ219" s="46"/>
      <c r="AR219" s="46"/>
      <c r="AS219" s="46"/>
      <c r="AT219" s="46"/>
      <c r="AU219" s="46"/>
      <c r="AV219" s="46"/>
      <c r="AW219" s="46"/>
      <c r="AX219" s="46"/>
      <c r="AY219" s="46"/>
      <c r="AZ219" s="46"/>
      <c r="BA219" s="46"/>
      <c r="BB219" s="46"/>
      <c r="BC219" s="46"/>
      <c r="BD219" s="46"/>
      <c r="BE219" s="46"/>
      <c r="BF219" s="46"/>
      <c r="BG219" s="46"/>
      <c r="BH219" s="46"/>
      <c r="BI219" s="46"/>
      <c r="BJ219" s="46"/>
      <c r="BK219" s="46"/>
      <c r="BL219" s="46"/>
      <c r="BM219" s="46"/>
      <c r="BN219" s="46"/>
    </row>
    <row r="220" spans="2:66" ht="14.5" x14ac:dyDescent="0.35"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  <c r="AA220" s="46"/>
      <c r="AB220" s="46"/>
      <c r="AC220" s="46"/>
      <c r="AD220" s="46"/>
      <c r="AE220" s="46"/>
      <c r="AF220" s="46"/>
      <c r="AG220" s="46"/>
      <c r="AH220" s="46"/>
      <c r="AI220" s="46"/>
      <c r="AJ220" s="46"/>
      <c r="AK220" s="46"/>
      <c r="AL220" s="46"/>
      <c r="AM220" s="46"/>
      <c r="AN220" s="46"/>
      <c r="AO220" s="46"/>
      <c r="AP220" s="46"/>
      <c r="AQ220" s="46"/>
      <c r="AR220" s="46"/>
      <c r="AS220" s="46"/>
      <c r="AT220" s="46"/>
      <c r="AU220" s="46"/>
      <c r="AV220" s="46"/>
      <c r="AW220" s="46"/>
      <c r="AX220" s="46"/>
      <c r="AY220" s="46"/>
      <c r="AZ220" s="46"/>
      <c r="BA220" s="46"/>
      <c r="BB220" s="46"/>
      <c r="BC220" s="46"/>
      <c r="BD220" s="46"/>
      <c r="BE220" s="46"/>
      <c r="BF220" s="46"/>
      <c r="BG220" s="46"/>
      <c r="BH220" s="46"/>
      <c r="BI220" s="46"/>
      <c r="BJ220" s="46"/>
      <c r="BK220" s="46"/>
      <c r="BL220" s="46"/>
      <c r="BM220" s="46"/>
      <c r="BN220" s="46"/>
    </row>
    <row r="221" spans="2:66" ht="14.5" x14ac:dyDescent="0.35"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  <c r="AA221" s="46"/>
      <c r="AB221" s="46"/>
      <c r="AC221" s="46"/>
      <c r="AD221" s="46"/>
      <c r="AE221" s="46"/>
      <c r="AF221" s="46"/>
      <c r="AG221" s="46"/>
      <c r="AH221" s="46"/>
      <c r="AI221" s="46"/>
      <c r="AJ221" s="46"/>
      <c r="AK221" s="46"/>
      <c r="AL221" s="46"/>
      <c r="AM221" s="46"/>
      <c r="AN221" s="46"/>
      <c r="AO221" s="46"/>
      <c r="AP221" s="46"/>
      <c r="AQ221" s="46"/>
      <c r="AR221" s="46"/>
      <c r="AS221" s="46"/>
      <c r="AT221" s="46"/>
      <c r="AU221" s="46"/>
      <c r="AV221" s="46"/>
      <c r="AW221" s="46"/>
      <c r="AX221" s="46"/>
      <c r="AY221" s="46"/>
      <c r="AZ221" s="46"/>
      <c r="BA221" s="46"/>
      <c r="BB221" s="46"/>
      <c r="BC221" s="46"/>
      <c r="BD221" s="46"/>
      <c r="BE221" s="46"/>
      <c r="BF221" s="46"/>
      <c r="BG221" s="46"/>
      <c r="BH221" s="46"/>
      <c r="BI221" s="46"/>
      <c r="BJ221" s="46"/>
      <c r="BK221" s="46"/>
      <c r="BL221" s="46"/>
      <c r="BM221" s="46"/>
      <c r="BN221" s="46"/>
    </row>
    <row r="222" spans="2:66" ht="14.5" x14ac:dyDescent="0.35"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  <c r="AA222" s="46"/>
      <c r="AB222" s="46"/>
      <c r="AC222" s="46"/>
      <c r="AD222" s="46"/>
      <c r="AE222" s="46"/>
      <c r="AF222" s="46"/>
      <c r="AG222" s="46"/>
      <c r="AH222" s="46"/>
      <c r="AI222" s="46"/>
      <c r="AJ222" s="46"/>
      <c r="AK222" s="46"/>
      <c r="AL222" s="46"/>
      <c r="AM222" s="46"/>
      <c r="AN222" s="46"/>
      <c r="AO222" s="46"/>
      <c r="AP222" s="46"/>
      <c r="AQ222" s="46"/>
      <c r="AR222" s="46"/>
      <c r="AS222" s="46"/>
      <c r="AT222" s="46"/>
      <c r="AU222" s="46"/>
      <c r="AV222" s="46"/>
      <c r="AW222" s="46"/>
      <c r="AX222" s="46"/>
      <c r="AY222" s="46"/>
      <c r="AZ222" s="46"/>
      <c r="BA222" s="46"/>
      <c r="BB222" s="46"/>
      <c r="BC222" s="46"/>
      <c r="BD222" s="46"/>
      <c r="BE222" s="46"/>
      <c r="BF222" s="46"/>
      <c r="BG222" s="46"/>
      <c r="BH222" s="46"/>
      <c r="BI222" s="46"/>
      <c r="BJ222" s="46"/>
      <c r="BK222" s="46"/>
      <c r="BL222" s="46"/>
      <c r="BM222" s="46"/>
      <c r="BN222" s="46"/>
    </row>
    <row r="223" spans="2:66" ht="14.5" x14ac:dyDescent="0.35"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  <c r="AA223" s="46"/>
      <c r="AB223" s="46"/>
      <c r="AC223" s="46"/>
      <c r="AD223" s="46"/>
      <c r="AE223" s="46"/>
      <c r="AF223" s="46"/>
      <c r="AG223" s="46"/>
      <c r="AH223" s="46"/>
      <c r="AI223" s="46"/>
      <c r="AJ223" s="46"/>
      <c r="AK223" s="46"/>
      <c r="AL223" s="46"/>
      <c r="AM223" s="46"/>
      <c r="AN223" s="46"/>
      <c r="AO223" s="46"/>
      <c r="AP223" s="46"/>
      <c r="AQ223" s="46"/>
      <c r="AR223" s="46"/>
      <c r="AS223" s="46"/>
      <c r="AT223" s="46"/>
      <c r="AU223" s="46"/>
      <c r="AV223" s="46"/>
      <c r="AW223" s="46"/>
      <c r="AX223" s="46"/>
      <c r="AY223" s="46"/>
      <c r="AZ223" s="46"/>
      <c r="BA223" s="46"/>
      <c r="BB223" s="46"/>
      <c r="BC223" s="46"/>
      <c r="BD223" s="46"/>
      <c r="BE223" s="46"/>
      <c r="BF223" s="46"/>
      <c r="BG223" s="46"/>
      <c r="BH223" s="46"/>
      <c r="BI223" s="46"/>
      <c r="BJ223" s="46"/>
      <c r="BK223" s="46"/>
      <c r="BL223" s="46"/>
      <c r="BM223" s="46"/>
      <c r="BN223" s="46"/>
    </row>
    <row r="224" spans="2:66" ht="14.5" x14ac:dyDescent="0.35"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  <c r="AA224" s="46"/>
      <c r="AB224" s="46"/>
      <c r="AC224" s="46"/>
      <c r="AD224" s="46"/>
      <c r="AE224" s="46"/>
      <c r="AF224" s="46"/>
      <c r="AG224" s="46"/>
      <c r="AH224" s="46"/>
      <c r="AI224" s="46"/>
      <c r="AJ224" s="46"/>
      <c r="AK224" s="46"/>
      <c r="AL224" s="46"/>
      <c r="AM224" s="46"/>
      <c r="AN224" s="46"/>
      <c r="AO224" s="46"/>
      <c r="AP224" s="46"/>
      <c r="AQ224" s="46"/>
      <c r="AR224" s="46"/>
      <c r="AS224" s="46"/>
      <c r="AT224" s="46"/>
      <c r="AU224" s="46"/>
      <c r="AV224" s="46"/>
      <c r="AW224" s="46"/>
      <c r="AX224" s="46"/>
      <c r="AY224" s="46"/>
      <c r="AZ224" s="46"/>
      <c r="BA224" s="46"/>
      <c r="BB224" s="46"/>
      <c r="BC224" s="46"/>
      <c r="BD224" s="46"/>
      <c r="BE224" s="46"/>
      <c r="BF224" s="46"/>
      <c r="BG224" s="46"/>
      <c r="BH224" s="46"/>
      <c r="BI224" s="46"/>
      <c r="BJ224" s="46"/>
      <c r="BK224" s="46"/>
      <c r="BL224" s="46"/>
      <c r="BM224" s="46"/>
      <c r="BN224" s="46"/>
    </row>
    <row r="225" spans="2:66" ht="14.5" x14ac:dyDescent="0.35"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6"/>
      <c r="AD225" s="46"/>
      <c r="AE225" s="46"/>
      <c r="AF225" s="46"/>
      <c r="AG225" s="46"/>
      <c r="AH225" s="46"/>
      <c r="AI225" s="46"/>
      <c r="AJ225" s="46"/>
      <c r="AK225" s="46"/>
      <c r="AL225" s="46"/>
      <c r="AM225" s="46"/>
      <c r="AN225" s="46"/>
      <c r="AO225" s="46"/>
      <c r="AP225" s="46"/>
      <c r="AQ225" s="46"/>
      <c r="AR225" s="46"/>
      <c r="AS225" s="46"/>
      <c r="AT225" s="46"/>
      <c r="AU225" s="46"/>
      <c r="AV225" s="46"/>
      <c r="AW225" s="46"/>
      <c r="AX225" s="46"/>
      <c r="AY225" s="46"/>
      <c r="AZ225" s="46"/>
      <c r="BA225" s="46"/>
      <c r="BB225" s="46"/>
      <c r="BC225" s="46"/>
      <c r="BD225" s="46"/>
      <c r="BE225" s="46"/>
      <c r="BF225" s="46"/>
      <c r="BG225" s="46"/>
      <c r="BH225" s="46"/>
      <c r="BI225" s="46"/>
      <c r="BJ225" s="46"/>
      <c r="BK225" s="46"/>
      <c r="BL225" s="46"/>
      <c r="BM225" s="46"/>
      <c r="BN225" s="46"/>
    </row>
    <row r="226" spans="2:66" ht="14.5" x14ac:dyDescent="0.35"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  <c r="AA226" s="46"/>
      <c r="AB226" s="46"/>
      <c r="AC226" s="46"/>
      <c r="AD226" s="46"/>
      <c r="AE226" s="46"/>
      <c r="AF226" s="46"/>
      <c r="AG226" s="46"/>
      <c r="AH226" s="46"/>
      <c r="AI226" s="46"/>
      <c r="AJ226" s="46"/>
      <c r="AK226" s="46"/>
      <c r="AL226" s="46"/>
      <c r="AM226" s="46"/>
      <c r="AN226" s="46"/>
      <c r="AO226" s="46"/>
      <c r="AP226" s="46"/>
      <c r="AQ226" s="46"/>
      <c r="AR226" s="46"/>
      <c r="AS226" s="46"/>
      <c r="AT226" s="46"/>
      <c r="AU226" s="46"/>
      <c r="AV226" s="46"/>
      <c r="AW226" s="46"/>
      <c r="AX226" s="46"/>
      <c r="AY226" s="46"/>
      <c r="AZ226" s="46"/>
      <c r="BA226" s="46"/>
      <c r="BB226" s="46"/>
      <c r="BC226" s="46"/>
      <c r="BD226" s="46"/>
      <c r="BE226" s="46"/>
      <c r="BF226" s="46"/>
      <c r="BG226" s="46"/>
      <c r="BH226" s="46"/>
      <c r="BI226" s="46"/>
      <c r="BJ226" s="46"/>
      <c r="BK226" s="46"/>
      <c r="BL226" s="46"/>
      <c r="BM226" s="46"/>
      <c r="BN226" s="46"/>
    </row>
    <row r="227" spans="2:66" ht="14.5" x14ac:dyDescent="0.35"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  <c r="AA227" s="46"/>
      <c r="AB227" s="46"/>
      <c r="AC227" s="46"/>
      <c r="AD227" s="46"/>
      <c r="AE227" s="46"/>
      <c r="AF227" s="46"/>
      <c r="AG227" s="46"/>
      <c r="AH227" s="46"/>
      <c r="AI227" s="46"/>
      <c r="AJ227" s="46"/>
      <c r="AK227" s="46"/>
      <c r="AL227" s="46"/>
      <c r="AM227" s="46"/>
      <c r="AN227" s="46"/>
      <c r="AO227" s="46"/>
      <c r="AP227" s="46"/>
      <c r="AQ227" s="46"/>
      <c r="AR227" s="46"/>
      <c r="AS227" s="46"/>
      <c r="AT227" s="46"/>
      <c r="AU227" s="46"/>
      <c r="AV227" s="46"/>
      <c r="AW227" s="46"/>
      <c r="AX227" s="46"/>
      <c r="AY227" s="46"/>
      <c r="AZ227" s="46"/>
      <c r="BA227" s="46"/>
      <c r="BB227" s="46"/>
      <c r="BC227" s="46"/>
      <c r="BD227" s="46"/>
      <c r="BE227" s="46"/>
      <c r="BF227" s="46"/>
      <c r="BG227" s="46"/>
      <c r="BH227" s="46"/>
      <c r="BI227" s="46"/>
      <c r="BJ227" s="46"/>
      <c r="BK227" s="46"/>
      <c r="BL227" s="46"/>
      <c r="BM227" s="46"/>
      <c r="BN227" s="46"/>
    </row>
    <row r="228" spans="2:66" ht="14.5" x14ac:dyDescent="0.35"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  <c r="AA228" s="46"/>
      <c r="AB228" s="46"/>
      <c r="AC228" s="46"/>
      <c r="AD228" s="46"/>
      <c r="AE228" s="46"/>
      <c r="AF228" s="46"/>
      <c r="AG228" s="46"/>
      <c r="AH228" s="46"/>
      <c r="AI228" s="46"/>
      <c r="AJ228" s="46"/>
      <c r="AK228" s="46"/>
      <c r="AL228" s="46"/>
      <c r="AM228" s="46"/>
      <c r="AN228" s="46"/>
      <c r="AO228" s="46"/>
      <c r="AP228" s="46"/>
      <c r="AQ228" s="46"/>
      <c r="AR228" s="46"/>
      <c r="AS228" s="46"/>
      <c r="AT228" s="46"/>
      <c r="AU228" s="46"/>
      <c r="AV228" s="46"/>
      <c r="AW228" s="46"/>
      <c r="AX228" s="46"/>
      <c r="AY228" s="46"/>
      <c r="AZ228" s="46"/>
      <c r="BA228" s="46"/>
      <c r="BB228" s="46"/>
      <c r="BC228" s="46"/>
      <c r="BD228" s="46"/>
      <c r="BE228" s="46"/>
      <c r="BF228" s="46"/>
      <c r="BG228" s="46"/>
      <c r="BH228" s="46"/>
      <c r="BI228" s="46"/>
      <c r="BJ228" s="46"/>
      <c r="BK228" s="46"/>
      <c r="BL228" s="46"/>
      <c r="BM228" s="46"/>
      <c r="BN228" s="46"/>
    </row>
    <row r="229" spans="2:66" ht="14.5" x14ac:dyDescent="0.35"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  <c r="AA229" s="46"/>
      <c r="AB229" s="46"/>
      <c r="AC229" s="46"/>
      <c r="AD229" s="46"/>
      <c r="AE229" s="46"/>
      <c r="AF229" s="46"/>
      <c r="AG229" s="46"/>
      <c r="AH229" s="46"/>
      <c r="AI229" s="46"/>
      <c r="AJ229" s="46"/>
      <c r="AK229" s="46"/>
      <c r="AL229" s="46"/>
      <c r="AM229" s="46"/>
      <c r="AN229" s="46"/>
      <c r="AO229" s="46"/>
      <c r="AP229" s="46"/>
      <c r="AQ229" s="46"/>
      <c r="AR229" s="46"/>
      <c r="AS229" s="46"/>
      <c r="AT229" s="46"/>
      <c r="AU229" s="46"/>
      <c r="AV229" s="46"/>
      <c r="AW229" s="46"/>
      <c r="AX229" s="46"/>
      <c r="AY229" s="46"/>
      <c r="AZ229" s="46"/>
      <c r="BA229" s="46"/>
      <c r="BB229" s="46"/>
      <c r="BC229" s="46"/>
      <c r="BD229" s="46"/>
      <c r="BE229" s="46"/>
      <c r="BF229" s="46"/>
      <c r="BG229" s="46"/>
      <c r="BH229" s="46"/>
      <c r="BI229" s="46"/>
      <c r="BJ229" s="46"/>
      <c r="BK229" s="46"/>
      <c r="BL229" s="46"/>
      <c r="BM229" s="46"/>
      <c r="BN229" s="46"/>
    </row>
    <row r="230" spans="2:66" ht="14.5" x14ac:dyDescent="0.35"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  <c r="AA230" s="46"/>
      <c r="AB230" s="46"/>
      <c r="AC230" s="46"/>
      <c r="AD230" s="46"/>
      <c r="AE230" s="46"/>
      <c r="AF230" s="46"/>
      <c r="AG230" s="46"/>
      <c r="AH230" s="46"/>
      <c r="AI230" s="46"/>
      <c r="AJ230" s="46"/>
      <c r="AK230" s="46"/>
      <c r="AL230" s="46"/>
      <c r="AM230" s="46"/>
      <c r="AN230" s="46"/>
      <c r="AO230" s="46"/>
      <c r="AP230" s="46"/>
      <c r="AQ230" s="46"/>
      <c r="AR230" s="46"/>
      <c r="AS230" s="46"/>
      <c r="AT230" s="46"/>
      <c r="AU230" s="46"/>
      <c r="AV230" s="46"/>
      <c r="AW230" s="46"/>
      <c r="AX230" s="46"/>
      <c r="AY230" s="46"/>
      <c r="AZ230" s="46"/>
      <c r="BA230" s="46"/>
      <c r="BB230" s="46"/>
      <c r="BC230" s="46"/>
      <c r="BD230" s="46"/>
      <c r="BE230" s="46"/>
      <c r="BF230" s="46"/>
      <c r="BG230" s="46"/>
      <c r="BH230" s="46"/>
      <c r="BI230" s="46"/>
      <c r="BJ230" s="46"/>
      <c r="BK230" s="46"/>
      <c r="BL230" s="46"/>
      <c r="BM230" s="46"/>
      <c r="BN230" s="46"/>
    </row>
    <row r="231" spans="2:66" ht="14.5" x14ac:dyDescent="0.35"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  <c r="AA231" s="46"/>
      <c r="AB231" s="46"/>
      <c r="AC231" s="46"/>
      <c r="AD231" s="46"/>
      <c r="AE231" s="46"/>
      <c r="AF231" s="46"/>
      <c r="AG231" s="46"/>
      <c r="AH231" s="46"/>
      <c r="AI231" s="46"/>
      <c r="AJ231" s="46"/>
      <c r="AK231" s="46"/>
      <c r="AL231" s="46"/>
      <c r="AM231" s="46"/>
      <c r="AN231" s="46"/>
      <c r="AO231" s="46"/>
      <c r="AP231" s="46"/>
      <c r="AQ231" s="46"/>
      <c r="AR231" s="46"/>
      <c r="AS231" s="46"/>
      <c r="AT231" s="46"/>
      <c r="AU231" s="46"/>
      <c r="AV231" s="46"/>
      <c r="AW231" s="46"/>
      <c r="AX231" s="46"/>
      <c r="AY231" s="46"/>
      <c r="AZ231" s="46"/>
      <c r="BA231" s="46"/>
      <c r="BB231" s="46"/>
      <c r="BC231" s="46"/>
      <c r="BD231" s="46"/>
      <c r="BE231" s="46"/>
      <c r="BF231" s="46"/>
      <c r="BG231" s="46"/>
      <c r="BH231" s="46"/>
      <c r="BI231" s="46"/>
      <c r="BJ231" s="46"/>
      <c r="BK231" s="46"/>
      <c r="BL231" s="46"/>
      <c r="BM231" s="46"/>
      <c r="BN231" s="46"/>
    </row>
    <row r="232" spans="2:66" ht="14.5" x14ac:dyDescent="0.35"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  <c r="AA232" s="46"/>
      <c r="AB232" s="46"/>
      <c r="AC232" s="46"/>
      <c r="AD232" s="46"/>
      <c r="AE232" s="46"/>
      <c r="AF232" s="46"/>
      <c r="AG232" s="46"/>
      <c r="AH232" s="46"/>
      <c r="AI232" s="46"/>
      <c r="AJ232" s="46"/>
      <c r="AK232" s="46"/>
      <c r="AL232" s="46"/>
      <c r="AM232" s="46"/>
      <c r="AN232" s="46"/>
      <c r="AO232" s="46"/>
      <c r="AP232" s="46"/>
      <c r="AQ232" s="46"/>
      <c r="AR232" s="46"/>
      <c r="AS232" s="46"/>
      <c r="AT232" s="46"/>
      <c r="AU232" s="46"/>
      <c r="AV232" s="46"/>
      <c r="AW232" s="46"/>
      <c r="AX232" s="46"/>
      <c r="AY232" s="46"/>
      <c r="AZ232" s="46"/>
      <c r="BA232" s="46"/>
      <c r="BB232" s="46"/>
      <c r="BC232" s="46"/>
      <c r="BD232" s="46"/>
      <c r="BE232" s="46"/>
      <c r="BF232" s="46"/>
      <c r="BG232" s="46"/>
      <c r="BH232" s="46"/>
      <c r="BI232" s="46"/>
      <c r="BJ232" s="46"/>
      <c r="BK232" s="46"/>
      <c r="BL232" s="46"/>
      <c r="BM232" s="46"/>
      <c r="BN232" s="46"/>
    </row>
    <row r="233" spans="2:66" ht="14.5" x14ac:dyDescent="0.35"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46"/>
      <c r="BB233" s="46"/>
      <c r="BC233" s="46"/>
      <c r="BD233" s="46"/>
      <c r="BE233" s="46"/>
      <c r="BF233" s="46"/>
      <c r="BG233" s="46"/>
      <c r="BH233" s="46"/>
      <c r="BI233" s="46"/>
      <c r="BJ233" s="46"/>
      <c r="BK233" s="46"/>
      <c r="BL233" s="46"/>
      <c r="BM233" s="46"/>
      <c r="BN233" s="46"/>
    </row>
    <row r="234" spans="2:66" ht="14.5" x14ac:dyDescent="0.35"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  <c r="AA234" s="46"/>
      <c r="AB234" s="46"/>
      <c r="AC234" s="46"/>
      <c r="AD234" s="46"/>
      <c r="AE234" s="46"/>
      <c r="AF234" s="46"/>
      <c r="AG234" s="46"/>
      <c r="AH234" s="46"/>
      <c r="AI234" s="46"/>
      <c r="AJ234" s="46"/>
      <c r="AK234" s="46"/>
      <c r="AL234" s="46"/>
      <c r="AM234" s="46"/>
      <c r="AN234" s="46"/>
      <c r="AO234" s="46"/>
      <c r="AP234" s="46"/>
      <c r="AQ234" s="46"/>
      <c r="AR234" s="46"/>
      <c r="AS234" s="46"/>
      <c r="AT234" s="46"/>
      <c r="AU234" s="46"/>
      <c r="AV234" s="46"/>
      <c r="AW234" s="46"/>
      <c r="AX234" s="46"/>
      <c r="AY234" s="46"/>
      <c r="AZ234" s="46"/>
      <c r="BA234" s="46"/>
      <c r="BB234" s="46"/>
      <c r="BC234" s="46"/>
      <c r="BD234" s="46"/>
      <c r="BE234" s="46"/>
      <c r="BF234" s="46"/>
      <c r="BG234" s="46"/>
      <c r="BH234" s="46"/>
      <c r="BI234" s="46"/>
      <c r="BJ234" s="46"/>
      <c r="BK234" s="46"/>
      <c r="BL234" s="46"/>
      <c r="BM234" s="46"/>
      <c r="BN234" s="46"/>
    </row>
    <row r="235" spans="2:66" ht="14.5" x14ac:dyDescent="0.35"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  <c r="AA235" s="46"/>
      <c r="AB235" s="46"/>
      <c r="AC235" s="46"/>
      <c r="AD235" s="46"/>
      <c r="AE235" s="46"/>
      <c r="AF235" s="46"/>
      <c r="AG235" s="46"/>
      <c r="AH235" s="46"/>
      <c r="AI235" s="46"/>
      <c r="AJ235" s="46"/>
      <c r="AK235" s="46"/>
      <c r="AL235" s="46"/>
      <c r="AM235" s="46"/>
      <c r="AN235" s="46"/>
      <c r="AO235" s="46"/>
      <c r="AP235" s="46"/>
      <c r="AQ235" s="46"/>
      <c r="AR235" s="46"/>
      <c r="AS235" s="46"/>
      <c r="AT235" s="46"/>
      <c r="AU235" s="46"/>
      <c r="AV235" s="46"/>
      <c r="AW235" s="46"/>
      <c r="AX235" s="46"/>
      <c r="AY235" s="46"/>
      <c r="AZ235" s="46"/>
      <c r="BA235" s="46"/>
      <c r="BB235" s="46"/>
      <c r="BC235" s="46"/>
      <c r="BD235" s="46"/>
      <c r="BE235" s="46"/>
      <c r="BF235" s="46"/>
      <c r="BG235" s="46"/>
      <c r="BH235" s="46"/>
      <c r="BI235" s="46"/>
      <c r="BJ235" s="46"/>
      <c r="BK235" s="46"/>
      <c r="BL235" s="46"/>
      <c r="BM235" s="46"/>
      <c r="BN235" s="46"/>
    </row>
    <row r="236" spans="2:66" ht="14.5" x14ac:dyDescent="0.35"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  <c r="AA236" s="46"/>
      <c r="AB236" s="46"/>
      <c r="AC236" s="46"/>
      <c r="AD236" s="46"/>
      <c r="AE236" s="46"/>
      <c r="AF236" s="46"/>
      <c r="AG236" s="46"/>
      <c r="AH236" s="46"/>
      <c r="AI236" s="46"/>
      <c r="AJ236" s="46"/>
      <c r="AK236" s="46"/>
      <c r="AL236" s="46"/>
      <c r="AM236" s="46"/>
      <c r="AN236" s="46"/>
      <c r="AO236" s="46"/>
      <c r="AP236" s="46"/>
      <c r="AQ236" s="46"/>
      <c r="AR236" s="46"/>
      <c r="AS236" s="46"/>
      <c r="AT236" s="46"/>
      <c r="AU236" s="46"/>
      <c r="AV236" s="46"/>
      <c r="AW236" s="46"/>
      <c r="AX236" s="46"/>
      <c r="AY236" s="46"/>
      <c r="AZ236" s="46"/>
      <c r="BA236" s="46"/>
      <c r="BB236" s="46"/>
      <c r="BC236" s="46"/>
      <c r="BD236" s="46"/>
      <c r="BE236" s="46"/>
      <c r="BF236" s="46"/>
      <c r="BG236" s="46"/>
      <c r="BH236" s="46"/>
      <c r="BI236" s="46"/>
      <c r="BJ236" s="46"/>
      <c r="BK236" s="46"/>
      <c r="BL236" s="46"/>
      <c r="BM236" s="46"/>
      <c r="BN236" s="46"/>
    </row>
    <row r="237" spans="2:66" ht="14.5" x14ac:dyDescent="0.35"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  <c r="AA237" s="46"/>
      <c r="AB237" s="46"/>
      <c r="AC237" s="46"/>
      <c r="AD237" s="46"/>
      <c r="AE237" s="46"/>
      <c r="AF237" s="46"/>
      <c r="AG237" s="46"/>
      <c r="AH237" s="46"/>
      <c r="AI237" s="46"/>
      <c r="AJ237" s="46"/>
      <c r="AK237" s="46"/>
      <c r="AL237" s="46"/>
      <c r="AM237" s="46"/>
      <c r="AN237" s="46"/>
      <c r="AO237" s="46"/>
      <c r="AP237" s="46"/>
      <c r="AQ237" s="46"/>
      <c r="AR237" s="46"/>
      <c r="AS237" s="46"/>
      <c r="AT237" s="46"/>
      <c r="AU237" s="46"/>
      <c r="AV237" s="46"/>
      <c r="AW237" s="46"/>
      <c r="AX237" s="46"/>
      <c r="AY237" s="46"/>
      <c r="AZ237" s="46"/>
      <c r="BA237" s="46"/>
      <c r="BB237" s="46"/>
      <c r="BC237" s="46"/>
      <c r="BD237" s="46"/>
      <c r="BE237" s="46"/>
      <c r="BF237" s="46"/>
      <c r="BG237" s="46"/>
      <c r="BH237" s="46"/>
      <c r="BI237" s="46"/>
      <c r="BJ237" s="46"/>
      <c r="BK237" s="46"/>
      <c r="BL237" s="46"/>
      <c r="BM237" s="46"/>
      <c r="BN237" s="46"/>
    </row>
    <row r="238" spans="2:66" ht="14.5" x14ac:dyDescent="0.35"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  <c r="AA238" s="46"/>
      <c r="AB238" s="46"/>
      <c r="AC238" s="46"/>
      <c r="AD238" s="46"/>
      <c r="AE238" s="46"/>
      <c r="AF238" s="46"/>
      <c r="AG238" s="46"/>
      <c r="AH238" s="46"/>
      <c r="AI238" s="46"/>
      <c r="AJ238" s="46"/>
      <c r="AK238" s="46"/>
      <c r="AL238" s="46"/>
      <c r="AM238" s="46"/>
      <c r="AN238" s="46"/>
      <c r="AO238" s="46"/>
      <c r="AP238" s="46"/>
      <c r="AQ238" s="46"/>
      <c r="AR238" s="46"/>
      <c r="AS238" s="46"/>
      <c r="AT238" s="46"/>
      <c r="AU238" s="46"/>
      <c r="AV238" s="46"/>
      <c r="AW238" s="46"/>
      <c r="AX238" s="46"/>
      <c r="AY238" s="46"/>
      <c r="AZ238" s="46"/>
      <c r="BA238" s="46"/>
      <c r="BB238" s="46"/>
      <c r="BC238" s="46"/>
      <c r="BD238" s="46"/>
      <c r="BE238" s="46"/>
      <c r="BF238" s="46"/>
      <c r="BG238" s="46"/>
      <c r="BH238" s="46"/>
      <c r="BI238" s="46"/>
      <c r="BJ238" s="46"/>
      <c r="BK238" s="46"/>
      <c r="BL238" s="46"/>
      <c r="BM238" s="46"/>
      <c r="BN238" s="46"/>
    </row>
  </sheetData>
  <dataConsolidate/>
  <dataValidations count="4">
    <dataValidation type="list" allowBlank="1" showInputMessage="1" showErrorMessage="1" sqref="R16">
      <formula1>$Q$9:$S$9</formula1>
    </dataValidation>
    <dataValidation type="list" allowBlank="1" showInputMessage="1" showErrorMessage="1" sqref="R20">
      <formula1>$U$9:$W$9</formula1>
    </dataValidation>
    <dataValidation type="list" allowBlank="1" showInputMessage="1" showErrorMessage="1" sqref="C3">
      <formula1>$G$3:$G$15</formula1>
    </dataValidation>
    <dataValidation type="list" allowBlank="1" showInputMessage="1" showErrorMessage="1" sqref="C7">
      <formula1>$G$22:$G$23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zoomScaleNormal="100" workbookViewId="0">
      <selection activeCell="K19" sqref="K19"/>
    </sheetView>
  </sheetViews>
  <sheetFormatPr defaultColWidth="0" defaultRowHeight="12.65" customHeight="1" zeroHeight="1" x14ac:dyDescent="0.25"/>
  <cols>
    <col min="1" max="1" width="45.453125" style="185" customWidth="1"/>
    <col min="2" max="14" width="9.1796875" style="185" customWidth="1"/>
    <col min="15" max="16384" width="9.1796875" style="185" hidden="1"/>
  </cols>
  <sheetData>
    <row r="1" spans="1:11" ht="13" x14ac:dyDescent="0.3">
      <c r="A1" s="184" t="str">
        <f>"Assessment of "&amp;Inputs!C2&amp;"'s estimated opex "&amp;Inputs!C4</f>
        <v>Assessment of Ausnet's estimated opex 2018</v>
      </c>
    </row>
    <row r="2" spans="1:11" ht="13" x14ac:dyDescent="0.3">
      <c r="A2" s="184"/>
    </row>
    <row r="3" spans="1:11" ht="13" x14ac:dyDescent="0.3">
      <c r="A3" s="184" t="str">
        <f>"Assessment made by comparing to rolled forward average target opex for "&amp;Inputs!C5&amp;"-"&amp;RIGHT(Inputs!C6,2)&amp;" from four models"</f>
        <v>Assessment made by comparing to rolled forward average target opex for 2006-18 from four models</v>
      </c>
    </row>
    <row r="4" spans="1:11" ht="13" x14ac:dyDescent="0.3">
      <c r="A4" s="184"/>
    </row>
    <row r="5" spans="1:11" ht="13" x14ac:dyDescent="0.3">
      <c r="A5" s="184" t="s">
        <v>157</v>
      </c>
    </row>
    <row r="6" spans="1:11" ht="13" x14ac:dyDescent="0.3">
      <c r="A6" s="184" t="s">
        <v>158</v>
      </c>
    </row>
    <row r="7" spans="1:11" ht="12.5" x14ac:dyDescent="0.25">
      <c r="H7" s="204" t="s">
        <v>181</v>
      </c>
    </row>
    <row r="8" spans="1:11" ht="13" x14ac:dyDescent="0.3">
      <c r="A8" s="186" t="str">
        <f>'Opex Forecasts'!A36</f>
        <v>Target opex ($'000Jun2021)</v>
      </c>
      <c r="B8" s="184">
        <f>'Opex Forecasts'!E13</f>
        <v>2018</v>
      </c>
      <c r="C8" s="184"/>
      <c r="D8" s="184"/>
      <c r="E8" s="184" t="s">
        <v>170</v>
      </c>
    </row>
    <row r="9" spans="1:11" ht="14.5" x14ac:dyDescent="0.35">
      <c r="A9" s="185" t="str">
        <f>'Opex Modelling Results'!A4</f>
        <v xml:space="preserve">Cobb-Douglas SFA </v>
      </c>
      <c r="B9" s="188">
        <f>'Opex Forecasts'!E36/1000</f>
        <v>211.89046455787229</v>
      </c>
      <c r="C9" s="188"/>
      <c r="D9" s="188"/>
      <c r="E9" s="188">
        <f>INDEX($B$8:$C$17,MATCH($A9,$A$8:$A$17,0),MATCH(Inputs!$C$4,Summary!$B$8:$C$8,0))*H9</f>
        <v>211.89046455787229</v>
      </c>
      <c r="G9" s="189">
        <f>AVERAGE($E$9:$E$12)</f>
        <v>209.5719097653548</v>
      </c>
      <c r="H9" s="185">
        <v>1</v>
      </c>
      <c r="K9" s="201"/>
    </row>
    <row r="10" spans="1:11" ht="14.5" x14ac:dyDescent="0.35">
      <c r="A10" s="185" t="str">
        <f>'Opex Modelling Results'!H4</f>
        <v xml:space="preserve">Cobb-Douglas LSE </v>
      </c>
      <c r="B10" s="188">
        <f>'Opex Forecasts'!K36/1000</f>
        <v>215.25365901263234</v>
      </c>
      <c r="C10" s="188"/>
      <c r="D10" s="188"/>
      <c r="E10" s="188">
        <f>INDEX($B$8:$C$17,MATCH($A10,$A$8:$A$17,0),MATCH(Inputs!$C$4,Summary!$B$8:$C$8,0))*H10</f>
        <v>215.25365901263234</v>
      </c>
      <c r="G10" s="189">
        <f t="shared" ref="G10:G13" si="0">AVERAGE($E$9:$E$12)</f>
        <v>209.5719097653548</v>
      </c>
      <c r="H10" s="185">
        <v>1</v>
      </c>
      <c r="K10" s="201"/>
    </row>
    <row r="11" spans="1:11" ht="14.5" x14ac:dyDescent="0.35">
      <c r="A11" s="185" t="str">
        <f>'Opex Modelling Results'!O4</f>
        <v>Translog LSE</v>
      </c>
      <c r="B11" s="188">
        <f>'Opex Forecasts'!Q36/1000</f>
        <v>203.90525854868005</v>
      </c>
      <c r="C11" s="188"/>
      <c r="D11" s="188"/>
      <c r="E11" s="188">
        <f>INDEX($B$8:$C$17,MATCH($A11,$A$8:$A$17,0),MATCH(Inputs!$C$4,Summary!$B$8:$C$8,0))*H11</f>
        <v>203.90525854868005</v>
      </c>
      <c r="G11" s="189">
        <f t="shared" si="0"/>
        <v>209.5719097653548</v>
      </c>
      <c r="H11" s="185">
        <v>1</v>
      </c>
      <c r="K11" s="201"/>
    </row>
    <row r="12" spans="1:11" ht="14.5" x14ac:dyDescent="0.35">
      <c r="A12" s="185" t="s">
        <v>132</v>
      </c>
      <c r="B12" s="188">
        <f>'Opex Forecasts'!W36/1000</f>
        <v>207.2382569422345</v>
      </c>
      <c r="C12" s="188"/>
      <c r="D12" s="188"/>
      <c r="E12" s="188">
        <f>INDEX($B$8:$C$17,MATCH($A12,$A$8:$A$17,0),MATCH(Inputs!$C$4,Summary!$B$8:$C$8,0))*H12</f>
        <v>207.2382569422345</v>
      </c>
      <c r="G12" s="189">
        <f t="shared" si="0"/>
        <v>209.5719097653548</v>
      </c>
      <c r="H12" s="185">
        <v>1</v>
      </c>
      <c r="K12" s="201"/>
    </row>
    <row r="13" spans="1:11" ht="14.5" x14ac:dyDescent="0.35">
      <c r="A13" s="184" t="str">
        <f>Inputs!C2&amp;" actual opex"</f>
        <v>Ausnet actual opex</v>
      </c>
      <c r="B13" s="193">
        <f>Inputs!$D$19</f>
        <v>199.85925361673318</v>
      </c>
      <c r="C13" s="193"/>
      <c r="D13" s="193"/>
      <c r="E13" s="188">
        <f>INDEX($B$8:$C$17,MATCH($A13,$A$8:$A$17,0),MATCH(Inputs!$C$4,Summary!$B$8:$C$8,0))</f>
        <v>199.85925361673318</v>
      </c>
      <c r="G13" s="189">
        <f t="shared" si="0"/>
        <v>209.5719097653548</v>
      </c>
      <c r="K13" s="201"/>
    </row>
    <row r="14" spans="1:11" ht="13" x14ac:dyDescent="0.3">
      <c r="A14" s="184"/>
      <c r="B14" s="193"/>
      <c r="C14" s="193"/>
      <c r="D14" s="193"/>
      <c r="E14" s="193"/>
    </row>
    <row r="15" spans="1:11" ht="13" x14ac:dyDescent="0.3">
      <c r="A15" s="184" t="s">
        <v>159</v>
      </c>
      <c r="B15" s="193">
        <f>AVERAGE(B9:B12)</f>
        <v>209.5719097653548</v>
      </c>
      <c r="C15" s="193"/>
      <c r="D15" s="193"/>
      <c r="E15" s="193">
        <f>AVERAGEIF(E9:E12,"&gt;0")</f>
        <v>209.5719097653548</v>
      </c>
      <c r="G15" s="193"/>
    </row>
    <row r="16" spans="1:11" ht="13" x14ac:dyDescent="0.3">
      <c r="A16" s="184" t="s">
        <v>167</v>
      </c>
      <c r="B16" s="194">
        <f t="shared" ref="B16" si="1">B15-B13</f>
        <v>9.712656148621619</v>
      </c>
      <c r="C16" s="194"/>
      <c r="D16" s="194"/>
      <c r="E16" s="194">
        <f>E15-E13</f>
        <v>9.712656148621619</v>
      </c>
    </row>
    <row r="17" spans="1:7" ht="12.5" x14ac:dyDescent="0.25">
      <c r="A17" s="185" t="s">
        <v>168</v>
      </c>
      <c r="B17" s="195">
        <f t="shared" ref="B17" si="2">B16/B13</f>
        <v>4.8597480341077526E-2</v>
      </c>
      <c r="C17" s="195"/>
      <c r="D17" s="195"/>
      <c r="E17" s="195">
        <f>E16/E13</f>
        <v>4.8597480341077526E-2</v>
      </c>
      <c r="G17" s="203"/>
    </row>
    <row r="18" spans="1:7" ht="13" x14ac:dyDescent="0.3">
      <c r="A18" s="184"/>
      <c r="B18" s="187"/>
      <c r="C18" s="187"/>
      <c r="D18" s="187"/>
      <c r="E18" s="187"/>
      <c r="G18" s="190"/>
    </row>
    <row r="19" spans="1:7" ht="13" x14ac:dyDescent="0.3">
      <c r="A19" s="184"/>
      <c r="B19" s="187"/>
      <c r="C19" s="187"/>
      <c r="D19" s="187"/>
      <c r="E19" s="187"/>
    </row>
    <row r="20" spans="1:7" ht="13" x14ac:dyDescent="0.3">
      <c r="A20" s="184"/>
      <c r="B20" s="187"/>
      <c r="C20" s="187"/>
      <c r="D20" s="187"/>
      <c r="E20" s="187"/>
    </row>
    <row r="21" spans="1:7" ht="13" x14ac:dyDescent="0.3">
      <c r="A21" s="184"/>
      <c r="B21" s="191"/>
      <c r="C21" s="191"/>
      <c r="D21" s="191"/>
      <c r="E21" s="191"/>
    </row>
    <row r="22" spans="1:7" ht="13" x14ac:dyDescent="0.3">
      <c r="A22" s="184"/>
    </row>
    <row r="23" spans="1:7" ht="13" x14ac:dyDescent="0.3">
      <c r="A23" s="184"/>
    </row>
    <row r="24" spans="1:7" ht="13" x14ac:dyDescent="0.3">
      <c r="A24" s="184"/>
      <c r="B24" s="187"/>
      <c r="C24" s="187"/>
      <c r="D24" s="187"/>
      <c r="E24" s="187"/>
    </row>
    <row r="25" spans="1:7" ht="13" x14ac:dyDescent="0.3">
      <c r="A25" s="184"/>
      <c r="B25" s="187"/>
      <c r="C25" s="187"/>
      <c r="D25" s="187"/>
      <c r="E25" s="187"/>
    </row>
    <row r="26" spans="1:7" ht="13" x14ac:dyDescent="0.3">
      <c r="A26" s="184"/>
      <c r="B26" s="191"/>
      <c r="C26" s="191"/>
      <c r="D26" s="191"/>
      <c r="E26" s="191"/>
    </row>
    <row r="27" spans="1:7" ht="12.5" x14ac:dyDescent="0.25"/>
    <row r="28" spans="1:7" ht="12.5" x14ac:dyDescent="0.25"/>
    <row r="29" spans="1:7" ht="12.5" x14ac:dyDescent="0.25"/>
    <row r="30" spans="1:7" ht="12.5" x14ac:dyDescent="0.25"/>
    <row r="31" spans="1:7" ht="12.5" x14ac:dyDescent="0.25"/>
    <row r="32" spans="1:7" ht="12.5" x14ac:dyDescent="0.25"/>
    <row r="33" ht="12.5" x14ac:dyDescent="0.25"/>
    <row r="34" ht="12.5" x14ac:dyDescent="0.25"/>
    <row r="35" ht="12.5" x14ac:dyDescent="0.25"/>
    <row r="36" ht="12.5" x14ac:dyDescent="0.25"/>
    <row r="37" ht="12.5" x14ac:dyDescent="0.25"/>
    <row r="38" ht="12.5" x14ac:dyDescent="0.25"/>
    <row r="39" ht="12.5" x14ac:dyDescent="0.25"/>
    <row r="40" ht="12.5" x14ac:dyDescent="0.25"/>
    <row r="41" ht="12.5" x14ac:dyDescent="0.25"/>
    <row r="42" ht="12.5" x14ac:dyDescent="0.25"/>
    <row r="43" ht="12.5" x14ac:dyDescent="0.25"/>
    <row r="44" ht="12.5" x14ac:dyDescent="0.25"/>
    <row r="45" ht="12.5" x14ac:dyDescent="0.25"/>
    <row r="46" ht="12.5" x14ac:dyDescent="0.25"/>
    <row r="47" ht="12.5" x14ac:dyDescent="0.25"/>
    <row r="48" ht="12.5" x14ac:dyDescent="0.25"/>
    <row r="49" ht="12.5" x14ac:dyDescent="0.25"/>
  </sheetData>
  <pageMargins left="0.75" right="0.75" top="1" bottom="1" header="0.5" footer="0.5"/>
  <pageSetup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Readme</vt:lpstr>
      <vt:lpstr>Cost Drivers</vt:lpstr>
      <vt:lpstr>Opex Modelling Results</vt:lpstr>
      <vt:lpstr>Efficiency Target Option</vt:lpstr>
      <vt:lpstr>Opex Forecasts</vt:lpstr>
      <vt:lpstr>Inputs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2020-09-25T05:15:07Z</dcterms:created>
  <dcterms:modified xsi:type="dcterms:W3CDTF">2020-09-25T05:15:17Z</dcterms:modified>
</cp:coreProperties>
</file>