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5852" yWindow="228" windowWidth="12168" windowHeight="16236" tabRatio="691" firstSheet="3" activeTab="3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definedNames>
    <definedName name="dollars">#REF!</definedName>
    <definedName name="factor">#REF!</definedName>
    <definedName name="millions">#REF!</definedName>
    <definedName name="number">#REF!</definedName>
    <definedName name="percent">#REF!</definedName>
    <definedName name="thousands">#REF!</definedName>
    <definedName name="uni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3" l="1"/>
  <c r="L23" i="3"/>
  <c r="H11" i="4" s="1"/>
  <c r="K23" i="3"/>
  <c r="J23" i="3"/>
  <c r="F11" i="4" s="1"/>
  <c r="G10" i="13"/>
  <c r="H10" i="13" s="1"/>
  <c r="I10" i="13" s="1"/>
  <c r="J10" i="13" s="1"/>
  <c r="K10" i="13" s="1"/>
  <c r="L10" i="13" s="1"/>
  <c r="F8" i="4"/>
  <c r="G8" i="4"/>
  <c r="G22" i="13"/>
  <c r="D9" i="4" s="1"/>
  <c r="H22" i="13"/>
  <c r="E9" i="4" s="1"/>
  <c r="E11" i="4" s="1"/>
  <c r="K22" i="13"/>
  <c r="H9" i="4" s="1"/>
  <c r="G19" i="4" s="1"/>
  <c r="I22" i="13"/>
  <c r="F9" i="4"/>
  <c r="I23" i="3"/>
  <c r="E8" i="4"/>
  <c r="H8" i="4"/>
  <c r="D8" i="4"/>
  <c r="A5" i="14"/>
  <c r="A6" i="14"/>
  <c r="A7" i="14"/>
  <c r="A8" i="14"/>
  <c r="A9" i="14"/>
  <c r="A10" i="14"/>
  <c r="D18" i="2"/>
  <c r="E18" i="2"/>
  <c r="F18" i="2"/>
  <c r="G18" i="2"/>
  <c r="H18" i="2"/>
  <c r="G7" i="13"/>
  <c r="F7" i="13"/>
  <c r="F30" i="3"/>
  <c r="F10" i="3"/>
  <c r="F9" i="3"/>
  <c r="F12" i="3"/>
  <c r="F8" i="3"/>
  <c r="N7" i="13"/>
  <c r="O7" i="13"/>
  <c r="P7" i="13"/>
  <c r="Q7" i="13"/>
  <c r="M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/>
  <c r="I16" i="3"/>
  <c r="L16" i="3"/>
  <c r="K16" i="3"/>
  <c r="J16" i="3"/>
  <c r="N9" i="13"/>
  <c r="O9" i="13"/>
  <c r="P9" i="13"/>
  <c r="Q9" i="13"/>
  <c r="C15" i="13"/>
  <c r="C10" i="13"/>
  <c r="B1" i="2"/>
  <c r="B1" i="10"/>
  <c r="D41" i="4"/>
  <c r="J6" i="10"/>
  <c r="F8" i="10"/>
  <c r="E41" i="4"/>
  <c r="K6" i="10"/>
  <c r="F41" i="4"/>
  <c r="L6" i="10"/>
  <c r="G41" i="4"/>
  <c r="M6" i="10"/>
  <c r="H41" i="4"/>
  <c r="N6" i="10"/>
  <c r="H24" i="4"/>
  <c r="G24" i="4"/>
  <c r="F24" i="4"/>
  <c r="E24" i="4"/>
  <c r="D24" i="4"/>
  <c r="H27" i="3"/>
  <c r="I27" i="3"/>
  <c r="J27" i="3"/>
  <c r="K27" i="3"/>
  <c r="L27" i="3"/>
  <c r="C43" i="4"/>
  <c r="C45" i="4"/>
  <c r="B1" i="5"/>
  <c r="B1" i="3"/>
  <c r="B1" i="13"/>
  <c r="B1" i="4"/>
  <c r="K12" i="3" l="1"/>
  <c r="H12" i="3"/>
  <c r="I12" i="3"/>
  <c r="J12" i="3"/>
  <c r="H30" i="3"/>
  <c r="M10" i="13"/>
  <c r="J22" i="13"/>
  <c r="G9" i="4" s="1"/>
  <c r="F19" i="4" s="1"/>
  <c r="E19" i="4" s="1"/>
  <c r="D19" i="4" s="1"/>
  <c r="D21" i="4" s="1"/>
  <c r="G15" i="13"/>
  <c r="H15" i="13" s="1"/>
  <c r="I15" i="13" s="1"/>
  <c r="J15" i="13" s="1"/>
  <c r="K15" i="13" s="1"/>
  <c r="E10" i="4" l="1"/>
  <c r="E12" i="4" s="1"/>
  <c r="I30" i="3"/>
  <c r="N10" i="13"/>
  <c r="L15" i="13"/>
  <c r="H10" i="4"/>
  <c r="H12" i="4" s="1"/>
  <c r="H20" i="4" s="1"/>
  <c r="G10" i="4"/>
  <c r="G12" i="4" s="1"/>
  <c r="F10" i="4"/>
  <c r="F12" i="4" s="1"/>
  <c r="G11" i="4"/>
  <c r="D10" i="4"/>
  <c r="H16" i="4" l="1"/>
  <c r="G20" i="4"/>
  <c r="H15" i="4"/>
  <c r="F20" i="4"/>
  <c r="G15" i="4"/>
  <c r="J30" i="3"/>
  <c r="O10" i="13"/>
  <c r="G14" i="4"/>
  <c r="E20" i="4"/>
  <c r="H14" i="4"/>
  <c r="F14" i="4"/>
  <c r="P10" i="13" l="1"/>
  <c r="K30" i="3"/>
  <c r="L30" i="3" l="1"/>
  <c r="Q10" i="13"/>
  <c r="N14" i="13" l="1"/>
  <c r="M15" i="13"/>
  <c r="H31" i="3"/>
  <c r="D26" i="4" s="1"/>
  <c r="O14" i="13" l="1"/>
  <c r="N15" i="13"/>
  <c r="I31" i="3"/>
  <c r="E26" i="4" s="1"/>
  <c r="O15" i="13" l="1"/>
  <c r="K31" i="3" s="1"/>
  <c r="G26" i="4" s="1"/>
  <c r="J31" i="3"/>
  <c r="F26" i="4" s="1"/>
  <c r="P14" i="13"/>
  <c r="N22" i="13" l="1"/>
  <c r="E25" i="4" s="1"/>
  <c r="O22" i="13"/>
  <c r="F25" i="4" s="1"/>
  <c r="P15" i="13"/>
  <c r="Q14" i="13"/>
  <c r="P22" i="13" l="1"/>
  <c r="G25" i="4" s="1"/>
  <c r="Q22" i="13"/>
  <c r="H25" i="4" s="1"/>
  <c r="D42" i="4"/>
  <c r="E42" i="4" s="1"/>
  <c r="F42" i="4" s="1"/>
  <c r="M22" i="13"/>
  <c r="D25" i="4" s="1"/>
  <c r="Q15" i="13"/>
  <c r="L31" i="3"/>
  <c r="H26" i="4" s="1"/>
  <c r="G42" i="4" l="1"/>
  <c r="H42" i="4" s="1"/>
  <c r="L22" i="13" l="1"/>
  <c r="H23" i="3"/>
  <c r="D11" i="4" s="1"/>
  <c r="D12" i="4" s="1"/>
  <c r="D27" i="4" l="1"/>
  <c r="D28" i="4" s="1"/>
  <c r="F27" i="4"/>
  <c r="F28" i="4" s="1"/>
  <c r="E27" i="4"/>
  <c r="E28" i="4" s="1"/>
  <c r="H27" i="4"/>
  <c r="H28" i="4" s="1"/>
  <c r="G27" i="4"/>
  <c r="G28" i="4" s="1"/>
  <c r="H13" i="4"/>
  <c r="H18" i="4" s="1"/>
  <c r="H21" i="4" s="1"/>
  <c r="E13" i="4"/>
  <c r="E18" i="4" s="1"/>
  <c r="E21" i="4" s="1"/>
  <c r="G13" i="4"/>
  <c r="G18" i="4" s="1"/>
  <c r="G21" i="4" s="1"/>
  <c r="D20" i="4"/>
  <c r="F13" i="4"/>
  <c r="F18" i="4" s="1"/>
  <c r="F21" i="4" s="1"/>
  <c r="D31" i="4" l="1"/>
  <c r="D34" i="4" s="1"/>
  <c r="D36" i="4" s="1"/>
  <c r="D37" i="4" s="1"/>
  <c r="D43" i="4" s="1"/>
  <c r="D35" i="4"/>
  <c r="D33" i="4" l="1"/>
  <c r="E43" i="4"/>
  <c r="J8" i="10"/>
  <c r="K8" i="10" l="1"/>
  <c r="F43" i="4"/>
  <c r="L8" i="10" l="1"/>
  <c r="G43" i="4"/>
  <c r="M8" i="10" l="1"/>
  <c r="H43" i="4"/>
  <c r="N8" i="10" s="1"/>
  <c r="O8" i="10" l="1"/>
  <c r="D45" i="4"/>
</calcChain>
</file>

<file path=xl/comments1.xml><?xml version="1.0" encoding="utf-8"?>
<comments xmlns="http://schemas.openxmlformats.org/spreadsheetml/2006/main">
  <authors>
    <author>Author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<sst xmlns="http://schemas.openxmlformats.org/spreadsheetml/2006/main" count="233" uniqueCount="127">
  <si>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</si>
  <si>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</si>
  <si>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</si>
  <si>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</si>
  <si>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</si>
  <si>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</si>
  <si>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</si>
  <si>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</si>
  <si>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</si>
  <si>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</si>
  <si>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</si>
  <si>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</si>
  <si>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</si>
  <si>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</si>
  <si>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</si>
  <si>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</si>
  <si>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</si>
  <si>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</si>
  <si>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</si>
  <si>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</si>
  <si>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</si>
  <si>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</si>
  <si>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</si>
  <si>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</si>
  <si>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</si>
  <si>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</si>
  <si>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</si>
  <si>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</si>
  <si>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</si>
  <si>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</si>
  <si>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</si>
  <si>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</si>
  <si>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</si>
  <si>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</si>
  <si>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</si>
  <si>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</si>
  <si>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</si>
  <si>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</si>
  <si>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</si>
  <si>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</si>
  <si>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</si>
  <si>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</si>
  <si>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</si>
  <si>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</si>
  <si>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</si>
  <si>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</si>
  <si>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</si>
  <si>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</si>
  <si>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</si>
  <si>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</si>
  <si>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</si>
  <si>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</si>
  <si>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</si>
  <si>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</si>
  <si>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</si>
  <si>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</si>
  <si>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</si>
  <si>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</si>
  <si>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</si>
  <si>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</si>
  <si>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</si>
  <si>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</si>
  <si>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</si>
  <si>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</si>
  <si>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</si>
  <si>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</si>
  <si>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</si>
  <si>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</si>
  <si>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</si>
  <si>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</si>
  <si>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</si>
  <si>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</si>
  <si>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</si>
  <si>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</si>
  <si>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</si>
  <si>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</si>
  <si>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</si>
  <si>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</si>
  <si>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</si>
  <si>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</si>
  <si>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</si>
  <si>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</si>
  <si>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</si>
  <si>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</si>
  <si>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</si>
  <si>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</si>
  <si>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</si>
  <si>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</si>
  <si>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</si>
  <si>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</si>
  <si>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</si>
  <si>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</si>
  <si>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</si>
  <si>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</si>
  <si>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</si>
  <si>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</si>
  <si>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</si>
  <si>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</si>
  <si>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2021-26</t>
  </si>
  <si>
    <t>2021-2021</t>
  </si>
  <si>
    <t>NPV of increase in forecast capex from deferred capex (31 December 2020)</t>
  </si>
  <si>
    <t>NPV underspend (31 December 2020)</t>
  </si>
  <si>
    <t>NPV financing benefit (31 Decmber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</si>
  <si>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</si>
  <si>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</si>
  <si>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</si>
  <si>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</si>
  <si>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</si>
  <si>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</si>
  <si>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</si>
  <si>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</si>
  <si>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</si>
  <si>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</si>
  <si>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Added the half-year regulatory year (1 Jan 2021 - 20 June 2021) and the actual CPI and WACC associated with it</t>
  </si>
  <si>
    <t>H30: L30 
H31: L31</t>
  </si>
  <si>
    <t>C20, C21, C28, C36</t>
  </si>
  <si>
    <t>Labels amended to specify the timing of th NPV adjustment (not a formula adjustment)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</si>
  <si>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</si>
  <si>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</si>
  <si>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</si>
  <si>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</si>
  <si>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</si>
  <si>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</si>
  <si>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</si>
  <si>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</si>
  <si>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Proposal</t>
  </si>
  <si>
    <t>CitiPower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</si>
</sst>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25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67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167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8" fontId="24" fillId="56" borderId="2" xfId="0" applyNumberFormat="1" applyFont="1" applyFill="1" applyBorder="1" applyAlignment="1">
      <alignment horizontal="right" vertical="center"/>
    </xf>
    <xf numFmtId="168" fontId="24" fillId="0" borderId="2" xfId="0" applyNumberFormat="1" applyFont="1" applyFill="1" applyBorder="1" applyAlignment="1">
      <alignment horizontal="right" vertical="center"/>
    </xf>
    <xf numFmtId="168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6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B1" sqref="B1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CitiPower 2021-26 Proposal - Capital expenditure sharing scheme model</v>
      </c>
      <c r="D1" s="4"/>
      <c r="E1" s="4"/>
    </row>
    <row r="2" spans="2:13" ht="18" customHeight="1">
      <c r="B2" s="33" t="s">
        <v>26</v>
      </c>
    </row>
    <row r="3" spans="2:13" ht="3" customHeight="1">
      <c r="C3" s="2"/>
    </row>
    <row r="4" spans="2:13" s="8" customFormat="1" ht="12.75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9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54</v>
      </c>
      <c r="D10" s="32" t="s">
        <v>35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76</v>
      </c>
      <c r="D11" s="32" t="s">
        <v>50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30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7"/>
  <sheetViews>
    <sheetView zoomScale="80" zoomScaleNormal="80" workbookViewId="0">
      <selection activeCell="E10" sqref="E10"/>
    </sheetView>
  </sheetViews>
  <sheetFormatPr defaultRowHeight="14.4"/>
  <cols>
    <col min="2" max="2" width="37.88671875" customWidth="1"/>
    <col min="3" max="3" width="23.5546875" customWidth="1"/>
    <col min="4" max="4" width="70.5546875" bestFit="1" customWidth="1"/>
    <col min="5" max="5" width="75.44140625" customWidth="1"/>
  </cols>
  <sheetData>
    <row r="1" spans="1:5" ht="17.399999999999999">
      <c r="A1" s="220" t="s">
        <v>109</v>
      </c>
      <c r="B1" s="211"/>
      <c r="C1" s="211"/>
      <c r="D1" s="211"/>
      <c r="E1" s="211"/>
    </row>
    <row r="2" spans="1:5" ht="15" thickBot="1">
      <c r="A2" s="211"/>
      <c r="B2" s="211"/>
      <c r="C2" s="211"/>
      <c r="D2" s="211"/>
      <c r="E2" s="211"/>
    </row>
    <row r="3" spans="1:5">
      <c r="A3" s="212" t="s">
        <v>105</v>
      </c>
      <c r="B3" s="213" t="s">
        <v>106</v>
      </c>
      <c r="C3" s="213" t="s">
        <v>107</v>
      </c>
      <c r="D3" s="214" t="s">
        <v>108</v>
      </c>
      <c r="E3" s="221"/>
    </row>
    <row r="4" spans="1:5" ht="41.1" customHeight="1">
      <c r="A4" s="210">
        <v>1</v>
      </c>
      <c r="B4" s="211" t="s">
        <v>31</v>
      </c>
      <c r="C4" s="211" t="s">
        <v>110</v>
      </c>
      <c r="D4" s="216" t="s">
        <v>111</v>
      </c>
      <c r="E4" s="221"/>
    </row>
    <row r="5" spans="1:5" ht="41.1" customHeight="1">
      <c r="A5" s="210">
        <f>A4+1</f>
        <v>2</v>
      </c>
      <c r="B5" s="211" t="s">
        <v>75</v>
      </c>
      <c r="C5" s="211" t="s">
        <v>112</v>
      </c>
      <c r="D5" s="216" t="s">
        <v>113</v>
      </c>
      <c r="E5" s="221"/>
    </row>
    <row r="6" spans="1:5" ht="41.1" customHeight="1">
      <c r="A6" s="210">
        <f>A5+1</f>
        <v>3</v>
      </c>
      <c r="B6" s="211" t="s">
        <v>51</v>
      </c>
      <c r="C6" s="215" t="s">
        <v>114</v>
      </c>
      <c r="D6" s="216" t="s">
        <v>118</v>
      </c>
      <c r="E6" s="221"/>
    </row>
    <row r="7" spans="1:5" ht="41.1" customHeight="1">
      <c r="A7" s="210">
        <f t="shared" ref="A7:A9" si="0">A6+1</f>
        <v>4</v>
      </c>
      <c r="B7" s="211" t="s">
        <v>54</v>
      </c>
      <c r="C7" s="211" t="s">
        <v>115</v>
      </c>
      <c r="D7" s="216" t="s">
        <v>116</v>
      </c>
      <c r="E7" s="221"/>
    </row>
    <row r="8" spans="1:5" ht="41.1" customHeight="1">
      <c r="A8" s="210">
        <f t="shared" si="0"/>
        <v>5</v>
      </c>
      <c r="B8" s="211" t="s">
        <v>54</v>
      </c>
      <c r="C8" s="211" t="s">
        <v>117</v>
      </c>
      <c r="D8" s="216" t="s">
        <v>118</v>
      </c>
      <c r="E8" s="221"/>
    </row>
    <row r="9" spans="1:5" ht="41.1" customHeight="1">
      <c r="A9" s="210">
        <f t="shared" si="0"/>
        <v>6</v>
      </c>
      <c r="B9" s="211" t="s">
        <v>54</v>
      </c>
      <c r="C9" s="211" t="s">
        <v>119</v>
      </c>
      <c r="D9" s="216" t="s">
        <v>124</v>
      </c>
      <c r="E9" s="221"/>
    </row>
    <row r="10" spans="1:5" ht="41.4" customHeight="1" thickBot="1">
      <c r="A10" s="217">
        <f t="shared" ref="A10" si="1">A9+1</f>
        <v>7</v>
      </c>
      <c r="B10" s="218" t="s">
        <v>54</v>
      </c>
      <c r="C10" s="218" t="s">
        <v>122</v>
      </c>
      <c r="D10" s="223" t="s">
        <v>123</v>
      </c>
      <c r="E10" s="211"/>
    </row>
    <row r="11" spans="1:5" ht="20.100000000000001" customHeight="1">
      <c r="A11" s="211"/>
      <c r="B11" s="211"/>
      <c r="C11" s="211"/>
      <c r="D11" s="211"/>
      <c r="E11" s="211"/>
    </row>
    <row r="12" spans="1:5" ht="20.100000000000001" customHeight="1">
      <c r="A12" s="211"/>
      <c r="B12" s="211"/>
      <c r="C12" s="211"/>
      <c r="D12" s="211"/>
      <c r="E12" s="211"/>
    </row>
    <row r="13" spans="1:5" ht="20.100000000000001" customHeight="1">
      <c r="A13" s="221"/>
      <c r="B13" s="221"/>
      <c r="C13" s="221"/>
      <c r="D13" s="221"/>
      <c r="E13" s="221"/>
    </row>
    <row r="14" spans="1:5" ht="20.100000000000001" customHeight="1">
      <c r="A14" s="221"/>
      <c r="B14" s="221"/>
      <c r="C14" s="221"/>
      <c r="D14" s="221"/>
      <c r="E14" s="221"/>
    </row>
    <row r="15" spans="1:5" ht="20.100000000000001" customHeight="1">
      <c r="A15" s="221"/>
      <c r="B15" s="221"/>
      <c r="C15" s="221"/>
      <c r="D15" s="221"/>
      <c r="E15" s="221"/>
    </row>
    <row r="16" spans="1:5" ht="20.100000000000001" customHeight="1">
      <c r="A16" s="221"/>
      <c r="B16" s="221"/>
      <c r="C16" s="221"/>
      <c r="D16" s="221"/>
      <c r="E16" s="221"/>
    </row>
    <row r="17" ht="20.100000000000001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zoomScale="90" zoomScaleNormal="90" workbookViewId="0">
      <selection activeCell="G15" sqref="G15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8" width="12.6640625" style="14" customWidth="1"/>
    <col min="9" max="9" width="9.44140625" style="14" customWidth="1"/>
    <col min="10" max="10" width="11.44140625" style="14" customWidth="1"/>
    <col min="11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CitiPower 2021-26 Proposal - Capital expenditure sharing scheme model</v>
      </c>
      <c r="F1" s="105"/>
      <c r="G1" s="106" t="s">
        <v>43</v>
      </c>
      <c r="H1" s="154" t="s">
        <v>44</v>
      </c>
      <c r="I1" s="159" t="s">
        <v>32</v>
      </c>
      <c r="J1" s="219" t="s">
        <v>104</v>
      </c>
      <c r="M1" s="107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5" t="s">
        <v>126</v>
      </c>
      <c r="J6" s="79"/>
      <c r="K6" s="79"/>
      <c r="L6" s="79"/>
      <c r="M6" s="79"/>
    </row>
    <row r="7" spans="1:13" s="70" customFormat="1" ht="11.25" customHeight="1">
      <c r="C7" s="69" t="s">
        <v>85</v>
      </c>
      <c r="D7" s="155" t="s">
        <v>125</v>
      </c>
      <c r="I7" s="79"/>
      <c r="J7" s="79"/>
      <c r="K7" s="79"/>
      <c r="L7" s="79"/>
    </row>
    <row r="8" spans="1:13" s="70" customFormat="1" ht="11.25" customHeight="1">
      <c r="C8" s="69" t="s">
        <v>86</v>
      </c>
      <c r="D8" s="155" t="s">
        <v>98</v>
      </c>
      <c r="J8" s="79"/>
      <c r="K8" s="79"/>
      <c r="L8" s="79"/>
      <c r="M8" s="79"/>
    </row>
    <row r="9" spans="1:13" s="70" customFormat="1" ht="11.25" customHeight="1">
      <c r="C9" s="186" t="s">
        <v>96</v>
      </c>
      <c r="D9" s="155" t="s">
        <v>97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1" t="s">
        <v>84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59</v>
      </c>
      <c r="E12" s="71" t="s">
        <v>60</v>
      </c>
      <c r="F12" s="71" t="s">
        <v>61</v>
      </c>
      <c r="G12" s="71" t="s">
        <v>62</v>
      </c>
      <c r="H12" s="71" t="s">
        <v>63</v>
      </c>
      <c r="J12" s="79"/>
      <c r="K12" s="79"/>
      <c r="L12" s="79"/>
      <c r="M12" s="79"/>
    </row>
    <row r="13" spans="1:13" s="70" customFormat="1" ht="11.25" customHeight="1">
      <c r="C13" s="69" t="s">
        <v>57</v>
      </c>
      <c r="D13" s="195">
        <v>2016</v>
      </c>
      <c r="E13" s="195">
        <v>2017</v>
      </c>
      <c r="F13" s="195">
        <v>2018</v>
      </c>
      <c r="G13" s="195">
        <v>2019</v>
      </c>
      <c r="H13" s="195">
        <v>2020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5" t="s">
        <v>8</v>
      </c>
      <c r="E14" s="155" t="s">
        <v>8</v>
      </c>
      <c r="F14" s="155" t="s">
        <v>8</v>
      </c>
      <c r="G14" s="155" t="s">
        <v>8</v>
      </c>
      <c r="H14" s="155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5" t="s">
        <v>7</v>
      </c>
      <c r="E15" s="155" t="s">
        <v>7</v>
      </c>
      <c r="F15" s="155" t="s">
        <v>7</v>
      </c>
      <c r="G15" s="155" t="s">
        <v>7</v>
      </c>
      <c r="H15" s="155" t="s">
        <v>25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59</v>
      </c>
      <c r="E17" s="71" t="s">
        <v>60</v>
      </c>
      <c r="F17" s="71" t="s">
        <v>61</v>
      </c>
      <c r="G17" s="71" t="s">
        <v>62</v>
      </c>
      <c r="H17" s="71" t="s">
        <v>63</v>
      </c>
      <c r="J17" s="79"/>
      <c r="K17" s="79"/>
      <c r="L17" s="79"/>
      <c r="M17" s="79"/>
    </row>
    <row r="18" spans="1:13" s="70" customFormat="1" ht="11.25" customHeight="1">
      <c r="C18" s="69" t="s">
        <v>58</v>
      </c>
      <c r="D18" s="185" t="str">
        <f>D9</f>
        <v>2021-22</v>
      </c>
      <c r="E18" s="185" t="str">
        <f>IF(LEN(D18)&gt;4,CONCATENATE(LEFT(D18,4)+1&amp;"–"&amp;IF(RIGHT(D18,2)+1&gt;9,"","0")&amp;RIGHT(D18,2)+1),D18+1)</f>
        <v>2022–23</v>
      </c>
      <c r="F18" s="185" t="str">
        <f t="shared" ref="F18:H18" si="0">IF(LEN(E18)&gt;4,CONCATENATE(LEFT(E18,4)+1&amp;"–"&amp;IF(RIGHT(E18,2)+1&gt;9,"","0")&amp;RIGHT(E18,2)+1),E18+1)</f>
        <v>2023–24</v>
      </c>
      <c r="G18" s="185" t="str">
        <f t="shared" si="0"/>
        <v>2024–25</v>
      </c>
      <c r="H18" s="185" t="str">
        <f t="shared" si="0"/>
        <v>2025–26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G108"/>
  <sheetViews>
    <sheetView showGridLines="0" tabSelected="1" zoomScale="90" zoomScaleNormal="90" workbookViewId="0">
      <selection activeCell="H12" sqref="H12"/>
    </sheetView>
  </sheetViews>
  <sheetFormatPr defaultColWidth="0" defaultRowHeight="18" customHeight="1" zeroHeight="1"/>
  <cols>
    <col min="1" max="2" width="1.109375" style="24" customWidth="1"/>
    <col min="3" max="3" width="36.6640625" style="24" customWidth="1"/>
    <col min="4" max="5" width="22.88671875" style="24" customWidth="1"/>
    <col min="6" max="6" width="12.6640625" style="24" customWidth="1"/>
    <col min="7" max="13" width="12.6640625" style="11" customWidth="1"/>
    <col min="14" max="14" width="12.5546875" style="22" customWidth="1"/>
    <col min="15" max="17" width="12.6640625" style="24" customWidth="1"/>
    <col min="18" max="19" width="2.88671875" style="24" customWidth="1"/>
    <col min="20" max="33" width="12.6640625" style="24" hidden="1" customWidth="1"/>
    <col min="34" max="16384" width="9.109375" style="24" hidden="1"/>
  </cols>
  <sheetData>
    <row r="1" spans="1:21" s="11" customFormat="1" ht="18" customHeight="1">
      <c r="B1" s="3" t="str">
        <f>'Input | General'!$B$1</f>
        <v>CitiPower 2021-26 Proposal - Capital expenditure sharing scheme model</v>
      </c>
      <c r="D1" s="12"/>
      <c r="E1" s="12"/>
      <c r="F1" s="12"/>
      <c r="G1" s="105"/>
      <c r="H1" s="106" t="s">
        <v>43</v>
      </c>
      <c r="I1" s="154" t="s">
        <v>44</v>
      </c>
      <c r="J1" s="159" t="s">
        <v>32</v>
      </c>
      <c r="K1" s="209" t="s">
        <v>104</v>
      </c>
      <c r="L1" s="150"/>
      <c r="O1" s="107"/>
      <c r="P1" s="79"/>
      <c r="Q1" s="79"/>
      <c r="R1" s="79"/>
      <c r="S1" s="79"/>
      <c r="T1" s="79"/>
      <c r="U1" s="79"/>
    </row>
    <row r="2" spans="1:21" s="11" customFormat="1" ht="18" customHeight="1">
      <c r="C2" s="13" t="s">
        <v>87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1" customFormat="1" ht="12.75" customHeight="1">
      <c r="C4" s="29" t="s">
        <v>39</v>
      </c>
      <c r="D4" s="82"/>
      <c r="E4" s="82"/>
      <c r="F4" s="82"/>
      <c r="N4" s="83"/>
    </row>
    <row r="5" spans="1:21" ht="11.25" customHeight="1">
      <c r="A5" s="11"/>
      <c r="B5" s="11"/>
      <c r="C5" s="16"/>
      <c r="D5" s="79"/>
      <c r="E5" s="79"/>
      <c r="F5" s="79"/>
      <c r="O5" s="11"/>
    </row>
    <row r="6" spans="1:21" ht="11.25" customHeight="1">
      <c r="A6" s="11"/>
      <c r="B6" s="11"/>
      <c r="C6" s="16"/>
      <c r="D6" s="75" t="s">
        <v>6</v>
      </c>
      <c r="E6" s="75" t="s">
        <v>48</v>
      </c>
      <c r="F6" s="75"/>
      <c r="O6" s="11"/>
    </row>
    <row r="7" spans="1:21" ht="11.25" customHeight="1">
      <c r="A7" s="11"/>
      <c r="B7" s="11"/>
      <c r="C7" s="16"/>
      <c r="D7" s="79"/>
      <c r="E7" s="79"/>
      <c r="F7" s="172">
        <f>IF(LEN(G7)&gt;4,CONCATENATE(LEFT(G7,4)-1&amp;"–"&amp;IF(RIGHT(G7,2)="00","99",IF(RIGHT(G7,2)-1&lt;10,"0","")&amp;RIGHT(G7,2)-1)),G7-1)</f>
        <v>2015</v>
      </c>
      <c r="G7" s="171">
        <f>'Input | General'!D13</f>
        <v>2016</v>
      </c>
      <c r="H7" s="171">
        <f>'Input | General'!E13</f>
        <v>2017</v>
      </c>
      <c r="I7" s="171">
        <f>'Input | General'!F13</f>
        <v>2018</v>
      </c>
      <c r="J7" s="171">
        <f>'Input | General'!G13</f>
        <v>2019</v>
      </c>
      <c r="K7" s="171">
        <f>'Input | General'!H13</f>
        <v>2020</v>
      </c>
      <c r="L7" s="193" t="s">
        <v>99</v>
      </c>
      <c r="M7" s="171" t="str">
        <f>'Input | General'!D18</f>
        <v>2021-22</v>
      </c>
      <c r="N7" s="171" t="str">
        <f>'Input | General'!E18</f>
        <v>2022–23</v>
      </c>
      <c r="O7" s="171" t="str">
        <f>'Input | General'!F18</f>
        <v>2023–24</v>
      </c>
      <c r="P7" s="171" t="str">
        <f>'Input | General'!G18</f>
        <v>2024–25</v>
      </c>
      <c r="Q7" s="171" t="str">
        <f>'Input | General'!H18</f>
        <v>2025–26</v>
      </c>
    </row>
    <row r="8" spans="1:21" ht="11.25" customHeight="1">
      <c r="A8" s="11"/>
      <c r="B8" s="11"/>
      <c r="C8" s="80" t="s">
        <v>77</v>
      </c>
      <c r="D8" s="78" t="s">
        <v>82</v>
      </c>
      <c r="E8" s="78" t="s">
        <v>47</v>
      </c>
      <c r="F8" s="78"/>
      <c r="G8" s="156">
        <v>1.5108593012275628E-2</v>
      </c>
      <c r="H8" s="156">
        <v>1.0232558139534831E-2</v>
      </c>
      <c r="I8" s="156">
        <v>1.9337016574585641E-2</v>
      </c>
      <c r="J8" s="156">
        <v>2.0776874435411097E-2</v>
      </c>
      <c r="K8" s="156">
        <v>1.5929203539823078E-2</v>
      </c>
      <c r="L8" s="194">
        <v>9.9504938362078299E-3</v>
      </c>
      <c r="M8" s="86"/>
      <c r="N8" s="86"/>
      <c r="O8" s="86"/>
      <c r="P8" s="86"/>
      <c r="Q8" s="86"/>
    </row>
    <row r="9" spans="1:21" ht="11.25" customHeight="1">
      <c r="A9" s="11"/>
      <c r="B9" s="11"/>
      <c r="C9" s="80" t="s">
        <v>78</v>
      </c>
      <c r="D9" s="78" t="s">
        <v>82</v>
      </c>
      <c r="E9" s="78" t="s">
        <v>47</v>
      </c>
      <c r="F9" s="78"/>
      <c r="G9" s="126"/>
      <c r="H9" s="126"/>
      <c r="I9" s="126"/>
      <c r="J9" s="126"/>
      <c r="K9" s="126"/>
      <c r="L9" s="126"/>
      <c r="M9" s="156">
        <v>2.3998043050028173E-2</v>
      </c>
      <c r="N9" s="139">
        <f t="shared" ref="N9:Q9" si="0">M9</f>
        <v>2.3998043050028173E-2</v>
      </c>
      <c r="O9" s="139">
        <f t="shared" si="0"/>
        <v>2.3998043050028173E-2</v>
      </c>
      <c r="P9" s="139">
        <f t="shared" si="0"/>
        <v>2.3998043050028173E-2</v>
      </c>
      <c r="Q9" s="139">
        <f t="shared" si="0"/>
        <v>2.3998043050028173E-2</v>
      </c>
    </row>
    <row r="10" spans="1:21" ht="11.25" customHeight="1">
      <c r="A10" s="11"/>
      <c r="B10" s="11"/>
      <c r="C10" s="136" t="str">
        <f>"CPI Index (base year "&amp;F7&amp;")"</f>
        <v>CPI Index (base year 2015)</v>
      </c>
      <c r="D10" s="78" t="s">
        <v>82</v>
      </c>
      <c r="E10" s="78" t="s">
        <v>26</v>
      </c>
      <c r="F10" s="134">
        <v>1</v>
      </c>
      <c r="G10" s="121">
        <f t="shared" ref="G10:L10" si="1">IF(G7&lt;&gt;"",(F10*(1+G8)),"")</f>
        <v>1.0151085930122756</v>
      </c>
      <c r="H10" s="121">
        <f t="shared" si="1"/>
        <v>1.0254957507082152</v>
      </c>
      <c r="I10" s="121">
        <f t="shared" si="1"/>
        <v>1.0453257790368271</v>
      </c>
      <c r="J10" s="121">
        <f t="shared" si="1"/>
        <v>1.0670443814919734</v>
      </c>
      <c r="K10" s="121">
        <f t="shared" si="1"/>
        <v>1.0840415486307837</v>
      </c>
      <c r="L10" s="121">
        <f t="shared" si="1"/>
        <v>1.0948282973786276</v>
      </c>
      <c r="M10" s="87">
        <f>IF(M7&lt;&gt;"",(L10*(1+M9)),"")</f>
        <v>1.121102033991509</v>
      </c>
      <c r="N10" s="87">
        <f t="shared" ref="N10:Q10" si="2">IF(N7&lt;&gt;"",(M10*(1+N9)),"")</f>
        <v>1.1480062888667113</v>
      </c>
      <c r="O10" s="87">
        <f t="shared" si="2"/>
        <v>1.1755561932086378</v>
      </c>
      <c r="P10" s="87">
        <f t="shared" si="2"/>
        <v>1.2037672413409859</v>
      </c>
      <c r="Q10" s="87">
        <f t="shared" si="2"/>
        <v>1.2326552994209006</v>
      </c>
    </row>
    <row r="11" spans="1:21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7"/>
      <c r="L11" s="127"/>
      <c r="M11" s="127"/>
      <c r="N11" s="127"/>
      <c r="O11" s="127"/>
      <c r="P11" s="127"/>
      <c r="Q11" s="127"/>
    </row>
    <row r="12" spans="1:21" ht="11.25" customHeight="1">
      <c r="A12" s="11"/>
      <c r="B12" s="11"/>
      <c r="C12" s="80"/>
      <c r="D12" s="78"/>
      <c r="E12" s="78"/>
      <c r="F12" s="78"/>
      <c r="G12" s="123"/>
      <c r="H12" s="123"/>
      <c r="I12" s="123"/>
      <c r="J12" s="123"/>
      <c r="K12" s="24"/>
      <c r="L12" s="24"/>
      <c r="M12" s="24"/>
      <c r="N12" s="24"/>
    </row>
    <row r="13" spans="1:21" ht="11.25" customHeight="1">
      <c r="A13" s="11"/>
      <c r="B13" s="11"/>
      <c r="C13" s="80" t="s">
        <v>77</v>
      </c>
      <c r="D13" s="78" t="s">
        <v>45</v>
      </c>
      <c r="E13" s="78" t="s">
        <v>47</v>
      </c>
      <c r="F13" s="78"/>
      <c r="G13" s="156">
        <v>1.5108593012275628E-2</v>
      </c>
      <c r="H13" s="156">
        <v>1.0232558139534831E-2</v>
      </c>
      <c r="I13" s="156">
        <v>1.9337016574585641E-2</v>
      </c>
      <c r="J13" s="156">
        <v>2.0776874435411097E-2</v>
      </c>
      <c r="K13" s="156">
        <v>1.5929203539823078E-2</v>
      </c>
      <c r="L13" s="194">
        <v>1.2195121951219523E-2</v>
      </c>
      <c r="M13" s="189"/>
      <c r="N13" s="123"/>
      <c r="O13" s="123"/>
      <c r="P13" s="123"/>
      <c r="Q13" s="123"/>
    </row>
    <row r="14" spans="1:21" ht="11.25" customHeight="1">
      <c r="A14" s="11"/>
      <c r="B14" s="11"/>
      <c r="C14" s="80" t="s">
        <v>78</v>
      </c>
      <c r="D14" s="78" t="s">
        <v>45</v>
      </c>
      <c r="E14" s="78" t="s">
        <v>47</v>
      </c>
      <c r="F14" s="78"/>
      <c r="G14" s="86"/>
      <c r="H14" s="86"/>
      <c r="I14" s="86"/>
      <c r="J14" s="127"/>
      <c r="K14" s="127"/>
      <c r="L14" s="127"/>
      <c r="M14" s="156">
        <v>2.3743086789108414E-2</v>
      </c>
      <c r="N14" s="139">
        <f t="shared" ref="N14:Q14" si="3">M14</f>
        <v>2.3743086789108414E-2</v>
      </c>
      <c r="O14" s="139">
        <f t="shared" si="3"/>
        <v>2.3743086789108414E-2</v>
      </c>
      <c r="P14" s="139">
        <f t="shared" si="3"/>
        <v>2.3743086789108414E-2</v>
      </c>
      <c r="Q14" s="139">
        <f t="shared" si="3"/>
        <v>2.3743086789108414E-2</v>
      </c>
    </row>
    <row r="15" spans="1:21" ht="11.25" customHeight="1">
      <c r="A15" s="11"/>
      <c r="B15" s="11"/>
      <c r="C15" s="136" t="str">
        <f>"CPI Index (base year "&amp;F7&amp;")"</f>
        <v>CPI Index (base year 2015)</v>
      </c>
      <c r="D15" s="78" t="s">
        <v>45</v>
      </c>
      <c r="E15" s="78" t="s">
        <v>26</v>
      </c>
      <c r="F15" s="134">
        <v>1</v>
      </c>
      <c r="G15" s="121">
        <f t="shared" ref="G15:L15" si="4">IF(G7&lt;&gt;"",(F15*(1+G13)),"")</f>
        <v>1.0151085930122756</v>
      </c>
      <c r="H15" s="121">
        <f t="shared" si="4"/>
        <v>1.0254957507082152</v>
      </c>
      <c r="I15" s="121">
        <f t="shared" si="4"/>
        <v>1.0453257790368271</v>
      </c>
      <c r="J15" s="190">
        <f t="shared" si="4"/>
        <v>1.0670443814919734</v>
      </c>
      <c r="K15" s="191">
        <f t="shared" si="4"/>
        <v>1.0840415486307837</v>
      </c>
      <c r="L15" s="190">
        <f t="shared" si="4"/>
        <v>1.0972615675165249</v>
      </c>
      <c r="M15" s="191">
        <f>IF(M7&lt;&gt;"",(L15*(1+M14)),"")</f>
        <v>1.1233139441444229</v>
      </c>
      <c r="N15" s="87">
        <f t="shared" ref="N15:Q15" si="5">IF(N7&lt;&gt;"",(M15*(1+N14)),"")</f>
        <v>1.1499848846116596</v>
      </c>
      <c r="O15" s="87">
        <f t="shared" si="5"/>
        <v>1.1772890755331571</v>
      </c>
      <c r="P15" s="87">
        <f t="shared" si="5"/>
        <v>1.20524155222941</v>
      </c>
      <c r="Q15" s="87">
        <f t="shared" si="5"/>
        <v>1.2338577070058325</v>
      </c>
    </row>
    <row r="16" spans="1:21" s="125" customFormat="1" ht="11.25" customHeight="1">
      <c r="A16" s="2"/>
      <c r="B16" s="2"/>
      <c r="C16" s="80"/>
      <c r="D16" s="124"/>
      <c r="E16" s="124"/>
      <c r="F16" s="124"/>
      <c r="G16" s="86"/>
      <c r="H16" s="86"/>
      <c r="I16" s="86"/>
      <c r="J16" s="86"/>
      <c r="K16" s="128"/>
      <c r="L16" s="128"/>
      <c r="M16" s="128"/>
      <c r="N16" s="128"/>
      <c r="O16" s="128"/>
      <c r="P16" s="128"/>
      <c r="Q16" s="128"/>
    </row>
    <row r="17" spans="1:17" s="81" customFormat="1" ht="12.75" customHeight="1">
      <c r="C17" s="29" t="s">
        <v>64</v>
      </c>
      <c r="D17" s="82"/>
      <c r="E17" s="82"/>
      <c r="F17" s="82"/>
      <c r="N17" s="83"/>
    </row>
    <row r="18" spans="1:17" ht="11.25" customHeight="1">
      <c r="A18" s="16"/>
      <c r="B18" s="79"/>
      <c r="C18" s="79"/>
      <c r="D18" s="79"/>
      <c r="E18" s="79"/>
      <c r="F18" s="75"/>
      <c r="O18" s="11"/>
    </row>
    <row r="19" spans="1:17" ht="11.25" customHeight="1">
      <c r="C19" s="16"/>
      <c r="D19" s="75" t="s">
        <v>6</v>
      </c>
      <c r="E19" s="75" t="s">
        <v>48</v>
      </c>
      <c r="F19" s="79"/>
      <c r="G19" s="171">
        <f>G7</f>
        <v>2016</v>
      </c>
      <c r="H19" s="171">
        <f t="shared" ref="H19:Q19" si="6">H7</f>
        <v>2017</v>
      </c>
      <c r="I19" s="171">
        <f t="shared" si="6"/>
        <v>2018</v>
      </c>
      <c r="J19" s="171">
        <f t="shared" si="6"/>
        <v>2019</v>
      </c>
      <c r="K19" s="171">
        <f t="shared" si="6"/>
        <v>2020</v>
      </c>
      <c r="L19" s="193" t="s">
        <v>99</v>
      </c>
      <c r="M19" s="171" t="str">
        <f t="shared" si="6"/>
        <v>2021-22</v>
      </c>
      <c r="N19" s="171" t="str">
        <f t="shared" si="6"/>
        <v>2022–23</v>
      </c>
      <c r="O19" s="171" t="str">
        <f t="shared" si="6"/>
        <v>2023–24</v>
      </c>
      <c r="P19" s="171" t="str">
        <f t="shared" si="6"/>
        <v>2024–25</v>
      </c>
      <c r="Q19" s="171" t="str">
        <f t="shared" si="6"/>
        <v>2025–26</v>
      </c>
    </row>
    <row r="20" spans="1:17" ht="11.25" customHeight="1">
      <c r="C20" s="80" t="s">
        <v>10</v>
      </c>
      <c r="D20" s="78" t="s">
        <v>45</v>
      </c>
      <c r="E20" s="78" t="s">
        <v>47</v>
      </c>
      <c r="F20" s="79"/>
      <c r="G20" s="156">
        <v>3.6700024103140549E-2</v>
      </c>
      <c r="H20" s="156">
        <v>3.6127568814887212E-2</v>
      </c>
      <c r="I20" s="156">
        <v>3.5630478851562009E-2</v>
      </c>
      <c r="J20" s="156">
        <v>3.5080474747029244E-2</v>
      </c>
      <c r="K20" s="156">
        <v>3.3621044143256062E-2</v>
      </c>
      <c r="L20" s="194">
        <v>1.1767001750234041E-2</v>
      </c>
      <c r="M20" s="127"/>
      <c r="N20" s="127"/>
      <c r="O20" s="127"/>
      <c r="P20" s="127"/>
      <c r="Q20" s="127"/>
    </row>
    <row r="21" spans="1:17" ht="11.25" customHeight="1">
      <c r="C21" s="149" t="s">
        <v>92</v>
      </c>
      <c r="D21" s="78" t="s">
        <v>45</v>
      </c>
      <c r="E21" s="78" t="s">
        <v>47</v>
      </c>
      <c r="F21" s="79"/>
      <c r="G21" s="188"/>
      <c r="H21" s="188"/>
      <c r="I21" s="188"/>
      <c r="J21" s="188"/>
      <c r="K21" s="188"/>
      <c r="L21" s="188"/>
      <c r="M21" s="156">
        <v>2.1645481539978119E-2</v>
      </c>
      <c r="N21" s="156">
        <v>2.010314121448329E-2</v>
      </c>
      <c r="O21" s="156">
        <v>1.8560800888988462E-2</v>
      </c>
      <c r="P21" s="156">
        <v>1.7018460563493765E-2</v>
      </c>
      <c r="Q21" s="156">
        <v>1.5476120237998936E-2</v>
      </c>
    </row>
    <row r="22" spans="1:17" ht="11.25" customHeight="1">
      <c r="C22" s="80" t="s">
        <v>65</v>
      </c>
      <c r="D22" s="78" t="s">
        <v>56</v>
      </c>
      <c r="E22" s="78" t="s">
        <v>47</v>
      </c>
      <c r="F22" s="79"/>
      <c r="G22" s="140">
        <f t="shared" ref="G22:L22" si="7">IF(AND(G13&lt;&gt;"",G20&lt;&gt;""),((1+G20)*(1+G13)-1),"")</f>
        <v>5.2363102843131282E-2</v>
      </c>
      <c r="H22" s="140">
        <f t="shared" si="7"/>
        <v>4.6729804402760422E-2</v>
      </c>
      <c r="I22" s="140">
        <f t="shared" si="7"/>
        <v>5.5656482586260658E-2</v>
      </c>
      <c r="J22" s="140">
        <f t="shared" si="7"/>
        <v>5.6586211801394004E-2</v>
      </c>
      <c r="K22" s="140">
        <f t="shared" si="7"/>
        <v>5.0085804138458423E-2</v>
      </c>
      <c r="L22" s="196">
        <f t="shared" si="7"/>
        <v>2.4105623722797898E-2</v>
      </c>
      <c r="M22" s="140">
        <f>IF(AND(M14&lt;&gt;"",M21&lt;&gt;""),((1+M21)*(1+M14)-1),"")</f>
        <v>4.5902498875882269E-2</v>
      </c>
      <c r="N22" s="140">
        <f t="shared" ref="N22:Q22" si="8">IF(AND(N14&lt;&gt;"",N21&lt;&gt;""),((1+N21)*(1+N14)-1),"")</f>
        <v>4.4323538630180792E-2</v>
      </c>
      <c r="O22" s="140">
        <f t="shared" si="8"/>
        <v>4.2744578384479315E-2</v>
      </c>
      <c r="P22" s="140">
        <f t="shared" si="8"/>
        <v>4.1165618138778282E-2</v>
      </c>
      <c r="Q22" s="140">
        <f t="shared" si="8"/>
        <v>3.9586657893076804E-2</v>
      </c>
    </row>
    <row r="23" spans="1:17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30</v>
      </c>
      <c r="D24" s="63"/>
      <c r="E24" s="63"/>
    </row>
    <row r="25" spans="1:17" ht="18" hidden="1" customHeight="1">
      <c r="G25" s="85"/>
      <c r="H25" s="85"/>
      <c r="I25" s="85"/>
      <c r="J25" s="85"/>
      <c r="K25" s="85"/>
      <c r="L25" s="85"/>
      <c r="M25" s="85"/>
      <c r="N25" s="85"/>
    </row>
    <row r="26" spans="1:17" ht="18" hidden="1" customHeight="1">
      <c r="G26" s="85"/>
      <c r="H26" s="85"/>
      <c r="I26" s="85"/>
      <c r="J26" s="85"/>
      <c r="K26" s="85"/>
      <c r="L26" s="85"/>
      <c r="M26" s="85"/>
      <c r="N26" s="85"/>
    </row>
    <row r="27" spans="1:17" ht="18" hidden="1" customHeight="1">
      <c r="G27" s="85"/>
      <c r="H27" s="85"/>
      <c r="I27" s="85"/>
      <c r="J27" s="85"/>
      <c r="K27" s="85"/>
      <c r="L27" s="85"/>
      <c r="M27" s="85"/>
      <c r="N27" s="85"/>
    </row>
    <row r="28" spans="1:17" ht="18" hidden="1" customHeight="1">
      <c r="G28" s="85"/>
      <c r="H28" s="85"/>
      <c r="I28" s="85"/>
      <c r="J28" s="85"/>
      <c r="K28" s="85"/>
      <c r="L28" s="85"/>
      <c r="M28" s="85"/>
      <c r="N28" s="85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topLeftCell="B1" zoomScale="90" zoomScaleNormal="90" workbookViewId="0">
      <selection activeCell="I29" sqref="I29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9.109375" style="16" customWidth="1"/>
    <col min="7" max="7" width="2.88671875" style="16" customWidth="1"/>
    <col min="8" max="12" width="13.6640625" style="11" bestFit="1" customWidth="1"/>
    <col min="13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tr">
        <f>'Input | General'!$B$1</f>
        <v>CitiPower 2021-26 Proposal - Capital expenditure sharing scheme model</v>
      </c>
      <c r="D1" s="12"/>
      <c r="E1" s="12"/>
      <c r="F1" s="12"/>
      <c r="G1" s="12"/>
      <c r="H1" s="105"/>
      <c r="I1" s="106" t="s">
        <v>43</v>
      </c>
      <c r="J1" s="154" t="s">
        <v>44</v>
      </c>
      <c r="K1" s="159" t="s">
        <v>32</v>
      </c>
      <c r="L1" s="219" t="s">
        <v>104</v>
      </c>
    </row>
    <row r="2" spans="2:14" ht="18" customHeight="1">
      <c r="B2" s="13" t="s">
        <v>33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48</v>
      </c>
      <c r="F6" s="75" t="s">
        <v>4</v>
      </c>
      <c r="G6" s="64"/>
      <c r="H6" s="173">
        <f>IF('Input | General'!D14="Yes",'Input | General'!D13,"n/a")</f>
        <v>2016</v>
      </c>
      <c r="I6" s="173">
        <f>IF('Input | General'!E14="Yes",'Input | General'!E13,"n/a")</f>
        <v>2017</v>
      </c>
      <c r="J6" s="173">
        <f>IF('Input | General'!F14="Yes",'Input | General'!F13,"n/a")</f>
        <v>2018</v>
      </c>
      <c r="K6" s="173">
        <f>IF('Input | General'!G14="Yes",'Input | General'!G13,"n/a")</f>
        <v>2019</v>
      </c>
      <c r="L6" s="173">
        <f>IF('Input | General'!H14="Yes",'Input | General'!H13,"n/a")</f>
        <v>2020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45</v>
      </c>
      <c r="E8" s="78" t="s">
        <v>46</v>
      </c>
      <c r="F8" s="176">
        <f>'Input | Inflation and Disc Rate'!$F$7</f>
        <v>2015</v>
      </c>
      <c r="G8" s="68"/>
      <c r="H8" s="157">
        <v>192.88143162320191</v>
      </c>
      <c r="I8" s="157">
        <v>230.57043700416415</v>
      </c>
      <c r="J8" s="157">
        <v>203.65040153058968</v>
      </c>
      <c r="K8" s="157">
        <v>174.76121120619683</v>
      </c>
      <c r="L8" s="157">
        <v>143.3639384866068</v>
      </c>
      <c r="M8" s="2"/>
      <c r="N8" s="2"/>
    </row>
    <row r="9" spans="2:14" ht="10.5" customHeight="1">
      <c r="C9" s="80" t="s">
        <v>94</v>
      </c>
      <c r="D9" s="78" t="s">
        <v>45</v>
      </c>
      <c r="E9" s="78" t="s">
        <v>46</v>
      </c>
      <c r="F9" s="176">
        <f>'Input | Inflation and Disc Rate'!$F$7</f>
        <v>2015</v>
      </c>
      <c r="G9" s="68"/>
      <c r="H9" s="157">
        <v>32.600867101726827</v>
      </c>
      <c r="I9" s="157">
        <v>39.9194009971119</v>
      </c>
      <c r="J9" s="157">
        <v>34.639428756196509</v>
      </c>
      <c r="K9" s="157">
        <v>31.850217255829492</v>
      </c>
      <c r="L9" s="157">
        <v>31.42049722942641</v>
      </c>
      <c r="M9" s="2"/>
      <c r="N9" s="2"/>
    </row>
    <row r="10" spans="2:14" ht="10.5" customHeight="1">
      <c r="C10" s="80" t="s">
        <v>88</v>
      </c>
      <c r="D10" s="78" t="s">
        <v>45</v>
      </c>
      <c r="E10" s="78" t="s">
        <v>46</v>
      </c>
      <c r="F10" s="176">
        <f>'Input | Inflation and Disc Rate'!$F$7</f>
        <v>2015</v>
      </c>
      <c r="G10" s="68"/>
      <c r="H10" s="157">
        <v>0.25836500000000001</v>
      </c>
      <c r="I10" s="157">
        <v>0.25836500000000001</v>
      </c>
      <c r="J10" s="157">
        <v>0.25836500000000001</v>
      </c>
      <c r="K10" s="157">
        <v>0.25836500000000001</v>
      </c>
      <c r="L10" s="157">
        <v>0.25836500000000001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56</v>
      </c>
      <c r="E12" s="174" t="s">
        <v>46</v>
      </c>
      <c r="F12" s="175">
        <f>'Input | Inflation and Disc Rate'!$F$7</f>
        <v>2015</v>
      </c>
      <c r="G12" s="68"/>
      <c r="H12" s="66">
        <f>IF(H6="", "", H8-H9-H10)</f>
        <v>160.02219952147507</v>
      </c>
      <c r="I12" s="66">
        <f t="shared" ref="I12:L12" si="0">IF(I6="", "", I8-I9-I10)</f>
        <v>190.39267100705226</v>
      </c>
      <c r="J12" s="66">
        <f t="shared" si="0"/>
        <v>168.75260777439317</v>
      </c>
      <c r="K12" s="66">
        <f t="shared" si="0"/>
        <v>142.65262895036736</v>
      </c>
      <c r="L12" s="66">
        <f t="shared" si="0"/>
        <v>111.68507625718038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37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48</v>
      </c>
      <c r="F16" s="75" t="s">
        <v>4</v>
      </c>
      <c r="G16" s="64"/>
      <c r="H16" s="173">
        <f>H6</f>
        <v>2016</v>
      </c>
      <c r="I16" s="173">
        <f t="shared" ref="I16:L16" si="1">I6</f>
        <v>2017</v>
      </c>
      <c r="J16" s="173">
        <f t="shared" si="1"/>
        <v>2018</v>
      </c>
      <c r="K16" s="173">
        <f t="shared" si="1"/>
        <v>2019</v>
      </c>
      <c r="L16" s="173">
        <f t="shared" si="1"/>
        <v>2020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73</v>
      </c>
      <c r="D18" s="78" t="s">
        <v>45</v>
      </c>
      <c r="E18" s="78" t="s">
        <v>46</v>
      </c>
      <c r="F18" s="78" t="s">
        <v>49</v>
      </c>
      <c r="G18" s="68"/>
      <c r="H18" s="158">
        <v>162.33166188015332</v>
      </c>
      <c r="I18" s="158">
        <v>135.13654514102456</v>
      </c>
      <c r="J18" s="158">
        <v>153.61627539814324</v>
      </c>
      <c r="K18" s="158">
        <v>159.71355713839998</v>
      </c>
      <c r="L18" s="158">
        <v>210.05080378274866</v>
      </c>
    </row>
    <row r="19" spans="2:14" s="2" customFormat="1" ht="10.5" customHeight="1">
      <c r="B19" s="73"/>
      <c r="C19" s="80" t="s">
        <v>94</v>
      </c>
      <c r="D19" s="78" t="s">
        <v>45</v>
      </c>
      <c r="E19" s="78" t="s">
        <v>46</v>
      </c>
      <c r="F19" s="78" t="s">
        <v>49</v>
      </c>
      <c r="G19" s="138"/>
      <c r="H19" s="158">
        <v>44.29357579496687</v>
      </c>
      <c r="I19" s="158">
        <v>46.075735999999999</v>
      </c>
      <c r="J19" s="158">
        <v>51.709904070000007</v>
      </c>
      <c r="K19" s="158">
        <v>46.739266809999997</v>
      </c>
      <c r="L19" s="158">
        <v>59.177351955161186</v>
      </c>
    </row>
    <row r="20" spans="2:14" s="2" customFormat="1" ht="10.5" customHeight="1">
      <c r="B20" s="73"/>
      <c r="C20" s="137" t="s">
        <v>88</v>
      </c>
      <c r="D20" s="78" t="s">
        <v>45</v>
      </c>
      <c r="E20" s="78" t="s">
        <v>46</v>
      </c>
      <c r="F20" s="78" t="s">
        <v>49</v>
      </c>
      <c r="G20" s="138"/>
      <c r="H20" s="158">
        <v>6.4660350000000005E-2</v>
      </c>
      <c r="I20" s="158">
        <v>0.41702899999999998</v>
      </c>
      <c r="J20" s="158">
        <v>0.75274277000000001</v>
      </c>
      <c r="K20" s="158">
        <v>7.4838122799999995</v>
      </c>
      <c r="L20" s="158">
        <v>0.42639251776849574</v>
      </c>
    </row>
    <row r="21" spans="2:14" s="2" customFormat="1" ht="10.5" customHeight="1">
      <c r="B21" s="73"/>
      <c r="C21" s="151" t="s">
        <v>93</v>
      </c>
      <c r="D21" s="78" t="s">
        <v>45</v>
      </c>
      <c r="E21" s="78" t="s">
        <v>46</v>
      </c>
      <c r="F21" s="78" t="s">
        <v>49</v>
      </c>
      <c r="G21" s="68"/>
      <c r="H21" s="158"/>
      <c r="I21" s="157"/>
      <c r="J21" s="157"/>
      <c r="K21" s="157"/>
      <c r="L21" s="157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72</v>
      </c>
      <c r="D23" s="76" t="s">
        <v>56</v>
      </c>
      <c r="E23" s="177" t="s">
        <v>46</v>
      </c>
      <c r="F23" s="177" t="s">
        <v>49</v>
      </c>
      <c r="G23" s="68"/>
      <c r="H23" s="66">
        <f>IF(H16="", "", H18-H19-H20-H21)</f>
        <v>117.97342573518645</v>
      </c>
      <c r="I23" s="66">
        <f t="shared" ref="I23:L23" si="2">IF(I16="", "", I18-I19-I20-I21)</f>
        <v>88.64378014102455</v>
      </c>
      <c r="J23" s="66">
        <f t="shared" si="2"/>
        <v>101.15362855814324</v>
      </c>
      <c r="K23" s="66">
        <f t="shared" si="2"/>
        <v>105.49047804839998</v>
      </c>
      <c r="L23" s="66">
        <f t="shared" si="2"/>
        <v>150.44705930981897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38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3" t="str">
        <f>'Input | General'!D18</f>
        <v>2021-22</v>
      </c>
      <c r="I27" s="173" t="str">
        <f>'Input | General'!E18</f>
        <v>2022–23</v>
      </c>
      <c r="J27" s="173" t="str">
        <f>'Input | General'!F18</f>
        <v>2023–24</v>
      </c>
      <c r="K27" s="173" t="str">
        <f>'Input | General'!G18</f>
        <v>2024–25</v>
      </c>
      <c r="L27" s="173" t="str">
        <f>'Input | General'!H18</f>
        <v>2025–26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81</v>
      </c>
      <c r="D29" s="65" t="s">
        <v>82</v>
      </c>
      <c r="E29" s="78" t="s">
        <v>46</v>
      </c>
      <c r="F29" s="78" t="s">
        <v>49</v>
      </c>
      <c r="G29" s="68"/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2"/>
      <c r="N29" s="2"/>
    </row>
    <row r="30" spans="2:14" ht="11.25" customHeight="1">
      <c r="C30" s="84" t="s">
        <v>81</v>
      </c>
      <c r="D30" s="65" t="s">
        <v>56</v>
      </c>
      <c r="E30" s="78" t="s">
        <v>46</v>
      </c>
      <c r="F30" s="78">
        <f>'Input | Inflation and Disc Rate'!$F$7</f>
        <v>2015</v>
      </c>
      <c r="G30" s="68"/>
      <c r="H30" s="197">
        <f>IF(H29&lt;&gt;"",H29/('Input | Inflation and Disc Rate'!L10*(1+'Input | Inflation and Disc Rate'!M9)^0.5),"")</f>
        <v>0</v>
      </c>
      <c r="I30" s="197">
        <f>IF(I29&lt;&gt;"",I29/('Input | Inflation and Disc Rate'!M10*(1+'Input | Inflation and Disc Rate'!N9)^0.5),"")</f>
        <v>0</v>
      </c>
      <c r="J30" s="197">
        <f>IF(J29&lt;&gt;"",J29/('Input | Inflation and Disc Rate'!N10*(1+'Input | Inflation and Disc Rate'!O9)^0.5),"")</f>
        <v>0</v>
      </c>
      <c r="K30" s="197">
        <f>IF(K29&lt;&gt;"",K29/('Input | Inflation and Disc Rate'!O10*(1+'Input | Inflation and Disc Rate'!P9)^0.5),"")</f>
        <v>0</v>
      </c>
      <c r="L30" s="197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4" t="s">
        <v>81</v>
      </c>
      <c r="D31" s="65" t="s">
        <v>45</v>
      </c>
      <c r="E31" s="78" t="s">
        <v>46</v>
      </c>
      <c r="F31" s="78" t="s">
        <v>49</v>
      </c>
      <c r="G31" s="68"/>
      <c r="H31" s="197">
        <f>IF(H29&lt;&gt;"",H30*'Input | Inflation and Disc Rate'!L15*(1+'Input | Inflation and Disc Rate'!M14)^0.5,"")</f>
        <v>0</v>
      </c>
      <c r="I31" s="197">
        <f>IF(I29&lt;&gt;"",I30*'Input | Inflation and Disc Rate'!M15*(1+'Input | Inflation and Disc Rate'!N14)^0.5,"")</f>
        <v>0</v>
      </c>
      <c r="J31" s="197">
        <f>IF(J29&lt;&gt;"",J30*'Input | Inflation and Disc Rate'!N15*(1+'Input | Inflation and Disc Rate'!O14)^0.5,"")</f>
        <v>0</v>
      </c>
      <c r="K31" s="197">
        <f>IF(K29&lt;&gt;"",K30*'Input | Inflation and Disc Rate'!O15*(1+'Input | Inflation and Disc Rate'!P14)^0.5,"")</f>
        <v>0</v>
      </c>
      <c r="L31" s="197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30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L10">
    <cfRule type="expression" dxfId="5" priority="20">
      <formula>IF($H$6&lt;&gt;"","FALSE","TRUE")</formula>
    </cfRule>
  </conditionalFormatting>
  <conditionalFormatting sqref="H19:L20">
    <cfRule type="expression" dxfId="4" priority="10">
      <formula>IF($H$6&lt;&gt;"","FALSE","TRUE")</formula>
    </cfRule>
  </conditionalFormatting>
  <conditionalFormatting sqref="H29:L29">
    <cfRule type="expression" dxfId="3" priority="4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18:L18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4"/>
  <sheetViews>
    <sheetView topLeftCell="B1" zoomScale="80" zoomScaleNormal="80" workbookViewId="0">
      <selection activeCell="D43" sqref="D43"/>
    </sheetView>
  </sheetViews>
  <sheetFormatPr defaultColWidth="0" defaultRowHeight="0" customHeight="1" zeroHeight="1"/>
  <cols>
    <col min="1" max="2" width="1.33203125" style="2" customWidth="1"/>
    <col min="3" max="3" width="86.5546875" style="9" customWidth="1"/>
    <col min="4" max="8" width="12.6640625" style="2" customWidth="1"/>
    <col min="9" max="9" width="2.332031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CitiPower 2021-26 Proposal - Capital expenditure sharing scheme model</v>
      </c>
      <c r="D1" s="106" t="s">
        <v>43</v>
      </c>
      <c r="E1" s="154" t="s">
        <v>44</v>
      </c>
      <c r="F1" s="159" t="s">
        <v>32</v>
      </c>
      <c r="G1" s="219" t="s">
        <v>104</v>
      </c>
      <c r="H1" s="222" t="s">
        <v>103</v>
      </c>
      <c r="J1" s="120"/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80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7"/>
    </row>
    <row r="7" spans="2:23" ht="11.25" customHeight="1">
      <c r="C7" s="115" t="s">
        <v>9</v>
      </c>
      <c r="D7" s="173">
        <f>IF('Input | General'!D14="Yes",'Input | General'!D13,"n/a")</f>
        <v>2016</v>
      </c>
      <c r="E7" s="173">
        <f>IF('Input | General'!E14="Yes",'Input | General'!E13,"n/a")</f>
        <v>2017</v>
      </c>
      <c r="F7" s="173">
        <f>IF('Input | General'!F14="Yes",'Input | General'!F13,"n/a")</f>
        <v>2018</v>
      </c>
      <c r="G7" s="173">
        <f>IF('Input | General'!G14="Yes",'Input | General'!G13,"n/a")</f>
        <v>2019</v>
      </c>
      <c r="H7" s="178">
        <f>IF('Input | General'!H14="Yes",'Input | General'!H13,"n/a")</f>
        <v>2020</v>
      </c>
      <c r="I7" s="97"/>
    </row>
    <row r="8" spans="2:23" ht="11.25" customHeight="1">
      <c r="C8" s="141" t="s">
        <v>90</v>
      </c>
      <c r="D8" s="160">
        <f>'Input | Inflation and Disc Rate'!G20</f>
        <v>3.6700024103140549E-2</v>
      </c>
      <c r="E8" s="161">
        <f>'Input | Inflation and Disc Rate'!H20</f>
        <v>3.6127568814887212E-2</v>
      </c>
      <c r="F8" s="161">
        <f>'Input | Inflation and Disc Rate'!I20</f>
        <v>3.5630478851562009E-2</v>
      </c>
      <c r="G8" s="161">
        <f>'Input | Inflation and Disc Rate'!J20</f>
        <v>3.5080474747029244E-2</v>
      </c>
      <c r="H8" s="162">
        <f>'Input | Inflation and Disc Rate'!K20</f>
        <v>3.3621044143256062E-2</v>
      </c>
      <c r="I8" s="97"/>
      <c r="J8" s="79"/>
      <c r="K8" s="79"/>
    </row>
    <row r="9" spans="2:23" ht="11.25" customHeight="1">
      <c r="C9" s="144" t="s">
        <v>91</v>
      </c>
      <c r="D9" s="161">
        <f>'Input | Inflation and Disc Rate'!G22</f>
        <v>5.2363102843131282E-2</v>
      </c>
      <c r="E9" s="161">
        <f>'Input | Inflation and Disc Rate'!H22</f>
        <v>4.6729804402760422E-2</v>
      </c>
      <c r="F9" s="161">
        <f>'Input | Inflation and Disc Rate'!I22</f>
        <v>5.5656482586260658E-2</v>
      </c>
      <c r="G9" s="161">
        <f>'Input | Inflation and Disc Rate'!J22</f>
        <v>5.6586211801394004E-2</v>
      </c>
      <c r="H9" s="162">
        <f>'Input | Inflation and Disc Rate'!K22</f>
        <v>5.0085804138458423E-2</v>
      </c>
      <c r="I9" s="97"/>
      <c r="J9" s="79"/>
      <c r="K9" s="79"/>
    </row>
    <row r="10" spans="2:23" ht="11.25" customHeight="1">
      <c r="C10" s="112" t="s">
        <v>13</v>
      </c>
      <c r="D10" s="163">
        <f>'Input | Reported Capex'!H$12*'Input | Inflation and Disc Rate'!G$15*(1+'Input | Inflation and Disc Rate'!G$20)^0.5</f>
        <v>165.39382611162071</v>
      </c>
      <c r="E10" s="164">
        <f>'Input | Reported Capex'!I$12*'Input | Inflation and Disc Rate'!H$15*(1+'Input | Inflation and Disc Rate'!H$20)^0.5</f>
        <v>198.74248072489718</v>
      </c>
      <c r="F10" s="164">
        <f>'Input | Reported Capex'!J$12*'Input | Inflation and Disc Rate'!I$15*(1+'Input | Inflation and Disc Rate'!I$20)^0.5</f>
        <v>179.51657975780208</v>
      </c>
      <c r="G10" s="164">
        <f>'Input | Reported Capex'!K$12*'Input | Inflation and Disc Rate'!J$15*(1+'Input | Inflation and Disc Rate'!J$20)^0.5</f>
        <v>154.86358947154116</v>
      </c>
      <c r="H10" s="165">
        <f>'Input | Reported Capex'!L$12*'Input | Inflation and Disc Rate'!K$15*(1+'Input | Inflation and Disc Rate'!K$20)^0.5</f>
        <v>123.08970885206418</v>
      </c>
      <c r="I10" s="97"/>
      <c r="J10" s="79"/>
      <c r="K10" s="79"/>
      <c r="N10" s="135"/>
    </row>
    <row r="11" spans="2:23" ht="11.25" customHeight="1">
      <c r="C11" s="112" t="s">
        <v>15</v>
      </c>
      <c r="D11" s="166">
        <f>'Input | Reported Capex'!H23*(1+D$9)^0.5</f>
        <v>121.02274440812687</v>
      </c>
      <c r="E11" s="164">
        <f>'Input | Reported Capex'!I23*(1+E$9)^0.5</f>
        <v>90.691286599203522</v>
      </c>
      <c r="F11" s="164">
        <f>'Input | Reported Capex'!J23*(1+F$9)^0.5</f>
        <v>103.93044235841248</v>
      </c>
      <c r="G11" s="164">
        <f>'Input | Reported Capex'!K23*(1+G$9)^0.5</f>
        <v>108.43406272364828</v>
      </c>
      <c r="H11" s="165">
        <f>'Input | Reported Capex'!L23*(1+H$9)^0.5</f>
        <v>154.16865977184457</v>
      </c>
      <c r="I11" s="97"/>
      <c r="J11" s="79"/>
      <c r="K11" s="79"/>
    </row>
    <row r="12" spans="2:23" s="19" customFormat="1" ht="11.25" customHeight="1">
      <c r="C12" s="112" t="s">
        <v>17</v>
      </c>
      <c r="D12" s="153">
        <f>(D10-D11)</f>
        <v>44.371081703493843</v>
      </c>
      <c r="E12" s="142">
        <f>(E10-E11)</f>
        <v>108.05119412569366</v>
      </c>
      <c r="F12" s="142">
        <f t="shared" ref="F12:H12" si="0">(F10-F11)</f>
        <v>75.5861373993896</v>
      </c>
      <c r="G12" s="142">
        <f t="shared" si="0"/>
        <v>46.429526747892879</v>
      </c>
      <c r="H12" s="145">
        <f t="shared" si="0"/>
        <v>-31.078950919780397</v>
      </c>
      <c r="I12" s="97"/>
      <c r="J12" s="79"/>
      <c r="K12" s="79"/>
    </row>
    <row r="13" spans="2:23" ht="11.25" customHeight="1">
      <c r="C13" s="112" t="s">
        <v>67</v>
      </c>
      <c r="D13" s="89"/>
      <c r="E13" s="142">
        <f>$D$12*$E$8</f>
        <v>1.6030193076339567</v>
      </c>
      <c r="F13" s="142">
        <f>$D$12*$F$8*(1+'Input | Inflation and Disc Rate'!H13)</f>
        <v>1.5971401829278067</v>
      </c>
      <c r="G13" s="142">
        <f>$D$12*$G$8*(1+'Input | Inflation and Disc Rate'!H13)*(1+'Input | Inflation and Disc Rate'!I13)</f>
        <v>1.6028933791590234</v>
      </c>
      <c r="H13" s="145">
        <f>$D$12*$H$8*(1+'Input | Inflation and Disc Rate'!H13)*(1+'Input | Inflation and Disc Rate'!I13)*(1+'Input | Inflation and Disc Rate'!J13)</f>
        <v>1.5681268550697882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2" t="s">
        <v>68</v>
      </c>
      <c r="D14" s="89"/>
      <c r="E14" s="143"/>
      <c r="F14" s="142">
        <f>$E$12*F$8</f>
        <v>3.849915787181549</v>
      </c>
      <c r="G14" s="142">
        <f>$E$12*G$8*(1+'Input | Inflation and Disc Rate'!I13)</f>
        <v>3.8637839004718373</v>
      </c>
      <c r="H14" s="145">
        <f>$E$12*H$8*(1+'Input | Inflation and Disc Rate'!I13)*(1+'Input | Inflation and Disc Rate'!J13)</f>
        <v>3.7799789900530101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2" t="s">
        <v>69</v>
      </c>
      <c r="D15" s="89"/>
      <c r="E15" s="142"/>
      <c r="F15" s="142"/>
      <c r="G15" s="142">
        <f>$F$12*G$8</f>
        <v>2.6515975842647697</v>
      </c>
      <c r="H15" s="145">
        <f>$F$12*$H$8*(1+'Input | Inflation and Disc Rate'!J13)</f>
        <v>2.5940848186080383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2" t="s">
        <v>70</v>
      </c>
      <c r="D16" s="89"/>
      <c r="E16" s="142"/>
      <c r="F16" s="142"/>
      <c r="G16" s="142"/>
      <c r="H16" s="145">
        <f>$G$12*$H$8</f>
        <v>1.5610091683413947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2" t="s">
        <v>71</v>
      </c>
      <c r="D17" s="89"/>
      <c r="E17" s="142"/>
      <c r="F17" s="142"/>
      <c r="G17" s="142"/>
      <c r="H17" s="145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3" t="s">
        <v>18</v>
      </c>
      <c r="D18" s="90">
        <f>SUM(D13:D17)</f>
        <v>0</v>
      </c>
      <c r="E18" s="146">
        <f>SUM(E13:E17)</f>
        <v>1.6030193076339567</v>
      </c>
      <c r="F18" s="146">
        <f t="shared" ref="F18:H18" si="1">SUM(F13:F17)</f>
        <v>5.4470559701093553</v>
      </c>
      <c r="G18" s="146">
        <f t="shared" si="1"/>
        <v>8.1182748638956301</v>
      </c>
      <c r="H18" s="147">
        <f t="shared" si="1"/>
        <v>9.503199832072232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41" t="s">
        <v>89</v>
      </c>
      <c r="D19" s="122">
        <f>E19*(1+E$9)</f>
        <v>1.2259900222477611</v>
      </c>
      <c r="E19" s="146">
        <f>F19*(1+F$9)</f>
        <v>1.1712573933511736</v>
      </c>
      <c r="F19" s="146">
        <f>G19*(1+G$9)</f>
        <v>1.1095061818610743</v>
      </c>
      <c r="G19" s="146">
        <f>H19*(1+H$9)</f>
        <v>1.0500858041384584</v>
      </c>
      <c r="H19" s="148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206" t="s">
        <v>101</v>
      </c>
      <c r="D20" s="89">
        <f>D12*D19</f>
        <v>54.398503444823639</v>
      </c>
      <c r="E20" s="142">
        <f>E12*E19</f>
        <v>126.55575998014159</v>
      </c>
      <c r="F20" s="142">
        <f t="shared" ref="F20:H20" si="2">F12*F19</f>
        <v>83.863286707623303</v>
      </c>
      <c r="G20" s="142">
        <f t="shared" si="2"/>
        <v>48.754986930829162</v>
      </c>
      <c r="H20" s="145">
        <f t="shared" si="2"/>
        <v>-31.078950919780397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207" t="s">
        <v>102</v>
      </c>
      <c r="D21" s="90">
        <f>D18*D19</f>
        <v>0</v>
      </c>
      <c r="E21" s="146">
        <f>E18*E19</f>
        <v>1.8775482157509513</v>
      </c>
      <c r="F21" s="146">
        <f t="shared" ref="F21:H21" si="3">F18*F19</f>
        <v>6.043542271779601</v>
      </c>
      <c r="G21" s="146">
        <f t="shared" si="3"/>
        <v>8.5248851886708774</v>
      </c>
      <c r="H21" s="147">
        <f t="shared" si="3"/>
        <v>9.503199832072232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7"/>
      <c r="J23" s="79"/>
      <c r="K23" s="79"/>
      <c r="L23" s="97"/>
      <c r="M23" s="97"/>
      <c r="N23" s="97"/>
      <c r="O23" s="97"/>
    </row>
    <row r="24" spans="3:15" ht="11.25" customHeight="1">
      <c r="C24" s="111" t="s">
        <v>9</v>
      </c>
      <c r="D24" s="179" t="str">
        <f>'Input | General'!$D$18</f>
        <v>2021-22</v>
      </c>
      <c r="E24" s="179" t="str">
        <f>'Input | General'!$E$18</f>
        <v>2022–23</v>
      </c>
      <c r="F24" s="179" t="str">
        <f>'Input | General'!$F$18</f>
        <v>2023–24</v>
      </c>
      <c r="G24" s="179" t="str">
        <f>'Input | General'!$G$18</f>
        <v>2024–25</v>
      </c>
      <c r="H24" s="180" t="str">
        <f>'Input | General'!$H$18</f>
        <v>2025–26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4" t="s">
        <v>66</v>
      </c>
      <c r="D25" s="167">
        <f>'Input | Inflation and Disc Rate'!M$22</f>
        <v>4.5902498875882269E-2</v>
      </c>
      <c r="E25" s="167">
        <f>'Input | Inflation and Disc Rate'!N$22</f>
        <v>4.4323538630180792E-2</v>
      </c>
      <c r="F25" s="167">
        <f>'Input | Inflation and Disc Rate'!O$22</f>
        <v>4.2744578384479315E-2</v>
      </c>
      <c r="G25" s="167">
        <f>'Input | Inflation and Disc Rate'!P$22</f>
        <v>4.1165618138778282E-2</v>
      </c>
      <c r="H25" s="168">
        <f>'Input | Inflation and Disc Rate'!Q$22</f>
        <v>3.9586657893076804E-2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5" t="s">
        <v>14</v>
      </c>
      <c r="D26" s="164">
        <f>'Input | Reported Capex'!H31</f>
        <v>0</v>
      </c>
      <c r="E26" s="164">
        <f>'Input | Reported Capex'!I31</f>
        <v>0</v>
      </c>
      <c r="F26" s="164">
        <f>'Input | Reported Capex'!J31</f>
        <v>0</v>
      </c>
      <c r="G26" s="164">
        <f>'Input | Reported Capex'!K31</f>
        <v>0</v>
      </c>
      <c r="H26" s="165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5" t="s">
        <v>16</v>
      </c>
      <c r="D27" s="201">
        <f>1/((1+D25)^(0.5)*(1+'Input | Inflation and Disc Rate'!$L$22))</f>
        <v>0.95479392850300571</v>
      </c>
      <c r="E27" s="199">
        <f>1/((1+E25)^(0.5)*(1+D25)*(1+'Input | Inflation and Disc Rate'!$L$22))</f>
        <v>0.9135798557558521</v>
      </c>
      <c r="F27" s="199">
        <f>1/((1+F25)^(0.5)*(1+E25)*(1+D25)*(1+'Input | Inflation and Disc Rate'!$L$22))</f>
        <v>0.87546746534650965</v>
      </c>
      <c r="G27" s="199">
        <f>1/((1+G25)^(0.5)*(1+F25)*(1+E25)*(1+D25)*(1+'Input | Inflation and Disc Rate'!$L$22))</f>
        <v>0.84021635683566043</v>
      </c>
      <c r="H27" s="200">
        <f>1/((1+H25)^(0.5)*(1+G25)*(1+F25)*(1+E25)*(1+D25)*(1+'Input | Inflation and Disc Rate'!$L$22))</f>
        <v>0.80760848701615162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208" t="s">
        <v>100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0" t="s">
        <v>19</v>
      </c>
      <c r="D30" s="119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2" t="s">
        <v>20</v>
      </c>
      <c r="D31" s="102">
        <f>SUM(D20:H20)-SUM(D28:H28)</f>
        <v>282.49358614363723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2" t="s">
        <v>21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2" t="s">
        <v>22</v>
      </c>
      <c r="D33" s="102">
        <f>(1-D32)*D31</f>
        <v>197.74551030054604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2" t="s">
        <v>23</v>
      </c>
      <c r="D34" s="102">
        <f>D32*D31</f>
        <v>84.748075843091172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2" t="s">
        <v>24</v>
      </c>
      <c r="D35" s="102">
        <f>SUM(D21:H21)</f>
        <v>25.949175508273662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207" t="s">
        <v>121</v>
      </c>
      <c r="D36" s="103">
        <f>D34-D35</f>
        <v>58.79890033481751</v>
      </c>
      <c r="E36" s="96"/>
      <c r="F36" s="192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C37" s="198" t="s">
        <v>120</v>
      </c>
      <c r="D37" s="202">
        <f>D36*(1+'Input | Inflation and Disc Rate'!L22)</f>
        <v>60.216284501602914</v>
      </c>
      <c r="E37" s="96"/>
      <c r="F37" s="192"/>
      <c r="G37" s="96"/>
      <c r="H37" s="96"/>
      <c r="I37" s="97"/>
      <c r="J37" s="79"/>
      <c r="K37" s="79"/>
      <c r="L37" s="97"/>
      <c r="M37" s="97"/>
      <c r="N37" s="97"/>
      <c r="O37" s="97"/>
    </row>
    <row r="38" spans="1:16382" ht="11.25" customHeight="1">
      <c r="D38" s="25"/>
      <c r="J38" s="2"/>
    </row>
    <row r="39" spans="1:16382" s="8" customFormat="1" ht="12" customHeight="1">
      <c r="B39" s="29" t="s">
        <v>41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3"/>
      <c r="D41" s="181" t="str">
        <f>'Input | General'!D18</f>
        <v>2021-22</v>
      </c>
      <c r="E41" s="181" t="str">
        <f>'Input | General'!E18</f>
        <v>2022–23</v>
      </c>
      <c r="F41" s="181" t="str">
        <f>'Input | General'!F18</f>
        <v>2023–24</v>
      </c>
      <c r="G41" s="181" t="str">
        <f>'Input | General'!G18</f>
        <v>2024–25</v>
      </c>
      <c r="H41" s="181" t="str">
        <f>'Input | General'!H18</f>
        <v>2025–26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00" t="s">
        <v>95</v>
      </c>
      <c r="D42" s="169">
        <f>1/(1+'Input | Inflation and Disc Rate'!M21)</f>
        <v>0.97881311870791943</v>
      </c>
      <c r="E42" s="169">
        <f>D42/(1+'Input | Inflation and Disc Rate'!N21)</f>
        <v>0.95952367869644439</v>
      </c>
      <c r="F42" s="169">
        <f>E42/(1+'Input | Inflation and Disc Rate'!O21)</f>
        <v>0.94203868621194042</v>
      </c>
      <c r="G42" s="169">
        <f>F42/(1+'Input | Inflation and Disc Rate'!P21)</f>
        <v>0.9262749131318524</v>
      </c>
      <c r="H42" s="170">
        <f>G42/(1+'Input | Inflation and Disc Rate'!Q21)</f>
        <v>0.91215824249491928</v>
      </c>
      <c r="I42" s="94"/>
      <c r="J42" s="94"/>
      <c r="K42" s="94"/>
      <c r="L42" s="94"/>
      <c r="M42" s="94"/>
      <c r="N42" s="94"/>
      <c r="O42" s="94"/>
    </row>
    <row r="43" spans="1:16382" s="30" customFormat="1" ht="11.25" customHeight="1">
      <c r="C43" s="187" t="str">
        <f>CONCATENATE("CESS Payment Per Year ($", 'Output | Models'!$F$8," million)")</f>
        <v>CESS Payment Per Year ($2020–21 million)</v>
      </c>
      <c r="D43" s="203">
        <f>D37/(SUM(D42:H42))</f>
        <v>12.760908336232502</v>
      </c>
      <c r="E43" s="204">
        <f>D43</f>
        <v>12.760908336232502</v>
      </c>
      <c r="F43" s="204">
        <f t="shared" ref="F43:H43" si="5">E43</f>
        <v>12.760908336232502</v>
      </c>
      <c r="G43" s="204">
        <f t="shared" si="5"/>
        <v>12.760908336232502</v>
      </c>
      <c r="H43" s="205">
        <f t="shared" si="5"/>
        <v>12.760908336232502</v>
      </c>
      <c r="I43" s="94"/>
      <c r="J43" s="94"/>
      <c r="K43" s="94"/>
      <c r="L43" s="94"/>
      <c r="M43" s="94"/>
      <c r="N43" s="94"/>
      <c r="O43" s="94"/>
    </row>
    <row r="44" spans="1:16382" s="79" customFormat="1" ht="11.25" customHeight="1"/>
    <row r="45" spans="1:16382" s="30" customFormat="1" ht="11.25" customHeight="1">
      <c r="C45" s="187" t="str">
        <f>CONCATENATE("Total CESS Payment ($", 'Output | Models'!$F$8," million)")</f>
        <v>Total CESS Payment ($2020–21 million)</v>
      </c>
      <c r="D45" s="152">
        <f>SUM(D43:H43)</f>
        <v>63.804541681162512</v>
      </c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69"/>
      <c r="D46" s="99"/>
      <c r="E46" s="70"/>
      <c r="F46" s="70"/>
      <c r="G46" s="70"/>
      <c r="H46" s="70"/>
      <c r="I46" s="94"/>
      <c r="J46" s="94"/>
      <c r="K46" s="94"/>
      <c r="L46" s="94"/>
      <c r="M46" s="94"/>
      <c r="N46" s="94"/>
      <c r="O46" s="94"/>
    </row>
    <row r="47" spans="1:16382" s="30" customFormat="1" ht="11.25" customHeight="1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6382" ht="12" customHeight="1">
      <c r="A48" s="29"/>
      <c r="B48" s="29" t="s">
        <v>30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opLeftCell="E1" workbookViewId="0">
      <selection activeCell="J8" sqref="J8:N8"/>
    </sheetView>
  </sheetViews>
  <sheetFormatPr defaultColWidth="0" defaultRowHeight="11.25" customHeight="1" zeroHeight="1"/>
  <cols>
    <col min="1" max="2" width="1.3320312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109375" style="52" customWidth="1"/>
    <col min="7" max="9" width="2.88671875" style="52" customWidth="1"/>
    <col min="10" max="15" width="9.33203125" style="51" customWidth="1"/>
    <col min="16" max="17" width="3" style="51" customWidth="1"/>
    <col min="18" max="24" width="9.332031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CitiPower 2021-26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43</v>
      </c>
      <c r="L1" s="154" t="s">
        <v>44</v>
      </c>
      <c r="M1" s="159" t="s">
        <v>32</v>
      </c>
      <c r="R1" s="107"/>
      <c r="S1" s="79"/>
      <c r="T1" s="79"/>
      <c r="U1" s="79"/>
      <c r="V1" s="79"/>
      <c r="W1" s="79"/>
    </row>
    <row r="2" spans="1:27" s="37" customFormat="1" ht="13.8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24"/>
      <c r="K3" s="224"/>
      <c r="L3" s="224"/>
      <c r="M3" s="42"/>
      <c r="N3" s="224"/>
      <c r="O3" s="224"/>
      <c r="P3" s="224"/>
      <c r="Q3" s="224"/>
      <c r="R3" s="224"/>
      <c r="S3" s="224"/>
      <c r="T3" s="224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82" t="str">
        <f>'Calc | CESS Revenue Increments'!D41</f>
        <v>2021-22</v>
      </c>
      <c r="K6" s="182" t="str">
        <f>'Calc | CESS Revenue Increments'!E41</f>
        <v>2022–23</v>
      </c>
      <c r="L6" s="182" t="str">
        <f>'Calc | CESS Revenue Increments'!F41</f>
        <v>2023–24</v>
      </c>
      <c r="M6" s="182" t="str">
        <f>'Calc | CESS Revenue Increments'!G41</f>
        <v>2024–25</v>
      </c>
      <c r="N6" s="182" t="str">
        <f>'Calc | CESS Revenue Increments'!H41</f>
        <v>2025–26</v>
      </c>
      <c r="O6" s="56" t="s">
        <v>83</v>
      </c>
      <c r="P6" s="132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79</v>
      </c>
      <c r="D8" s="184" t="s">
        <v>54</v>
      </c>
      <c r="E8" s="52" t="s">
        <v>46</v>
      </c>
      <c r="F8" s="183" t="str">
        <f>IF(LEN(J6)&gt;4,CONCATENATE(LEFT(J6,4)-1&amp;"–"&amp;IF(RIGHT(J6,2)="00","99",IF(RIGHT(J6,2)-1&lt;10,"0","")&amp;RIGHT(J6,2)-1)),J6-1)</f>
        <v>2020–21</v>
      </c>
      <c r="H8" s="55"/>
      <c r="I8" s="55"/>
      <c r="J8" s="129">
        <f>'Calc | CESS Revenue Increments'!D43</f>
        <v>12.760908336232502</v>
      </c>
      <c r="K8" s="129">
        <f>'Calc | CESS Revenue Increments'!E43</f>
        <v>12.760908336232502</v>
      </c>
      <c r="L8" s="129">
        <f>'Calc | CESS Revenue Increments'!F43</f>
        <v>12.760908336232502</v>
      </c>
      <c r="M8" s="129">
        <f>'Calc | CESS Revenue Increments'!G43</f>
        <v>12.760908336232502</v>
      </c>
      <c r="N8" s="129">
        <f>'Calc | CESS Revenue Increments'!H43</f>
        <v>12.760908336232502</v>
      </c>
      <c r="O8" s="60">
        <f>SUM(J8:N8)</f>
        <v>63.804541681162512</v>
      </c>
      <c r="P8" s="133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0"/>
      <c r="K10" s="130"/>
      <c r="L10" s="130"/>
      <c r="M10" s="130"/>
      <c r="N10" s="130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.2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2020-09-14T03:54:26Z</dcterms:created>
  <dcterms:modified xsi:type="dcterms:W3CDTF">2020-09-16T02:54:40Z</dcterms:modified>
  <cp:category/>
  <cp:contentStatus/>
</cp:coreProperties>
</file>