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105" windowWidth="3195" windowHeight="960"/>
  </bookViews>
  <sheets>
    <sheet name="Summary" sheetId="21" r:id="rId1"/>
    <sheet name="Divison of responsibility" sheetId="17" r:id="rId2"/>
    <sheet name="Bushfire obligations" sheetId="26" r:id="rId3"/>
    <sheet name="Bushfire obligations source" sheetId="27" r:id="rId4"/>
    <sheet name="Customer weights" sheetId="16" r:id="rId5"/>
    <sheet name="CPI-master" sheetId="2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hidden="1">[1]PCOR00!#REF!</definedName>
    <definedName name="_BQ4.5" localSheetId="2" hidden="1">#REF!</definedName>
    <definedName name="_BQ4.5" hidden="1">#REF!</definedName>
    <definedName name="_BQ4.6" localSheetId="2"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hidden="1">'[16]AMI P &amp; L'!#REF!</definedName>
    <definedName name="BEx00WOACHDXJ6I70WQ2OGP79902" localSheetId="2"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hidden="1">#REF!</definedName>
    <definedName name="BEx1MJVIWNE5X8L7TRVWT9WWEUBJ" localSheetId="2"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hidden="1">'[16]AMI P &amp; L'!#REF!</definedName>
    <definedName name="BEx1N0CYK8OCCI654CPSXGPO2B4B" localSheetId="2"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hidden="1">'[18]Capital orders'!#REF!</definedName>
    <definedName name="BEx1SVNCHNANBJIDIQVB8AFK4HAN" localSheetId="2" hidden="1">'[16]AMI P &amp; L'!#REF!</definedName>
    <definedName name="BEx1SVNCHNANBJIDIQVB8AFK4HAN" hidden="1">'[16]AMI P &amp; L'!#REF!</definedName>
    <definedName name="BEx1TJ0WLS9O7KNSGIPWTYHDYI1D" localSheetId="2" hidden="1">'[16]AMI P &amp; L'!#REF!</definedName>
    <definedName name="BEx1TJ0WLS9O7KNSGIPWTYHDYI1D" hidden="1">'[16]AMI P &amp; L'!#REF!</definedName>
    <definedName name="BEx1TYR9YIVMD6E36LEX70E5H1UT" localSheetId="2"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hidden="1">'[16]AMI P &amp; L'!#REF!</definedName>
    <definedName name="BEx3FZG91H1CY5ASLHP4YHKREYG9" localSheetId="2"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hidden="1">'[16]AMI P &amp; L'!#REF!</definedName>
    <definedName name="BEx3HA1YAMCT0GK89031ZWXQ3VK3" localSheetId="2" hidden="1">#REF!</definedName>
    <definedName name="BEx3HA1YAMCT0GK89031ZWXQ3VK3" hidden="1">#REF!</definedName>
    <definedName name="BEx3HJ1MIYFNI7Y25LLE6AGZ52U2" localSheetId="2" hidden="1">'[18]Capital orders'!#REF!</definedName>
    <definedName name="BEx3HJ1MIYFNI7Y25LLE6AGZ52U2" hidden="1">'[18]Capital orders'!#REF!</definedName>
    <definedName name="BEx3HMN4HBR0MZ546XIBTOE5PHAT" localSheetId="2"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hidden="1">'[16]AMI P &amp; L'!#REF!</definedName>
    <definedName name="BEx3IZXXSYEW50379N2EAFWO8DZV" localSheetId="2"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hidden="1">#REF!</definedName>
    <definedName name="BEx3KIXQYOGMPK4WJJAVBRX4NR28" localSheetId="2"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hidden="1">#REF!</definedName>
    <definedName name="BEx3N9JDP50MA4MMRXI6DO38SIEQ" localSheetId="2" hidden="1">#REF!</definedName>
    <definedName name="BEx3N9JDP50MA4MMRXI6DO38SIEQ" hidden="1">#REF!</definedName>
    <definedName name="BEx3NBS83TP04EO9LQWM9XWO1JEV" localSheetId="2"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hidden="1">#REF!</definedName>
    <definedName name="BEx3O85IKWARA6NCJOLRBRJFMEWW" localSheetId="2"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hidden="1">#REF!</definedName>
    <definedName name="BEx3T6H1GANMM2I05ZEVPCP6MRU2" localSheetId="2"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hidden="1">'[18]Capital orders'!#REF!</definedName>
    <definedName name="BEx3UO4CSA2W3UIZSAB83N5MOYUI" localSheetId="2"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hidden="1">'[16]AMI P &amp; L'!#REF!</definedName>
    <definedName name="BEx5CKWQHHP966IXELUOVK2L3J48" localSheetId="2"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hidden="1">'[18]Capital orders'!#REF!</definedName>
    <definedName name="BEx5I244LQHZTF3XI66J8705R9XX" localSheetId="2" hidden="1">'[16]AMI P &amp; L'!#REF!</definedName>
    <definedName name="BEx5I244LQHZTF3XI66J8705R9XX" hidden="1">'[16]AMI P &amp; L'!#REF!</definedName>
    <definedName name="BEx5I8PBP4LIXDGID5BP0THLO0AQ" localSheetId="2"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hidden="1">'[16]AMI P &amp; L'!#REF!</definedName>
    <definedName name="BEx5LTKQ8RQWJE4BC88OP928893U" localSheetId="2"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hidden="1">'[16]AMI P &amp; L'!#REF!</definedName>
    <definedName name="BEx5MVHOG4GCI4HKTOTP194VMNRA" localSheetId="2"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hidden="1">#REF!</definedName>
    <definedName name="BEx74W6BJ8ENO3J25WNM5H5APKA3" localSheetId="2"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hidden="1">#REF!</definedName>
    <definedName name="BEx771SMWJDAFC6Y4FKDDGEFBQ4W" localSheetId="2"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hidden="1">'[16]AMI P &amp; L'!#REF!</definedName>
    <definedName name="BEx7A4ZGTC3XLZR6M7XK0UX2T49X" localSheetId="2"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hidden="1">'[16]AMI P &amp; L'!#REF!</definedName>
    <definedName name="BEx7AVCX9S5RJP3NSZ4QM4E6ERDT" localSheetId="2"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hidden="1">'[16]AMI P &amp; L'!#REF!</definedName>
    <definedName name="BEx91ROALDNHO7FI4X8L61RH4UJE" localSheetId="2"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hidden="1">#REF!</definedName>
    <definedName name="BEx92YOIWN6IEUE1U85XCO40QLR1" localSheetId="2"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hidden="1">'[16]AMI P &amp; L'!#REF!</definedName>
    <definedName name="BEx94GXG30CIVB6ZQN3X3IK6BZXQ" localSheetId="2" hidden="1">'[16]AMI P &amp; L'!#REF!</definedName>
    <definedName name="BEx94GXG30CIVB6ZQN3X3IK6BZXQ" hidden="1">'[16]AMI P &amp; L'!#REF!</definedName>
    <definedName name="BEx94HZ5LURYM9ST744ALV6ZCKYP" localSheetId="2" hidden="1">'[16]AMI P &amp; L'!#REF!</definedName>
    <definedName name="BEx94HZ5LURYM9ST744ALV6ZCKYP" hidden="1">'[16]AMI P &amp; L'!#REF!</definedName>
    <definedName name="BEx94IQ75E90YUMWJ9N591LR7DQQ" localSheetId="2"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hidden="1">#REF!</definedName>
    <definedName name="BEx955NIAWX5OLAHMTV6QFUZPR30" localSheetId="2"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hidden="1">'[18]Capital orders'!#REF!</definedName>
    <definedName name="BEx96JP7X7K0JLFXG5H49RXRME5R" localSheetId="2"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hidden="1">'[16]AMI P &amp; L'!#REF!</definedName>
    <definedName name="BEx97O0DV0K9YPP91QBJAT6MS3RD" localSheetId="2"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hidden="1">#REF!</definedName>
    <definedName name="BEx98VGU9QUYP1365CXZRT20O3L4" localSheetId="2"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hidden="1">'[18]Capital orders'!#REF!</definedName>
    <definedName name="BEx9HZ1G1J0CB5PC45ZW4S9Q4EFY" localSheetId="2"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hidden="1">'[16]AMI P &amp; L'!#REF!</definedName>
    <definedName name="BEx9KLW9GH3AS7L6X2QVYRX4MP47" localSheetId="2"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hidden="1">#REF!</definedName>
    <definedName name="BExB1FKNY2UO4W5FUGFHJOA2WFGG" localSheetId="2"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hidden="1">#REF!</definedName>
    <definedName name="BExB442RX0T3L6HUL6X5T21CENW6" localSheetId="2"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hidden="1">'[16]AMI P &amp; L'!#REF!</definedName>
    <definedName name="BExB8WJYEQ55LDAYQH0NXEDCQOVD" localSheetId="2" hidden="1">#REF!</definedName>
    <definedName name="BExB8WJYEQ55LDAYQH0NXEDCQOVD" hidden="1">#REF!</definedName>
    <definedName name="BExB9AXUUDDTRDLVSC7REODDIYJ2" localSheetId="2"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hidden="1">'[16]AMI P &amp; L'!#REF!</definedName>
    <definedName name="BExB9R4HYJ83UNLFWKDKDJ31E2DS" localSheetId="2"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hidden="1">#REF!</definedName>
    <definedName name="BExCS7ZPMHFJ4UJDAL8CQOLSZ13B" localSheetId="2"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hidden="1">#REF!</definedName>
    <definedName name="BExCXKZZ6U10NBCECNUV9U56FB6V" localSheetId="2"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hidden="1">'[16]AMI P &amp; L'!#REF!</definedName>
    <definedName name="BExCZ4QTDJA3L8AGID0HLSLRVP6A" localSheetId="2"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hidden="1">'[16]AMI P &amp; L'!#REF!</definedName>
    <definedName name="BExD4R1I0MKF033I5LPUYIMTZ6E8" localSheetId="2"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hidden="1">'[16]AMI P &amp; L'!#REF!</definedName>
    <definedName name="BExERWCEBKQRYWRQLYJ4UCMMKTHG" localSheetId="2"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hidden="1">#REF!</definedName>
    <definedName name="BExF42SSBVPMLK2UB3B7FPEIY9TU" localSheetId="2"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hidden="1">'[16]AMI P &amp; L'!#REF!</definedName>
    <definedName name="BExF690Y20C503FDB3JYBPHX2VD1" localSheetId="2"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hidden="1">'[16]AMI P &amp; L'!#REF!</definedName>
    <definedName name="BExF7N83YDEVXDEZQFACS9ZVES27" localSheetId="2"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hidden="1">'[16]AMI P &amp; L'!#REF!</definedName>
    <definedName name="BExGNN2YQ9BDAZXT2GLCSAPXKIM7" localSheetId="2"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hidden="1">'[16]AMI P &amp; L'!#REF!</definedName>
    <definedName name="BExGR2ENVVMIJQENKY6QPV34HDYB" localSheetId="2"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hidden="1">'[16]AMI P &amp; L'!#REF!</definedName>
    <definedName name="BExIJM2EOJY1E8YQ1ZS3GHTIQQRM" localSheetId="2" hidden="1">'[18]Capital orders'!#REF!</definedName>
    <definedName name="BExIJM2EOJY1E8YQ1ZS3GHTIQQRM" hidden="1">'[18]Capital orders'!#REF!</definedName>
    <definedName name="BExIJQ3XPPSZ585U2ER0RSSC71PK" localSheetId="2"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hidden="1">'[16]AMI P &amp; L'!#REF!</definedName>
    <definedName name="BExINMYYJO1FTV1CZF6O5XCFAMQX" localSheetId="2"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hidden="1">#REF!</definedName>
    <definedName name="BExKI4076KXCDE5KXL79KT36OKLO" localSheetId="2"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hidden="1">'[16]AMI P &amp; L'!#REF!</definedName>
    <definedName name="BExMCI726Y7CQ98CFILJNB189OL7" localSheetId="2"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hidden="1">#REF!</definedName>
    <definedName name="BExMHOWPB34KPZ76M2KIX2C9R2VB" localSheetId="2"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hidden="1">'[16]AMI P &amp; L'!#REF!</definedName>
    <definedName name="BExMIETWI175OVTQ66FIIUOEG2VO" localSheetId="2"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hidden="1">'[16]AMI P &amp; L'!#REF!</definedName>
    <definedName name="BExMKZ535P011X4TNV16GCOH4H21" localSheetId="2"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hidden="1">'[16]AMI P &amp; L'!#REF!</definedName>
    <definedName name="BExMM5UCOT2HSSN0ZIPZW55GSOVO" localSheetId="2"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hidden="1">'[16]AMI P &amp; L'!#REF!</definedName>
    <definedName name="BExMQFLC51WC0ZQ3ISX3C0WWY8ON" localSheetId="2"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hidden="1">'[16]AMI P &amp; L'!#REF!</definedName>
    <definedName name="BExOFVWR29JOZ66F7LOP8BWQPXPI" localSheetId="2"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hidden="1">'[16]AMI P &amp; L'!#REF!</definedName>
    <definedName name="BExOK0EQYM9JUMAGWOUN7QDH7VMZ" localSheetId="2" hidden="1">'[16]AMI P &amp; L'!#REF!</definedName>
    <definedName name="BExOK0EQYM9JUMAGWOUN7QDH7VMZ" hidden="1">'[16]AMI P &amp; L'!#REF!</definedName>
    <definedName name="BExOK10DPUX7E7X0CT199QVBODEW" localSheetId="2"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hidden="1">'[16]AMI P &amp; L'!#REF!</definedName>
    <definedName name="BExOLMUQP54SNJ4377CSQ2W2VRVE" localSheetId="2"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hidden="1">#REF!</definedName>
    <definedName name="BExQ1V922YTT0W39UMN4F4HNC5AS" localSheetId="2"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hidden="1">'[16]AMI P &amp; L'!#REF!</definedName>
    <definedName name="BExQ300G8I8TK45A0MVHV15422EU" localSheetId="2" hidden="1">'[16]AMI P &amp; L'!#REF!</definedName>
    <definedName name="BExQ300G8I8TK45A0MVHV15422EU" hidden="1">'[16]AMI P &amp; L'!#REF!</definedName>
    <definedName name="BExQ38JVNZHQEVM20T8PEG1GP01R" localSheetId="2" hidden="1">#REF!</definedName>
    <definedName name="BExQ38JVNZHQEVM20T8PEG1GP01R" hidden="1">#REF!</definedName>
    <definedName name="BExQ39R28MXSG2SEV956F0KZ20AN" localSheetId="2" hidden="1">'[16]AMI P &amp; L'!#REF!</definedName>
    <definedName name="BExQ39R28MXSG2SEV956F0KZ20AN" hidden="1">'[16]AMI P &amp; L'!#REF!</definedName>
    <definedName name="BExQ3D1P3M5Z3HLMEZ17E0BLEE4U" localSheetId="2"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hidden="1">'[16]AMI P &amp; L'!#REF!</definedName>
    <definedName name="BExQ7XL2Q1GVUFL1F9KK0K0EXMWG" localSheetId="2"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hidden="1">'[18]Capital orders'!#REF!</definedName>
    <definedName name="BExQ8A0RPE3IMIFIZLUE7KD2N21W" localSheetId="2"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hidden="1">'[16]AMI P &amp; L'!#REF!</definedName>
    <definedName name="BExQA324HSCK40ENJUT9CS9EC71B" localSheetId="2"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hidden="1">'[18]Capital orders'!#REF!</definedName>
    <definedName name="BExQEK54SZATP11ZZ75GH6P9GFQ3" localSheetId="2" hidden="1">'[18]Capital orders'!#REF!</definedName>
    <definedName name="BExQEK54SZATP11ZZ75GH6P9GFQ3" hidden="1">'[18]Capital orders'!#REF!</definedName>
    <definedName name="BExQEMUA4HEFM4OVO8M8MA8PIAW1" localSheetId="2"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hidden="1">'[18]Capital orders'!#REF!</definedName>
    <definedName name="BExSBD8TZE1B5CZK6VNCCA977BCZ" localSheetId="2" hidden="1">#REF!</definedName>
    <definedName name="BExSBD8TZE1B5CZK6VNCCA977BCZ" hidden="1">#REF!</definedName>
    <definedName name="BExSBMOS41ZRLWYLOU29V6Y7YORR" localSheetId="2"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hidden="1">#REF!</definedName>
    <definedName name="BExTX1NDJMYRERGKCYTBGJXXUSGU" localSheetId="2"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hidden="1">'[18]Capital orders'!#REF!</definedName>
    <definedName name="BExTXJ6HBAIXMMWKZTJNFDYVZCAY" localSheetId="2" hidden="1">'[16]AMI P &amp; L'!#REF!</definedName>
    <definedName name="BExTXJ6HBAIXMMWKZTJNFDYVZCAY" hidden="1">'[16]AMI P &amp; L'!#REF!</definedName>
    <definedName name="BExTXT812NQT8GAEGH738U29BI0D" localSheetId="2"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hidden="1">'[16]AMI P &amp; L'!#REF!</definedName>
    <definedName name="BExTZRI5JZ4A251Y611W94RCOSWH" localSheetId="2"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hidden="1">'[16]AMI P &amp; L'!#REF!</definedName>
    <definedName name="BExU1NOPS09CLFZL1O31RAF9BQNQ" localSheetId="2"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hidden="1">'[18]Capital orders'!#REF!</definedName>
    <definedName name="BExUC623BDYEODBN0N4DO6PJQ7NU" localSheetId="2"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hidden="1">'[18]Capital orders'!#REF!</definedName>
    <definedName name="BExVVPFO2J7FMSRPD36909HN4BZJ" localSheetId="2"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hidden="1">'[16]AMI P &amp; L'!#REF!</definedName>
    <definedName name="BExW6AY8KWN3C31NX1MZHXBFTSK7" localSheetId="2"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hidden="1">#REF!</definedName>
    <definedName name="BExW7O3S5FIOKIM535S9J7PKA52A" localSheetId="2"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hidden="1">#REF!</definedName>
    <definedName name="BExXRO4A6VUH1F4XV8N1BRJ4896W" localSheetId="2"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hidden="1">#REF!</definedName>
    <definedName name="BExXUM27VX063JGHF9FYOOLNOP4V" localSheetId="2"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hidden="1">'[16]AMI P &amp; L'!#REF!</definedName>
    <definedName name="BExXYCBSIHFUY3BDHNBY5TMPFMGL" localSheetId="2"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hidden="1">'[16]AMI P &amp; L'!#REF!</definedName>
    <definedName name="BExXZS0XCQNYYY1DP75R3PCXFSRH" localSheetId="2"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hidden="1">#REF!</definedName>
    <definedName name="BExY07WSDH5QEVM7BJXJK2ZRAI1O" localSheetId="2" hidden="1">'[16]AMI P &amp; L'!#REF!</definedName>
    <definedName name="BExY07WSDH5QEVM7BJXJK2ZRAI1O" hidden="1">'[16]AMI P &amp; L'!#REF!</definedName>
    <definedName name="BExY0BI99V6MXLHXBCSPUL0OPF3M" localSheetId="2"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hidden="1">'[16]AMI P &amp; L'!#REF!</definedName>
    <definedName name="BExZKHYORG3O8C772XPFHM1N8T80" localSheetId="2"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hidden="1">#REF!</definedName>
    <definedName name="BExZOAH4GDULQO35ZGF099VIFGNC" localSheetId="2"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hidden="1">'[18]Capital orders'!#REF!</definedName>
    <definedName name="BExZQIHTGHK7OOI2Y2PN3JYBY82I" localSheetId="2" hidden="1">'[16]AMI P &amp; L'!#REF!</definedName>
    <definedName name="BExZQIHTGHK7OOI2Y2PN3JYBY82I" hidden="1">'[16]AMI P &amp; L'!#REF!</definedName>
    <definedName name="BExZQJJMGU5MHQOILGXGJPAQI5XI" localSheetId="2" hidden="1">'[16]AMI P &amp; L'!#REF!</definedName>
    <definedName name="BExZQJJMGU5MHQOILGXGJPAQI5XI" hidden="1">'[16]AMI P &amp; L'!#REF!</definedName>
    <definedName name="BExZQP3CUHU0IRXBVRJLP1KYRDVE" localSheetId="2" hidden="1">#REF!</definedName>
    <definedName name="BExZQP3CUHU0IRXBVRJLP1KYRDVE" hidden="1">#REF!</definedName>
    <definedName name="BExZQRHGZ7WP7RQ2CX0H6W1CIP9U" localSheetId="2" hidden="1">#REF!</definedName>
    <definedName name="BExZQRHGZ7WP7RQ2CX0H6W1CIP9U" hidden="1">#REF!</definedName>
    <definedName name="BExZQWFMANQLA8Z37ZECN1VLXVSB" localSheetId="2"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hidden="1">#REF!</definedName>
    <definedName name="BExZTAQV2QVSZY5Y3VCCWUBSBW9P" localSheetId="2"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hidden="1">'[16]AMI P &amp; L'!#REF!</definedName>
    <definedName name="Capex_base" localSheetId="5">[19]Capex!$B$6</definedName>
    <definedName name="Capex_base">[20]Capex!$B$6</definedName>
    <definedName name="Capex_Base_Index" localSheetId="5">[19]Capex!$B$8</definedName>
    <definedName name="Capex_Base_Index">[20]Capex!$B$8</definedName>
    <definedName name="Capex_Years" localSheetId="5">[21]Capex!$C$1:$CZ$1</definedName>
    <definedName name="Capex_Years">[22]Capex!$C$1:$CZ$1</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'[23]Business &amp; other details'!$C$34</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_List">'[25]AER only'!$I$12:$I$42</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sult">'[27]Business &amp; other details'!$C$73</definedName>
    <definedName name="dms_SingleYear_Model">'[25]Business &amp; other details'!$C$69:$C$71</definedName>
    <definedName name="dms_SourceList">'[25]AER only'!$B$66:$B$79</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'[27]Business &amp; other details'!$G$35</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'[32]Dx losses'!$F$33</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ICloss">'[32]Dx losses'!$G$33</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62913"/>
</workbook>
</file>

<file path=xl/calcChain.xml><?xml version="1.0" encoding="utf-8"?>
<calcChain xmlns="http://schemas.openxmlformats.org/spreadsheetml/2006/main">
  <c r="D53" i="26" l="1"/>
  <c r="N4" i="26" l="1"/>
  <c r="L51" i="26" l="1"/>
  <c r="G68" i="27"/>
  <c r="G70" i="27" s="1"/>
  <c r="H126" i="27"/>
  <c r="H118" i="27"/>
  <c r="G73" i="27"/>
  <c r="C6" i="21" l="1"/>
  <c r="F8" i="25" l="1"/>
  <c r="I84" i="27" l="1"/>
  <c r="D60" i="27" s="1"/>
  <c r="H84" i="27"/>
  <c r="C60" i="27" s="1"/>
  <c r="G84" i="27"/>
  <c r="B29" i="27" s="1"/>
  <c r="F84" i="27"/>
  <c r="E84" i="27"/>
  <c r="D84" i="27"/>
  <c r="C84" i="27"/>
  <c r="B84" i="27"/>
  <c r="J81" i="27"/>
  <c r="J84" i="27" s="1"/>
  <c r="E74" i="27" s="1"/>
  <c r="J80" i="27"/>
  <c r="K80" i="27" s="1"/>
  <c r="G59" i="27"/>
  <c r="F55" i="27"/>
  <c r="E55" i="27"/>
  <c r="D55" i="27"/>
  <c r="C55" i="27"/>
  <c r="B55" i="27"/>
  <c r="G54" i="27"/>
  <c r="G53" i="27"/>
  <c r="G52" i="27"/>
  <c r="G44" i="27"/>
  <c r="G39" i="27"/>
  <c r="F38" i="27"/>
  <c r="F40" i="27" s="1"/>
  <c r="E38" i="27"/>
  <c r="E40" i="27" s="1"/>
  <c r="D38" i="27"/>
  <c r="D40" i="27" s="1"/>
  <c r="C38" i="27"/>
  <c r="C40" i="27" s="1"/>
  <c r="B38" i="27"/>
  <c r="B40" i="27" s="1"/>
  <c r="G37" i="27"/>
  <c r="G36" i="27"/>
  <c r="G28" i="27"/>
  <c r="G23" i="27"/>
  <c r="F20" i="27"/>
  <c r="F22" i="27" s="1"/>
  <c r="F24" i="27" s="1"/>
  <c r="E20" i="27"/>
  <c r="E22" i="27" s="1"/>
  <c r="E24" i="27" s="1"/>
  <c r="D20" i="27"/>
  <c r="D22" i="27" s="1"/>
  <c r="D24" i="27" s="1"/>
  <c r="C20" i="27"/>
  <c r="C22" i="27" s="1"/>
  <c r="C24" i="27" s="1"/>
  <c r="B20" i="27"/>
  <c r="G19" i="27"/>
  <c r="G18" i="27"/>
  <c r="G17" i="27"/>
  <c r="G16" i="27"/>
  <c r="D10" i="27"/>
  <c r="G9" i="27"/>
  <c r="G5" i="27"/>
  <c r="F111" i="27"/>
  <c r="E60" i="27"/>
  <c r="E10" i="27"/>
  <c r="E45" i="27"/>
  <c r="E46" i="27" s="1"/>
  <c r="E29" i="27"/>
  <c r="E30" i="27" s="1"/>
  <c r="C45" i="27"/>
  <c r="C46" i="27" s="1"/>
  <c r="K81" i="27"/>
  <c r="K84" i="27" s="1"/>
  <c r="F74" i="27" s="1"/>
  <c r="E111" i="27"/>
  <c r="D29" i="27"/>
  <c r="D30" i="27" s="1"/>
  <c r="C29" i="27" l="1"/>
  <c r="C30" i="27" s="1"/>
  <c r="C10" i="27"/>
  <c r="G20" i="27"/>
  <c r="B60" i="27"/>
  <c r="B74" i="27"/>
  <c r="D111" i="27"/>
  <c r="C74" i="27"/>
  <c r="D45" i="27"/>
  <c r="D46" i="27" s="1"/>
  <c r="D74" i="27"/>
  <c r="G55" i="27"/>
  <c r="B22" i="27"/>
  <c r="G38" i="27"/>
  <c r="G40" i="27"/>
  <c r="B10" i="27"/>
  <c r="B45" i="27"/>
  <c r="G111" i="27"/>
  <c r="F60" i="27"/>
  <c r="F10" i="27"/>
  <c r="F29" i="27"/>
  <c r="F30" i="27" s="1"/>
  <c r="F45" i="27"/>
  <c r="F46" i="27" s="1"/>
  <c r="B30" i="27"/>
  <c r="B46" i="27"/>
  <c r="G29" i="27" l="1"/>
  <c r="H111" i="27"/>
  <c r="G60" i="27"/>
  <c r="G74" i="27"/>
  <c r="G75" i="27" s="1"/>
  <c r="G45" i="27"/>
  <c r="G22" i="27"/>
  <c r="B24" i="27"/>
  <c r="G24" i="27" s="1"/>
  <c r="G46" i="27"/>
  <c r="G10" i="27"/>
  <c r="G30" i="27"/>
  <c r="K51" i="26" l="1"/>
  <c r="I16" i="26"/>
  <c r="H16" i="26"/>
  <c r="G16" i="26"/>
  <c r="F16" i="26"/>
  <c r="J16" i="26"/>
  <c r="C34" i="26" s="1"/>
  <c r="E16" i="26"/>
  <c r="I13" i="26"/>
  <c r="J13" i="26" s="1"/>
  <c r="C31" i="26" s="1"/>
  <c r="H13" i="26"/>
  <c r="G13" i="26"/>
  <c r="F13" i="26"/>
  <c r="D52" i="26"/>
  <c r="D50" i="26"/>
  <c r="C50" i="26"/>
  <c r="D49" i="26"/>
  <c r="D48" i="26"/>
  <c r="D43" i="26"/>
  <c r="D41" i="26"/>
  <c r="C41" i="26"/>
  <c r="D40" i="26"/>
  <c r="D39" i="26"/>
  <c r="R35" i="26"/>
  <c r="Q35" i="26"/>
  <c r="P35" i="26"/>
  <c r="O35" i="26"/>
  <c r="N35" i="26"/>
  <c r="R32" i="26"/>
  <c r="Q32" i="26"/>
  <c r="P32" i="26"/>
  <c r="O32" i="26"/>
  <c r="N32" i="26"/>
  <c r="J25" i="26"/>
  <c r="J24" i="26"/>
  <c r="J22" i="26"/>
  <c r="J21" i="26"/>
  <c r="J15" i="26"/>
  <c r="C33" i="26" s="1"/>
  <c r="J14" i="26"/>
  <c r="J12" i="26"/>
  <c r="C30" i="26" s="1"/>
  <c r="D30" i="17"/>
  <c r="E30" i="17"/>
  <c r="F30" i="17"/>
  <c r="G30" i="17"/>
  <c r="H30" i="17"/>
  <c r="I30" i="17"/>
  <c r="F35" i="17" s="1"/>
  <c r="J30" i="17"/>
  <c r="K30" i="17"/>
  <c r="L30" i="17"/>
  <c r="D31" i="17"/>
  <c r="E31" i="17"/>
  <c r="F31" i="17"/>
  <c r="G31" i="17"/>
  <c r="F36" i="17" s="1"/>
  <c r="H31" i="17"/>
  <c r="I31" i="17"/>
  <c r="E36" i="17" s="1"/>
  <c r="J31" i="17"/>
  <c r="K31" i="17"/>
  <c r="L31" i="17"/>
  <c r="C31" i="17"/>
  <c r="C30" i="17"/>
  <c r="E35" i="17" s="1"/>
  <c r="D22" i="17"/>
  <c r="E22" i="17"/>
  <c r="F22" i="17"/>
  <c r="G22" i="17"/>
  <c r="H22" i="17"/>
  <c r="I22" i="17"/>
  <c r="J22" i="17"/>
  <c r="K22" i="17"/>
  <c r="L22" i="17"/>
  <c r="D23" i="17"/>
  <c r="E23" i="17"/>
  <c r="F23" i="17"/>
  <c r="G23" i="17"/>
  <c r="H23" i="17"/>
  <c r="I23" i="17"/>
  <c r="J23" i="17"/>
  <c r="K23" i="17"/>
  <c r="L23" i="17"/>
  <c r="C23" i="17"/>
  <c r="C22" i="17"/>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E13" i="25"/>
  <c r="D13" i="25"/>
  <c r="P4" i="25" s="1"/>
  <c r="M4" i="25"/>
  <c r="I4" i="25"/>
  <c r="E4" i="25"/>
  <c r="P3" i="25"/>
  <c r="L3" i="25"/>
  <c r="P9" i="25" s="1"/>
  <c r="H3" i="25"/>
  <c r="D3" i="25"/>
  <c r="N2" i="25"/>
  <c r="J2" i="25"/>
  <c r="F2" i="25"/>
  <c r="B2" i="25"/>
  <c r="C35" i="26" l="1"/>
  <c r="H35" i="26" s="1"/>
  <c r="J6" i="26"/>
  <c r="C48" i="26"/>
  <c r="C39" i="26"/>
  <c r="C52" i="26"/>
  <c r="C43" i="26"/>
  <c r="C40" i="26"/>
  <c r="C49" i="26"/>
  <c r="G8" i="25"/>
  <c r="C2" i="25"/>
  <c r="D8" i="25" s="1"/>
  <c r="G2" i="25"/>
  <c r="H8" i="25" s="1"/>
  <c r="K2" i="25"/>
  <c r="O2" i="25"/>
  <c r="E3" i="25"/>
  <c r="E9" i="25" s="1"/>
  <c r="I3" i="25"/>
  <c r="I9" i="25" s="1"/>
  <c r="M3" i="25"/>
  <c r="B4" i="25"/>
  <c r="F4" i="25"/>
  <c r="J4" i="25"/>
  <c r="N4" i="25"/>
  <c r="L8" i="25"/>
  <c r="P8" i="25"/>
  <c r="J9" i="25"/>
  <c r="N9" i="25"/>
  <c r="C8" i="25"/>
  <c r="O8" i="25"/>
  <c r="M9" i="25"/>
  <c r="D2" i="25"/>
  <c r="E8" i="25" s="1"/>
  <c r="H2" i="25"/>
  <c r="L2" i="25"/>
  <c r="B3" i="25"/>
  <c r="F3" i="25"/>
  <c r="F9" i="25" s="1"/>
  <c r="J3" i="25"/>
  <c r="N3" i="25"/>
  <c r="C4" i="25"/>
  <c r="G4" i="25"/>
  <c r="K4" i="25"/>
  <c r="O4" i="25"/>
  <c r="I8" i="25"/>
  <c r="M8" i="25"/>
  <c r="K9" i="25"/>
  <c r="K8" i="25"/>
  <c r="E2" i="25"/>
  <c r="I2" i="25"/>
  <c r="M2" i="25"/>
  <c r="C3" i="25"/>
  <c r="C9" i="25" s="1"/>
  <c r="G3" i="25"/>
  <c r="G9" i="25" s="1"/>
  <c r="K3" i="25"/>
  <c r="O3" i="25"/>
  <c r="O9" i="25" s="1"/>
  <c r="D4" i="25"/>
  <c r="H4" i="25"/>
  <c r="L4" i="25"/>
  <c r="J8" i="25"/>
  <c r="N8" i="25"/>
  <c r="D9" i="25"/>
  <c r="H9" i="25"/>
  <c r="L9" i="25"/>
  <c r="D44" i="26" l="1"/>
  <c r="H44" i="26" s="1"/>
  <c r="K7" i="26" s="1"/>
  <c r="K4" i="26" s="1"/>
  <c r="H53" i="26"/>
  <c r="L3" i="26"/>
  <c r="J3" i="26"/>
  <c r="K3" i="26"/>
  <c r="L7" i="26" l="1"/>
  <c r="L4" i="26" s="1"/>
  <c r="C11" i="21" s="1"/>
  <c r="S7" i="26"/>
  <c r="Q7" i="26"/>
  <c r="N7" i="26"/>
  <c r="G6" i="21" s="1"/>
  <c r="O7" i="26"/>
  <c r="Q4" i="26" l="1"/>
  <c r="H6" i="21" s="1"/>
  <c r="H7" i="21" s="1"/>
  <c r="R7" i="26"/>
  <c r="R4" i="26" s="1"/>
  <c r="H11" i="21" s="1"/>
  <c r="H12" i="21" s="1"/>
  <c r="O4" i="26"/>
  <c r="G11" i="21" s="1"/>
  <c r="S4" i="26"/>
  <c r="I6" i="21" s="1"/>
  <c r="I7" i="21" s="1"/>
  <c r="T7" i="26"/>
  <c r="T4" i="26" s="1"/>
  <c r="I11" i="21" s="1"/>
  <c r="I12" i="21" s="1"/>
  <c r="F4" i="16"/>
  <c r="F5" i="16"/>
  <c r="F7" i="16"/>
  <c r="F3" i="16"/>
  <c r="F8" i="16" s="1"/>
  <c r="C35" i="17" l="1"/>
  <c r="D35" i="17"/>
  <c r="D36" i="17"/>
  <c r="C36" i="17" l="1"/>
  <c r="C8" i="16" l="1"/>
  <c r="B40" i="17" l="1"/>
  <c r="B39" i="17"/>
  <c r="E9" i="17"/>
  <c r="F9" i="17" s="1"/>
  <c r="C15" i="17" s="1"/>
  <c r="E39" i="17" l="1"/>
  <c r="E44" i="17" s="1"/>
  <c r="F4" i="17" s="1"/>
  <c r="G5" i="21" s="1"/>
  <c r="G7" i="21" s="1"/>
  <c r="F39" i="17"/>
  <c r="F44" i="17" s="1"/>
  <c r="G4" i="17" s="1"/>
  <c r="G10" i="21" s="1"/>
  <c r="G12"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C7" i="21"/>
  <c r="C12" i="21"/>
  <c r="D7" i="16"/>
  <c r="D4" i="16" l="1"/>
  <c r="D6" i="16"/>
  <c r="D3" i="16"/>
  <c r="D5" i="16"/>
  <c r="D8" i="16" l="1"/>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2.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<sst xmlns="http://schemas.openxmlformats.org/spreadsheetml/2006/main" count="386" uniqueCount="172">
  <si>
    <t>Total</t>
  </si>
  <si>
    <t>CIT</t>
  </si>
  <si>
    <t>PCR</t>
  </si>
  <si>
    <t>UED</t>
  </si>
  <si>
    <t>Energex</t>
  </si>
  <si>
    <t>Ergon</t>
  </si>
  <si>
    <t>Ergon Energy</t>
  </si>
  <si>
    <t>Source:</t>
  </si>
  <si>
    <t>weight</t>
  </si>
  <si>
    <t>EBT RIN</t>
  </si>
  <si>
    <t>SAPN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</si>
  <si>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</si>
  <si>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</si>
  <si>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</si>
  <si>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</si>
  <si>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</si>
  <si>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</si>
  <si>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</si>
  <si>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</si>
  <si>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</si>
  <si>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</si>
  <si>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</si>
  <si>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</si>
  <si>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</si>
  <si>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</si>
  <si>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</si>
  <si>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</si>
  <si>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</si>
  <si>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</si>
  <si>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</si>
  <si>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</si>
  <si>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</si>
  <si>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</si>
  <si>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</si>
  <si>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</si>
  <si>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</si>
  <si>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</si>
  <si>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</si>
  <si>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</si>
  <si>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</si>
  <si>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</si>
  <si>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</si>
  <si>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</si>
  <si>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</si>
  <si>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</si>
  <si>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</si>
  <si>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</si>
  <si>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</si>
  <si>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</si>
  <si>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</si>
  <si>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</si>
  <si>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</si>
  <si>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</si>
  <si>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Customer numbers in 2017</t>
  </si>
  <si>
    <t>AND</t>
  </si>
  <si>
    <t>* SFA CD only</t>
  </si>
  <si>
    <t>Weighted</t>
  </si>
  <si>
    <t>4 Models</t>
  </si>
  <si>
    <t>3 Models</t>
  </si>
  <si>
    <t>1 Model</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</si>
  <si>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</si>
  <si>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</si>
  <si>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</si>
  <si>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</si>
  <si>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</si>
  <si>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</si>
  <si>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</si>
  <si>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</si>
  <si>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</si>
  <si>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</si>
  <si>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</si>
  <si>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Weights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</si>
  <si>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</si>
  <si>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</si>
  <si>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</si>
  <si>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</si>
  <si>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</si>
  <si>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Updated comparator firms</t>
  </si>
  <si>
    <t>United Energy</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</si>
  <si>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</si>
  <si>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</si>
  <si>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</si>
  <si>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</si>
  <si>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</si>
  <si>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</si>
  <si>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</si>
  <si>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</si>
  <si>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</si>
  <si>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</si>
  <si>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</si>
  <si>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</si>
  <si>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</si>
  <si>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</si>
  <si>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</si>
  <si>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</si>
  <si>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</si>
  <si>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2012-2018</t>
  </si>
  <si>
    <t xml:space="preserve">Source: AER - Final Decision Ergon Energy - OEF calculations summary updated_working_Long period_DRAFT.xlsx, 'CPI-master' worksheet.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</si>
  <si>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</si>
  <si>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</si>
  <si>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</si>
  <si>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</si>
  <si>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</si>
  <si>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</si>
  <si>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</si>
  <si>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</si>
  <si>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</si>
  <si>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</si>
  <si>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</si>
  <si>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</si>
  <si>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</si>
  <si>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</si>
  <si>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</si>
  <si>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</si>
  <si>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</si>
  <si>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</si>
  <si>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</si>
  <si>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</si>
  <si>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</si>
  <si>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</si>
  <si>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</si>
  <si>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</si>
  <si>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</si>
  <si>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</si>
  <si>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</si>
  <si>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</si>
  <si>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</si>
  <si>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</si>
  <si>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</si>
  <si>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</si>
  <si>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</si>
  <si>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</si>
  <si>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</si>
  <si>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</si>
  <si>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</si>
  <si>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</si>
  <si>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</si>
  <si>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</si>
  <si>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</si>
  <si>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</si>
  <si>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</si>
  <si>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</si>
  <si>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</si>
  <si>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</si>
  <si>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</si>
  <si>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</si>
  <si>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</si>
  <si>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</si>
  <si>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</si>
  <si>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</si>
  <si>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</si>
  <si>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</si>
  <si>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</si>
  <si>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Update for final decision</t>
  </si>
  <si>
    <t>Number of years in benchmarking period (minus one)</t>
  </si>
  <si>
    <t>Number of years affected by increasing bushfire obligations within the benchmarking period (minus one)</t>
  </si>
  <si>
    <t>Vegetation management OEF</t>
  </si>
  <si>
    <t>2006-18 comparators</t>
  </si>
  <si>
    <t>2012-18 comparators</t>
  </si>
  <si>
    <t>Update for final decision - May 2020</t>
  </si>
  <si>
    <t>Draft decision - October 2019</t>
  </si>
  <si>
    <t>Jemena</t>
  </si>
  <si>
    <t>Real forecast ('000,000s, $2010 Dec)</t>
  </si>
  <si>
    <t>ESV levy step change (not included)</t>
  </si>
  <si>
    <r>
      <t xml:space="preserve">p. </t>
    </r>
    <r>
      <rPr>
        <sz val="11"/>
        <color rgb="FFFF0000"/>
        <rFont val="Calibri"/>
        <family val="2"/>
        <scheme val="minor"/>
      </rPr>
      <t>276</t>
    </r>
  </si>
  <si>
    <t>p. 276</t>
  </si>
  <si>
    <t>AER Jemena 2011-15 revenue determination (as varied by Tribunal)</t>
  </si>
  <si>
    <t>JEN</t>
  </si>
  <si>
    <t xml:space="preserve">Ergon Energy and Energex </t>
  </si>
  <si>
    <t>Draft decision - September 2020</t>
  </si>
  <si>
    <t>AusNet Services and Jemena</t>
  </si>
  <si>
    <t>Ergon and Energex - Update for final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</si>
</sst>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
    <numFmt numFmtId="170" formatCode="0.000000000000000%"/>
    <numFmt numFmtId="171" formatCode="_-&quot;$&quot;* #,##0_-;\-&quot;$&quot;* #,##0_-;_-&quot;$&quot;* &quot;-&quot;??_-;_-@_-"/>
    <numFmt numFmtId="172" formatCode="_-* #,##0_-;\-* #,##0_-;_-* &quot;-&quot;??_-;_-@_-"/>
    <numFmt numFmtId="173" formatCode="_-* #,##0.0_-;\-* #,##0.0_-;_-* &quot;-&quot;??_-;_-@_-"/>
    <numFmt numFmtId="174" formatCode="0.000"/>
    <numFmt numFmtId="175" formatCode="[$-C09]mmm\-yyyy;@"/>
    <numFmt numFmtId="176" formatCode="mmm\-yyyy"/>
    <numFmt numFmtId="177" formatCode="_-* #,##0.0000_-;\-* #,##0.0000_-;_-* &quot;-&quot;??_-;_-@_-"/>
    <numFmt numFmtId="178" formatCode="0.0"/>
    <numFmt numFmtId="179" formatCode="#,##0.000"/>
    <numFmt numFmtId="180" formatCode="_([$€-2]* #,##0.00_);_([$€-2]* \(#,##0.00\);_([$€-2]* &quot;-&quot;??_)"/>
    <numFmt numFmtId="181" formatCode="#,##0.000_ ;[Red]\-#,##0.000\ "/>
    <numFmt numFmtId="182" formatCode="_(* #,##0.0_);_(* \(#,##0.0\);_(* &quot;-&quot;?_);_(@_)"/>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s>
  <fonts count="80">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i/>
      <sz val="11"/>
      <color theme="1"/>
      <name val="Calibri"/>
      <family val="2"/>
      <scheme val="minor"/>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
      <sz val="11"/>
      <color rgb="FFFF000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s>
  <fills count="5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s>
  <cellStyleXfs count="924">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3" fillId="0" borderId="12" applyNumberFormat="0" applyFill="0" applyAlignment="0" applyProtection="0"/>
    <xf numFmtId="0" fontId="14" fillId="4" borderId="13" applyNumberFormat="0" applyAlignment="0" applyProtection="0"/>
    <xf numFmtId="0" fontId="15" fillId="5" borderId="13" applyNumberFormat="0" applyAlignment="0" applyProtection="0"/>
    <xf numFmtId="167" fontId="1" fillId="0" borderId="0" applyFont="0" applyFill="0" applyBorder="0" applyAlignment="0" applyProtection="0"/>
    <xf numFmtId="0" fontId="17" fillId="0" borderId="0" applyNumberFormat="0" applyFill="0" applyBorder="0" applyAlignment="0" applyProtection="0"/>
    <xf numFmtId="167" fontId="1" fillId="0" borderId="0" applyFont="0" applyFill="0" applyBorder="0" applyAlignment="0" applyProtection="0"/>
    <xf numFmtId="0" fontId="5" fillId="0" borderId="0"/>
    <xf numFmtId="180" fontId="5" fillId="0" borderId="0"/>
    <xf numFmtId="180" fontId="5" fillId="0" borderId="0"/>
    <xf numFmtId="0" fontId="24"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5" fillId="0" borderId="0"/>
    <xf numFmtId="0" fontId="5" fillId="0" borderId="0" applyFill="0"/>
    <xf numFmtId="0" fontId="5" fillId="0" borderId="0"/>
    <xf numFmtId="182" fontId="5" fillId="18" borderId="0" applyFont="0" applyBorder="0">
      <alignment horizontal="right"/>
    </xf>
    <xf numFmtId="0" fontId="5" fillId="0" borderId="0"/>
    <xf numFmtId="165" fontId="5" fillId="19" borderId="0" applyFont="0" applyBorder="0" applyAlignment="0">
      <alignment horizontal="right"/>
      <protection locked="0"/>
    </xf>
    <xf numFmtId="0" fontId="5" fillId="0" borderId="0"/>
    <xf numFmtId="0" fontId="1" fillId="0" borderId="0"/>
    <xf numFmtId="180" fontId="5" fillId="0" borderId="0"/>
    <xf numFmtId="0" fontId="1" fillId="0" borderId="0"/>
    <xf numFmtId="0" fontId="5" fillId="0" borderId="0"/>
    <xf numFmtId="0" fontId="5" fillId="11" borderId="0"/>
    <xf numFmtId="0" fontId="5" fillId="0" borderId="0"/>
    <xf numFmtId="0" fontId="1" fillId="0" borderId="0"/>
    <xf numFmtId="0" fontId="5" fillId="0" borderId="0"/>
    <xf numFmtId="0" fontId="5" fillId="0" borderId="0"/>
    <xf numFmtId="0" fontId="5" fillId="0" borderId="0"/>
    <xf numFmtId="183" fontId="29" fillId="0" borderId="0"/>
    <xf numFmtId="183" fontId="29" fillId="0" borderId="0"/>
    <xf numFmtId="0" fontId="20" fillId="20" borderId="0" applyNumberFormat="0" applyBorder="0" applyAlignment="0" applyProtection="0"/>
    <xf numFmtId="0" fontId="1" fillId="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0" borderId="0" applyNumberFormat="0" applyBorder="0" applyAlignment="0" applyProtection="0"/>
    <xf numFmtId="0" fontId="1" fillId="9"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20" fillId="3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1" fillId="0" borderId="0"/>
    <xf numFmtId="164" fontId="32" fillId="0" borderId="0" applyFont="0" applyFill="0" applyBorder="0" applyAlignment="0" applyProtection="0"/>
    <xf numFmtId="0" fontId="33" fillId="39" borderId="0" applyNumberFormat="0" applyBorder="0" applyAlignment="0" applyProtection="0"/>
    <xf numFmtId="0" fontId="34" fillId="0" borderId="0" applyNumberFormat="0" applyFill="0" applyBorder="0" applyAlignment="0"/>
    <xf numFmtId="165" fontId="5" fillId="10" borderId="0" applyNumberFormat="0" applyFont="0" applyBorder="0" applyAlignment="0">
      <alignment horizontal="right"/>
    </xf>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5" fillId="0" borderId="0" applyNumberFormat="0" applyFill="0" applyBorder="0" applyAlignment="0">
      <protection locked="0"/>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5" fontId="5" fillId="0" borderId="0" applyFont="0" applyFill="0" applyBorder="0" applyAlignment="0" applyProtection="0"/>
    <xf numFmtId="0" fontId="3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4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9" fontId="12" fillId="16" borderId="19">
      <alignment horizontal="center" vertical="center" wrapText="1"/>
    </xf>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180" fontId="20" fillId="0" borderId="0" applyFont="0" applyFill="0" applyBorder="0" applyAlignment="0" applyProtection="0"/>
    <xf numFmtId="0" fontId="41"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42" fillId="0" borderId="0"/>
    <xf numFmtId="0" fontId="43" fillId="0" borderId="0"/>
    <xf numFmtId="0" fontId="44" fillId="44" borderId="0" applyNumberFormat="0" applyBorder="0" applyAlignment="0" applyProtection="0"/>
    <xf numFmtId="0" fontId="19" fillId="0" borderId="0" applyFill="0" applyBorder="0">
      <alignment vertical="center"/>
    </xf>
    <xf numFmtId="0" fontId="45" fillId="0" borderId="24" applyNumberFormat="0" applyFill="0" applyAlignment="0" applyProtection="0"/>
    <xf numFmtId="0" fontId="19" fillId="0" borderId="0" applyFill="0" applyBorder="0">
      <alignment vertical="center"/>
    </xf>
    <xf numFmtId="0" fontId="46" fillId="0" borderId="0" applyFill="0" applyBorder="0">
      <alignment vertical="center"/>
    </xf>
    <xf numFmtId="0" fontId="47" fillId="0" borderId="25" applyNumberFormat="0" applyFill="0" applyAlignment="0" applyProtection="0"/>
    <xf numFmtId="0" fontId="46"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29" fillId="0" borderId="0" applyFill="0" applyBorder="0">
      <alignment vertical="center"/>
    </xf>
    <xf numFmtId="0" fontId="48" fillId="0" borderId="0" applyNumberFormat="0" applyFill="0" applyBorder="0" applyAlignment="0" applyProtection="0"/>
    <xf numFmtId="0" fontId="29" fillId="0" borderId="0" applyFill="0" applyBorder="0">
      <alignment vertical="center"/>
    </xf>
    <xf numFmtId="169" fontId="50"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7" fillId="0" borderId="0" applyNumberFormat="0" applyFill="0" applyBorder="0" applyAlignment="0" applyProtection="0"/>
    <xf numFmtId="0" fontId="52" fillId="0" borderId="0" applyNumberFormat="0" applyFill="0" applyBorder="0" applyAlignment="0" applyProtection="0">
      <alignment vertical="top"/>
      <protection locked="0"/>
    </xf>
    <xf numFmtId="0" fontId="54" fillId="0" borderId="0" applyFill="0" applyBorder="0">
      <alignment horizontal="center" vertical="center"/>
      <protection locked="0"/>
    </xf>
    <xf numFmtId="0" fontId="55" fillId="0" borderId="0" applyFill="0" applyBorder="0">
      <alignment horizontal="left" vertical="center"/>
      <protection locked="0"/>
    </xf>
    <xf numFmtId="182" fontId="5" fillId="18" borderId="0" applyFont="0" applyBorder="0">
      <alignment horizontal="right"/>
    </xf>
    <xf numFmtId="169" fontId="5" fillId="18" borderId="0" applyFont="0" applyBorder="0" applyAlignment="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45" borderId="0" applyFont="0" applyBorder="0" applyAlignment="0">
      <alignment horizontal="right"/>
      <protection locked="0"/>
    </xf>
    <xf numFmtId="10" fontId="5" fillId="45" borderId="0" applyFont="0" applyBorder="0">
      <alignment horizontal="right"/>
      <protection locked="0"/>
    </xf>
    <xf numFmtId="165" fontId="5" fillId="45" borderId="0" applyFont="0" applyBorder="0" applyAlignment="0">
      <alignment horizontal="right"/>
      <protection locked="0"/>
    </xf>
    <xf numFmtId="3" fontId="5" fillId="46" borderId="0" applyFont="0" applyBorder="0">
      <protection locked="0"/>
    </xf>
    <xf numFmtId="169" fontId="46" fillId="46" borderId="0" applyBorder="0" applyAlignment="0">
      <protection locked="0"/>
    </xf>
    <xf numFmtId="186" fontId="5" fillId="47" borderId="0" applyFont="0" applyBorder="0">
      <alignment horizontal="right"/>
      <protection locked="0"/>
    </xf>
    <xf numFmtId="186" fontId="5" fillId="47" borderId="0" applyFont="0" applyBorder="0">
      <alignment horizontal="right"/>
      <protection locked="0"/>
    </xf>
    <xf numFmtId="186" fontId="5" fillId="47"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81" fontId="1" fillId="12" borderId="21">
      <protection locked="0"/>
    </xf>
    <xf numFmtId="181" fontId="1" fillId="12" borderId="21">
      <protection locked="0"/>
    </xf>
    <xf numFmtId="181" fontId="1" fillId="12" borderId="2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169" fontId="57" fillId="48" borderId="0" applyBorder="0" applyAlignment="0"/>
    <xf numFmtId="0" fontId="29" fillId="10" borderId="0"/>
    <xf numFmtId="0" fontId="58" fillId="0" borderId="27" applyNumberFormat="0" applyFill="0" applyAlignment="0" applyProtection="0"/>
    <xf numFmtId="182" fontId="28" fillId="10" borderId="17" applyFont="0" applyBorder="0" applyAlignment="0"/>
    <xf numFmtId="169" fontId="46" fillId="10" borderId="0" applyFont="0" applyBorder="0" applyAlignment="0"/>
    <xf numFmtId="187" fontId="59" fillId="0" borderId="0"/>
    <xf numFmtId="0" fontId="22" fillId="0" borderId="0" applyFill="0" applyBorder="0">
      <alignment horizontal="left" vertical="center"/>
    </xf>
    <xf numFmtId="0" fontId="60" fillId="24" borderId="0" applyNumberFormat="0" applyBorder="0" applyAlignment="0" applyProtection="0"/>
    <xf numFmtId="181" fontId="1" fillId="17" borderId="21"/>
    <xf numFmtId="181" fontId="1" fillId="17" borderId="21"/>
    <xf numFmtId="181" fontId="1" fillId="17" borderId="21"/>
    <xf numFmtId="188" fontId="61" fillId="0" borderId="0"/>
    <xf numFmtId="0" fontId="5" fillId="0" borderId="0"/>
    <xf numFmtId="0" fontId="5" fillId="11" borderId="0"/>
    <xf numFmtId="0" fontId="5" fillId="0" borderId="0"/>
    <xf numFmtId="0" fontId="5" fillId="11"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1" borderId="0"/>
    <xf numFmtId="0" fontId="5" fillId="11" borderId="0"/>
    <xf numFmtId="0" fontId="5" fillId="0" borderId="0"/>
    <xf numFmtId="0" fontId="5" fillId="11" borderId="0"/>
    <xf numFmtId="0" fontId="5" fillId="0" borderId="0"/>
    <xf numFmtId="0" fontId="39"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1" borderId="0"/>
    <xf numFmtId="0" fontId="5" fillId="11" borderId="0"/>
    <xf numFmtId="0" fontId="5" fillId="0" borderId="0"/>
    <xf numFmtId="0" fontId="5" fillId="11"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protection locked="0"/>
    </xf>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0" fillId="0" borderId="0"/>
    <xf numFmtId="0" fontId="32"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189" fontId="5" fillId="0" borderId="0" applyFill="0" applyBorder="0"/>
    <xf numFmtId="189" fontId="5" fillId="0" borderId="0" applyFill="0" applyBorder="0"/>
    <xf numFmtId="18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63" fillId="0" borderId="0"/>
    <xf numFmtId="0" fontId="49"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90" fontId="64" fillId="0" borderId="11"/>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3" fontId="38" fillId="0" borderId="0" applyFont="0" applyFill="0" applyBorder="0" applyAlignment="0" applyProtection="0"/>
    <xf numFmtId="0" fontId="38" fillId="49" borderId="0" applyNumberFormat="0" applyFont="0" applyBorder="0" applyAlignment="0" applyProtection="0"/>
    <xf numFmtId="191" fontId="5" fillId="0" borderId="0"/>
    <xf numFmtId="191" fontId="5" fillId="0" borderId="0"/>
    <xf numFmtId="191" fontId="5" fillId="0" borderId="0"/>
    <xf numFmtId="192" fontId="29" fillId="0" borderId="0" applyFill="0" applyBorder="0">
      <alignment horizontal="right" vertical="center"/>
    </xf>
    <xf numFmtId="193" fontId="29" fillId="0" borderId="0" applyFill="0" applyBorder="0">
      <alignment horizontal="right" vertical="center"/>
    </xf>
    <xf numFmtId="194" fontId="29" fillId="0" borderId="0" applyFill="0" applyBorder="0">
      <alignment horizontal="right" vertical="center"/>
    </xf>
    <xf numFmtId="181" fontId="23" fillId="12" borderId="20">
      <alignment horizontal="right" indent="2"/>
      <protection locked="0"/>
    </xf>
    <xf numFmtId="0" fontId="5" fillId="22" borderId="0" applyNumberFormat="0" applyFont="0" applyBorder="0" applyAlignment="0" applyProtection="0"/>
    <xf numFmtId="0" fontId="5" fillId="2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66" fillId="0" borderId="0" applyNumberFormat="0" applyFill="0" applyBorder="0" applyAlignment="0" applyProtection="0"/>
    <xf numFmtId="0" fontId="21" fillId="5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27" fillId="0" borderId="0"/>
    <xf numFmtId="15" fontId="5" fillId="0" borderId="0"/>
    <xf numFmtId="15" fontId="5" fillId="0" borderId="0"/>
    <xf numFmtId="15" fontId="5" fillId="0" borderId="0"/>
    <xf numFmtId="10" fontId="5" fillId="0" borderId="0"/>
    <xf numFmtId="10" fontId="5" fillId="0" borderId="0"/>
    <xf numFmtId="10" fontId="5" fillId="0" borderId="0"/>
    <xf numFmtId="0" fontId="67" fillId="15" borderId="6"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8" applyFill="0" applyBorder="0" applyProtection="0">
      <alignment horizontal="left" vertical="top"/>
    </xf>
    <xf numFmtId="0" fontId="21" fillId="14" borderId="0">
      <alignment horizontal="left" vertical="center"/>
      <protection locked="0"/>
    </xf>
    <xf numFmtId="0" fontId="26" fillId="13" borderId="0">
      <alignment vertical="center"/>
      <protection locked="0"/>
    </xf>
    <xf numFmtId="49" fontId="5" fillId="0" borderId="0" applyFont="0" applyFill="0" applyBorder="0" applyAlignment="0" applyProtection="0"/>
    <xf numFmtId="0" fontId="70" fillId="0" borderId="0"/>
    <xf numFmtId="49" fontId="5" fillId="0" borderId="0" applyFont="0" applyFill="0" applyBorder="0" applyAlignment="0" applyProtection="0"/>
    <xf numFmtId="0" fontId="71" fillId="0" borderId="0"/>
    <xf numFmtId="0" fontId="71" fillId="0" borderId="0"/>
    <xf numFmtId="0" fontId="70" fillId="0" borderId="0"/>
    <xf numFmtId="187" fontId="72" fillId="0" borderId="0"/>
    <xf numFmtId="0" fontId="66"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75" fillId="0" borderId="0" applyNumberFormat="0" applyFill="0" applyBorder="0" applyAlignment="0" applyProtection="0"/>
    <xf numFmtId="195" fontId="5" fillId="0" borderId="6" applyBorder="0" applyProtection="0">
      <alignment horizontal="right"/>
    </xf>
    <xf numFmtId="195" fontId="5" fillId="0" borderId="6" applyBorder="0" applyProtection="0">
      <alignment horizontal="right"/>
    </xf>
    <xf numFmtId="195" fontId="5" fillId="0" borderId="6" applyBorder="0" applyProtection="0">
      <alignment horizontal="right"/>
    </xf>
    <xf numFmtId="0" fontId="5" fillId="0" borderId="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 fillId="11" borderId="0"/>
    <xf numFmtId="0" fontId="5" fillId="11" borderId="0"/>
    <xf numFmtId="0" fontId="5" fillId="11"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20" fillId="23" borderId="0" applyNumberFormat="0" applyBorder="0" applyAlignment="0" applyProtection="0"/>
    <xf numFmtId="0" fontId="20" fillId="51" borderId="0" applyNumberFormat="0" applyBorder="0" applyAlignment="0" applyProtection="0"/>
    <xf numFmtId="0" fontId="20" fillId="25" borderId="0" applyNumberFormat="0" applyBorder="0" applyAlignment="0" applyProtection="0"/>
    <xf numFmtId="0" fontId="20" fillId="52"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7" fontId="5" fillId="0" borderId="0" applyFont="0" applyFill="0" applyBorder="0" applyAlignment="0" applyProtection="0"/>
    <xf numFmtId="167" fontId="76" fillId="0" borderId="0" applyFont="0" applyFill="0" applyBorder="0" applyAlignment="0" applyProtection="0"/>
    <xf numFmtId="166" fontId="1" fillId="0" borderId="0" applyFon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77" fillId="0" borderId="0" applyNumberFormat="0" applyFill="0" applyBorder="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45" borderId="0" applyFont="0" applyBorder="0" applyAlignment="0">
      <alignment horizontal="right"/>
      <protection locked="0"/>
    </xf>
    <xf numFmtId="165" fontId="5" fillId="45" borderId="0" applyFont="0" applyBorder="0" applyAlignment="0">
      <alignment horizontal="right"/>
      <protection locked="0"/>
    </xf>
    <xf numFmtId="165" fontId="5" fillId="19"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applyFill="0"/>
    <xf numFmtId="0" fontId="20" fillId="0" borderId="0"/>
    <xf numFmtId="0" fontId="5" fillId="0" borderId="0" applyFill="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9" fontId="20" fillId="0" borderId="0" applyFont="0" applyFill="0" applyBorder="0" applyAlignment="0" applyProtection="0"/>
    <xf numFmtId="9" fontId="1" fillId="0" borderId="0" applyFont="0" applyFill="0" applyBorder="0" applyAlignment="0" applyProtection="0"/>
    <xf numFmtId="190" fontId="64" fillId="0" borderId="11"/>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69" fillId="0" borderId="8" applyFill="0" applyBorder="0" applyProtection="0">
      <alignment horizontal="left" vertical="top"/>
    </xf>
    <xf numFmtId="0" fontId="79" fillId="0" borderId="0"/>
    <xf numFmtId="0" fontId="79" fillId="0" borderId="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195" fontId="5" fillId="0" borderId="6" applyBorder="0" applyProtection="0">
      <alignment horizontal="right"/>
    </xf>
    <xf numFmtId="195" fontId="5" fillId="0" borderId="6" applyBorder="0" applyProtection="0">
      <alignment horizontal="right"/>
    </xf>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0" fillId="0" borderId="0" xfId="0" applyFill="1"/>
    <xf numFmtId="10" fontId="0" fillId="0" borderId="0" xfId="1" applyNumberFormat="1" applyFont="1"/>
    <xf numFmtId="169"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70" fontId="0" fillId="0" borderId="0" xfId="0" applyNumberFormat="1"/>
    <xf numFmtId="171" fontId="0" fillId="0" borderId="0" xfId="4" applyNumberFormat="1" applyFont="1"/>
    <xf numFmtId="166" fontId="0" fillId="0" borderId="0" xfId="4" applyNumberFormat="1" applyFont="1"/>
    <xf numFmtId="0" fontId="0" fillId="0" borderId="2" xfId="0" applyBorder="1"/>
    <xf numFmtId="0" fontId="0" fillId="2" borderId="0" xfId="0" applyFill="1"/>
    <xf numFmtId="9" fontId="0" fillId="0" borderId="1" xfId="1" applyFont="1" applyBorder="1"/>
    <xf numFmtId="171"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8"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2"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9" fontId="0" fillId="0" borderId="0" xfId="0" applyNumberFormat="1" applyFill="1" applyAlignment="1">
      <alignment horizontal="center"/>
    </xf>
    <xf numFmtId="0" fontId="0" fillId="0" borderId="0" xfId="0" applyAlignment="1">
      <alignment horizontal="center"/>
    </xf>
    <xf numFmtId="169"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2" fillId="0" borderId="1" xfId="0" applyFont="1" applyBorder="1"/>
    <xf numFmtId="10" fontId="12" fillId="0" borderId="1" xfId="1" applyNumberFormat="1" applyFont="1" applyBorder="1"/>
    <xf numFmtId="172"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11" fillId="0" borderId="0" xfId="0" applyFont="1" applyFill="1" applyBorder="1"/>
    <xf numFmtId="0" fontId="2" fillId="0" borderId="0" xfId="0" applyFont="1" applyFill="1" applyBorder="1"/>
    <xf numFmtId="0" fontId="7" fillId="0" borderId="0" xfId="0" applyFont="1" applyFill="1" applyBorder="1"/>
    <xf numFmtId="172" fontId="0" fillId="0" borderId="0" xfId="0" applyNumberFormat="1" applyFill="1" applyBorder="1"/>
    <xf numFmtId="169" fontId="0" fillId="0" borderId="0" xfId="1" applyNumberFormat="1" applyFont="1" applyFill="1" applyBorder="1"/>
    <xf numFmtId="172" fontId="2" fillId="0" borderId="0" xfId="0" applyNumberFormat="1" applyFont="1" applyFill="1" applyBorder="1"/>
    <xf numFmtId="10" fontId="2" fillId="0" borderId="0" xfId="1" applyNumberFormat="1" applyFont="1" applyFill="1" applyBorder="1"/>
    <xf numFmtId="173" fontId="0" fillId="0" borderId="0" xfId="3" applyNumberFormat="1" applyFont="1" applyFill="1" applyBorder="1"/>
    <xf numFmtId="169" fontId="0" fillId="0" borderId="0" xfId="0" applyNumberFormat="1" applyFill="1" applyBorder="1"/>
    <xf numFmtId="0" fontId="0" fillId="0" borderId="0" xfId="0" applyBorder="1"/>
    <xf numFmtId="172" fontId="0" fillId="0" borderId="0" xfId="0" applyNumberFormat="1"/>
    <xf numFmtId="1" fontId="0" fillId="0" borderId="1" xfId="3" applyNumberFormat="1" applyFont="1" applyBorder="1"/>
    <xf numFmtId="171" fontId="0" fillId="0" borderId="1" xfId="4" applyNumberFormat="1" applyFont="1" applyFill="1" applyBorder="1"/>
    <xf numFmtId="0" fontId="13" fillId="0" borderId="12" xfId="9" applyAlignment="1">
      <alignment horizontal="right"/>
    </xf>
    <xf numFmtId="0" fontId="13" fillId="0" borderId="12" xfId="9"/>
    <xf numFmtId="0" fontId="0" fillId="0" borderId="0" xfId="0" applyAlignment="1">
      <alignment horizontal="right"/>
    </xf>
    <xf numFmtId="0" fontId="14" fillId="4" borderId="13" xfId="10" applyAlignment="1">
      <alignment horizontal="right"/>
    </xf>
    <xf numFmtId="174" fontId="15" fillId="5" borderId="13" xfId="11" applyNumberFormat="1"/>
    <xf numFmtId="0" fontId="0" fillId="0" borderId="0" xfId="0" applyAlignment="1">
      <alignment wrapText="1"/>
    </xf>
    <xf numFmtId="175" fontId="16" fillId="0" borderId="0" xfId="0" applyNumberFormat="1" applyFont="1" applyAlignment="1" applyProtection="1">
      <alignment horizontal="left"/>
    </xf>
    <xf numFmtId="176" fontId="0" fillId="0" borderId="0" xfId="0" applyNumberFormat="1"/>
    <xf numFmtId="0" fontId="2" fillId="0" borderId="0" xfId="0" applyFont="1" applyFill="1"/>
    <xf numFmtId="0" fontId="2" fillId="6" borderId="0" xfId="0" applyFont="1" applyFill="1"/>
    <xf numFmtId="0" fontId="0" fillId="0" borderId="0" xfId="0" applyAlignment="1">
      <alignment horizontal="center" vertical="center"/>
    </xf>
    <xf numFmtId="172" fontId="0" fillId="2" borderId="14" xfId="0" applyNumberFormat="1" applyFill="1" applyBorder="1" applyAlignment="1">
      <alignment horizontal="center" vertical="center"/>
    </xf>
    <xf numFmtId="172" fontId="0" fillId="2" borderId="14" xfId="12" applyNumberFormat="1" applyFont="1" applyFill="1" applyBorder="1" applyAlignment="1">
      <alignment horizontal="center" vertical="center"/>
    </xf>
    <xf numFmtId="0" fontId="17" fillId="0" borderId="0" xfId="13"/>
    <xf numFmtId="172" fontId="0" fillId="0" borderId="0" xfId="12" applyNumberFormat="1" applyFont="1" applyAlignment="1">
      <alignment horizontal="center" vertical="center"/>
    </xf>
    <xf numFmtId="172" fontId="0" fillId="0" borderId="0" xfId="0" applyNumberFormat="1" applyAlignment="1">
      <alignment horizontal="center" vertical="center"/>
    </xf>
    <xf numFmtId="0" fontId="2" fillId="6" borderId="0" xfId="0" applyFont="1" applyFill="1" applyAlignment="1">
      <alignment horizontal="center" vertical="center"/>
    </xf>
    <xf numFmtId="0" fontId="0" fillId="0" borderId="15" xfId="0" quotePrefix="1" applyBorder="1"/>
    <xf numFmtId="172" fontId="0" fillId="0" borderId="15" xfId="12" applyNumberFormat="1" applyFont="1" applyBorder="1" applyAlignment="1">
      <alignment horizontal="center" vertical="center"/>
    </xf>
    <xf numFmtId="0" fontId="0" fillId="0" borderId="0" xfId="0" applyFont="1"/>
    <xf numFmtId="169" fontId="0" fillId="0" borderId="0" xfId="1" applyNumberFormat="1" applyFont="1" applyAlignment="1"/>
    <xf numFmtId="177" fontId="0" fillId="0" borderId="0" xfId="12" applyNumberFormat="1" applyFont="1" applyAlignment="1">
      <alignment horizontal="center" vertical="center"/>
    </xf>
    <xf numFmtId="172" fontId="0" fillId="0" borderId="0" xfId="12" applyNumberFormat="1" applyFont="1" applyBorder="1" applyAlignment="1">
      <alignment horizontal="center" vertical="center"/>
    </xf>
    <xf numFmtId="167" fontId="0" fillId="0" borderId="0" xfId="0" applyNumberFormat="1"/>
    <xf numFmtId="0" fontId="0" fillId="0" borderId="0" xfId="0" applyAlignment="1">
      <alignment horizontal="left"/>
    </xf>
    <xf numFmtId="172" fontId="0" fillId="2" borderId="0" xfId="0" applyNumberFormat="1" applyFill="1" applyAlignment="1">
      <alignment horizontal="center" vertical="center"/>
    </xf>
    <xf numFmtId="172" fontId="0" fillId="2" borderId="0" xfId="12" applyNumberFormat="1" applyFont="1" applyFill="1" applyAlignment="1">
      <alignment horizontal="center" vertical="center"/>
    </xf>
    <xf numFmtId="0" fontId="2" fillId="7" borderId="0" xfId="0" applyFont="1" applyFill="1"/>
    <xf numFmtId="178" fontId="0" fillId="0" borderId="1" xfId="0" applyNumberFormat="1" applyFill="1" applyBorder="1"/>
    <xf numFmtId="178" fontId="0" fillId="0" borderId="0" xfId="0" applyNumberFormat="1" applyFill="1"/>
    <xf numFmtId="179" fontId="0" fillId="0" borderId="0" xfId="0" applyNumberFormat="1" applyFill="1" applyBorder="1"/>
    <xf numFmtId="174" fontId="0" fillId="0" borderId="0" xfId="0" applyNumberFormat="1" applyFill="1"/>
    <xf numFmtId="165" fontId="0" fillId="0" borderId="1" xfId="0" applyNumberFormat="1" applyFill="1" applyBorder="1"/>
    <xf numFmtId="165" fontId="0" fillId="0" borderId="16" xfId="0" applyNumberFormat="1" applyFill="1" applyBorder="1"/>
    <xf numFmtId="167" fontId="0" fillId="0" borderId="0" xfId="12" applyFont="1"/>
    <xf numFmtId="10" fontId="0" fillId="0" borderId="1" xfId="1" applyNumberFormat="1" applyFont="1" applyFill="1" applyBorder="1"/>
    <xf numFmtId="169"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6" fontId="0" fillId="0" borderId="0" xfId="4" applyNumberFormat="1" applyFont="1" applyFill="1"/>
    <xf numFmtId="166" fontId="0" fillId="0" borderId="1" xfId="4" applyNumberFormat="1" applyFont="1" applyFill="1" applyBorder="1"/>
    <xf numFmtId="9" fontId="0" fillId="0" borderId="0" xfId="1" applyFont="1" applyFill="1"/>
    <xf numFmtId="10" fontId="6" fillId="0" borderId="0" xfId="0" applyNumberFormat="1" applyFont="1" applyFill="1"/>
    <xf numFmtId="0" fontId="6" fillId="0" borderId="0" xfId="0" applyFont="1" applyFill="1" applyAlignment="1"/>
    <xf numFmtId="10" fontId="0" fillId="3" borderId="0" xfId="0" applyNumberFormat="1" applyFill="1" applyAlignment="1">
      <alignment horizontal="center"/>
    </xf>
    <xf numFmtId="10" fontId="0" fillId="3" borderId="0" xfId="1" applyNumberFormat="1" applyFont="1" applyFill="1"/>
    <xf numFmtId="10" fontId="0" fillId="3" borderId="0" xfId="0" applyNumberFormat="1" applyFill="1"/>
    <xf numFmtId="0" fontId="0" fillId="0" borderId="0" xfId="0"/>
    <xf numFmtId="10" fontId="0" fillId="0" borderId="0" xfId="0" applyNumberFormat="1" applyFill="1"/>
    <xf numFmtId="0" fontId="0" fillId="3" borderId="7" xfId="0" applyFill="1" applyBorder="1"/>
    <xf numFmtId="0" fontId="6" fillId="0" borderId="6" xfId="0" applyFont="1" applyBorder="1" applyAlignment="1">
      <alignment horizontal="center"/>
    </xf>
    <xf numFmtId="0" fontId="0" fillId="0" borderId="6" xfId="0" applyFill="1" applyBorder="1" applyAlignment="1">
      <alignment horizontal="center"/>
    </xf>
    <xf numFmtId="0" fontId="0" fillId="3" borderId="0" xfId="0" applyFill="1" applyAlignment="1">
      <alignment horizontal="center" wrapText="1"/>
    </xf>
    <xf numFmtId="0" fontId="0" fillId="3" borderId="0" xfId="0" applyFill="1" applyAlignment="1">
      <alignment horizontal="center"/>
    </xf>
  </cellXfs>
  <cellStyles count="924">
    <cellStyle name=" 1" xfId="15"/>
    <cellStyle name=" 1 2" xfId="17"/>
    <cellStyle name=" 1 2 2" xfId="19"/>
    <cellStyle name=" 1 2 3" xfId="45"/>
    <cellStyle name=" 1 3" xfId="16"/>
    <cellStyle name=" 1 3 2" xfId="36"/>
    <cellStyle name=" 1 4" xfId="18"/>
    <cellStyle name=" 1_29(d) - Gas extensions -tariffs" xfId="3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Capex" xfId="51"/>
    <cellStyle name="_Capex 2" xfId="52"/>
    <cellStyle name="_Capex_29(d) - Gas extensions -tariffs" xfId="53"/>
    <cellStyle name="_UED AMP 2009-14 Final 250309 Less PU" xfId="54"/>
    <cellStyle name="_UED AMP 2009-14 Final 250309 Less PU_1011 monthly" xfId="55"/>
    <cellStyle name="20% - Accent1 2" xfId="56"/>
    <cellStyle name="20% - Accent1 2 2" xfId="594"/>
    <cellStyle name="20% - Accent1 3" xfId="57"/>
    <cellStyle name="20% - Accent2 2" xfId="58"/>
    <cellStyle name="20% - Accent3 2" xfId="59"/>
    <cellStyle name="20% - Accent4 2" xfId="60"/>
    <cellStyle name="20% - Accent5 2" xfId="61"/>
    <cellStyle name="20% - Accent5 2 2" xfId="595"/>
    <cellStyle name="20% - Accent6 2" xfId="62"/>
    <cellStyle name="40% - Accent1 2" xfId="63"/>
    <cellStyle name="40% - Accent1 2 2" xfId="596"/>
    <cellStyle name="40% - Accent1 3" xfId="64"/>
    <cellStyle name="40% - Accent2 2" xfId="65"/>
    <cellStyle name="40% - Accent3 2" xfId="66"/>
    <cellStyle name="40% - Accent4 2" xfId="67"/>
    <cellStyle name="40% - Accent5 2" xfId="68"/>
    <cellStyle name="40% - Accent5 2 2" xfId="597"/>
    <cellStyle name="40% - Accent6 2" xfId="69"/>
    <cellStyle name="60% - Accent1 2" xfId="70"/>
    <cellStyle name="60% - Accent1 2 2" xfId="598"/>
    <cellStyle name="60% - Accent2 2" xfId="71"/>
    <cellStyle name="60% - Accent3 2" xfId="72"/>
    <cellStyle name="60% - Accent4 2" xfId="73"/>
    <cellStyle name="60% - Accent5 2" xfId="74"/>
    <cellStyle name="60% - Accent5 2 2" xfId="599"/>
    <cellStyle name="60% - Accent6 2" xfId="75"/>
    <cellStyle name="Accent1 - 20%" xfId="76"/>
    <cellStyle name="Accent1 - 40%" xfId="77"/>
    <cellStyle name="Accent1 - 60%" xfId="78"/>
    <cellStyle name="Accent1 2" xfId="79"/>
    <cellStyle name="Accent1 3" xfId="563"/>
    <cellStyle name="Accent1 4" xfId="564"/>
    <cellStyle name="Accent1 5" xfId="565"/>
    <cellStyle name="Accent2 - 20%" xfId="80"/>
    <cellStyle name="Accent2 - 40%" xfId="81"/>
    <cellStyle name="Accent2 - 60%" xfId="82"/>
    <cellStyle name="Accent2 2" xfId="83"/>
    <cellStyle name="Accent2 3" xfId="566"/>
    <cellStyle name="Accent2 4" xfId="567"/>
    <cellStyle name="Accent2 5" xfId="568"/>
    <cellStyle name="Accent3 - 20%" xfId="84"/>
    <cellStyle name="Accent3 - 40%" xfId="85"/>
    <cellStyle name="Accent3 - 60%" xfId="86"/>
    <cellStyle name="Accent3 2" xfId="87"/>
    <cellStyle name="Accent3 3" xfId="569"/>
    <cellStyle name="Accent3 4" xfId="570"/>
    <cellStyle name="Accent3 5" xfId="571"/>
    <cellStyle name="Accent4 - 20%" xfId="88"/>
    <cellStyle name="Accent4 - 40%" xfId="89"/>
    <cellStyle name="Accent4 - 60%" xfId="90"/>
    <cellStyle name="Accent4 2" xfId="91"/>
    <cellStyle name="Accent4 3" xfId="572"/>
    <cellStyle name="Accent4 4" xfId="573"/>
    <cellStyle name="Accent4 5" xfId="574"/>
    <cellStyle name="Accent5 - 20%" xfId="92"/>
    <cellStyle name="Accent5 - 40%" xfId="93"/>
    <cellStyle name="Accent5 - 60%" xfId="94"/>
    <cellStyle name="Accent5 2" xfId="95"/>
    <cellStyle name="Accent5 3" xfId="575"/>
    <cellStyle name="Accent5 4" xfId="576"/>
    <cellStyle name="Accent5 5" xfId="577"/>
    <cellStyle name="Accent6 - 20%" xfId="96"/>
    <cellStyle name="Accent6 - 40%" xfId="97"/>
    <cellStyle name="Accent6 - 60%" xfId="98"/>
    <cellStyle name="Accent6 2" xfId="99"/>
    <cellStyle name="Accent6 3" xfId="578"/>
    <cellStyle name="Accent6 4" xfId="579"/>
    <cellStyle name="Accent6 5" xfId="580"/>
    <cellStyle name="Agara" xfId="100"/>
    <cellStyle name="B79812_.wvu.PrintTitlest" xfId="101"/>
    <cellStyle name="Bad 2" xfId="102"/>
    <cellStyle name="Black" xfId="103"/>
    <cellStyle name="Blockout" xfId="104"/>
    <cellStyle name="Blockout 2" xfId="105"/>
    <cellStyle name="Blockout 2 2" xfId="600"/>
    <cellStyle name="Blockout 3" xfId="106"/>
    <cellStyle name="Blockout 4" xfId="601"/>
    <cellStyle name="Blue" xfId="107"/>
    <cellStyle name="Calculation" xfId="11" builtinId="22"/>
    <cellStyle name="Calculation 2" xfId="108"/>
    <cellStyle name="Calculation 2 2" xfId="109"/>
    <cellStyle name="Calculation 2 2 2" xfId="602"/>
    <cellStyle name="Calculation 2 2 2 2" xfId="603"/>
    <cellStyle name="Calculation 2 2 3" xfId="604"/>
    <cellStyle name="Calculation 2 2 3 2" xfId="605"/>
    <cellStyle name="Calculation 2 2 4" xfId="606"/>
    <cellStyle name="Calculation 2 2 5" xfId="607"/>
    <cellStyle name="Calculation 2 3" xfId="110"/>
    <cellStyle name="Calculation 2 3 2" xfId="608"/>
    <cellStyle name="Calculation 2 3 2 2" xfId="609"/>
    <cellStyle name="Calculation 2 3 3" xfId="610"/>
    <cellStyle name="Calculation 2 3 3 2" xfId="611"/>
    <cellStyle name="Calculation 2 3 4" xfId="612"/>
    <cellStyle name="Calculation 2 3 5" xfId="613"/>
    <cellStyle name="Calculation 2 4" xfId="614"/>
    <cellStyle name="Calculation 2 4 2" xfId="615"/>
    <cellStyle name="Calculation 2 4 2 2" xfId="616"/>
    <cellStyle name="Calculation 2 4 3" xfId="617"/>
    <cellStyle name="Calculation 2 4 3 2" xfId="618"/>
    <cellStyle name="Calculation 2 4 4" xfId="619"/>
    <cellStyle name="Calculation 2 5" xfId="620"/>
    <cellStyle name="Calculation 2 5 2" xfId="621"/>
    <cellStyle name="Calculation 2 5 2 2" xfId="622"/>
    <cellStyle name="Calculation 2 5 3" xfId="623"/>
    <cellStyle name="Calculation 2 5 3 2" xfId="624"/>
    <cellStyle name="Calculation 2 5 4" xfId="625"/>
    <cellStyle name="Calculation 2 6" xfId="626"/>
    <cellStyle name="Calculation 2 7" xfId="627"/>
    <cellStyle name="Check Cell 2" xfId="111"/>
    <cellStyle name="Check Cell 2 2" xfId="628"/>
    <cellStyle name="Check Cell 2 2 2" xfId="629"/>
    <cellStyle name="Check Cell 2 2 2 2" xfId="112"/>
    <cellStyle name="Comma" xfId="3" builtinId="3"/>
    <cellStyle name="Comma [0]7Z_87C" xfId="113"/>
    <cellStyle name="Comma 0" xfId="114"/>
    <cellStyle name="Comma 1" xfId="115"/>
    <cellStyle name="Comma 1 2" xfId="116"/>
    <cellStyle name="Comma 10" xfId="117"/>
    <cellStyle name="Comma 11" xfId="118"/>
    <cellStyle name="Comma 12" xfId="14"/>
    <cellStyle name="Comma 2" xfId="5"/>
    <cellStyle name="Comma 2 2" xfId="120"/>
    <cellStyle name="Comma 2 2 2" xfId="121"/>
    <cellStyle name="Comma 2 2 3" xfId="122"/>
    <cellStyle name="Comma 2 3" xfId="123"/>
    <cellStyle name="Comma 2 3 2" xfId="124"/>
    <cellStyle name="Comma 2 4" xfId="125"/>
    <cellStyle name="Comma 2 5" xfId="126"/>
    <cellStyle name="Comma 2 5 2" xfId="630"/>
    <cellStyle name="Comma 2 6" xfId="127"/>
    <cellStyle name="Comma 2 7" xfId="11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 7" xfId="128"/>
    <cellStyle name="Comma 4" xfId="136"/>
    <cellStyle name="Comma 4 2" xfId="137"/>
    <cellStyle name="Comma 5" xfId="138"/>
    <cellStyle name="Comma 5 2" xfId="631"/>
    <cellStyle name="Comma 6" xfId="139"/>
    <cellStyle name="Comma 7" xfId="140"/>
    <cellStyle name="Comma 8" xfId="141"/>
    <cellStyle name="Comma 9" xfId="142"/>
    <cellStyle name="Comma 9 2" xfId="143"/>
    <cellStyle name="Comma 9 3" xfId="144"/>
    <cellStyle name="Comma0" xfId="145"/>
    <cellStyle name="Currency" xfId="4" builtinId="4"/>
    <cellStyle name="Currency 11" xfId="146"/>
    <cellStyle name="Currency 11 2" xfId="147"/>
    <cellStyle name="Currency 2" xfId="148"/>
    <cellStyle name="Currency 2 2" xfId="149"/>
    <cellStyle name="Currency 2 3" xfId="150"/>
    <cellStyle name="Currency 3" xfId="151"/>
    <cellStyle name="Currency 3 2" xfId="152"/>
    <cellStyle name="Currency 4" xfId="153"/>
    <cellStyle name="Currency 4 2" xfId="154"/>
    <cellStyle name="Currency 5" xfId="155"/>
    <cellStyle name="Currency 5 2" xfId="632"/>
    <cellStyle name="Currency 6" xfId="156"/>
    <cellStyle name="Currency 6 2" xfId="157"/>
    <cellStyle name="Currency 6 3" xfId="158"/>
    <cellStyle name="Currency 7" xfId="159"/>
    <cellStyle name="D4_B8B1_005004B79812_.wvu.PrintTitlest" xfId="160"/>
    <cellStyle name="Date" xfId="161"/>
    <cellStyle name="Date 2" xfId="162"/>
    <cellStyle name="dms_Blue_HDR" xfId="163"/>
    <cellStyle name="Emphasis 1" xfId="164"/>
    <cellStyle name="Emphasis 2" xfId="165"/>
    <cellStyle name="Emphasis 3" xfId="166"/>
    <cellStyle name="Euro" xfId="167"/>
    <cellStyle name="Explanatory Text 2" xfId="168"/>
    <cellStyle name="Fixed" xfId="169"/>
    <cellStyle name="Fixed 2" xfId="170"/>
    <cellStyle name="Gilsans" xfId="171"/>
    <cellStyle name="Gilsansl" xfId="172"/>
    <cellStyle name="Good 2" xfId="173"/>
    <cellStyle name="Heading 1 2" xfId="174"/>
    <cellStyle name="Heading 1 2 2" xfId="175"/>
    <cellStyle name="Heading 1 3" xfId="176"/>
    <cellStyle name="Heading 2 2" xfId="177"/>
    <cellStyle name="Heading 2 2 2" xfId="178"/>
    <cellStyle name="Heading 2 2 3" xfId="633"/>
    <cellStyle name="Heading 2 3" xfId="179"/>
    <cellStyle name="Heading 3" xfId="9" builtinId="18"/>
    <cellStyle name="Heading 3 2" xfId="180"/>
    <cellStyle name="Heading 3 2 2" xfId="181"/>
    <cellStyle name="Heading 3 2 2 2" xfId="182"/>
    <cellStyle name="Heading 3 2 2 2 2" xfId="183"/>
    <cellStyle name="Heading 3 2 2 2 2 2" xfId="184"/>
    <cellStyle name="Heading 3 2 2 2 2 3" xfId="185"/>
    <cellStyle name="Heading 3 2 2 2 2 4" xfId="186"/>
    <cellStyle name="Heading 3 2 2 2 3" xfId="187"/>
    <cellStyle name="Heading 3 2 2 2 4" xfId="188"/>
    <cellStyle name="Heading 3 2 2 2 5" xfId="189"/>
    <cellStyle name="Heading 3 2 2 2 6" xfId="634"/>
    <cellStyle name="Heading 3 2 2 3" xfId="190"/>
    <cellStyle name="Heading 3 2 2 3 2" xfId="191"/>
    <cellStyle name="Heading 3 2 2 3 2 2" xfId="192"/>
    <cellStyle name="Heading 3 2 2 3 2 3" xfId="193"/>
    <cellStyle name="Heading 3 2 2 3 2 4" xfId="194"/>
    <cellStyle name="Heading 3 2 2 3 3" xfId="195"/>
    <cellStyle name="Heading 3 2 2 3 4" xfId="196"/>
    <cellStyle name="Heading 3 2 2 3 5" xfId="197"/>
    <cellStyle name="Heading 3 2 2 4" xfId="198"/>
    <cellStyle name="Heading 3 2 2 4 2" xfId="199"/>
    <cellStyle name="Heading 3 2 2 4 3" xfId="200"/>
    <cellStyle name="Heading 3 2 2 4 4" xfId="201"/>
    <cellStyle name="Heading 3 2 2 5" xfId="202"/>
    <cellStyle name="Heading 3 2 2 5 2" xfId="203"/>
    <cellStyle name="Heading 3 2 2 5 3" xfId="204"/>
    <cellStyle name="Heading 3 2 2 6" xfId="635"/>
    <cellStyle name="Heading 3 2 3" xfId="205"/>
    <cellStyle name="Heading 3 2 3 2" xfId="636"/>
    <cellStyle name="Heading 3 2 4" xfId="206"/>
    <cellStyle name="Heading 3 2 4 2" xfId="207"/>
    <cellStyle name="Heading 3 2 4 2 2" xfId="208"/>
    <cellStyle name="Heading 3 2 4 2 3" xfId="209"/>
    <cellStyle name="Heading 3 2 4 2 4" xfId="210"/>
    <cellStyle name="Heading 3 2 4 3" xfId="211"/>
    <cellStyle name="Heading 3 2 4 4" xfId="212"/>
    <cellStyle name="Heading 3 2 4 5" xfId="213"/>
    <cellStyle name="Heading 3 2 5" xfId="214"/>
    <cellStyle name="Heading 3 2 5 2" xfId="215"/>
    <cellStyle name="Heading 3 2 5 2 2" xfId="216"/>
    <cellStyle name="Heading 3 2 5 2 3" xfId="217"/>
    <cellStyle name="Heading 3 2 5 2 4" xfId="218"/>
    <cellStyle name="Heading 3 2 5 3" xfId="219"/>
    <cellStyle name="Heading 3 2 5 4" xfId="220"/>
    <cellStyle name="Heading 3 2 5 5" xfId="221"/>
    <cellStyle name="Heading 3 2 6" xfId="222"/>
    <cellStyle name="Heading 3 2 6 2" xfId="223"/>
    <cellStyle name="Heading 3 2 6 3" xfId="224"/>
    <cellStyle name="Heading 3 2 6 4" xfId="225"/>
    <cellStyle name="Heading 3 2 7" xfId="226"/>
    <cellStyle name="Heading 3 2 7 2" xfId="227"/>
    <cellStyle name="Heading 3 2 7 3" xfId="228"/>
    <cellStyle name="Heading 3 2 8" xfId="637"/>
    <cellStyle name="Heading 3 3" xfId="229"/>
    <cellStyle name="Heading 4 2" xfId="230"/>
    <cellStyle name="Heading 4 2 2" xfId="231"/>
    <cellStyle name="Heading 4 3" xfId="232"/>
    <cellStyle name="Heading(4)" xfId="233"/>
    <cellStyle name="Hyperlink" xfId="13" builtinId="8"/>
    <cellStyle name="Hyperlink 2" xfId="234"/>
    <cellStyle name="Hyperlink 2 2" xfId="235"/>
    <cellStyle name="Hyperlink 2 3" xfId="236"/>
    <cellStyle name="Hyperlink 3" xfId="237"/>
    <cellStyle name="Hyperlink 3 2" xfId="638"/>
    <cellStyle name="Hyperlink 4" xfId="238"/>
    <cellStyle name="Hyperlink Arrow" xfId="239"/>
    <cellStyle name="Hyperlink Text" xfId="240"/>
    <cellStyle name="import" xfId="241"/>
    <cellStyle name="import%" xfId="242"/>
    <cellStyle name="import_ICRC Electricity model 1-1  (1 Feb 2003) " xfId="40"/>
    <cellStyle name="Input" xfId="10" builtinId="20"/>
    <cellStyle name="Input 2" xfId="243"/>
    <cellStyle name="Input 2 2" xfId="244"/>
    <cellStyle name="Input 2 2 2" xfId="639"/>
    <cellStyle name="Input 2 2 2 2" xfId="640"/>
    <cellStyle name="Input 2 2 3" xfId="641"/>
    <cellStyle name="Input 2 2 3 2" xfId="642"/>
    <cellStyle name="Input 2 2 4" xfId="643"/>
    <cellStyle name="Input 2 2 5" xfId="644"/>
    <cellStyle name="Input 2 3" xfId="245"/>
    <cellStyle name="Input 2 3 2" xfId="645"/>
    <cellStyle name="Input 2 3 2 2" xfId="646"/>
    <cellStyle name="Input 2 3 3" xfId="647"/>
    <cellStyle name="Input 2 3 3 2" xfId="648"/>
    <cellStyle name="Input 2 3 4" xfId="649"/>
    <cellStyle name="Input 2 3 5" xfId="650"/>
    <cellStyle name="Input 2 4" xfId="651"/>
    <cellStyle name="Input 2 4 2" xfId="652"/>
    <cellStyle name="Input 2 4 2 2" xfId="653"/>
    <cellStyle name="Input 2 4 3" xfId="654"/>
    <cellStyle name="Input 2 4 3 2" xfId="655"/>
    <cellStyle name="Input 2 4 4" xfId="656"/>
    <cellStyle name="Input 2 5" xfId="657"/>
    <cellStyle name="Input 2 5 2" xfId="658"/>
    <cellStyle name="Input 2 5 2 2" xfId="659"/>
    <cellStyle name="Input 2 5 3" xfId="660"/>
    <cellStyle name="Input 2 5 3 2" xfId="661"/>
    <cellStyle name="Input 2 5 4" xfId="662"/>
    <cellStyle name="Input 2 6" xfId="663"/>
    <cellStyle name="Input 2 7" xfId="664"/>
    <cellStyle name="Input1" xfId="42"/>
    <cellStyle name="Input1 2" xfId="246"/>
    <cellStyle name="Input1 2 2" xfId="247"/>
    <cellStyle name="Input1 2 3" xfId="665"/>
    <cellStyle name="Input1 3" xfId="248"/>
    <cellStyle name="Input1 3 2" xfId="249"/>
    <cellStyle name="Input1 3 3" xfId="666"/>
    <cellStyle name="Input1 4" xfId="250"/>
    <cellStyle name="Input1 4 2" xfId="667"/>
    <cellStyle name="Input1 5" xfId="251"/>
    <cellStyle name="Input1 6" xfId="668"/>
    <cellStyle name="Input1%" xfId="252"/>
    <cellStyle name="Input1_ICRC Electricity model 1-1  (1 Feb 2003) " xfId="253"/>
    <cellStyle name="Input1default" xfId="254"/>
    <cellStyle name="Input1default%" xfId="255"/>
    <cellStyle name="Input2" xfId="256"/>
    <cellStyle name="Input2 2" xfId="257"/>
    <cellStyle name="Input2 3" xfId="258"/>
    <cellStyle name="Input3" xfId="259"/>
    <cellStyle name="Input3 2" xfId="260"/>
    <cellStyle name="Input3 2 2" xfId="669"/>
    <cellStyle name="Input3 3" xfId="261"/>
    <cellStyle name="Input3 3 2" xfId="670"/>
    <cellStyle name="Input3 4" xfId="671"/>
    <cellStyle name="Input3 5" xfId="672"/>
    <cellStyle name="InputCell" xfId="262"/>
    <cellStyle name="InputCell 2" xfId="263"/>
    <cellStyle name="InputCell 3" xfId="264"/>
    <cellStyle name="InputCellText" xfId="265"/>
    <cellStyle name="InputCellText 2" xfId="266"/>
    <cellStyle name="InputCellText 3" xfId="267"/>
    <cellStyle name="key result" xfId="268"/>
    <cellStyle name="Lines" xfId="269"/>
    <cellStyle name="Linked Cell 2" xfId="270"/>
    <cellStyle name="Local import" xfId="271"/>
    <cellStyle name="Local import %" xfId="272"/>
    <cellStyle name="Mine" xfId="273"/>
    <cellStyle name="Model Name" xfId="274"/>
    <cellStyle name="Neutral 2" xfId="275"/>
    <cellStyle name="NonInputCell" xfId="276"/>
    <cellStyle name="NonInputCell 2" xfId="277"/>
    <cellStyle name="NonInputCell 3" xfId="278"/>
    <cellStyle name="Normal" xfId="0" builtinId="0"/>
    <cellStyle name="Normal - Style1" xfId="279"/>
    <cellStyle name="Normal 10" xfId="43"/>
    <cellStyle name="Normal 10 2" xfId="280"/>
    <cellStyle name="Normal 10 2 2 2" xfId="562"/>
    <cellStyle name="Normal 10 2 2 2 7" xfId="918"/>
    <cellStyle name="Normal 11" xfId="281"/>
    <cellStyle name="Normal 11 2" xfId="282"/>
    <cellStyle name="Normal 11 3" xfId="283"/>
    <cellStyle name="Normal 11 4" xfId="284"/>
    <cellStyle name="Normal 114" xfId="38"/>
    <cellStyle name="Normal 114 2" xfId="285"/>
    <cellStyle name="Normal 12" xfId="286"/>
    <cellStyle name="Normal 12 2" xfId="287"/>
    <cellStyle name="Normal 13" xfId="288"/>
    <cellStyle name="Normal 13 2" xfId="37"/>
    <cellStyle name="Normal 13_29(d) - Gas extensions -tariffs" xfId="289"/>
    <cellStyle name="Normal 14" xfId="46"/>
    <cellStyle name="Normal 14 2" xfId="290"/>
    <cellStyle name="Normal 14 2 2" xfId="673"/>
    <cellStyle name="Normal 14 3" xfId="291"/>
    <cellStyle name="Normal 14 3 2" xfId="292"/>
    <cellStyle name="Normal 14 3 3" xfId="293"/>
    <cellStyle name="Normal 14 4" xfId="294"/>
    <cellStyle name="Normal 14 5" xfId="295"/>
    <cellStyle name="Normal 14 9" xfId="920"/>
    <cellStyle name="Normal 14 9 2" xfId="921"/>
    <cellStyle name="Normal 143" xfId="674"/>
    <cellStyle name="Normal 144" xfId="675"/>
    <cellStyle name="Normal 147" xfId="676"/>
    <cellStyle name="Normal 148" xfId="677"/>
    <cellStyle name="Normal 149" xfId="678"/>
    <cellStyle name="Normal 15" xfId="296"/>
    <cellStyle name="Normal 15 2" xfId="297"/>
    <cellStyle name="Normal 15 3" xfId="679"/>
    <cellStyle name="Normal 150" xfId="680"/>
    <cellStyle name="Normal 151" xfId="681"/>
    <cellStyle name="Normal 152" xfId="682"/>
    <cellStyle name="Normal 153" xfId="683"/>
    <cellStyle name="Normal 154" xfId="684"/>
    <cellStyle name="Normal 155" xfId="685"/>
    <cellStyle name="Normal 156" xfId="686"/>
    <cellStyle name="Normal 159" xfId="916"/>
    <cellStyle name="Normal 16" xfId="298"/>
    <cellStyle name="Normal 16 2" xfId="299"/>
    <cellStyle name="Normal 16 3" xfId="687"/>
    <cellStyle name="Normal 161" xfId="688"/>
    <cellStyle name="Normal 162" xfId="689"/>
    <cellStyle name="Normal 163" xfId="690"/>
    <cellStyle name="Normal 164" xfId="691"/>
    <cellStyle name="Normal 169" xfId="692"/>
    <cellStyle name="Normal 17" xfId="300"/>
    <cellStyle name="Normal 17 2" xfId="301"/>
    <cellStyle name="Normal 17 2 2" xfId="302"/>
    <cellStyle name="Normal 17 2 2 2" xfId="303"/>
    <cellStyle name="Normal 17 2 2 3" xfId="304"/>
    <cellStyle name="Normal 17 2 3" xfId="305"/>
    <cellStyle name="Normal 17 2 4" xfId="306"/>
    <cellStyle name="Normal 17 3" xfId="307"/>
    <cellStyle name="Normal 17 3 2" xfId="308"/>
    <cellStyle name="Normal 17 3 2 2" xfId="309"/>
    <cellStyle name="Normal 17 3 2 3" xfId="310"/>
    <cellStyle name="Normal 17 3 3" xfId="311"/>
    <cellStyle name="Normal 17 3 4" xfId="312"/>
    <cellStyle name="Normal 17 4" xfId="313"/>
    <cellStyle name="Normal 17 4 2" xfId="314"/>
    <cellStyle name="Normal 17 4 3" xfId="315"/>
    <cellStyle name="Normal 17 5" xfId="316"/>
    <cellStyle name="Normal 17 6" xfId="317"/>
    <cellStyle name="Normal 170" xfId="693"/>
    <cellStyle name="Normal 171" xfId="694"/>
    <cellStyle name="Normal 172" xfId="695"/>
    <cellStyle name="Normal 177" xfId="696"/>
    <cellStyle name="Normal 178" xfId="697"/>
    <cellStyle name="Normal 179" xfId="698"/>
    <cellStyle name="Normal 18" xfId="318"/>
    <cellStyle name="Normal 18 2" xfId="319"/>
    <cellStyle name="Normal 180" xfId="699"/>
    <cellStyle name="Normal 181" xfId="700"/>
    <cellStyle name="Normal 182" xfId="701"/>
    <cellStyle name="Normal 183" xfId="702"/>
    <cellStyle name="Normal 184" xfId="703"/>
    <cellStyle name="Normal 185" xfId="704"/>
    <cellStyle name="Normal 186" xfId="705"/>
    <cellStyle name="Normal 187" xfId="706"/>
    <cellStyle name="Normal 188" xfId="707"/>
    <cellStyle name="Normal 189" xfId="708"/>
    <cellStyle name="Normal 19" xfId="320"/>
    <cellStyle name="Normal 190" xfId="709"/>
    <cellStyle name="Normal 192" xfId="710"/>
    <cellStyle name="Normal 193" xfId="711"/>
    <cellStyle name="Normal 196" xfId="712"/>
    <cellStyle name="Normal 197" xfId="713"/>
    <cellStyle name="Normal 198" xfId="714"/>
    <cellStyle name="Normal 199" xfId="715"/>
    <cellStyle name="Normal 2" xfId="6"/>
    <cellStyle name="Normal 2 2" xfId="322"/>
    <cellStyle name="Normal 2 2 2" xfId="41"/>
    <cellStyle name="Normal 2 2 3" xfId="323"/>
    <cellStyle name="Normal 2 2 4" xfId="324"/>
    <cellStyle name="Normal 2 2 5" xfId="325"/>
    <cellStyle name="Normal 2 3" xfId="326"/>
    <cellStyle name="Normal 2 3 2" xfId="327"/>
    <cellStyle name="Normal 2 3_29(d) - Gas extensions -tariffs" xfId="328"/>
    <cellStyle name="Normal 2 4" xfId="329"/>
    <cellStyle name="Normal 2 4 2" xfId="330"/>
    <cellStyle name="Normal 2 4 3" xfId="331"/>
    <cellStyle name="Normal 2 5" xfId="48"/>
    <cellStyle name="Normal 2 6" xfId="321"/>
    <cellStyle name="Normal 2_29(d) - Gas extensions -tariffs" xfId="332"/>
    <cellStyle name="Normal 20" xfId="333"/>
    <cellStyle name="Normal 20 2" xfId="334"/>
    <cellStyle name="Normal 20 2 2" xfId="335"/>
    <cellStyle name="Normal 20 3" xfId="336"/>
    <cellStyle name="Normal 20 4" xfId="337"/>
    <cellStyle name="Normal 20 5" xfId="716"/>
    <cellStyle name="Normal 200" xfId="717"/>
    <cellStyle name="Normal 201" xfId="718"/>
    <cellStyle name="Normal 202" xfId="719"/>
    <cellStyle name="Normal 203" xfId="720"/>
    <cellStyle name="Normal 204" xfId="721"/>
    <cellStyle name="Normal 205" xfId="722"/>
    <cellStyle name="Normal 207" xfId="723"/>
    <cellStyle name="Normal 208" xfId="724"/>
    <cellStyle name="Normal 209" xfId="725"/>
    <cellStyle name="Normal 21" xfId="338"/>
    <cellStyle name="Normal 21 2" xfId="339"/>
    <cellStyle name="Normal 21 3" xfId="340"/>
    <cellStyle name="Normal 210" xfId="726"/>
    <cellStyle name="Normal 211" xfId="727"/>
    <cellStyle name="Normal 212" xfId="728"/>
    <cellStyle name="Normal 213" xfId="729"/>
    <cellStyle name="Normal 214" xfId="730"/>
    <cellStyle name="Normal 215" xfId="731"/>
    <cellStyle name="Normal 216" xfId="732"/>
    <cellStyle name="Normal 22" xfId="341"/>
    <cellStyle name="Normal 23" xfId="342"/>
    <cellStyle name="Normal 23 2" xfId="343"/>
    <cellStyle name="Normal 23 2 2" xfId="344"/>
    <cellStyle name="Normal 23 3" xfId="345"/>
    <cellStyle name="Normal 23 4" xfId="346"/>
    <cellStyle name="Normal 24" xfId="347"/>
    <cellStyle name="Normal 24 2" xfId="348"/>
    <cellStyle name="Normal 24 2 2" xfId="349"/>
    <cellStyle name="Normal 24 3" xfId="350"/>
    <cellStyle name="Normal 24 4" xfId="351"/>
    <cellStyle name="Normal 25" xfId="352"/>
    <cellStyle name="Normal 25 2" xfId="353"/>
    <cellStyle name="Normal 25 2 2" xfId="354"/>
    <cellStyle name="Normal 25 3" xfId="355"/>
    <cellStyle name="Normal 25 4" xfId="356"/>
    <cellStyle name="Normal 26" xfId="357"/>
    <cellStyle name="Normal 26 2" xfId="358"/>
    <cellStyle name="Normal 26 2 2" xfId="359"/>
    <cellStyle name="Normal 26 3" xfId="360"/>
    <cellStyle name="Normal 26 4" xfId="361"/>
    <cellStyle name="Normal 27" xfId="362"/>
    <cellStyle name="Normal 28" xfId="44"/>
    <cellStyle name="Normal 28 4" xfId="919"/>
    <cellStyle name="Normal 29" xfId="363"/>
    <cellStyle name="Normal 3" xfId="2"/>
    <cellStyle name="Normal 3 2" xfId="8"/>
    <cellStyle name="Normal 3 3" xfId="364"/>
    <cellStyle name="Normal 3 3 2" xfId="365"/>
    <cellStyle name="Normal 3 3 3" xfId="366"/>
    <cellStyle name="Normal 3 4" xfId="367"/>
    <cellStyle name="Normal 3 5" xfId="368"/>
    <cellStyle name="Normal 3 5 2" xfId="369"/>
    <cellStyle name="Normal 3 5 3" xfId="370"/>
    <cellStyle name="Normal 3_29(d) - Gas extensions -tariffs" xfId="371"/>
    <cellStyle name="Normal 30" xfId="372"/>
    <cellStyle name="Normal 31" xfId="373"/>
    <cellStyle name="Normal 32" xfId="50"/>
    <cellStyle name="Normal 32 3" xfId="917"/>
    <cellStyle name="Normal 33" xfId="374"/>
    <cellStyle name="Normal 34" xfId="375"/>
    <cellStyle name="Normal 34 2" xfId="733"/>
    <cellStyle name="Normal 35" xfId="581"/>
    <cellStyle name="Normal 36" xfId="582"/>
    <cellStyle name="Normal 37" xfId="583"/>
    <cellStyle name="Normal 37 2" xfId="734"/>
    <cellStyle name="Normal 38" xfId="376"/>
    <cellStyle name="Normal 38 2" xfId="377"/>
    <cellStyle name="Normal 38_29(d) - Gas extensions -tariffs" xfId="378"/>
    <cellStyle name="Normal 39" xfId="735"/>
    <cellStyle name="Normal 4" xfId="47"/>
    <cellStyle name="Normal 4 2" xfId="379"/>
    <cellStyle name="Normal 4 2 2" xfId="380"/>
    <cellStyle name="Normal 4 2 2 2" xfId="381"/>
    <cellStyle name="Normal 4 2 2 2 2" xfId="382"/>
    <cellStyle name="Normal 4 2 2 2 3" xfId="383"/>
    <cellStyle name="Normal 4 2 2 3" xfId="384"/>
    <cellStyle name="Normal 4 2 2 4" xfId="385"/>
    <cellStyle name="Normal 4 2 3" xfId="386"/>
    <cellStyle name="Normal 4 2 3 2" xfId="387"/>
    <cellStyle name="Normal 4 2 3 2 2" xfId="388"/>
    <cellStyle name="Normal 4 2 3 2 3" xfId="389"/>
    <cellStyle name="Normal 4 2 3 3" xfId="390"/>
    <cellStyle name="Normal 4 2 3 4" xfId="391"/>
    <cellStyle name="Normal 4 3" xfId="392"/>
    <cellStyle name="Normal 4 3 2" xfId="393"/>
    <cellStyle name="Normal 4 3 2 2" xfId="394"/>
    <cellStyle name="Normal 4 3 2 3" xfId="395"/>
    <cellStyle name="Normal 4 3 3" xfId="396"/>
    <cellStyle name="Normal 4 3 3 2" xfId="397"/>
    <cellStyle name="Normal 4 3 4" xfId="398"/>
    <cellStyle name="Normal 4 3 5" xfId="736"/>
    <cellStyle name="Normal 4 4" xfId="399"/>
    <cellStyle name="Normal 4 5" xfId="400"/>
    <cellStyle name="Normal 4 6" xfId="401"/>
    <cellStyle name="Normal 4_29(d) - Gas extensions -tariffs" xfId="402"/>
    <cellStyle name="Normal 40" xfId="403"/>
    <cellStyle name="Normal 40 2" xfId="404"/>
    <cellStyle name="Normal 40_29(d) - Gas extensions -tariffs" xfId="405"/>
    <cellStyle name="Normal 41" xfId="922"/>
    <cellStyle name="Normal 41 2" xfId="923"/>
    <cellStyle name="Normal 5" xfId="49"/>
    <cellStyle name="Normal 5 2" xfId="406"/>
    <cellStyle name="Normal 5 2 2" xfId="737"/>
    <cellStyle name="Normal 5 3" xfId="407"/>
    <cellStyle name="Normal 6" xfId="408"/>
    <cellStyle name="Normal 6 2" xfId="409"/>
    <cellStyle name="Normal 6 2 2" xfId="410"/>
    <cellStyle name="Normal 7" xfId="411"/>
    <cellStyle name="Normal 7 2" xfId="412"/>
    <cellStyle name="Normal 7 2 2" xfId="413"/>
    <cellStyle name="Normal 7 2 2 2" xfId="414"/>
    <cellStyle name="Normal 7 2 2 3" xfId="415"/>
    <cellStyle name="Normal 7 2 3" xfId="416"/>
    <cellStyle name="Normal 7 2 4" xfId="417"/>
    <cellStyle name="Normal 7 3" xfId="738"/>
    <cellStyle name="Normal 8" xfId="418"/>
    <cellStyle name="Normal 8 2" xfId="419"/>
    <cellStyle name="Normal 8 2 2" xfId="420"/>
    <cellStyle name="Normal 8 2 3" xfId="421"/>
    <cellStyle name="Normal 8 2 3 2" xfId="422"/>
    <cellStyle name="Normal 8 2 3 3" xfId="423"/>
    <cellStyle name="Normal 8 2 4" xfId="424"/>
    <cellStyle name="Normal 9" xfId="425"/>
    <cellStyle name="Normal 9 2" xfId="426"/>
    <cellStyle name="Note 2" xfId="427"/>
    <cellStyle name="Note 2 2" xfId="428"/>
    <cellStyle name="Note 2 2 2" xfId="739"/>
    <cellStyle name="Note 2 2 2 2" xfId="740"/>
    <cellStyle name="Note 2 2 2 3" xfId="741"/>
    <cellStyle name="Note 2 2 3" xfId="742"/>
    <cellStyle name="Note 2 2 4" xfId="743"/>
    <cellStyle name="Note 2 2 5" xfId="744"/>
    <cellStyle name="Note 2 3" xfId="429"/>
    <cellStyle name="Note 2 3 2" xfId="745"/>
    <cellStyle name="Note 2 3 2 2" xfId="746"/>
    <cellStyle name="Note 2 3 2 3" xfId="747"/>
    <cellStyle name="Note 2 3 3" xfId="748"/>
    <cellStyle name="Note 2 3 4" xfId="749"/>
    <cellStyle name="Note 2 3 5" xfId="750"/>
    <cellStyle name="Note 2 4" xfId="751"/>
    <cellStyle name="Note 2 4 2" xfId="752"/>
    <cellStyle name="Note 2 4 2 2" xfId="753"/>
    <cellStyle name="Note 2 4 2 3" xfId="754"/>
    <cellStyle name="Note 2 4 3" xfId="755"/>
    <cellStyle name="Note 2 4 4" xfId="756"/>
    <cellStyle name="Note 2 5" xfId="757"/>
    <cellStyle name="Note 2 5 2" xfId="758"/>
    <cellStyle name="Note 2 5 2 2" xfId="759"/>
    <cellStyle name="Note 2 5 2 3" xfId="760"/>
    <cellStyle name="Note 2 5 3" xfId="761"/>
    <cellStyle name="Note 2 5 4" xfId="762"/>
    <cellStyle name="Note 2 6" xfId="763"/>
    <cellStyle name="Note 2 6 2" xfId="764"/>
    <cellStyle name="Note 2 6 2 2" xfId="765"/>
    <cellStyle name="Note 2 6 2 3" xfId="766"/>
    <cellStyle name="Note 2 6 3" xfId="767"/>
    <cellStyle name="Note 2 6 4" xfId="768"/>
    <cellStyle name="Note 2 7" xfId="769"/>
    <cellStyle name="Note 2 8" xfId="770"/>
    <cellStyle name="Note 2 9" xfId="771"/>
    <cellStyle name="Note 3" xfId="430"/>
    <cellStyle name="Note 3 2" xfId="431"/>
    <cellStyle name="Note 3 2 2" xfId="772"/>
    <cellStyle name="Note 3 3" xfId="432"/>
    <cellStyle name="Note 3 3 2" xfId="773"/>
    <cellStyle name="Note 3 4" xfId="774"/>
    <cellStyle name="Note 4" xfId="433"/>
    <cellStyle name="Note 4 2" xfId="434"/>
    <cellStyle name="Note 4 2 2" xfId="775"/>
    <cellStyle name="Note 4 3" xfId="435"/>
    <cellStyle name="Note 4 3 2" xfId="776"/>
    <cellStyle name="Note 4 4" xfId="777"/>
    <cellStyle name="Output 2" xfId="436"/>
    <cellStyle name="Output 2 10" xfId="778"/>
    <cellStyle name="Output 2 11" xfId="779"/>
    <cellStyle name="Output 2 12" xfId="780"/>
    <cellStyle name="Output 2 2" xfId="437"/>
    <cellStyle name="Output 2 2 2" xfId="781"/>
    <cellStyle name="Output 2 2 2 2" xfId="782"/>
    <cellStyle name="Output 2 2 2 3" xfId="783"/>
    <cellStyle name="Output 2 2 3" xfId="784"/>
    <cellStyle name="Output 2 2 3 2" xfId="785"/>
    <cellStyle name="Output 2 2 3 3" xfId="786"/>
    <cellStyle name="Output 2 2 4" xfId="787"/>
    <cellStyle name="Output 2 2 5" xfId="788"/>
    <cellStyle name="Output 2 2 6" xfId="789"/>
    <cellStyle name="Output 2 3" xfId="438"/>
    <cellStyle name="Output 2 3 2" xfId="790"/>
    <cellStyle name="Output 2 3 2 2" xfId="791"/>
    <cellStyle name="Output 2 3 2 3" xfId="792"/>
    <cellStyle name="Output 2 3 3" xfId="793"/>
    <cellStyle name="Output 2 3 3 2" xfId="794"/>
    <cellStyle name="Output 2 3 3 3" xfId="795"/>
    <cellStyle name="Output 2 3 4" xfId="796"/>
    <cellStyle name="Output 2 3 5" xfId="797"/>
    <cellStyle name="Output 2 3 6" xfId="798"/>
    <cellStyle name="Output 2 4" xfId="799"/>
    <cellStyle name="Output 2 4 2" xfId="800"/>
    <cellStyle name="Output 2 4 2 2" xfId="801"/>
    <cellStyle name="Output 2 4 2 3" xfId="802"/>
    <cellStyle name="Output 2 4 3" xfId="803"/>
    <cellStyle name="Output 2 4 3 2" xfId="804"/>
    <cellStyle name="Output 2 4 3 3" xfId="805"/>
    <cellStyle name="Output 2 4 4" xfId="806"/>
    <cellStyle name="Output 2 4 5" xfId="807"/>
    <cellStyle name="Output 2 5" xfId="808"/>
    <cellStyle name="Output 2 5 2" xfId="809"/>
    <cellStyle name="Output 2 5 2 2" xfId="810"/>
    <cellStyle name="Output 2 5 2 3" xfId="811"/>
    <cellStyle name="Output 2 5 3" xfId="812"/>
    <cellStyle name="Output 2 5 3 2" xfId="813"/>
    <cellStyle name="Output 2 5 3 3" xfId="814"/>
    <cellStyle name="Output 2 5 4" xfId="815"/>
    <cellStyle name="Output 2 5 5" xfId="816"/>
    <cellStyle name="Output 2 6" xfId="817"/>
    <cellStyle name="Output 2 6 2" xfId="818"/>
    <cellStyle name="Output 2 6 2 2" xfId="819"/>
    <cellStyle name="Output 2 6 2 3" xfId="820"/>
    <cellStyle name="Output 2 6 3" xfId="821"/>
    <cellStyle name="Output 2 6 3 2" xfId="822"/>
    <cellStyle name="Output 2 6 3 3" xfId="823"/>
    <cellStyle name="Output 2 6 4" xfId="824"/>
    <cellStyle name="Output 2 6 5" xfId="825"/>
    <cellStyle name="Output 2 7" xfId="826"/>
    <cellStyle name="Output 2 7 2" xfId="827"/>
    <cellStyle name="Output 2 7 2 2" xfId="828"/>
    <cellStyle name="Output 2 7 2 3" xfId="829"/>
    <cellStyle name="Output 2 7 3" xfId="830"/>
    <cellStyle name="Output 2 7 3 2" xfId="831"/>
    <cellStyle name="Output 2 7 3 3" xfId="832"/>
    <cellStyle name="Output 2 7 4" xfId="833"/>
    <cellStyle name="Output 2 7 5" xfId="834"/>
    <cellStyle name="Output 2 8" xfId="835"/>
    <cellStyle name="Output 2 8 2" xfId="836"/>
    <cellStyle name="Output 2 8 3" xfId="837"/>
    <cellStyle name="Output 2 9" xfId="838"/>
    <cellStyle name="Output 2 9 2" xfId="839"/>
    <cellStyle name="Output 2 9 3" xfId="840"/>
    <cellStyle name="Percent" xfId="1" builtinId="5"/>
    <cellStyle name="Percent [2]" xfId="439"/>
    <cellStyle name="Percent [2] 2" xfId="440"/>
    <cellStyle name="Percent [2]_29(d) - Gas extensions -tariffs" xfId="441"/>
    <cellStyle name="Percent 10" xfId="584"/>
    <cellStyle name="Percent 11" xfId="585"/>
    <cellStyle name="Percent 12" xfId="442"/>
    <cellStyle name="Percent 12 2" xfId="443"/>
    <cellStyle name="Percent 12 2 2" xfId="444"/>
    <cellStyle name="Percent 12 3" xfId="445"/>
    <cellStyle name="Percent 12 4" xfId="446"/>
    <cellStyle name="Percent 2" xfId="7"/>
    <cellStyle name="Percent 2 2" xfId="447"/>
    <cellStyle name="Percent 2 2 2" xfId="448"/>
    <cellStyle name="Percent 2 2 2 2" xfId="449"/>
    <cellStyle name="Percent 2 2 2 2 2" xfId="450"/>
    <cellStyle name="Percent 2 2 2 2 3" xfId="451"/>
    <cellStyle name="Percent 2 2 2 3" xfId="452"/>
    <cellStyle name="Percent 2 2 2 4" xfId="453"/>
    <cellStyle name="Percent 2 2 3" xfId="454"/>
    <cellStyle name="Percent 2 2 3 2" xfId="455"/>
    <cellStyle name="Percent 2 2 3 2 2" xfId="456"/>
    <cellStyle name="Percent 2 2 3 2 3" xfId="457"/>
    <cellStyle name="Percent 2 2 3 3" xfId="458"/>
    <cellStyle name="Percent 2 2 3 4" xfId="459"/>
    <cellStyle name="Percent 2 3" xfId="460"/>
    <cellStyle name="Percent 2 3 2" xfId="461"/>
    <cellStyle name="Percent 2 3 2 2" xfId="462"/>
    <cellStyle name="Percent 2 3 2 3" xfId="463"/>
    <cellStyle name="Percent 2 3 3" xfId="464"/>
    <cellStyle name="Percent 2 3 4" xfId="465"/>
    <cellStyle name="Percent 2 4" xfId="466"/>
    <cellStyle name="Percent 2 4 2" xfId="467"/>
    <cellStyle name="Percent 2 4 2 2" xfId="468"/>
    <cellStyle name="Percent 2 4 2 3" xfId="469"/>
    <cellStyle name="Percent 2 4 3" xfId="470"/>
    <cellStyle name="Percent 2 4 4" xfId="471"/>
    <cellStyle name="Percent 3" xfId="472"/>
    <cellStyle name="Percent 3 2" xfId="473"/>
    <cellStyle name="Percent 3 3" xfId="841"/>
    <cellStyle name="Percent 3 4" xfId="474"/>
    <cellStyle name="Percent 3 4 2" xfId="475"/>
    <cellStyle name="Percent 3 4 3" xfId="476"/>
    <cellStyle name="Percent 4" xfId="477"/>
    <cellStyle name="Percent 4 2" xfId="842"/>
    <cellStyle name="Percent 5" xfId="478"/>
    <cellStyle name="Percent 5 2" xfId="479"/>
    <cellStyle name="Percent 5 3" xfId="480"/>
    <cellStyle name="Percent 6" xfId="481"/>
    <cellStyle name="Percent 7" xfId="482"/>
    <cellStyle name="Percent 8" xfId="483"/>
    <cellStyle name="Percent 9" xfId="586"/>
    <cellStyle name="Percentage" xfId="484"/>
    <cellStyle name="Period Title" xfId="485"/>
    <cellStyle name="PSChar" xfId="486"/>
    <cellStyle name="PSDate" xfId="487"/>
    <cellStyle name="PSDec" xfId="488"/>
    <cellStyle name="PSDetail" xfId="489"/>
    <cellStyle name="PSDetail 2" xfId="843"/>
    <cellStyle name="PSHeading" xfId="490"/>
    <cellStyle name="PSHeading 2" xfId="491"/>
    <cellStyle name="PSHeading 2 2" xfId="492"/>
    <cellStyle name="PSHeading 2 2 2" xfId="587"/>
    <cellStyle name="PSHeading 2 3" xfId="588"/>
    <cellStyle name="PSHeading 3" xfId="493"/>
    <cellStyle name="PSHeading 3 2" xfId="494"/>
    <cellStyle name="PSHeading 3 2 2" xfId="495"/>
    <cellStyle name="PSHeading 3 2 2 2" xfId="589"/>
    <cellStyle name="PSHeading 3 2 3" xfId="590"/>
    <cellStyle name="PSHeading 3 3" xfId="591"/>
    <cellStyle name="PSHeading 4" xfId="496"/>
    <cellStyle name="PSHeading 4 2" xfId="592"/>
    <cellStyle name="PSHeading 5" xfId="593"/>
    <cellStyle name="PSInt" xfId="497"/>
    <cellStyle name="PSSpacer" xfId="498"/>
    <cellStyle name="Ratio" xfId="499"/>
    <cellStyle name="Ratio 2" xfId="500"/>
    <cellStyle name="Ratio_29(d) - Gas extensions -tariffs" xfId="501"/>
    <cellStyle name="Right Date" xfId="502"/>
    <cellStyle name="Right Number" xfId="503"/>
    <cellStyle name="Right Year" xfId="504"/>
    <cellStyle name="RIN_Input$_3dp" xfId="505"/>
    <cellStyle name="SAPError" xfId="506"/>
    <cellStyle name="SAPError 2" xfId="507"/>
    <cellStyle name="SAPKey" xfId="508"/>
    <cellStyle name="SAPKey 2" xfId="509"/>
    <cellStyle name="SAPLocked" xfId="510"/>
    <cellStyle name="SAPLocked 2" xfId="511"/>
    <cellStyle name="SAPOutput" xfId="512"/>
    <cellStyle name="SAPOutput 2" xfId="513"/>
    <cellStyle name="SAPSpace" xfId="514"/>
    <cellStyle name="SAPSpace 2" xfId="515"/>
    <cellStyle name="SAPText" xfId="516"/>
    <cellStyle name="SAPText 2" xfId="517"/>
    <cellStyle name="SAPUnLocked" xfId="518"/>
    <cellStyle name="SAPUnLocked 2" xfId="519"/>
    <cellStyle name="Sheet Title" xfId="520"/>
    <cellStyle name="SheetHeader1" xfId="521"/>
    <cellStyle name="Style 1" xfId="522"/>
    <cellStyle name="Style 1 2" xfId="523"/>
    <cellStyle name="Style 1 2 2" xfId="524"/>
    <cellStyle name="Style 1 3" xfId="525"/>
    <cellStyle name="Style 1 3 2" xfId="526"/>
    <cellStyle name="Style 1 3 3" xfId="527"/>
    <cellStyle name="Style 1 4" xfId="528"/>
    <cellStyle name="Style 1_29(d) - Gas extensions -tariffs" xfId="529"/>
    <cellStyle name="Style2" xfId="530"/>
    <cellStyle name="Style3" xfId="531"/>
    <cellStyle name="Style4" xfId="532"/>
    <cellStyle name="Style4 2" xfId="533"/>
    <cellStyle name="Style4_29(d) - Gas extensions -tariffs" xfId="534"/>
    <cellStyle name="Style5" xfId="535"/>
    <cellStyle name="Style5 2" xfId="536"/>
    <cellStyle name="Style5_29(d) - Gas extensions -tariffs" xfId="537"/>
    <cellStyle name="Table Head Green" xfId="538"/>
    <cellStyle name="Table Head Green 2" xfId="844"/>
    <cellStyle name="Table Head Green 2 2" xfId="845"/>
    <cellStyle name="Table Head Green 3" xfId="846"/>
    <cellStyle name="Table Head Green 4" xfId="847"/>
    <cellStyle name="Table Head_pldt" xfId="539"/>
    <cellStyle name="Table Source" xfId="540"/>
    <cellStyle name="Table Units" xfId="541"/>
    <cellStyle name="Table Units 2" xfId="848"/>
    <cellStyle name="TableLvl2" xfId="542"/>
    <cellStyle name="TableLvl3" xfId="543"/>
    <cellStyle name="Text" xfId="544"/>
    <cellStyle name="Text 2" xfId="545"/>
    <cellStyle name="Text 3" xfId="546"/>
    <cellStyle name="Text Head 1" xfId="547"/>
    <cellStyle name="Text Head 1 2" xfId="849"/>
    <cellStyle name="Text Head 2" xfId="548"/>
    <cellStyle name="Text Head 2 2" xfId="850"/>
    <cellStyle name="Text Indent 2" xfId="549"/>
    <cellStyle name="Theirs" xfId="550"/>
    <cellStyle name="Title 2" xfId="551"/>
    <cellStyle name="TOC 1" xfId="552"/>
    <cellStyle name="TOC 2" xfId="553"/>
    <cellStyle name="TOC 3" xfId="554"/>
    <cellStyle name="Total 2" xfId="555"/>
    <cellStyle name="Total 2 10" xfId="851"/>
    <cellStyle name="Total 2 11" xfId="852"/>
    <cellStyle name="Total 2 12" xfId="853"/>
    <cellStyle name="Total 2 2" xfId="556"/>
    <cellStyle name="Total 2 2 2" xfId="854"/>
    <cellStyle name="Total 2 2 2 2" xfId="855"/>
    <cellStyle name="Total 2 2 2 3" xfId="856"/>
    <cellStyle name="Total 2 2 3" xfId="857"/>
    <cellStyle name="Total 2 2 3 2" xfId="858"/>
    <cellStyle name="Total 2 2 3 3" xfId="859"/>
    <cellStyle name="Total 2 2 4" xfId="860"/>
    <cellStyle name="Total 2 2 5" xfId="861"/>
    <cellStyle name="Total 2 2 6" xfId="862"/>
    <cellStyle name="Total 2 3" xfId="557"/>
    <cellStyle name="Total 2 3 2" xfId="863"/>
    <cellStyle name="Total 2 3 2 2" xfId="864"/>
    <cellStyle name="Total 2 3 2 3" xfId="865"/>
    <cellStyle name="Total 2 3 3" xfId="866"/>
    <cellStyle name="Total 2 3 3 2" xfId="867"/>
    <cellStyle name="Total 2 3 3 3" xfId="868"/>
    <cellStyle name="Total 2 3 4" xfId="869"/>
    <cellStyle name="Total 2 3 5" xfId="870"/>
    <cellStyle name="Total 2 3 6" xfId="871"/>
    <cellStyle name="Total 2 4" xfId="872"/>
    <cellStyle name="Total 2 4 2" xfId="873"/>
    <cellStyle name="Total 2 4 2 2" xfId="874"/>
    <cellStyle name="Total 2 4 2 3" xfId="875"/>
    <cellStyle name="Total 2 4 3" xfId="876"/>
    <cellStyle name="Total 2 4 3 2" xfId="877"/>
    <cellStyle name="Total 2 4 3 3" xfId="878"/>
    <cellStyle name="Total 2 4 4" xfId="879"/>
    <cellStyle name="Total 2 4 5" xfId="880"/>
    <cellStyle name="Total 2 5" xfId="881"/>
    <cellStyle name="Total 2 5 2" xfId="882"/>
    <cellStyle name="Total 2 5 2 2" xfId="883"/>
    <cellStyle name="Total 2 5 2 3" xfId="884"/>
    <cellStyle name="Total 2 5 3" xfId="885"/>
    <cellStyle name="Total 2 5 3 2" xfId="886"/>
    <cellStyle name="Total 2 5 3 3" xfId="887"/>
    <cellStyle name="Total 2 5 4" xfId="888"/>
    <cellStyle name="Total 2 5 5" xfId="889"/>
    <cellStyle name="Total 2 6" xfId="890"/>
    <cellStyle name="Total 2 6 2" xfId="891"/>
    <cellStyle name="Total 2 6 2 2" xfId="892"/>
    <cellStyle name="Total 2 6 2 3" xfId="893"/>
    <cellStyle name="Total 2 6 3" xfId="894"/>
    <cellStyle name="Total 2 6 3 2" xfId="895"/>
    <cellStyle name="Total 2 6 3 3" xfId="896"/>
    <cellStyle name="Total 2 6 4" xfId="897"/>
    <cellStyle name="Total 2 6 5" xfId="898"/>
    <cellStyle name="Total 2 7" xfId="899"/>
    <cellStyle name="Total 2 7 2" xfId="900"/>
    <cellStyle name="Total 2 7 2 2" xfId="901"/>
    <cellStyle name="Total 2 7 2 3" xfId="902"/>
    <cellStyle name="Total 2 7 3" xfId="903"/>
    <cellStyle name="Total 2 7 3 2" xfId="904"/>
    <cellStyle name="Total 2 7 3 3" xfId="905"/>
    <cellStyle name="Total 2 7 4" xfId="906"/>
    <cellStyle name="Total 2 7 5" xfId="907"/>
    <cellStyle name="Total 2 8" xfId="908"/>
    <cellStyle name="Total 2 8 2" xfId="909"/>
    <cellStyle name="Total 2 8 3" xfId="910"/>
    <cellStyle name="Total 2 9" xfId="911"/>
    <cellStyle name="Total 2 9 2" xfId="912"/>
    <cellStyle name="Total 2 9 3" xfId="913"/>
    <cellStyle name="Warning Text 2" xfId="558"/>
    <cellStyle name="year" xfId="559"/>
    <cellStyle name="year 2" xfId="560"/>
    <cellStyle name="year 2 2" xfId="914"/>
    <cellStyle name="year 3" xfId="915"/>
    <cellStyle name="year_29(d) - Gas extensions -tariffs" xfId="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9525</xdr:colOff>
      <xdr:row>56</xdr:row>
      <xdr:rowOff>155575</xdr:rowOff>
    </xdr:from>
    <xdr:ext cx="6628571" cy="4476190"/>
    <xdr:pic>
      <xdr:nvPicPr>
        <xdr:cNvPr id="3" name="Picture 2">
          <a:extLst>
            <a:ext uri="{FF2B5EF4-FFF2-40B4-BE49-F238E27FC236}">
              <a16:creationId xmlns:a16="http://schemas.microsoft.com/office/drawing/2014/main" id="{517AA3AB-D883-497B-98CA-E828854B9FC4}"/>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56</xdr:row>
      <xdr:rowOff>133350</xdr:rowOff>
    </xdr:from>
    <xdr:to>
      <xdr:col>8</xdr:col>
      <xdr:colOff>825501</xdr:colOff>
      <xdr:row>70</xdr:row>
      <xdr:rowOff>28575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kcheu\Local%20Settings\Temporary%20Internet%20Files\Content.Outlook\SMGVD7WK\Database%20%20mockup%20-%20EBT%20RIN%20dat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2.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2.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printerSettings" Target="../printerSettings/printerSettings4.bin"/><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2"/>
  <sheetViews>
    <sheetView tabSelected="1" workbookViewId="0">
      <selection activeCell="I18" sqref="I18"/>
    </sheetView>
  </sheetViews>
  <sheetFormatPr defaultRowHeight="15"/>
  <cols>
    <col min="1" max="1" width="23.42578125" bestFit="1" customWidth="1"/>
    <col min="3" max="3" width="10.42578125" customWidth="1"/>
    <col min="5" max="5" width="22.42578125" customWidth="1"/>
    <col min="6" max="7" width="9.140625" customWidth="1"/>
    <col min="8" max="8" width="21.140625" bestFit="1" customWidth="1"/>
    <col min="9" max="9" width="16.140625" customWidth="1"/>
  </cols>
  <sheetData>
    <row r="1" spans="1:13">
      <c r="A1" s="6" t="s">
        <v>168</v>
      </c>
      <c r="H1" s="6" t="s">
        <v>170</v>
      </c>
    </row>
    <row r="2" spans="1:13">
      <c r="A2" s="6" t="s">
        <v>160</v>
      </c>
      <c r="E2" s="79" t="s">
        <v>159</v>
      </c>
      <c r="H2" s="6" t="s">
        <v>169</v>
      </c>
    </row>
    <row r="3" spans="1:13">
      <c r="A3" s="6" t="s">
        <v>156</v>
      </c>
      <c r="E3" s="79" t="s">
        <v>156</v>
      </c>
      <c r="K3" s="135"/>
      <c r="L3" s="135"/>
      <c r="M3" s="135"/>
    </row>
    <row r="4" spans="1:13">
      <c r="A4" s="39" t="s">
        <v>51</v>
      </c>
      <c r="B4" s="41" t="s">
        <v>4</v>
      </c>
      <c r="C4" s="42" t="s">
        <v>5</v>
      </c>
      <c r="E4" s="112" t="s">
        <v>101</v>
      </c>
      <c r="F4" s="113" t="s">
        <v>4</v>
      </c>
      <c r="G4" s="113" t="s">
        <v>5</v>
      </c>
      <c r="H4" s="137" t="s">
        <v>161</v>
      </c>
      <c r="I4" s="137" t="s">
        <v>114</v>
      </c>
      <c r="K4" s="135"/>
      <c r="L4" s="135"/>
      <c r="M4" s="135"/>
    </row>
    <row r="5" spans="1:13">
      <c r="A5" s="40" t="s">
        <v>66</v>
      </c>
      <c r="B5" s="115">
        <f>'Divison of responsibility'!D3</f>
        <v>2.7075100946640118E-2</v>
      </c>
      <c r="C5" s="119">
        <f>'Divison of responsibility'!D4</f>
        <v>2.7974665545302368E-2</v>
      </c>
      <c r="E5" s="114" t="s">
        <v>66</v>
      </c>
      <c r="F5" s="115">
        <f>'Divison of responsibility'!F3</f>
        <v>2.6974399634021928E-2</v>
      </c>
      <c r="G5" s="115">
        <f>'Divison of responsibility'!F4</f>
        <v>2.7428306421809712E-2</v>
      </c>
      <c r="H5" s="115">
        <v>0</v>
      </c>
      <c r="I5" s="115">
        <v>0</v>
      </c>
      <c r="K5" s="135"/>
      <c r="L5" s="135"/>
      <c r="M5" s="135"/>
    </row>
    <row r="6" spans="1:13">
      <c r="A6" s="40" t="s">
        <v>67</v>
      </c>
      <c r="B6" s="115">
        <v>0</v>
      </c>
      <c r="C6" s="119">
        <f>-'Bushfire obligations'!K4</f>
        <v>-3.2863120296577848E-2</v>
      </c>
      <c r="E6" s="114" t="s">
        <v>67</v>
      </c>
      <c r="F6" s="115">
        <v>0</v>
      </c>
      <c r="G6" s="115">
        <f>-'Bushfire obligations'!N4</f>
        <v>-3.4668786246939268E-2</v>
      </c>
      <c r="H6" s="115">
        <f>-'Bushfire obligations'!Q4</f>
        <v>-1.4898654167792355E-2</v>
      </c>
      <c r="I6" s="115">
        <f>-'Bushfire obligations'!S4</f>
        <v>3.4887787418041591E-2</v>
      </c>
      <c r="K6" s="135"/>
      <c r="L6" s="135"/>
      <c r="M6" s="135"/>
    </row>
    <row r="7" spans="1:13">
      <c r="A7" s="4" t="s">
        <v>0</v>
      </c>
      <c r="B7" s="121">
        <f>SUM(B5:B6)</f>
        <v>2.7075100946640118E-2</v>
      </c>
      <c r="C7" s="122">
        <f>SUM(C5:C6)</f>
        <v>-4.8884547512754797E-3</v>
      </c>
      <c r="E7" s="51" t="s">
        <v>0</v>
      </c>
      <c r="F7" s="116">
        <f>SUM(F5:F6)</f>
        <v>2.6974399634021928E-2</v>
      </c>
      <c r="G7" s="116">
        <f>SUM(G5:G6)</f>
        <v>-7.240479825129556E-3</v>
      </c>
      <c r="H7" s="116">
        <f>H5+H6</f>
        <v>-1.4898654167792355E-2</v>
      </c>
      <c r="I7" s="116">
        <f>I5+I6</f>
        <v>3.4887787418041591E-2</v>
      </c>
      <c r="K7" s="135"/>
      <c r="L7" s="135"/>
      <c r="M7" s="135"/>
    </row>
    <row r="8" spans="1:13">
      <c r="B8" s="2"/>
      <c r="C8" s="2"/>
      <c r="E8" s="1"/>
      <c r="F8" s="24"/>
      <c r="G8" s="24"/>
      <c r="H8" s="24"/>
      <c r="I8" s="24"/>
      <c r="K8" s="135"/>
      <c r="L8" s="135"/>
      <c r="M8" s="135"/>
    </row>
    <row r="9" spans="1:13">
      <c r="A9" s="39" t="s">
        <v>52</v>
      </c>
      <c r="B9" s="123" t="s">
        <v>4</v>
      </c>
      <c r="C9" s="124" t="s">
        <v>5</v>
      </c>
      <c r="E9" s="112" t="s">
        <v>102</v>
      </c>
      <c r="F9" s="117" t="s">
        <v>4</v>
      </c>
      <c r="G9" s="118" t="s">
        <v>5</v>
      </c>
      <c r="H9" s="117" t="s">
        <v>167</v>
      </c>
      <c r="I9" s="118" t="s">
        <v>54</v>
      </c>
      <c r="K9" s="135"/>
      <c r="L9" s="135"/>
      <c r="M9" s="135"/>
    </row>
    <row r="10" spans="1:13">
      <c r="A10" s="40" t="s">
        <v>66</v>
      </c>
      <c r="B10" s="115">
        <f>'Divison of responsibility'!E3</f>
        <v>2.5779091269511056E-2</v>
      </c>
      <c r="C10" s="119">
        <f>'Divison of responsibility'!E4</f>
        <v>2.5591861089877765E-2</v>
      </c>
      <c r="E10" s="114" t="s">
        <v>66</v>
      </c>
      <c r="F10" s="115">
        <f>'Divison of responsibility'!G3</f>
        <v>2.5814539198898423E-2</v>
      </c>
      <c r="G10" s="115">
        <f>'Divison of responsibility'!G4</f>
        <v>2.5158319930501882E-2</v>
      </c>
      <c r="H10" s="115">
        <v>0</v>
      </c>
      <c r="I10" s="115">
        <v>0</v>
      </c>
      <c r="K10" s="135"/>
      <c r="L10" s="135"/>
      <c r="M10" s="135"/>
    </row>
    <row r="11" spans="1:13">
      <c r="A11" s="40" t="s">
        <v>67</v>
      </c>
      <c r="B11" s="115">
        <v>0</v>
      </c>
      <c r="C11" s="119">
        <f>-'Bushfire obligations'!L4</f>
        <v>-5.6336777651276308E-2</v>
      </c>
      <c r="E11" s="114" t="s">
        <v>67</v>
      </c>
      <c r="F11" s="115">
        <v>0</v>
      </c>
      <c r="G11" s="119">
        <f>-'Bushfire obligations'!O4</f>
        <v>-5.6336777651276308E-2</v>
      </c>
      <c r="H11" s="115">
        <f>-'Bushfire obligations'!R4</f>
        <v>-2.4210313022662577E-2</v>
      </c>
      <c r="I11" s="119">
        <f>-'Bushfire obligations'!T4</f>
        <v>5.669265455431758E-2</v>
      </c>
      <c r="K11" s="135"/>
      <c r="L11" s="135"/>
      <c r="M11" s="135"/>
    </row>
    <row r="12" spans="1:13">
      <c r="A12" s="4" t="s">
        <v>0</v>
      </c>
      <c r="B12" s="121">
        <f>SUM(B10:B11)</f>
        <v>2.5779091269511056E-2</v>
      </c>
      <c r="C12" s="122">
        <f>SUM(C10:C11)</f>
        <v>-3.0744916561398543E-2</v>
      </c>
      <c r="E12" s="51" t="s">
        <v>0</v>
      </c>
      <c r="F12" s="116">
        <f>SUM(F10:F11)</f>
        <v>2.5814539198898423E-2</v>
      </c>
      <c r="G12" s="120">
        <f>SUM(G10:G11)</f>
        <v>-3.1178457720774426E-2</v>
      </c>
      <c r="H12" s="116">
        <f t="shared" ref="H12:I12" si="0">H10+H11</f>
        <v>-2.4210313022662577E-2</v>
      </c>
      <c r="I12" s="120">
        <f t="shared" si="0"/>
        <v>5.669265455431758E-2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workbookViewId="0">
      <selection activeCell="F31" sqref="F31"/>
    </sheetView>
  </sheetViews>
  <sheetFormatPr defaultRowHeight="15"/>
  <cols>
    <col min="1" max="1" width="15.7109375" customWidth="1"/>
    <col min="2" max="2" width="23.28515625" customWidth="1"/>
    <col min="3" max="3" width="17.5703125" customWidth="1"/>
    <col min="4" max="5" width="12.5703125" bestFit="1" customWidth="1"/>
    <col min="6" max="6" width="12.42578125" customWidth="1"/>
    <col min="7" max="12" width="12.5703125" bestFit="1" customWidth="1"/>
    <col min="13" max="13" width="15.7109375" customWidth="1"/>
  </cols>
  <sheetData>
    <row r="1" spans="1:15" s="16" customFormat="1">
      <c r="A1" s="16" t="s">
        <v>23</v>
      </c>
      <c r="F1" s="16" t="s">
        <v>153</v>
      </c>
    </row>
    <row r="2" spans="1:15" ht="15.75" thickBot="1">
      <c r="D2" s="38" t="s">
        <v>51</v>
      </c>
      <c r="E2" s="38" t="s">
        <v>52</v>
      </c>
      <c r="F2" s="1" t="s">
        <v>98</v>
      </c>
      <c r="G2" s="1" t="s">
        <v>96</v>
      </c>
    </row>
    <row r="3" spans="1:15">
      <c r="C3" s="15" t="s">
        <v>4</v>
      </c>
      <c r="D3" s="47">
        <f>C45</f>
        <v>2.7075100946640118E-2</v>
      </c>
      <c r="E3" s="47">
        <f>D45</f>
        <v>2.5779091269511056E-2</v>
      </c>
      <c r="F3" s="125">
        <f t="shared" ref="F3:G3" si="0">E45</f>
        <v>2.6974399634021928E-2</v>
      </c>
      <c r="G3" s="125">
        <f t="shared" si="0"/>
        <v>2.5814539198898423E-2</v>
      </c>
    </row>
    <row r="4" spans="1:15" ht="15.75" thickBot="1">
      <c r="C4" s="5" t="s">
        <v>6</v>
      </c>
      <c r="D4" s="48">
        <f>C44</f>
        <v>2.7974665545302368E-2</v>
      </c>
      <c r="E4" s="48">
        <f>D44</f>
        <v>2.5591861089877765E-2</v>
      </c>
      <c r="F4" s="126">
        <f t="shared" ref="F4:G4" si="1">E44</f>
        <v>2.7428306421809712E-2</v>
      </c>
      <c r="G4" s="126">
        <f t="shared" si="1"/>
        <v>2.5158319930501882E-2</v>
      </c>
    </row>
    <row r="6" spans="1:15" s="16" customFormat="1">
      <c r="A6" s="16" t="s">
        <v>11</v>
      </c>
    </row>
    <row r="8" spans="1:15">
      <c r="B8" s="4"/>
      <c r="C8" s="4" t="s">
        <v>37</v>
      </c>
      <c r="D8" s="4" t="s">
        <v>38</v>
      </c>
      <c r="E8" s="4" t="s">
        <v>39</v>
      </c>
      <c r="F8" s="4" t="s">
        <v>40</v>
      </c>
    </row>
    <row r="9" spans="1:15">
      <c r="B9" s="4" t="s">
        <v>24</v>
      </c>
      <c r="C9" s="4">
        <v>4408</v>
      </c>
      <c r="D9" s="4">
        <v>36339</v>
      </c>
      <c r="E9" s="4">
        <f>D9</f>
        <v>36339</v>
      </c>
      <c r="F9" s="17">
        <f t="shared" ref="F9" si="2">C9/E9</f>
        <v>0.12130218222845979</v>
      </c>
      <c r="N9" t="s">
        <v>7</v>
      </c>
      <c r="O9" t="s">
        <v>45</v>
      </c>
    </row>
    <row r="11" spans="1:15" s="16" customFormat="1">
      <c r="A11" s="16" t="s">
        <v>12</v>
      </c>
    </row>
    <row r="12" spans="1:15">
      <c r="C12" s="10">
        <v>0.24</v>
      </c>
      <c r="N12" t="s">
        <v>7</v>
      </c>
      <c r="O12" t="s">
        <v>45</v>
      </c>
    </row>
    <row r="14" spans="1:15" s="16" customFormat="1">
      <c r="A14" s="16" t="s">
        <v>13</v>
      </c>
    </row>
    <row r="15" spans="1:15">
      <c r="C15" s="7">
        <f>(F9+C12)/2</f>
        <v>0.18065109111422989</v>
      </c>
      <c r="M15" s="7"/>
    </row>
    <row r="17" spans="1:15" s="16" customFormat="1">
      <c r="A17" s="16" t="s">
        <v>25</v>
      </c>
    </row>
    <row r="18" spans="1:15">
      <c r="C18" s="4" t="s">
        <v>16</v>
      </c>
      <c r="D18" s="4" t="s">
        <v>17</v>
      </c>
      <c r="E18" s="4" t="s">
        <v>18</v>
      </c>
      <c r="F18" s="4" t="s">
        <v>19</v>
      </c>
      <c r="G18" s="4" t="s">
        <v>20</v>
      </c>
      <c r="H18" s="4" t="s">
        <v>22</v>
      </c>
      <c r="I18" s="4" t="s">
        <v>62</v>
      </c>
      <c r="J18" s="4" t="s">
        <v>63</v>
      </c>
      <c r="K18" s="4" t="s">
        <v>64</v>
      </c>
      <c r="L18" s="4" t="s">
        <v>65</v>
      </c>
    </row>
    <row r="19" spans="1:15">
      <c r="A19" s="4" t="s">
        <v>21</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43</v>
      </c>
    </row>
    <row r="20" spans="1:15">
      <c r="A20" s="4" t="s">
        <v>21</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43</v>
      </c>
    </row>
    <row r="21" spans="1:15">
      <c r="B21" s="1"/>
      <c r="C21" s="1"/>
      <c r="D21" s="1"/>
      <c r="E21" s="1"/>
      <c r="F21" s="1"/>
      <c r="G21" s="1"/>
      <c r="H21" s="1"/>
      <c r="I21" s="1"/>
      <c r="J21" s="1"/>
      <c r="K21" s="1"/>
      <c r="L21" s="1"/>
    </row>
    <row r="22" spans="1:15">
      <c r="A22" s="51" t="s">
        <v>95</v>
      </c>
      <c r="B22" s="51" t="s">
        <v>5</v>
      </c>
      <c r="C22" s="70">
        <f>C19*'CPI-master'!F$8</f>
        <v>314666.22601650434</v>
      </c>
      <c r="D22" s="70">
        <f>D19*'CPI-master'!G$8</f>
        <v>308502.44517762464</v>
      </c>
      <c r="E22" s="70">
        <f>E19*'CPI-master'!H$8</f>
        <v>382875.35238028894</v>
      </c>
      <c r="F22" s="70">
        <f>F19*'CPI-master'!I$8</f>
        <v>392058.83837449912</v>
      </c>
      <c r="G22" s="70">
        <f>G19*'CPI-master'!J$8</f>
        <v>314575.61462990212</v>
      </c>
      <c r="H22" s="70">
        <f>H19*'CPI-master'!K$8</f>
        <v>315982.6692726622</v>
      </c>
      <c r="I22" s="70">
        <f>I19*'CPI-master'!L$8</f>
        <v>365893.45174460608</v>
      </c>
      <c r="J22" s="70">
        <f>J19*'CPI-master'!M$8</f>
        <v>368522.67190959409</v>
      </c>
      <c r="K22" s="70">
        <f>K19*'CPI-master'!N$8</f>
        <v>333263.00750000001</v>
      </c>
      <c r="L22" s="70">
        <f>L19*'CPI-master'!O$8</f>
        <v>343273.75742640498</v>
      </c>
      <c r="M22" s="14"/>
    </row>
    <row r="23" spans="1:15">
      <c r="A23" s="51" t="s">
        <v>95</v>
      </c>
      <c r="B23" s="51" t="s">
        <v>4</v>
      </c>
      <c r="C23" s="70">
        <f>C20*'CPI-master'!F$8</f>
        <v>313416.77863474021</v>
      </c>
      <c r="D23" s="70">
        <f>D20*'CPI-master'!G$8</f>
        <v>317779.87375530222</v>
      </c>
      <c r="E23" s="70">
        <f>E20*'CPI-master'!H$8</f>
        <v>352373.39246284828</v>
      </c>
      <c r="F23" s="70">
        <f>F20*'CPI-master'!I$8</f>
        <v>378036.63806513039</v>
      </c>
      <c r="G23" s="70">
        <f>G20*'CPI-master'!J$8</f>
        <v>408792.98908946058</v>
      </c>
      <c r="H23" s="70">
        <f>H20*'CPI-master'!K$8</f>
        <v>375161.2113504294</v>
      </c>
      <c r="I23" s="70">
        <f>I20*'CPI-master'!L$8</f>
        <v>384682.14079713868</v>
      </c>
      <c r="J23" s="70">
        <f>J20*'CPI-master'!M$8</f>
        <v>342030.13035489939</v>
      </c>
      <c r="K23" s="70">
        <f>K20*'CPI-master'!N$8</f>
        <v>345315.7123190909</v>
      </c>
      <c r="L23" s="70">
        <f>L20*'CPI-master'!O$8</f>
        <v>347370.55979482603</v>
      </c>
      <c r="M23" s="14"/>
    </row>
    <row r="24" spans="1:15">
      <c r="B24" s="1"/>
      <c r="C24" s="127"/>
      <c r="D24" s="127"/>
      <c r="E24" s="127"/>
      <c r="F24" s="127"/>
      <c r="G24" s="127"/>
      <c r="H24" s="127"/>
      <c r="I24" s="127"/>
      <c r="J24" s="127"/>
      <c r="K24" s="127"/>
      <c r="L24" s="127"/>
      <c r="M24" s="14"/>
    </row>
    <row r="25" spans="1:15" s="16" customFormat="1">
      <c r="A25" s="16" t="s">
        <v>41</v>
      </c>
    </row>
    <row r="26" spans="1:15">
      <c r="C26" s="4" t="s">
        <v>16</v>
      </c>
      <c r="D26" s="4" t="s">
        <v>17</v>
      </c>
      <c r="E26" s="4" t="s">
        <v>18</v>
      </c>
      <c r="F26" s="4" t="s">
        <v>19</v>
      </c>
      <c r="G26" s="4" t="s">
        <v>20</v>
      </c>
      <c r="H26" s="4" t="s">
        <v>22</v>
      </c>
      <c r="I26" s="4" t="s">
        <v>62</v>
      </c>
      <c r="J26" s="4" t="s">
        <v>63</v>
      </c>
      <c r="K26" s="4" t="s">
        <v>64</v>
      </c>
      <c r="L26" s="4" t="s">
        <v>65</v>
      </c>
    </row>
    <row r="27" spans="1:15">
      <c r="A27" s="4" t="s">
        <v>21</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42</v>
      </c>
    </row>
    <row r="28" spans="1:15">
      <c r="A28" s="4" t="s">
        <v>21</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42</v>
      </c>
    </row>
    <row r="29" spans="1:15">
      <c r="B29" s="1"/>
      <c r="C29" s="1"/>
      <c r="D29" s="1"/>
      <c r="E29" s="1"/>
      <c r="F29" s="1"/>
      <c r="G29" s="1"/>
      <c r="H29" s="1"/>
      <c r="I29" s="1"/>
      <c r="J29" s="1"/>
      <c r="K29" s="1"/>
      <c r="L29" s="1"/>
    </row>
    <row r="30" spans="1:15">
      <c r="A30" s="51" t="s">
        <v>95</v>
      </c>
      <c r="B30" s="51" t="s">
        <v>5</v>
      </c>
      <c r="C30" s="128">
        <f>C27*'CPI-master'!F$8</f>
        <v>57723.419602081391</v>
      </c>
      <c r="D30" s="128">
        <f>D27*'CPI-master'!G$8</f>
        <v>62422.967639646442</v>
      </c>
      <c r="E30" s="128">
        <f>E27*'CPI-master'!H$8</f>
        <v>57556.266137727456</v>
      </c>
      <c r="F30" s="128">
        <f>F27*'CPI-master'!I$8</f>
        <v>67975.539904596182</v>
      </c>
      <c r="G30" s="128">
        <f>G27*'CPI-master'!J$8</f>
        <v>46006.572954586394</v>
      </c>
      <c r="H30" s="128">
        <f>H27*'CPI-master'!K$8</f>
        <v>44777.389707708127</v>
      </c>
      <c r="I30" s="128">
        <f>I27*'CPI-master'!L$8</f>
        <v>44021.298699510437</v>
      </c>
      <c r="J30" s="128">
        <f>J27*'CPI-master'!M$8</f>
        <v>43290.317724795314</v>
      </c>
      <c r="K30" s="128">
        <f>K27*'CPI-master'!N$8</f>
        <v>42660.640376071016</v>
      </c>
      <c r="L30" s="128">
        <f>L27*'CPI-master'!O$8</f>
        <v>41861.466916751218</v>
      </c>
      <c r="M30" s="14"/>
    </row>
    <row r="31" spans="1:15">
      <c r="A31" s="51" t="s">
        <v>95</v>
      </c>
      <c r="B31" s="51" t="s">
        <v>4</v>
      </c>
      <c r="C31" s="128">
        <f>C28*'CPI-master'!F$8</f>
        <v>51433.29672510903</v>
      </c>
      <c r="D31" s="128">
        <f>D28*'CPI-master'!G$8</f>
        <v>51570.355159334198</v>
      </c>
      <c r="E31" s="128">
        <f>E28*'CPI-master'!H$8</f>
        <v>55735.435960268311</v>
      </c>
      <c r="F31" s="128">
        <f>F28*'CPI-master'!I$8</f>
        <v>53408.1582510019</v>
      </c>
      <c r="G31" s="128">
        <f>G28*'CPI-master'!J$8</f>
        <v>53638.465366911871</v>
      </c>
      <c r="H31" s="128">
        <f>H28*'CPI-master'!K$8</f>
        <v>52205.376597566894</v>
      </c>
      <c r="I31" s="128">
        <f>I28*'CPI-master'!L$8</f>
        <v>51323.859919559211</v>
      </c>
      <c r="J31" s="128">
        <f>J28*'CPI-master'!M$8</f>
        <v>50471.618703182758</v>
      </c>
      <c r="K31" s="128">
        <f>K28*'CPI-master'!N$8</f>
        <v>49737.486067500104</v>
      </c>
      <c r="L31" s="128">
        <f>L28*'CPI-master'!O$8</f>
        <v>48805.740119759241</v>
      </c>
      <c r="M31" s="14"/>
    </row>
    <row r="32" spans="1:15">
      <c r="B32" s="1"/>
      <c r="C32" s="127"/>
      <c r="D32" s="127"/>
      <c r="E32" s="127"/>
      <c r="F32" s="127"/>
      <c r="G32" s="127"/>
      <c r="H32" s="127"/>
      <c r="I32" s="127"/>
      <c r="J32" s="127"/>
      <c r="K32" s="127"/>
      <c r="L32" s="127"/>
      <c r="M32" s="14"/>
    </row>
    <row r="33" spans="1:12" s="16" customFormat="1">
      <c r="A33" s="16" t="s">
        <v>14</v>
      </c>
    </row>
    <row r="34" spans="1:12" s="1" customFormat="1">
      <c r="C34" s="1" t="s">
        <v>51</v>
      </c>
      <c r="D34" s="1" t="s">
        <v>52</v>
      </c>
      <c r="E34" s="1" t="s">
        <v>98</v>
      </c>
      <c r="F34" s="129" t="s">
        <v>96</v>
      </c>
    </row>
    <row r="35" spans="1:12">
      <c r="B35" t="s">
        <v>5</v>
      </c>
      <c r="C35" s="11">
        <f>SUM(C30:K30)/SUM(C22:K22)</f>
        <v>0.15064055336895618</v>
      </c>
      <c r="D35" s="11">
        <f>SUM(F30:K30)/SUM(F22:K22)</f>
        <v>0.13812958756124089</v>
      </c>
      <c r="E35" s="129">
        <f>SUM(C30:L30)/SUM(C22:L22)</f>
        <v>0.14777701061084278</v>
      </c>
      <c r="F35" s="129">
        <f>SUM(F30:L30)/SUM(F22:L22)</f>
        <v>0.13584701685549905</v>
      </c>
    </row>
    <row r="36" spans="1:12">
      <c r="B36" t="s">
        <v>4</v>
      </c>
      <c r="C36" s="11">
        <f>SUM(C31:K31)/SUM(C23:K23)</f>
        <v>0.14592419112052496</v>
      </c>
      <c r="D36" s="11">
        <f>SUM(F31:K31)/SUM(F23:K23)</f>
        <v>0.13911474775794916</v>
      </c>
      <c r="E36" s="129">
        <f>SUM(C31:L31)/SUM(C23:L23)</f>
        <v>0.14539570604905</v>
      </c>
      <c r="F36" s="129">
        <f>SUM(F31:L31)/SUM(F23:L23)</f>
        <v>0.13930122575261503</v>
      </c>
    </row>
    <row r="38" spans="1:12" s="16" customFormat="1">
      <c r="A38" s="16" t="s">
        <v>44</v>
      </c>
    </row>
    <row r="39" spans="1:12">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c r="A42" s="16" t="s">
        <v>15</v>
      </c>
    </row>
    <row r="43" spans="1:12" s="1" customFormat="1"/>
    <row r="44" spans="1:12">
      <c r="B44" t="s">
        <v>5</v>
      </c>
      <c r="C44" s="3">
        <f t="shared" ref="C44:D44" si="7">(1/(1-C39))-1</f>
        <v>2.7974665545302368E-2</v>
      </c>
      <c r="D44" s="3">
        <f t="shared" si="7"/>
        <v>2.5591861089877765E-2</v>
      </c>
      <c r="E44" s="3">
        <f t="shared" ref="E44:F44" si="8">(1/(1-E39))-1</f>
        <v>2.7428306421809712E-2</v>
      </c>
      <c r="F44" s="3">
        <f t="shared" si="8"/>
        <v>2.5158319930501882E-2</v>
      </c>
    </row>
    <row r="45" spans="1:12">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63"/>
  <sheetViews>
    <sheetView topLeftCell="A46" workbookViewId="0">
      <selection activeCell="D53" sqref="D53"/>
    </sheetView>
  </sheetViews>
  <sheetFormatPr defaultRowHeight="15"/>
  <cols>
    <col min="1" max="1" width="13.42578125" customWidth="1"/>
    <col min="2" max="2" width="14.5703125" customWidth="1"/>
    <col min="3" max="3" width="12.5703125" bestFit="1" customWidth="1"/>
    <col min="4" max="4" width="16.7109375" customWidth="1"/>
    <col min="5" max="7" width="12.5703125" bestFit="1" customWidth="1"/>
    <col min="8" max="8" width="11.42578125" customWidth="1"/>
    <col min="9" max="9" width="20.140625" customWidth="1"/>
    <col min="10" max="10" width="21.140625" bestFit="1" customWidth="1"/>
    <col min="11" max="11" width="11.85546875" customWidth="1"/>
    <col min="12" max="12" width="11.28515625" customWidth="1"/>
    <col min="13" max="13" width="53.140625" customWidth="1"/>
    <col min="14" max="14" width="10" customWidth="1"/>
    <col min="15" max="15" width="9.5703125" customWidth="1"/>
    <col min="17" max="17" width="10.42578125" customWidth="1"/>
    <col min="18" max="18" width="9.42578125" customWidth="1"/>
  </cols>
  <sheetData>
    <row r="1" spans="1:20" s="16" customFormat="1" ht="38.25" customHeight="1">
      <c r="A1" s="16" t="s">
        <v>34</v>
      </c>
      <c r="N1" s="16" t="s">
        <v>171</v>
      </c>
      <c r="Q1" s="140" t="s">
        <v>161</v>
      </c>
      <c r="R1" s="140"/>
      <c r="S1" s="141" t="s">
        <v>32</v>
      </c>
      <c r="T1" s="141"/>
    </row>
    <row r="2" spans="1:20">
      <c r="J2" s="6" t="s">
        <v>50</v>
      </c>
      <c r="K2" s="6" t="s">
        <v>51</v>
      </c>
      <c r="L2" s="6" t="s">
        <v>52</v>
      </c>
      <c r="N2" s="1" t="s">
        <v>98</v>
      </c>
      <c r="O2" s="1" t="s">
        <v>96</v>
      </c>
      <c r="Q2" s="1" t="s">
        <v>98</v>
      </c>
      <c r="R2" s="1" t="s">
        <v>96</v>
      </c>
      <c r="S2" s="1" t="s">
        <v>98</v>
      </c>
      <c r="T2" s="1" t="s">
        <v>96</v>
      </c>
    </row>
    <row r="3" spans="1:20">
      <c r="B3" t="s">
        <v>61</v>
      </c>
      <c r="J3" s="33">
        <f>(J6*(P35+1))/(P32+1)</f>
        <v>2.5659261205249681E-2</v>
      </c>
      <c r="K3" s="33">
        <f>(J6*7)/12</f>
        <v>3.9914406319277278E-2</v>
      </c>
      <c r="L3" s="33">
        <f>(J6*6)/6</f>
        <v>6.8424696547332478E-2</v>
      </c>
      <c r="N3" s="1"/>
      <c r="O3" s="1"/>
    </row>
    <row r="4" spans="1:20">
      <c r="B4" t="s">
        <v>60</v>
      </c>
      <c r="J4" s="33"/>
      <c r="K4" s="49">
        <f>(K7*(N35+1))/(N32+1)</f>
        <v>3.2863120296577848E-2</v>
      </c>
      <c r="L4" s="49">
        <f>(L7*(O35+1)/(O32+1))</f>
        <v>5.6336777651276308E-2</v>
      </c>
      <c r="M4" s="49"/>
      <c r="N4" s="49">
        <f>(N7*(Q35+1))/(Q32+1)</f>
        <v>3.4668786246939268E-2</v>
      </c>
      <c r="O4" s="49">
        <f>(O7*(R35+1))/(R32+1)</f>
        <v>5.6336777651276308E-2</v>
      </c>
      <c r="Q4" s="132">
        <f>(Q7*(Q35+1))/(Q32+1)</f>
        <v>1.4898654167792355E-2</v>
      </c>
      <c r="R4" s="132">
        <f>(R7*(R35+1))/(R32+1)</f>
        <v>2.4210313022662577E-2</v>
      </c>
      <c r="S4" s="132">
        <f>(S7*(Q35+1))/(Q32+1)</f>
        <v>-3.4887787418041591E-2</v>
      </c>
      <c r="T4" s="132">
        <f>(T7*(R35+1))/(R32+1)</f>
        <v>-5.669265455431758E-2</v>
      </c>
    </row>
    <row r="5" spans="1:20">
      <c r="J5" s="34"/>
      <c r="K5" s="34"/>
      <c r="L5" s="34"/>
      <c r="N5" s="1"/>
      <c r="O5" s="1"/>
    </row>
    <row r="6" spans="1:20">
      <c r="B6" s="1" t="s">
        <v>72</v>
      </c>
      <c r="E6" s="9"/>
      <c r="J6" s="35">
        <f>SUMPRODUCT(C30:C34,'Customer weights'!D3:D7)</f>
        <v>6.8424696547332478E-2</v>
      </c>
      <c r="K6" s="34"/>
      <c r="L6" s="34"/>
      <c r="N6" s="1"/>
      <c r="O6" s="1"/>
    </row>
    <row r="7" spans="1:20">
      <c r="B7" s="1" t="s">
        <v>73</v>
      </c>
      <c r="E7" s="9"/>
      <c r="J7" s="35"/>
      <c r="K7" s="35">
        <f>H44</f>
        <v>5.6336777651276308E-2</v>
      </c>
      <c r="L7" s="35">
        <f>H53</f>
        <v>5.6336777651276308E-2</v>
      </c>
      <c r="N7" s="107">
        <f>K7</f>
        <v>5.6336777651276308E-2</v>
      </c>
      <c r="O7" s="107">
        <f>L7</f>
        <v>5.6336777651276308E-2</v>
      </c>
      <c r="Q7" s="133">
        <f>H53-K51</f>
        <v>2.4210313022662577E-2</v>
      </c>
      <c r="R7" s="134">
        <f>Q7</f>
        <v>2.4210313022662577E-2</v>
      </c>
      <c r="S7" s="133">
        <f>H53-L51</f>
        <v>-5.669265455431758E-2</v>
      </c>
      <c r="T7" s="134">
        <f>S7</f>
        <v>-5.669265455431758E-2</v>
      </c>
    </row>
    <row r="8" spans="1:20">
      <c r="N8" s="8"/>
      <c r="O8" s="8"/>
    </row>
    <row r="9" spans="1:20" s="16" customFormat="1">
      <c r="A9" s="16" t="s">
        <v>36</v>
      </c>
    </row>
    <row r="10" spans="1:20">
      <c r="B10" s="6"/>
      <c r="C10" s="6"/>
      <c r="D10" s="6"/>
      <c r="E10" s="6"/>
      <c r="F10" s="6"/>
      <c r="G10" s="6"/>
      <c r="H10" s="6"/>
      <c r="I10" s="6"/>
      <c r="J10" s="6"/>
      <c r="K10" s="20"/>
      <c r="L10" s="25"/>
      <c r="M10" s="1"/>
    </row>
    <row r="11" spans="1:20">
      <c r="B11" s="19"/>
      <c r="C11" s="28" t="s">
        <v>26</v>
      </c>
      <c r="D11" s="28" t="s">
        <v>27</v>
      </c>
      <c r="E11" s="28">
        <v>2011</v>
      </c>
      <c r="F11" s="28">
        <v>2012</v>
      </c>
      <c r="G11" s="28">
        <v>2013</v>
      </c>
      <c r="H11" s="28">
        <v>2014</v>
      </c>
      <c r="I11" s="28">
        <v>2015</v>
      </c>
      <c r="J11" s="28" t="s">
        <v>0</v>
      </c>
      <c r="L11" s="23"/>
    </row>
    <row r="12" spans="1:20">
      <c r="B12" s="4" t="s">
        <v>28</v>
      </c>
      <c r="C12" s="4" t="s">
        <v>29</v>
      </c>
      <c r="D12" s="26" t="s">
        <v>30</v>
      </c>
      <c r="E12" s="27">
        <v>1304</v>
      </c>
      <c r="F12" s="27">
        <v>3856</v>
      </c>
      <c r="G12" s="27">
        <v>4922</v>
      </c>
      <c r="H12" s="27">
        <v>3276</v>
      </c>
      <c r="I12" s="27">
        <v>3101</v>
      </c>
      <c r="J12" s="29">
        <f>SUM(E12:I12)</f>
        <v>16459</v>
      </c>
      <c r="L12" s="24" t="s">
        <v>7</v>
      </c>
      <c r="M12" t="s">
        <v>46</v>
      </c>
    </row>
    <row r="13" spans="1:20">
      <c r="B13" s="4" t="s">
        <v>31</v>
      </c>
      <c r="C13" s="4" t="s">
        <v>29</v>
      </c>
      <c r="D13" s="26" t="s">
        <v>30</v>
      </c>
      <c r="E13" s="108">
        <v>10951.944444444445</v>
      </c>
      <c r="F13" s="108">
        <f>27635.5550330177-(4982-4083)</f>
        <v>26736.555033017699</v>
      </c>
      <c r="G13" s="108">
        <f>31264.3235946202-(3931-3484)</f>
        <v>30817.3235946202</v>
      </c>
      <c r="H13" s="108">
        <f>14594.391212669-(3296-2963)</f>
        <v>14261.391212668999</v>
      </c>
      <c r="I13" s="108">
        <f>12781.2567880813-(2662-2442)</f>
        <v>12561.2567880813</v>
      </c>
      <c r="J13" s="29">
        <f t="shared" ref="J13:J16" si="0">SUM(E13:I13)</f>
        <v>95328.471072832646</v>
      </c>
      <c r="L13" s="24" t="s">
        <v>7</v>
      </c>
      <c r="M13" t="s">
        <v>47</v>
      </c>
    </row>
    <row r="14" spans="1:20">
      <c r="B14" s="4" t="s">
        <v>10</v>
      </c>
      <c r="C14" s="4" t="s">
        <v>29</v>
      </c>
      <c r="D14" s="26" t="s">
        <v>30</v>
      </c>
      <c r="E14" s="108">
        <v>0</v>
      </c>
      <c r="F14" s="108">
        <v>0</v>
      </c>
      <c r="G14" s="108">
        <v>0</v>
      </c>
      <c r="H14" s="108">
        <v>0</v>
      </c>
      <c r="I14" s="108">
        <v>0</v>
      </c>
      <c r="J14" s="69">
        <f t="shared" si="0"/>
        <v>0</v>
      </c>
      <c r="L14" s="24"/>
    </row>
    <row r="15" spans="1:20">
      <c r="B15" s="4" t="s">
        <v>32</v>
      </c>
      <c r="C15" s="4" t="s">
        <v>29</v>
      </c>
      <c r="D15" s="26" t="s">
        <v>30</v>
      </c>
      <c r="E15" s="108">
        <v>14595.592004589966</v>
      </c>
      <c r="F15" s="108">
        <v>18064.912007750758</v>
      </c>
      <c r="G15" s="108">
        <v>22586.90565630158</v>
      </c>
      <c r="H15" s="108">
        <v>22483.109782054187</v>
      </c>
      <c r="I15" s="108">
        <v>21951.248442144224</v>
      </c>
      <c r="J15" s="29">
        <f t="shared" si="0"/>
        <v>99681.767892840711</v>
      </c>
      <c r="L15" s="24" t="s">
        <v>7</v>
      </c>
      <c r="M15" t="s">
        <v>49</v>
      </c>
    </row>
    <row r="16" spans="1:20">
      <c r="B16" s="4" t="s">
        <v>3</v>
      </c>
      <c r="C16" s="4" t="s">
        <v>29</v>
      </c>
      <c r="D16" s="26" t="s">
        <v>30</v>
      </c>
      <c r="E16" s="108">
        <f>199+66+7348*(29914/31114)</f>
        <v>7329.6034582503053</v>
      </c>
      <c r="F16" s="108">
        <f>109+66+7276*(29914/31114)</f>
        <v>7170.3803432538407</v>
      </c>
      <c r="G16" s="108">
        <f>109+66+5500*(29914/31114)</f>
        <v>5462.8768400077133</v>
      </c>
      <c r="H16" s="108">
        <f>109+66+5500*(29914/31114)</f>
        <v>5462.8768400077133</v>
      </c>
      <c r="I16" s="108">
        <f>123+66+5491*(29914/31114)</f>
        <v>5468.2239506331553</v>
      </c>
      <c r="J16" s="29">
        <f t="shared" si="0"/>
        <v>30893.961432152726</v>
      </c>
      <c r="L16" s="24" t="s">
        <v>7</v>
      </c>
      <c r="M16" t="s">
        <v>48</v>
      </c>
    </row>
    <row r="17" spans="1:20">
      <c r="B17" s="6"/>
      <c r="C17" s="6"/>
      <c r="D17" s="6"/>
      <c r="E17" s="6"/>
      <c r="F17" s="6"/>
      <c r="G17" s="6"/>
      <c r="H17" s="6"/>
      <c r="I17" s="6"/>
      <c r="J17" s="6"/>
      <c r="K17" s="20"/>
      <c r="L17" s="25"/>
      <c r="M17" s="1"/>
    </row>
    <row r="18" spans="1:20" s="16" customFormat="1">
      <c r="A18" s="16" t="s">
        <v>35</v>
      </c>
    </row>
    <row r="19" spans="1:20">
      <c r="B19" s="6"/>
      <c r="C19" s="6"/>
      <c r="D19" s="6"/>
      <c r="E19" s="6"/>
      <c r="F19" s="6"/>
      <c r="G19" s="6"/>
      <c r="H19" s="6"/>
      <c r="I19" s="6"/>
      <c r="J19" s="6"/>
      <c r="K19" s="20"/>
      <c r="L19" s="25"/>
      <c r="M19" s="1"/>
    </row>
    <row r="20" spans="1:20">
      <c r="B20" s="19"/>
      <c r="C20" s="28" t="s">
        <v>26</v>
      </c>
      <c r="D20" s="28" t="s">
        <v>27</v>
      </c>
      <c r="E20" s="28">
        <v>2011</v>
      </c>
      <c r="F20" s="28">
        <v>2012</v>
      </c>
      <c r="G20" s="28">
        <v>2013</v>
      </c>
      <c r="H20" s="28">
        <v>2014</v>
      </c>
      <c r="I20" s="28">
        <v>2015</v>
      </c>
      <c r="J20" s="28" t="s">
        <v>0</v>
      </c>
      <c r="M20" s="19"/>
    </row>
    <row r="21" spans="1:20">
      <c r="B21" s="4" t="s">
        <v>28</v>
      </c>
      <c r="C21" s="4" t="s">
        <v>29</v>
      </c>
      <c r="D21" s="26" t="s">
        <v>30</v>
      </c>
      <c r="E21" s="30">
        <v>43858.971774193546</v>
      </c>
      <c r="F21" s="30">
        <v>48256.972111553783</v>
      </c>
      <c r="G21" s="30">
        <v>50806.51750972763</v>
      </c>
      <c r="H21" s="30">
        <v>48555.755907753635</v>
      </c>
      <c r="I21" s="30">
        <v>49434.99908568414</v>
      </c>
      <c r="J21" s="29">
        <f>SUM(E21:I21)</f>
        <v>240913.21638891273</v>
      </c>
      <c r="L21" s="24" t="s">
        <v>7</v>
      </c>
      <c r="M21" t="s">
        <v>46</v>
      </c>
    </row>
    <row r="22" spans="1:20">
      <c r="B22" s="4" t="s">
        <v>31</v>
      </c>
      <c r="C22" s="4" t="s">
        <v>29</v>
      </c>
      <c r="D22" s="26" t="s">
        <v>30</v>
      </c>
      <c r="E22" s="30">
        <v>149550.30241935485</v>
      </c>
      <c r="F22" s="30">
        <v>172047.24803877244</v>
      </c>
      <c r="G22" s="30">
        <v>180764.45308013679</v>
      </c>
      <c r="H22" s="30">
        <v>170758.62765462484</v>
      </c>
      <c r="I22" s="30">
        <v>172499.79559082392</v>
      </c>
      <c r="J22" s="29">
        <f>SUM(E22:I22)</f>
        <v>845620.42678371281</v>
      </c>
      <c r="L22" s="24" t="s">
        <v>7</v>
      </c>
      <c r="M22" t="s">
        <v>47</v>
      </c>
    </row>
    <row r="23" spans="1:20">
      <c r="B23" s="4" t="s">
        <v>10</v>
      </c>
      <c r="C23" s="4"/>
      <c r="D23" s="26"/>
      <c r="E23" s="30"/>
      <c r="F23" s="30"/>
      <c r="G23" s="30"/>
      <c r="H23" s="30"/>
      <c r="I23" s="30"/>
      <c r="J23" s="30"/>
      <c r="L23" s="24"/>
    </row>
    <row r="24" spans="1:20">
      <c r="B24" s="4" t="s">
        <v>32</v>
      </c>
      <c r="C24" s="4" t="s">
        <v>29</v>
      </c>
      <c r="D24" s="26" t="s">
        <v>30</v>
      </c>
      <c r="E24" s="30">
        <v>159408.1050056344</v>
      </c>
      <c r="F24" s="30">
        <v>169372.00285310971</v>
      </c>
      <c r="G24" s="30">
        <v>178159.61489371918</v>
      </c>
      <c r="H24" s="30">
        <v>186555.04621462707</v>
      </c>
      <c r="I24" s="30">
        <v>188415.06591136364</v>
      </c>
      <c r="J24" s="29">
        <f>SUM(E24:I24)</f>
        <v>881909.83487845398</v>
      </c>
      <c r="L24" s="24" t="s">
        <v>7</v>
      </c>
      <c r="M24" t="s">
        <v>49</v>
      </c>
    </row>
    <row r="25" spans="1:20">
      <c r="B25" s="4" t="s">
        <v>3</v>
      </c>
      <c r="C25" s="4" t="s">
        <v>29</v>
      </c>
      <c r="D25" s="26" t="s">
        <v>30</v>
      </c>
      <c r="E25" s="30">
        <v>106082.05645161291</v>
      </c>
      <c r="F25" s="30">
        <v>109639.84063745021</v>
      </c>
      <c r="G25" s="30">
        <v>110473.54085603113</v>
      </c>
      <c r="H25" s="30">
        <v>114860.1119863339</v>
      </c>
      <c r="I25" s="30">
        <v>116454.86172997825</v>
      </c>
      <c r="J25" s="29">
        <f>SUM(E25:I25)</f>
        <v>557510.4116614064</v>
      </c>
      <c r="L25" s="24" t="s">
        <v>7</v>
      </c>
      <c r="M25" t="s">
        <v>48</v>
      </c>
    </row>
    <row r="26" spans="1:20">
      <c r="B26" s="6"/>
      <c r="C26" s="6"/>
      <c r="D26" s="6"/>
      <c r="E26" s="21"/>
      <c r="F26" s="21"/>
      <c r="G26" s="21"/>
      <c r="H26" s="21"/>
      <c r="I26" s="21"/>
      <c r="J26" s="21"/>
      <c r="K26" s="21"/>
      <c r="L26" s="22"/>
      <c r="M26" s="22"/>
    </row>
    <row r="27" spans="1:20" s="16" customFormat="1">
      <c r="A27" s="16" t="s">
        <v>33</v>
      </c>
    </row>
    <row r="28" spans="1:20" s="1" customFormat="1">
      <c r="Q28" s="79" t="s">
        <v>153</v>
      </c>
    </row>
    <row r="29" spans="1:20" s="43" customFormat="1">
      <c r="B29" s="138" t="s">
        <v>68</v>
      </c>
      <c r="C29" s="138"/>
      <c r="L29" s="44"/>
      <c r="M29" s="44"/>
      <c r="N29" s="6" t="s">
        <v>51</v>
      </c>
      <c r="O29" s="6" t="s">
        <v>52</v>
      </c>
      <c r="P29" s="6" t="s">
        <v>50</v>
      </c>
      <c r="Q29" s="79" t="s">
        <v>98</v>
      </c>
      <c r="R29" s="79" t="s">
        <v>96</v>
      </c>
    </row>
    <row r="30" spans="1:20" s="43" customFormat="1">
      <c r="B30" s="52" t="s">
        <v>1</v>
      </c>
      <c r="C30" s="53">
        <f>J12/J21</f>
        <v>6.8319207417121483E-2</v>
      </c>
      <c r="M30" s="50" t="s">
        <v>74</v>
      </c>
      <c r="N30" s="50">
        <v>2006</v>
      </c>
      <c r="O30" s="50">
        <v>2012</v>
      </c>
      <c r="P30" s="50">
        <v>2006</v>
      </c>
      <c r="Q30" s="109">
        <v>2006</v>
      </c>
      <c r="R30" s="109">
        <v>2012</v>
      </c>
      <c r="S30" s="50"/>
      <c r="T30" s="50"/>
    </row>
    <row r="31" spans="1:20" s="43" customFormat="1">
      <c r="B31" s="52" t="s">
        <v>2</v>
      </c>
      <c r="C31" s="53">
        <f>J13/J22</f>
        <v>0.11273198713447721</v>
      </c>
      <c r="L31" s="45"/>
      <c r="M31" s="50" t="s">
        <v>75</v>
      </c>
      <c r="N31" s="50">
        <v>2017</v>
      </c>
      <c r="O31" s="50">
        <v>2017</v>
      </c>
      <c r="P31" s="50">
        <v>2013</v>
      </c>
      <c r="Q31" s="110">
        <v>2018</v>
      </c>
      <c r="R31" s="110">
        <v>2018</v>
      </c>
      <c r="T31" s="50"/>
    </row>
    <row r="32" spans="1:20" s="43" customFormat="1">
      <c r="B32" s="52" t="s">
        <v>10</v>
      </c>
      <c r="C32" s="53">
        <v>0</v>
      </c>
      <c r="M32" s="109" t="s">
        <v>154</v>
      </c>
      <c r="N32" s="50">
        <f>N31-N30</f>
        <v>11</v>
      </c>
      <c r="O32" s="50">
        <f>O31-O30</f>
        <v>5</v>
      </c>
      <c r="P32" s="50">
        <f>P31-P30</f>
        <v>7</v>
      </c>
      <c r="Q32" s="109">
        <f t="shared" ref="Q32:R32" si="1">Q31-Q30</f>
        <v>12</v>
      </c>
      <c r="R32" s="109">
        <f t="shared" si="1"/>
        <v>6</v>
      </c>
      <c r="T32" s="50"/>
    </row>
    <row r="33" spans="2:20" s="43" customFormat="1">
      <c r="B33" s="52" t="s">
        <v>54</v>
      </c>
      <c r="C33" s="53">
        <f>J15/J24</f>
        <v>0.11302943220559389</v>
      </c>
      <c r="M33" s="111"/>
      <c r="P33" s="50"/>
      <c r="Q33" s="109"/>
      <c r="R33" s="109"/>
      <c r="S33" s="50"/>
      <c r="T33" s="50"/>
    </row>
    <row r="34" spans="2:20" s="43" customFormat="1">
      <c r="B34" s="52" t="s">
        <v>3</v>
      </c>
      <c r="C34" s="53">
        <f>J16/J25</f>
        <v>5.5414142562983382E-2</v>
      </c>
      <c r="H34" s="50" t="s">
        <v>59</v>
      </c>
      <c r="M34" s="130" t="s">
        <v>76</v>
      </c>
      <c r="N34" s="50">
        <v>2011</v>
      </c>
      <c r="O34" s="50">
        <v>2012</v>
      </c>
      <c r="P34" s="50">
        <v>2011</v>
      </c>
      <c r="Q34" s="109">
        <v>2011</v>
      </c>
      <c r="R34" s="109">
        <v>2012</v>
      </c>
      <c r="S34" s="50"/>
      <c r="T34" s="50"/>
    </row>
    <row r="35" spans="2:20" s="43" customFormat="1">
      <c r="B35" s="54" t="s">
        <v>56</v>
      </c>
      <c r="C35" s="55">
        <f>SUMPRODUCT(C30:C34,'Customer weights'!D3:D7)</f>
        <v>6.8424696547332478E-2</v>
      </c>
      <c r="H35" s="46">
        <f>C35</f>
        <v>6.8424696547332478E-2</v>
      </c>
      <c r="M35" s="131" t="s">
        <v>155</v>
      </c>
      <c r="N35" s="50">
        <f>N31-N34</f>
        <v>6</v>
      </c>
      <c r="O35" s="50">
        <f>O31-O34</f>
        <v>5</v>
      </c>
      <c r="P35" s="50">
        <f>P31-P34</f>
        <v>2</v>
      </c>
      <c r="Q35" s="109">
        <f t="shared" ref="Q35:R35" si="2">Q31-Q34</f>
        <v>7</v>
      </c>
      <c r="R35" s="109">
        <f t="shared" si="2"/>
        <v>6</v>
      </c>
      <c r="S35" s="50"/>
      <c r="T35" s="50"/>
    </row>
    <row r="36" spans="2:20" s="43" customFormat="1">
      <c r="B36" s="50" t="s">
        <v>55</v>
      </c>
      <c r="C36" s="50"/>
    </row>
    <row r="37" spans="2:20">
      <c r="B37" s="36"/>
      <c r="M37" s="1"/>
      <c r="N37" s="1"/>
      <c r="O37" s="1"/>
      <c r="P37" s="1"/>
      <c r="Q37" s="1"/>
    </row>
    <row r="38" spans="2:20">
      <c r="B38" s="139" t="s">
        <v>157</v>
      </c>
      <c r="C38" s="139"/>
      <c r="D38" t="s">
        <v>69</v>
      </c>
      <c r="M38" s="1"/>
      <c r="N38" s="109"/>
      <c r="O38" s="109"/>
      <c r="P38" s="109"/>
      <c r="Q38" s="1"/>
    </row>
    <row r="39" spans="2:20">
      <c r="B39" s="51" t="s">
        <v>1</v>
      </c>
      <c r="C39" s="31">
        <f>C30</f>
        <v>6.8319207417121483E-2</v>
      </c>
      <c r="D39" s="2">
        <f>VLOOKUP(B39,'Customer weights'!$E$3:$F$7,2,FALSE)</f>
        <v>0.12520032882608462</v>
      </c>
      <c r="E39" s="43"/>
      <c r="F39" s="43"/>
      <c r="M39" s="1"/>
      <c r="N39" s="109"/>
      <c r="O39" s="109"/>
      <c r="P39" s="109"/>
      <c r="Q39" s="1"/>
    </row>
    <row r="40" spans="2:20">
      <c r="B40" s="51" t="s">
        <v>2</v>
      </c>
      <c r="C40" s="31">
        <f>C31</f>
        <v>0.11273198713447721</v>
      </c>
      <c r="D40" s="2">
        <f>VLOOKUP(B40,'Customer weights'!$E$3:$F$7,2,FALSE)</f>
        <v>0.30114072845269696</v>
      </c>
      <c r="E40" s="43"/>
      <c r="F40" s="43"/>
      <c r="M40" s="1"/>
      <c r="N40" s="109"/>
      <c r="O40" s="109"/>
      <c r="P40" s="111"/>
      <c r="Q40" s="1"/>
    </row>
    <row r="41" spans="2:20">
      <c r="B41" s="51" t="s">
        <v>10</v>
      </c>
      <c r="C41" s="31">
        <f>C32</f>
        <v>0</v>
      </c>
      <c r="D41" s="2">
        <f>VLOOKUP(B41,'Customer weights'!$E$3:$F$7,2,FALSE)</f>
        <v>0.32399347733584472</v>
      </c>
      <c r="E41" s="43"/>
      <c r="F41" s="43"/>
      <c r="M41" s="1"/>
      <c r="N41" s="1"/>
      <c r="O41" s="1"/>
      <c r="P41" s="1"/>
      <c r="Q41" s="1"/>
    </row>
    <row r="42" spans="2:20">
      <c r="B42" s="51"/>
      <c r="C42" s="31"/>
      <c r="D42" s="2"/>
      <c r="E42" s="43"/>
      <c r="F42" s="43"/>
    </row>
    <row r="43" spans="2:20">
      <c r="B43" s="51" t="s">
        <v>3</v>
      </c>
      <c r="C43" s="31">
        <f>C34</f>
        <v>5.5414142562983382E-2</v>
      </c>
      <c r="D43" s="2">
        <f>VLOOKUP(B43,'Customer weights'!$E$3:$F$7,2,FALSE)</f>
        <v>0.24966546538537374</v>
      </c>
      <c r="E43" s="43"/>
      <c r="F43" s="43"/>
      <c r="H43" t="s">
        <v>58</v>
      </c>
    </row>
    <row r="44" spans="2:20">
      <c r="B44" s="37" t="s">
        <v>56</v>
      </c>
      <c r="C44" s="37"/>
      <c r="D44" s="22">
        <f>SUMPRODUCT(C39:C43,D39:D43)</f>
        <v>5.6336777651276308E-2</v>
      </c>
      <c r="E44" s="43"/>
      <c r="F44" s="43"/>
      <c r="H44" s="46">
        <f>D44</f>
        <v>5.6336777651276308E-2</v>
      </c>
    </row>
    <row r="47" spans="2:20">
      <c r="B47" s="139" t="s">
        <v>158</v>
      </c>
      <c r="C47" s="139"/>
    </row>
    <row r="48" spans="2:20">
      <c r="B48" s="51" t="s">
        <v>1</v>
      </c>
      <c r="C48" s="31">
        <f>C30</f>
        <v>6.8319207417121483E-2</v>
      </c>
      <c r="D48" s="2">
        <f>VLOOKUP(B48,'Customer weights'!$E$3:$F$7,2,FALSE)</f>
        <v>0.12520032882608462</v>
      </c>
    </row>
    <row r="49" spans="2:13">
      <c r="B49" s="51" t="s">
        <v>2</v>
      </c>
      <c r="C49" s="31">
        <f t="shared" ref="C49:C52" si="3">C31</f>
        <v>0.11273198713447721</v>
      </c>
      <c r="D49" s="2">
        <f>VLOOKUP(B49,'Customer weights'!$E$3:$F$7,2,FALSE)</f>
        <v>0.30114072845269696</v>
      </c>
    </row>
    <row r="50" spans="2:13">
      <c r="B50" s="51" t="s">
        <v>10</v>
      </c>
      <c r="C50" s="31">
        <f t="shared" si="3"/>
        <v>0</v>
      </c>
      <c r="D50" s="2">
        <f>VLOOKUP(B50,'Customer weights'!$E$3:$F$7,2,FALSE)</f>
        <v>0.32399347733584472</v>
      </c>
      <c r="K50" t="s">
        <v>167</v>
      </c>
      <c r="L50" t="s">
        <v>54</v>
      </c>
    </row>
    <row r="51" spans="2:13">
      <c r="B51" s="51"/>
      <c r="C51" s="31"/>
      <c r="D51" s="2"/>
      <c r="I51" s="16" t="s">
        <v>33</v>
      </c>
      <c r="J51" s="16"/>
      <c r="K51" s="107">
        <f>'Bushfire obligations source'!G75</f>
        <v>3.2126464628613731E-2</v>
      </c>
      <c r="L51" s="136">
        <f>C33</f>
        <v>0.11302943220559389</v>
      </c>
    </row>
    <row r="52" spans="2:13">
      <c r="B52" s="51" t="s">
        <v>3</v>
      </c>
      <c r="C52" s="31">
        <f t="shared" si="3"/>
        <v>5.5414142562983382E-2</v>
      </c>
      <c r="D52" s="2">
        <f>VLOOKUP(B52,'Customer weights'!$E$3:$F$7,2,FALSE)</f>
        <v>0.24966546538537374</v>
      </c>
      <c r="H52" t="s">
        <v>57</v>
      </c>
    </row>
    <row r="53" spans="2:13">
      <c r="B53" s="37" t="s">
        <v>56</v>
      </c>
      <c r="D53" s="22">
        <f>SUMPRODUCT(C48:C52,D48:D52)</f>
        <v>5.6336777651276308E-2</v>
      </c>
      <c r="H53" s="46">
        <f>D53</f>
        <v>5.6336777651276308E-2</v>
      </c>
    </row>
    <row r="55" spans="2:13" s="1" customFormat="1"/>
    <row r="56" spans="2:13" s="1" customFormat="1">
      <c r="B56" s="79" t="s">
        <v>99</v>
      </c>
      <c r="M56" s="6" t="s">
        <v>100</v>
      </c>
    </row>
    <row r="57" spans="2:13" s="1" customFormat="1"/>
    <row r="58" spans="2:13" s="1" customFormat="1"/>
    <row r="59" spans="2:13" s="1" customFormat="1"/>
    <row r="60" spans="2:13" s="1" customFormat="1"/>
    <row r="61" spans="2:13" s="1" customFormat="1"/>
    <row r="62" spans="2:13" s="1" customFormat="1"/>
    <row r="63" spans="2:13" s="1" customFormat="1"/>
  </sheetData>
  <mergeCells count="5">
    <mergeCell ref="B29:C29"/>
    <mergeCell ref="B38:C38"/>
    <mergeCell ref="B47:C47"/>
    <mergeCell ref="Q1:R1"/>
    <mergeCell ref="S1:T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126"/>
  <sheetViews>
    <sheetView topLeftCell="A62" workbookViewId="0">
      <selection activeCell="G75" sqref="G75"/>
    </sheetView>
  </sheetViews>
  <sheetFormatPr defaultRowHeight="15" outlineLevelRow="1"/>
  <cols>
    <col min="1" max="1" width="71.5703125" bestFit="1" customWidth="1"/>
    <col min="2" max="2" width="10.5703125" bestFit="1" customWidth="1"/>
    <col min="3" max="3" width="10.7109375" bestFit="1" customWidth="1"/>
    <col min="4" max="5" width="14.28515625" bestFit="1" customWidth="1"/>
    <col min="6" max="6" width="12.85546875" customWidth="1"/>
    <col min="7" max="8" width="14.28515625" bestFit="1" customWidth="1"/>
    <col min="9" max="9" width="9.5703125" hidden="1" customWidth="1"/>
    <col min="10" max="11" width="0" hidden="1" customWidth="1"/>
    <col min="12" max="12" width="78.7109375" customWidth="1"/>
    <col min="13" max="13" width="9.85546875" customWidth="1"/>
    <col min="14" max="14" width="9.42578125" customWidth="1"/>
  </cols>
  <sheetData>
    <row r="2" spans="1:13" s="80" customFormat="1">
      <c r="A2" s="80" t="s">
        <v>28</v>
      </c>
    </row>
    <row r="4" spans="1:13">
      <c r="A4" s="6" t="s">
        <v>103</v>
      </c>
      <c r="B4" s="81">
        <v>2011</v>
      </c>
      <c r="C4" s="81">
        <v>2012</v>
      </c>
      <c r="D4" s="81">
        <v>2013</v>
      </c>
      <c r="E4" s="81">
        <v>2014</v>
      </c>
      <c r="F4" s="81">
        <v>2015</v>
      </c>
      <c r="G4" s="81" t="s">
        <v>0</v>
      </c>
      <c r="L4" t="s">
        <v>104</v>
      </c>
      <c r="M4" t="s">
        <v>105</v>
      </c>
    </row>
    <row r="5" spans="1:13" ht="15.75" thickBot="1">
      <c r="A5" t="s">
        <v>106</v>
      </c>
      <c r="B5" s="82">
        <v>1304</v>
      </c>
      <c r="C5" s="82">
        <v>3856</v>
      </c>
      <c r="D5" s="82">
        <v>4922</v>
      </c>
      <c r="E5" s="82">
        <v>3276</v>
      </c>
      <c r="F5" s="82">
        <v>3101</v>
      </c>
      <c r="G5" s="83">
        <f>SUM(B5:F5)</f>
        <v>16459</v>
      </c>
      <c r="L5" s="84" t="s">
        <v>107</v>
      </c>
      <c r="M5" t="s">
        <v>108</v>
      </c>
    </row>
    <row r="6" spans="1:13">
      <c r="B6" s="85" t="b">
        <v>1</v>
      </c>
      <c r="C6" s="85" t="b">
        <v>1</v>
      </c>
      <c r="D6" s="85" t="b">
        <v>1</v>
      </c>
      <c r="E6" s="85" t="b">
        <v>1</v>
      </c>
      <c r="F6" s="85" t="b">
        <v>1</v>
      </c>
      <c r="G6" s="85" t="b">
        <v>1</v>
      </c>
      <c r="L6" s="84"/>
    </row>
    <row r="7" spans="1:13">
      <c r="B7" s="86"/>
      <c r="C7" s="86"/>
      <c r="D7" s="86"/>
      <c r="E7" s="86"/>
      <c r="F7" s="86"/>
      <c r="G7" s="86"/>
    </row>
    <row r="8" spans="1:13">
      <c r="A8" s="6" t="s">
        <v>109</v>
      </c>
      <c r="B8" s="81">
        <v>2011</v>
      </c>
      <c r="C8" s="81">
        <v>2012</v>
      </c>
      <c r="D8" s="81">
        <v>2013</v>
      </c>
      <c r="E8" s="81">
        <v>2014</v>
      </c>
      <c r="F8" s="81">
        <v>2015</v>
      </c>
      <c r="G8" s="81" t="s">
        <v>0</v>
      </c>
    </row>
    <row r="9" spans="1:13">
      <c r="A9" t="s">
        <v>110</v>
      </c>
      <c r="B9" s="85">
        <v>44900</v>
      </c>
      <c r="C9" s="85">
        <v>50000</v>
      </c>
      <c r="D9" s="85">
        <v>53900</v>
      </c>
      <c r="E9" s="85">
        <v>52800</v>
      </c>
      <c r="F9" s="85">
        <v>55100</v>
      </c>
      <c r="G9" s="85">
        <f>SUM(B9:F9)</f>
        <v>256700</v>
      </c>
      <c r="L9" s="84" t="s">
        <v>111</v>
      </c>
      <c r="M9" t="s">
        <v>112</v>
      </c>
    </row>
    <row r="10" spans="1:13" ht="15.75" thickBot="1">
      <c r="A10" t="s">
        <v>113</v>
      </c>
      <c r="B10" s="82">
        <f>B9*G$84</f>
        <v>43858.971774193546</v>
      </c>
      <c r="C10" s="82">
        <f>C9*H$84</f>
        <v>48256.972111553783</v>
      </c>
      <c r="D10" s="82">
        <f>D9*I$84</f>
        <v>50806.51750972763</v>
      </c>
      <c r="E10" s="82">
        <f>E9*J$84</f>
        <v>48555.755907753635</v>
      </c>
      <c r="F10" s="82">
        <f>F9*K$84</f>
        <v>49434.99908568414</v>
      </c>
      <c r="G10" s="83">
        <f>SUM(B10:F10)</f>
        <v>240913.21638891273</v>
      </c>
    </row>
    <row r="11" spans="1:13">
      <c r="B11" s="85" t="b">
        <v>1</v>
      </c>
      <c r="C11" s="85" t="b">
        <v>1</v>
      </c>
      <c r="D11" s="85" t="b">
        <v>1</v>
      </c>
      <c r="E11" s="85" t="b">
        <v>1</v>
      </c>
      <c r="F11" s="85" t="b">
        <v>1</v>
      </c>
      <c r="G11" s="85" t="b">
        <v>1</v>
      </c>
    </row>
    <row r="12" spans="1:13">
      <c r="B12" s="81"/>
      <c r="C12" s="81"/>
      <c r="D12" s="81"/>
      <c r="E12" s="81"/>
      <c r="F12" s="81"/>
      <c r="G12" s="81"/>
    </row>
    <row r="13" spans="1:13" s="80" customFormat="1">
      <c r="A13" s="80" t="s">
        <v>114</v>
      </c>
      <c r="B13" s="87"/>
      <c r="C13" s="87"/>
      <c r="D13" s="87"/>
      <c r="E13" s="87"/>
      <c r="F13" s="87"/>
      <c r="G13" s="87"/>
    </row>
    <row r="14" spans="1:13">
      <c r="B14" s="81"/>
      <c r="C14" s="81"/>
      <c r="D14" s="81"/>
      <c r="E14" s="81"/>
      <c r="F14" s="81"/>
      <c r="G14" s="81"/>
    </row>
    <row r="15" spans="1:13">
      <c r="A15" s="6" t="s">
        <v>115</v>
      </c>
      <c r="B15" s="81">
        <v>2011</v>
      </c>
      <c r="C15" s="81">
        <v>2012</v>
      </c>
      <c r="D15" s="81">
        <v>2013</v>
      </c>
      <c r="E15" s="81">
        <v>2014</v>
      </c>
      <c r="F15" s="81">
        <v>2015</v>
      </c>
      <c r="G15" s="81" t="s">
        <v>0</v>
      </c>
    </row>
    <row r="16" spans="1:13">
      <c r="A16" t="s">
        <v>116</v>
      </c>
      <c r="B16" s="85">
        <v>304.39569200000005</v>
      </c>
      <c r="C16" s="85">
        <v>304.39569200000005</v>
      </c>
      <c r="D16" s="85">
        <v>304.39569200000005</v>
      </c>
      <c r="E16" s="85">
        <v>304.39569200000005</v>
      </c>
      <c r="F16" s="85">
        <v>304.39569200000005</v>
      </c>
      <c r="G16" s="85">
        <f t="shared" ref="G16:G20" si="0">SUM(B16:F16)</f>
        <v>1521.9784600000003</v>
      </c>
      <c r="L16" s="84" t="s">
        <v>117</v>
      </c>
      <c r="M16" t="s">
        <v>118</v>
      </c>
    </row>
    <row r="17" spans="1:13">
      <c r="A17" t="s">
        <v>119</v>
      </c>
      <c r="B17" s="85">
        <v>12758.496763962519</v>
      </c>
      <c r="C17" s="85">
        <v>15015.588000202839</v>
      </c>
      <c r="D17" s="85">
        <v>16541.214483957869</v>
      </c>
      <c r="E17" s="85">
        <v>16541.214483957869</v>
      </c>
      <c r="F17" s="85">
        <v>16541.214483957869</v>
      </c>
      <c r="G17" s="85">
        <f t="shared" si="0"/>
        <v>77397.728216038959</v>
      </c>
      <c r="L17" s="84" t="s">
        <v>117</v>
      </c>
      <c r="M17" t="s">
        <v>120</v>
      </c>
    </row>
    <row r="18" spans="1:13">
      <c r="A18" t="s">
        <v>121</v>
      </c>
      <c r="B18" s="85">
        <v>638.91391275328704</v>
      </c>
      <c r="C18" s="85">
        <v>638.91391275328704</v>
      </c>
      <c r="D18" s="85">
        <v>638.91391275328704</v>
      </c>
      <c r="E18" s="85">
        <v>638.91391275328704</v>
      </c>
      <c r="F18" s="85">
        <v>638.91391275328704</v>
      </c>
      <c r="G18" s="85">
        <f t="shared" si="0"/>
        <v>3194.5695637664353</v>
      </c>
      <c r="L18" s="84" t="s">
        <v>117</v>
      </c>
    </row>
    <row r="19" spans="1:13">
      <c r="A19" t="s">
        <v>122</v>
      </c>
      <c r="B19" s="85">
        <v>520.0759249811756</v>
      </c>
      <c r="C19" s="85">
        <v>520.0759249811756</v>
      </c>
      <c r="D19" s="85">
        <v>520.0759249811756</v>
      </c>
      <c r="E19" s="85">
        <v>520.0759249811756</v>
      </c>
      <c r="F19" s="85">
        <v>520.0759249811756</v>
      </c>
      <c r="G19" s="85">
        <f t="shared" si="0"/>
        <v>2600.3796249058778</v>
      </c>
      <c r="L19" s="84" t="s">
        <v>117</v>
      </c>
    </row>
    <row r="20" spans="1:13">
      <c r="A20" s="88" t="s">
        <v>123</v>
      </c>
      <c r="B20" s="89">
        <f>SUM(B16:B19)</f>
        <v>14221.882293696983</v>
      </c>
      <c r="C20" s="89">
        <f>SUM(C16:C19)</f>
        <v>16478.973529937302</v>
      </c>
      <c r="D20" s="89">
        <f>SUM(D16:D19)</f>
        <v>18004.600013692329</v>
      </c>
      <c r="E20" s="89">
        <f>SUM(E16:E19)</f>
        <v>18004.600013692329</v>
      </c>
      <c r="F20" s="89">
        <f>SUM(F16:F19)</f>
        <v>18004.600013692329</v>
      </c>
      <c r="G20" s="89">
        <f t="shared" si="0"/>
        <v>84714.655864711269</v>
      </c>
    </row>
    <row r="21" spans="1:13">
      <c r="A21" s="90" t="s">
        <v>124</v>
      </c>
      <c r="B21" s="91">
        <v>6.2361212704776974E-3</v>
      </c>
      <c r="C21" s="91">
        <v>2.0706778898408287E-2</v>
      </c>
      <c r="D21" s="91">
        <v>3.9474676905060534E-2</v>
      </c>
      <c r="E21" s="91">
        <v>6.1711346764736379E-2</v>
      </c>
      <c r="F21" s="91">
        <v>7.4369487386940047E-2</v>
      </c>
      <c r="G21" s="92"/>
    </row>
    <row r="22" spans="1:13">
      <c r="A22" s="88" t="s">
        <v>125</v>
      </c>
      <c r="B22" s="89">
        <f>B20*(1+B21)</f>
        <v>14310.571676374939</v>
      </c>
      <c r="C22" s="89">
        <f t="shared" ref="C22:F22" si="1">C20*(1+C21)</f>
        <v>16820.199991294437</v>
      </c>
      <c r="D22" s="89">
        <f t="shared" si="1"/>
        <v>18715.325782037682</v>
      </c>
      <c r="E22" s="89">
        <f t="shared" si="1"/>
        <v>19115.688128497673</v>
      </c>
      <c r="F22" s="89">
        <f t="shared" si="1"/>
        <v>19343.592887317522</v>
      </c>
      <c r="G22" s="89">
        <f>SUM(B22:F22)</f>
        <v>88305.378465522255</v>
      </c>
      <c r="L22" s="84" t="s">
        <v>117</v>
      </c>
      <c r="M22" t="s">
        <v>126</v>
      </c>
    </row>
    <row r="23" spans="1:13">
      <c r="A23" s="67" t="s">
        <v>127</v>
      </c>
      <c r="B23" s="93">
        <v>285.02032821502689</v>
      </c>
      <c r="C23" s="93">
        <v>1244.7120164563194</v>
      </c>
      <c r="D23" s="93">
        <v>3871.5798742638972</v>
      </c>
      <c r="E23" s="93">
        <v>3367.4216535565133</v>
      </c>
      <c r="F23" s="93">
        <v>2607.6555548267024</v>
      </c>
      <c r="G23" s="93">
        <f>SUM(B23:F23)</f>
        <v>11376.38942731846</v>
      </c>
      <c r="L23" s="84" t="s">
        <v>128</v>
      </c>
      <c r="M23" t="s">
        <v>129</v>
      </c>
    </row>
    <row r="24" spans="1:13" ht="15.75" thickBot="1">
      <c r="B24" s="82">
        <f>SUM(B22:B23)</f>
        <v>14595.592004589966</v>
      </c>
      <c r="C24" s="82">
        <f t="shared" ref="C24:F24" si="2">SUM(C22:C23)</f>
        <v>18064.912007750758</v>
      </c>
      <c r="D24" s="82">
        <f t="shared" si="2"/>
        <v>22586.90565630158</v>
      </c>
      <c r="E24" s="82">
        <f t="shared" si="2"/>
        <v>22483.109782054187</v>
      </c>
      <c r="F24" s="82">
        <f t="shared" si="2"/>
        <v>21951.248442144224</v>
      </c>
      <c r="G24" s="83">
        <f>SUM(B24:F24)</f>
        <v>99681.767892840711</v>
      </c>
    </row>
    <row r="25" spans="1:13">
      <c r="B25" s="85" t="b">
        <v>1</v>
      </c>
      <c r="C25" s="85" t="b">
        <v>1</v>
      </c>
      <c r="D25" s="85" t="b">
        <v>1</v>
      </c>
      <c r="E25" s="85" t="b">
        <v>1</v>
      </c>
      <c r="F25" s="85" t="b">
        <v>1</v>
      </c>
      <c r="G25" s="85" t="b">
        <v>1</v>
      </c>
    </row>
    <row r="26" spans="1:13">
      <c r="B26" s="81"/>
      <c r="C26" s="81"/>
      <c r="D26" s="81"/>
      <c r="E26" s="81"/>
      <c r="F26" s="81"/>
      <c r="G26" s="81"/>
    </row>
    <row r="27" spans="1:13">
      <c r="A27" s="6" t="s">
        <v>109</v>
      </c>
      <c r="B27" s="81">
        <v>2011</v>
      </c>
      <c r="C27" s="81">
        <v>2012</v>
      </c>
      <c r="D27" s="81">
        <v>2013</v>
      </c>
      <c r="E27" s="81">
        <v>2014</v>
      </c>
      <c r="F27" s="81">
        <v>2015</v>
      </c>
      <c r="G27" s="81" t="s">
        <v>0</v>
      </c>
    </row>
    <row r="28" spans="1:13">
      <c r="A28" t="s">
        <v>110</v>
      </c>
      <c r="B28" s="85">
        <v>162900</v>
      </c>
      <c r="C28" s="85">
        <v>174200</v>
      </c>
      <c r="D28" s="85">
        <v>184900</v>
      </c>
      <c r="E28" s="85">
        <v>199200</v>
      </c>
      <c r="F28" s="85">
        <v>207100</v>
      </c>
      <c r="G28" s="85">
        <f>SUM(B28:F28)</f>
        <v>928300</v>
      </c>
      <c r="L28" s="84" t="s">
        <v>130</v>
      </c>
      <c r="M28" t="s">
        <v>131</v>
      </c>
    </row>
    <row r="29" spans="1:13">
      <c r="A29" t="s">
        <v>113</v>
      </c>
      <c r="B29" s="85">
        <f>B28*G$84</f>
        <v>159123.08467741936</v>
      </c>
      <c r="C29" s="85">
        <f>C28*H$84</f>
        <v>168127.29083665338</v>
      </c>
      <c r="D29" s="85">
        <f>D28*I$84</f>
        <v>174288.03501945527</v>
      </c>
      <c r="E29" s="85">
        <f>E28*J$84</f>
        <v>183187.62456107055</v>
      </c>
      <c r="F29" s="85">
        <f>F28*K$84</f>
        <v>185807.41035653694</v>
      </c>
      <c r="G29" s="85">
        <f>SUM(B29:F29)</f>
        <v>870533.44545113551</v>
      </c>
      <c r="L29" s="84"/>
    </row>
    <row r="30" spans="1:13" ht="15.75" thickBot="1">
      <c r="A30" t="s">
        <v>132</v>
      </c>
      <c r="B30" s="82">
        <f>B29+B23</f>
        <v>159408.1050056344</v>
      </c>
      <c r="C30" s="82">
        <f t="shared" ref="C30:F30" si="3">C29+C23</f>
        <v>169372.00285310971</v>
      </c>
      <c r="D30" s="82">
        <f t="shared" si="3"/>
        <v>178159.61489371918</v>
      </c>
      <c r="E30" s="82">
        <f t="shared" si="3"/>
        <v>186555.04621462707</v>
      </c>
      <c r="F30" s="82">
        <f t="shared" si="3"/>
        <v>188415.06591136364</v>
      </c>
      <c r="G30" s="83">
        <f>SUM(B30:F30)</f>
        <v>881909.83487845398</v>
      </c>
      <c r="L30" s="84"/>
    </row>
    <row r="31" spans="1:13">
      <c r="B31" s="85" t="b">
        <v>1</v>
      </c>
      <c r="C31" s="85" t="b">
        <v>1</v>
      </c>
      <c r="D31" s="85" t="b">
        <v>1</v>
      </c>
      <c r="E31" s="85" t="b">
        <v>1</v>
      </c>
      <c r="F31" s="85" t="b">
        <v>1</v>
      </c>
      <c r="G31" s="85" t="b">
        <v>1</v>
      </c>
      <c r="L31" s="84"/>
    </row>
    <row r="32" spans="1:13">
      <c r="B32" s="81"/>
      <c r="C32" s="81"/>
      <c r="D32" s="81"/>
      <c r="E32" s="81"/>
      <c r="F32" s="81"/>
      <c r="G32" s="81"/>
      <c r="I32" s="94"/>
    </row>
    <row r="33" spans="1:13" s="80" customFormat="1">
      <c r="A33" s="80" t="s">
        <v>31</v>
      </c>
      <c r="B33" s="87"/>
      <c r="C33" s="87"/>
      <c r="D33" s="87"/>
      <c r="E33" s="87"/>
      <c r="F33" s="87"/>
      <c r="G33" s="87"/>
    </row>
    <row r="34" spans="1:13">
      <c r="B34" s="85"/>
      <c r="C34" s="85"/>
      <c r="D34" s="85"/>
      <c r="E34" s="85"/>
      <c r="F34" s="85"/>
      <c r="G34" s="85"/>
    </row>
    <row r="35" spans="1:13">
      <c r="A35" s="6" t="s">
        <v>115</v>
      </c>
      <c r="B35" s="81">
        <v>2011</v>
      </c>
      <c r="C35" s="81">
        <v>2012</v>
      </c>
      <c r="D35" s="81">
        <v>2013</v>
      </c>
      <c r="E35" s="81">
        <v>2014</v>
      </c>
      <c r="F35" s="81">
        <v>2015</v>
      </c>
      <c r="G35" s="81" t="s">
        <v>0</v>
      </c>
    </row>
    <row r="36" spans="1:13">
      <c r="A36" t="s">
        <v>106</v>
      </c>
      <c r="B36" s="85">
        <v>9043</v>
      </c>
      <c r="C36" s="85">
        <v>20745</v>
      </c>
      <c r="D36" s="85">
        <v>25424</v>
      </c>
      <c r="E36" s="85">
        <v>9389</v>
      </c>
      <c r="F36" s="85">
        <v>8210</v>
      </c>
      <c r="G36" s="85">
        <f t="shared" ref="G36:G39" si="4">SUM(B36:F36)</f>
        <v>72811</v>
      </c>
      <c r="L36" s="84" t="s">
        <v>107</v>
      </c>
      <c r="M36" s="95" t="s">
        <v>108</v>
      </c>
    </row>
    <row r="37" spans="1:13">
      <c r="A37" t="s">
        <v>133</v>
      </c>
      <c r="B37" s="85">
        <v>1908.9444444444446</v>
      </c>
      <c r="C37" s="85">
        <v>1908.9444444444446</v>
      </c>
      <c r="D37" s="85">
        <v>1908.9444444444446</v>
      </c>
      <c r="E37" s="85">
        <v>1908.9444444444446</v>
      </c>
      <c r="F37" s="85">
        <v>1908.9444444444446</v>
      </c>
      <c r="G37" s="85">
        <f t="shared" si="4"/>
        <v>9544.7222222222226</v>
      </c>
      <c r="L37" s="84" t="s">
        <v>117</v>
      </c>
      <c r="M37" s="95" t="s">
        <v>134</v>
      </c>
    </row>
    <row r="38" spans="1:13">
      <c r="A38" s="88" t="s">
        <v>135</v>
      </c>
      <c r="B38" s="89">
        <f>SUM(B36:B37)</f>
        <v>10951.944444444445</v>
      </c>
      <c r="C38" s="89">
        <f t="shared" ref="C38:G38" si="5">SUM(C36:C37)</f>
        <v>22653.944444444445</v>
      </c>
      <c r="D38" s="89">
        <f t="shared" si="5"/>
        <v>27332.944444444445</v>
      </c>
      <c r="E38" s="89">
        <f t="shared" si="5"/>
        <v>11297.944444444445</v>
      </c>
      <c r="F38" s="89">
        <f t="shared" si="5"/>
        <v>10118.944444444445</v>
      </c>
      <c r="G38" s="89">
        <f t="shared" si="5"/>
        <v>82355.722222222219</v>
      </c>
      <c r="L38" s="84" t="s">
        <v>117</v>
      </c>
      <c r="M38" s="95" t="s">
        <v>126</v>
      </c>
    </row>
    <row r="39" spans="1:13">
      <c r="A39" t="s">
        <v>136</v>
      </c>
      <c r="B39" s="85">
        <v>0</v>
      </c>
      <c r="C39" s="85">
        <v>4981.6105885732395</v>
      </c>
      <c r="D39" s="85">
        <v>3931.3791501757059</v>
      </c>
      <c r="E39" s="85">
        <v>3296.4467682245081</v>
      </c>
      <c r="F39" s="85">
        <v>2662.3123436368587</v>
      </c>
      <c r="G39" s="85">
        <f t="shared" si="4"/>
        <v>14871.748850610313</v>
      </c>
      <c r="L39" s="84" t="s">
        <v>137</v>
      </c>
      <c r="M39" s="95" t="s">
        <v>138</v>
      </c>
    </row>
    <row r="40" spans="1:13" ht="15.75" thickBot="1">
      <c r="B40" s="82">
        <f>SUM(B38:B39)</f>
        <v>10951.944444444445</v>
      </c>
      <c r="C40" s="82">
        <f t="shared" ref="C40:F40" si="6">SUM(C38:C39)</f>
        <v>27635.555033017685</v>
      </c>
      <c r="D40" s="82">
        <f t="shared" si="6"/>
        <v>31264.323594620153</v>
      </c>
      <c r="E40" s="82">
        <f t="shared" si="6"/>
        <v>14594.391212668954</v>
      </c>
      <c r="F40" s="82">
        <f t="shared" si="6"/>
        <v>12781.256788081304</v>
      </c>
      <c r="G40" s="83">
        <f>SUM(B40:F40)</f>
        <v>97227.47107283253</v>
      </c>
    </row>
    <row r="41" spans="1:13">
      <c r="B41" s="85" t="b">
        <v>1</v>
      </c>
      <c r="C41" s="85" t="b">
        <v>1</v>
      </c>
      <c r="D41" s="85" t="b">
        <v>1</v>
      </c>
      <c r="E41" s="85" t="b">
        <v>1</v>
      </c>
      <c r="F41" s="85" t="b">
        <v>1</v>
      </c>
      <c r="G41" s="85" t="b">
        <v>1</v>
      </c>
    </row>
    <row r="42" spans="1:13">
      <c r="B42" s="81"/>
      <c r="C42" s="81"/>
      <c r="D42" s="81"/>
      <c r="E42" s="81"/>
      <c r="F42" s="81"/>
      <c r="G42" s="81"/>
    </row>
    <row r="43" spans="1:13">
      <c r="A43" s="6" t="s">
        <v>109</v>
      </c>
      <c r="B43" s="81">
        <v>2011</v>
      </c>
      <c r="C43" s="81">
        <v>2012</v>
      </c>
      <c r="D43" s="81">
        <v>2013</v>
      </c>
      <c r="E43" s="81">
        <v>2014</v>
      </c>
      <c r="F43" s="81">
        <v>2015</v>
      </c>
      <c r="G43" s="81" t="s">
        <v>0</v>
      </c>
    </row>
    <row r="44" spans="1:13">
      <c r="A44" t="s">
        <v>110</v>
      </c>
      <c r="B44" s="85">
        <v>153100</v>
      </c>
      <c r="C44" s="85">
        <v>173100</v>
      </c>
      <c r="D44" s="85">
        <v>187600</v>
      </c>
      <c r="E44" s="85">
        <v>182100</v>
      </c>
      <c r="F44" s="85">
        <v>189300</v>
      </c>
      <c r="G44" s="85">
        <f>SUM(B44:F44)</f>
        <v>885200</v>
      </c>
      <c r="L44" s="84" t="s">
        <v>139</v>
      </c>
      <c r="M44" t="s">
        <v>131</v>
      </c>
    </row>
    <row r="45" spans="1:13">
      <c r="A45" t="s">
        <v>113</v>
      </c>
      <c r="B45" s="85">
        <f>B44*G$84</f>
        <v>149550.30241935485</v>
      </c>
      <c r="C45" s="85">
        <f>C44*H$84</f>
        <v>167065.6374501992</v>
      </c>
      <c r="D45" s="85">
        <f>D44*I$84</f>
        <v>176833.0739299611</v>
      </c>
      <c r="E45" s="85">
        <f>E44*J$84</f>
        <v>167462.18088640034</v>
      </c>
      <c r="F45" s="85">
        <f>F44*K$84</f>
        <v>169837.48324718708</v>
      </c>
      <c r="G45" s="85">
        <f>SUM(B45:F45)</f>
        <v>830748.67793310259</v>
      </c>
      <c r="L45" s="84"/>
    </row>
    <row r="46" spans="1:13" ht="15.75" thickBot="1">
      <c r="A46" t="s">
        <v>132</v>
      </c>
      <c r="B46" s="82">
        <f>B45+B39</f>
        <v>149550.30241935485</v>
      </c>
      <c r="C46" s="82">
        <f t="shared" ref="C46:F46" si="7">C45+C39</f>
        <v>172047.24803877244</v>
      </c>
      <c r="D46" s="82">
        <f t="shared" si="7"/>
        <v>180764.45308013679</v>
      </c>
      <c r="E46" s="82">
        <f t="shared" si="7"/>
        <v>170758.62765462484</v>
      </c>
      <c r="F46" s="82">
        <f t="shared" si="7"/>
        <v>172499.79559082392</v>
      </c>
      <c r="G46" s="83">
        <f>SUM(B46:F46)</f>
        <v>845620.42678371281</v>
      </c>
      <c r="L46" s="84"/>
    </row>
    <row r="47" spans="1:13">
      <c r="B47" s="85" t="b">
        <v>1</v>
      </c>
      <c r="C47" s="85" t="b">
        <v>1</v>
      </c>
      <c r="D47" s="85" t="b">
        <v>1</v>
      </c>
      <c r="E47" s="85" t="b">
        <v>1</v>
      </c>
      <c r="F47" s="85" t="b">
        <v>1</v>
      </c>
      <c r="G47" s="85" t="b">
        <v>1</v>
      </c>
      <c r="L47" s="84"/>
    </row>
    <row r="48" spans="1:13">
      <c r="B48" s="81"/>
      <c r="C48" s="81"/>
      <c r="D48" s="81"/>
      <c r="E48" s="81"/>
      <c r="F48" s="81"/>
      <c r="G48" s="81"/>
    </row>
    <row r="49" spans="1:13" s="80" customFormat="1">
      <c r="A49" s="80" t="s">
        <v>78</v>
      </c>
      <c r="B49" s="87"/>
      <c r="C49" s="87"/>
      <c r="D49" s="87"/>
      <c r="E49" s="87"/>
      <c r="F49" s="87"/>
      <c r="G49" s="87"/>
    </row>
    <row r="50" spans="1:13">
      <c r="B50" s="81"/>
      <c r="C50" s="81"/>
      <c r="D50" s="81"/>
      <c r="E50" s="81"/>
      <c r="F50" s="81"/>
      <c r="G50" s="81"/>
    </row>
    <row r="51" spans="1:13">
      <c r="A51" s="6" t="s">
        <v>115</v>
      </c>
      <c r="B51" s="81">
        <v>2011</v>
      </c>
      <c r="C51" s="81">
        <v>2012</v>
      </c>
      <c r="D51" s="81">
        <v>2013</v>
      </c>
      <c r="E51" s="81">
        <v>2014</v>
      </c>
      <c r="F51" s="81">
        <v>2015</v>
      </c>
      <c r="G51" s="81" t="s">
        <v>0</v>
      </c>
    </row>
    <row r="52" spans="1:13">
      <c r="A52" t="s">
        <v>140</v>
      </c>
      <c r="B52" s="85">
        <v>198.57142857142858</v>
      </c>
      <c r="C52" s="85">
        <v>108.57142857142858</v>
      </c>
      <c r="D52" s="85">
        <v>108.57142857142858</v>
      </c>
      <c r="E52" s="85">
        <v>108.57142857142858</v>
      </c>
      <c r="F52" s="85">
        <v>122.85714285714288</v>
      </c>
      <c r="G52" s="85">
        <f t="shared" ref="G52:G54" si="8">SUM(B52:F52)</f>
        <v>647.14285714285722</v>
      </c>
      <c r="L52" s="84" t="s">
        <v>117</v>
      </c>
      <c r="M52" t="s">
        <v>164</v>
      </c>
    </row>
    <row r="53" spans="1:13">
      <c r="A53" t="s">
        <v>141</v>
      </c>
      <c r="B53" s="85">
        <v>7347.5047287739835</v>
      </c>
      <c r="C53" s="85">
        <v>7275.5047287739835</v>
      </c>
      <c r="D53" s="85">
        <v>5499.9606008989831</v>
      </c>
      <c r="E53" s="85">
        <v>5499.9606008989831</v>
      </c>
      <c r="F53" s="85">
        <v>5491.1712157883585</v>
      </c>
      <c r="G53" s="85">
        <f t="shared" si="8"/>
        <v>31114.101875134293</v>
      </c>
      <c r="L53" s="84" t="s">
        <v>117</v>
      </c>
      <c r="M53" t="s">
        <v>120</v>
      </c>
    </row>
    <row r="54" spans="1:13">
      <c r="A54" t="s">
        <v>142</v>
      </c>
      <c r="B54" s="85">
        <v>65.668333333333322</v>
      </c>
      <c r="C54" s="85">
        <v>65.668333333333322</v>
      </c>
      <c r="D54" s="85">
        <v>65.668333333333322</v>
      </c>
      <c r="E54" s="85">
        <v>65.668333333333322</v>
      </c>
      <c r="F54" s="85">
        <v>65.668333333333322</v>
      </c>
      <c r="G54" s="85">
        <f t="shared" si="8"/>
        <v>328.34166666666658</v>
      </c>
      <c r="L54" s="84" t="s">
        <v>117</v>
      </c>
      <c r="M54" t="s">
        <v>118</v>
      </c>
    </row>
    <row r="55" spans="1:13" ht="15.75" thickBot="1">
      <c r="A55" s="88" t="s">
        <v>135</v>
      </c>
      <c r="B55" s="82">
        <f t="shared" ref="B55:E55" si="9">SUM(B52:B54)</f>
        <v>7611.744490678745</v>
      </c>
      <c r="C55" s="82">
        <f t="shared" si="9"/>
        <v>7449.744490678745</v>
      </c>
      <c r="D55" s="82">
        <f t="shared" si="9"/>
        <v>5674.2003628037446</v>
      </c>
      <c r="E55" s="82">
        <f t="shared" si="9"/>
        <v>5674.2003628037446</v>
      </c>
      <c r="F55" s="82">
        <f>SUM(F52:F54)</f>
        <v>5679.6966919788347</v>
      </c>
      <c r="G55" s="83">
        <f>SUM(B55:F55)</f>
        <v>32089.586398943815</v>
      </c>
      <c r="L55" s="84" t="s">
        <v>117</v>
      </c>
      <c r="M55" t="s">
        <v>126</v>
      </c>
    </row>
    <row r="56" spans="1:13">
      <c r="B56" s="85" t="b">
        <v>1</v>
      </c>
      <c r="C56" s="85" t="b">
        <v>1</v>
      </c>
      <c r="D56" s="85" t="b">
        <v>1</v>
      </c>
      <c r="E56" s="85" t="b">
        <v>1</v>
      </c>
      <c r="F56" s="85" t="b">
        <v>1</v>
      </c>
      <c r="G56" s="85" t="b">
        <v>1</v>
      </c>
      <c r="H56" s="68"/>
    </row>
    <row r="57" spans="1:13">
      <c r="B57" s="81"/>
      <c r="C57" s="81"/>
      <c r="D57" s="81"/>
      <c r="E57" s="81"/>
      <c r="F57" s="81"/>
      <c r="G57" s="81"/>
    </row>
    <row r="58" spans="1:13">
      <c r="A58" s="6" t="s">
        <v>109</v>
      </c>
      <c r="B58" s="81">
        <v>2011</v>
      </c>
      <c r="C58" s="81">
        <v>2012</v>
      </c>
      <c r="D58" s="81">
        <v>2013</v>
      </c>
      <c r="E58" s="81">
        <v>2014</v>
      </c>
      <c r="F58" s="81">
        <v>2015</v>
      </c>
      <c r="G58" s="81" t="s">
        <v>0</v>
      </c>
    </row>
    <row r="59" spans="1:13">
      <c r="A59" t="s">
        <v>110</v>
      </c>
      <c r="B59" s="85">
        <v>108600</v>
      </c>
      <c r="C59" s="85">
        <v>113600</v>
      </c>
      <c r="D59" s="85">
        <v>117200</v>
      </c>
      <c r="E59" s="85">
        <v>124900</v>
      </c>
      <c r="F59" s="85">
        <v>129800</v>
      </c>
      <c r="G59" s="85">
        <f>SUM(B59:F59)</f>
        <v>594100</v>
      </c>
      <c r="L59" s="84" t="s">
        <v>143</v>
      </c>
      <c r="M59" t="s">
        <v>144</v>
      </c>
    </row>
    <row r="60" spans="1:13">
      <c r="A60" t="s">
        <v>113</v>
      </c>
      <c r="B60" s="96">
        <f>B59*G$84</f>
        <v>106082.05645161291</v>
      </c>
      <c r="C60" s="96">
        <f>C59*H$84</f>
        <v>109639.84063745021</v>
      </c>
      <c r="D60" s="96">
        <f>D59*I$84</f>
        <v>110473.54085603113</v>
      </c>
      <c r="E60" s="96">
        <f>E59*J$84</f>
        <v>114860.1119863339</v>
      </c>
      <c r="F60" s="96">
        <f>F59*K$84</f>
        <v>116454.86172997825</v>
      </c>
      <c r="G60" s="97">
        <f>SUM(B60:F60)</f>
        <v>557510.4116614064</v>
      </c>
    </row>
    <row r="61" spans="1:13">
      <c r="B61" s="85" t="b">
        <v>1</v>
      </c>
      <c r="C61" s="85" t="b">
        <v>1</v>
      </c>
      <c r="D61" s="85" t="b">
        <v>1</v>
      </c>
      <c r="E61" s="85" t="b">
        <v>1</v>
      </c>
      <c r="F61" s="85" t="b">
        <v>1</v>
      </c>
      <c r="G61" s="85" t="b">
        <v>1</v>
      </c>
    </row>
    <row r="62" spans="1:13">
      <c r="B62" s="85"/>
      <c r="C62" s="85"/>
      <c r="D62" s="85"/>
      <c r="E62" s="85"/>
      <c r="F62" s="85"/>
      <c r="G62" s="85"/>
    </row>
    <row r="63" spans="1:13">
      <c r="A63" s="80" t="s">
        <v>161</v>
      </c>
    </row>
    <row r="65" spans="1:13">
      <c r="A65" s="6" t="s">
        <v>115</v>
      </c>
    </row>
    <row r="66" spans="1:13">
      <c r="A66" t="s">
        <v>141</v>
      </c>
      <c r="G66" s="1">
        <v>9016</v>
      </c>
      <c r="H66" s="1"/>
      <c r="L66" s="84" t="s">
        <v>117</v>
      </c>
      <c r="M66" t="s">
        <v>126</v>
      </c>
    </row>
    <row r="67" spans="1:13">
      <c r="A67" t="s">
        <v>140</v>
      </c>
      <c r="G67">
        <v>611</v>
      </c>
      <c r="L67" s="84" t="s">
        <v>117</v>
      </c>
      <c r="M67" t="s">
        <v>165</v>
      </c>
    </row>
    <row r="68" spans="1:13" hidden="1" outlineLevel="1">
      <c r="A68" t="s">
        <v>163</v>
      </c>
      <c r="G68">
        <f>1705*0</f>
        <v>0</v>
      </c>
    </row>
    <row r="69" spans="1:13" collapsed="1">
      <c r="A69" t="s">
        <v>116</v>
      </c>
      <c r="G69">
        <v>32</v>
      </c>
      <c r="L69" s="84" t="s">
        <v>117</v>
      </c>
      <c r="M69" t="s">
        <v>118</v>
      </c>
    </row>
    <row r="70" spans="1:13" ht="15.75" thickBot="1">
      <c r="A70" s="88" t="s">
        <v>135</v>
      </c>
      <c r="G70" s="83">
        <f>G66+G67+G68+G69</f>
        <v>9659</v>
      </c>
    </row>
    <row r="72" spans="1:13">
      <c r="A72" s="6" t="s">
        <v>109</v>
      </c>
    </row>
    <row r="73" spans="1:13">
      <c r="A73" t="s">
        <v>110</v>
      </c>
      <c r="B73">
        <v>59.7</v>
      </c>
      <c r="C73">
        <v>60.1</v>
      </c>
      <c r="D73">
        <v>61.9</v>
      </c>
      <c r="E73">
        <v>69</v>
      </c>
      <c r="F73">
        <v>69.7</v>
      </c>
      <c r="G73">
        <f>SUM(B73:F73)</f>
        <v>320.40000000000003</v>
      </c>
      <c r="L73" s="84" t="s">
        <v>166</v>
      </c>
      <c r="M73" t="s">
        <v>144</v>
      </c>
    </row>
    <row r="74" spans="1:13" ht="15.75" thickBot="1">
      <c r="A74" t="s">
        <v>162</v>
      </c>
      <c r="B74" s="96">
        <f>B73*G$84</f>
        <v>58.31582661290323</v>
      </c>
      <c r="C74" s="96">
        <f>C73*H$84</f>
        <v>58.004880478087649</v>
      </c>
      <c r="D74" s="96">
        <f>D73*I$84</f>
        <v>58.347373540856033</v>
      </c>
      <c r="E74" s="96">
        <f>E73*J$84</f>
        <v>63.453544652178053</v>
      </c>
      <c r="F74" s="96">
        <f>F73*K$84</f>
        <v>62.533928063016056</v>
      </c>
      <c r="G74" s="83">
        <f>SUM(B74:F74)</f>
        <v>300.65555334704101</v>
      </c>
      <c r="H74" s="68"/>
    </row>
    <row r="75" spans="1:13">
      <c r="G75" s="2">
        <f>G70/1000/G74</f>
        <v>3.2126464628613731E-2</v>
      </c>
      <c r="H75" s="2"/>
    </row>
    <row r="76" spans="1:13">
      <c r="B76" s="85"/>
      <c r="C76" s="85"/>
      <c r="D76" s="85"/>
      <c r="E76" s="85"/>
      <c r="F76" s="85"/>
      <c r="G76" s="85"/>
    </row>
    <row r="78" spans="1:13" s="98" customFormat="1">
      <c r="A78" s="98" t="s">
        <v>145</v>
      </c>
    </row>
    <row r="79" spans="1:13">
      <c r="A79" s="1"/>
      <c r="B79" s="1">
        <v>2006</v>
      </c>
      <c r="C79" s="1">
        <v>2007</v>
      </c>
      <c r="D79" s="1">
        <v>2008</v>
      </c>
      <c r="E79" s="1">
        <v>2009</v>
      </c>
      <c r="F79" s="1">
        <v>2010</v>
      </c>
      <c r="G79" s="1">
        <v>2011</v>
      </c>
      <c r="H79" s="1">
        <v>2012</v>
      </c>
      <c r="I79" s="1">
        <v>2013</v>
      </c>
      <c r="J79" s="1">
        <v>2014</v>
      </c>
      <c r="K79" s="1">
        <v>2015</v>
      </c>
    </row>
    <row r="80" spans="1:13">
      <c r="A80" s="1" t="s">
        <v>79</v>
      </c>
      <c r="B80" s="99">
        <v>86.6</v>
      </c>
      <c r="C80" s="99">
        <v>89.1</v>
      </c>
      <c r="D80" s="99">
        <v>92.4</v>
      </c>
      <c r="E80" s="99">
        <v>94.3</v>
      </c>
      <c r="F80" s="99">
        <v>96.9</v>
      </c>
      <c r="G80" s="99">
        <v>99.8</v>
      </c>
      <c r="H80" s="99">
        <v>102</v>
      </c>
      <c r="I80" s="99">
        <v>104.8</v>
      </c>
      <c r="J80" s="99">
        <f>I80*1.025</f>
        <v>107.41999999999999</v>
      </c>
      <c r="K80" s="99">
        <f>J80*1.025</f>
        <v>110.10549999999998</v>
      </c>
    </row>
    <row r="81" spans="1:11">
      <c r="A81" s="1" t="s">
        <v>80</v>
      </c>
      <c r="B81" s="100">
        <v>85.9</v>
      </c>
      <c r="C81" s="100">
        <v>87.7</v>
      </c>
      <c r="D81" s="100">
        <v>91.6</v>
      </c>
      <c r="E81" s="100">
        <v>92.9</v>
      </c>
      <c r="F81" s="100">
        <v>95.8</v>
      </c>
      <c r="G81" s="100">
        <v>99.2</v>
      </c>
      <c r="H81" s="100">
        <v>100.4</v>
      </c>
      <c r="I81" s="100">
        <v>102.8</v>
      </c>
      <c r="J81" s="100">
        <f>I81*1.025</f>
        <v>105.36999999999999</v>
      </c>
      <c r="K81" s="100">
        <f>J81*1.025</f>
        <v>108.00424999999998</v>
      </c>
    </row>
    <row r="82" spans="1:11">
      <c r="A82" s="1" t="s">
        <v>81</v>
      </c>
      <c r="B82" s="1">
        <v>83.8</v>
      </c>
      <c r="C82" s="1">
        <v>86.6</v>
      </c>
      <c r="D82" s="1">
        <v>89.1</v>
      </c>
      <c r="E82" s="1">
        <v>92.4</v>
      </c>
      <c r="F82" s="1">
        <v>94.3</v>
      </c>
      <c r="G82" s="1">
        <v>96.9</v>
      </c>
      <c r="H82" s="1">
        <v>99.8</v>
      </c>
      <c r="I82" s="1">
        <v>102</v>
      </c>
      <c r="J82" s="1"/>
      <c r="K82" s="1"/>
    </row>
    <row r="83" spans="1:11">
      <c r="A83" s="1"/>
      <c r="B83" s="101"/>
      <c r="C83" s="101"/>
      <c r="D83" s="101"/>
      <c r="E83" s="101"/>
      <c r="F83" s="101"/>
      <c r="G83" s="101"/>
      <c r="H83" s="101"/>
      <c r="I83" s="101"/>
      <c r="J83" s="1"/>
      <c r="K83" s="1"/>
    </row>
    <row r="84" spans="1:11">
      <c r="A84" s="1" t="s">
        <v>146</v>
      </c>
      <c r="B84" s="102">
        <f>$F80/B81</f>
        <v>1.1280558789289872</v>
      </c>
      <c r="C84" s="102">
        <f t="shared" ref="C84:E84" si="10">$F80/C81</f>
        <v>1.1049030786773091</v>
      </c>
      <c r="D84" s="102">
        <f t="shared" si="10"/>
        <v>1.0578602620087338</v>
      </c>
      <c r="E84" s="102">
        <f t="shared" si="10"/>
        <v>1.0430570505920345</v>
      </c>
      <c r="F84" s="102">
        <f>$F80/F81</f>
        <v>1.0114822546972861</v>
      </c>
      <c r="G84" s="102">
        <f t="shared" ref="G84:K84" si="11">$F80/G81</f>
        <v>0.97681451612903225</v>
      </c>
      <c r="H84" s="102">
        <f t="shared" si="11"/>
        <v>0.96513944223107573</v>
      </c>
      <c r="I84" s="102">
        <f t="shared" si="11"/>
        <v>0.94260700389105068</v>
      </c>
      <c r="J84" s="102">
        <f t="shared" si="11"/>
        <v>0.91961658916200073</v>
      </c>
      <c r="K84" s="102">
        <f t="shared" si="11"/>
        <v>0.89718691625561053</v>
      </c>
    </row>
    <row r="99" spans="2:8">
      <c r="B99" t="s">
        <v>147</v>
      </c>
    </row>
    <row r="100" spans="2:8">
      <c r="B100" s="103"/>
      <c r="C100" s="103">
        <v>2011</v>
      </c>
      <c r="D100" s="103">
        <v>2012</v>
      </c>
      <c r="E100" s="103">
        <v>2013</v>
      </c>
      <c r="F100" s="104">
        <v>2014</v>
      </c>
      <c r="G100">
        <v>2015</v>
      </c>
      <c r="H100" t="s">
        <v>0</v>
      </c>
    </row>
    <row r="101" spans="2:8">
      <c r="B101" t="s">
        <v>148</v>
      </c>
    </row>
    <row r="102" spans="2:8">
      <c r="B102" s="105" t="s">
        <v>149</v>
      </c>
      <c r="C102" s="105">
        <v>0</v>
      </c>
      <c r="D102" s="105">
        <v>5241453.9131111111</v>
      </c>
      <c r="E102" s="105">
        <v>4242950.0941427452</v>
      </c>
      <c r="F102" s="105">
        <v>3649304.1282148105</v>
      </c>
      <c r="G102" s="105">
        <v>3023179.9242401491</v>
      </c>
      <c r="H102" s="105">
        <v>16156888.059708815</v>
      </c>
    </row>
    <row r="103" spans="2:8">
      <c r="B103" s="105" t="s">
        <v>150</v>
      </c>
      <c r="C103" s="105">
        <v>0</v>
      </c>
      <c r="D103" s="105">
        <v>16950093.01135594</v>
      </c>
      <c r="E103" s="105">
        <v>17635752.064936429</v>
      </c>
      <c r="F103" s="105">
        <v>18430015.322908316</v>
      </c>
      <c r="G103" s="105">
        <v>19249596.21917012</v>
      </c>
      <c r="H103" s="105">
        <v>72265456.618370801</v>
      </c>
    </row>
    <row r="104" spans="2:8">
      <c r="B104" s="105" t="s">
        <v>151</v>
      </c>
      <c r="C104" s="105"/>
      <c r="D104" s="105"/>
      <c r="E104" s="105"/>
      <c r="F104" s="105"/>
      <c r="G104" s="105"/>
      <c r="H104" s="105"/>
    </row>
    <row r="105" spans="2:8">
      <c r="B105" s="105" t="s">
        <v>149</v>
      </c>
      <c r="C105" s="105">
        <v>0</v>
      </c>
      <c r="D105" s="105">
        <v>2923324.9131111111</v>
      </c>
      <c r="E105" s="105">
        <v>1844629.5378350781</v>
      </c>
      <c r="F105" s="105">
        <v>1143343.3191684552</v>
      </c>
      <c r="G105" s="105">
        <v>404719.62243387738</v>
      </c>
      <c r="H105" s="105">
        <v>6316017.392548522</v>
      </c>
    </row>
    <row r="106" spans="2:8">
      <c r="B106" s="105" t="s">
        <v>150</v>
      </c>
      <c r="C106" s="105">
        <v>0</v>
      </c>
      <c r="D106" s="105">
        <v>16950093.01135594</v>
      </c>
      <c r="E106" s="105">
        <v>17635752.064936429</v>
      </c>
      <c r="F106" s="105">
        <v>18430015.322908316</v>
      </c>
      <c r="G106" s="105">
        <v>19249596.21917012</v>
      </c>
      <c r="H106" s="105">
        <v>72265456.618370801</v>
      </c>
    </row>
    <row r="107" spans="2:8">
      <c r="B107" s="105" t="s">
        <v>152</v>
      </c>
      <c r="C107" s="105"/>
      <c r="D107" s="105"/>
      <c r="E107" s="105"/>
      <c r="F107" s="105"/>
      <c r="G107" s="105"/>
      <c r="H107" s="105"/>
    </row>
    <row r="108" spans="2:8">
      <c r="B108" s="105" t="s">
        <v>149</v>
      </c>
      <c r="C108" s="105">
        <v>0</v>
      </c>
      <c r="D108" s="105">
        <v>2318129</v>
      </c>
      <c r="E108" s="105">
        <v>2398320.5563076669</v>
      </c>
      <c r="F108" s="105">
        <v>2505960.8090463551</v>
      </c>
      <c r="G108" s="105">
        <v>2618460.301806272</v>
      </c>
      <c r="H108" s="105">
        <v>9840870.667160295</v>
      </c>
    </row>
    <row r="109" spans="2:8">
      <c r="B109" s="105" t="s">
        <v>150</v>
      </c>
      <c r="C109" s="105">
        <v>0</v>
      </c>
      <c r="D109" s="105">
        <v>0</v>
      </c>
      <c r="E109" s="105">
        <v>0</v>
      </c>
      <c r="F109" s="105">
        <v>0</v>
      </c>
      <c r="G109" s="105">
        <v>0</v>
      </c>
      <c r="H109" s="105">
        <v>0</v>
      </c>
    </row>
    <row r="111" spans="2:8">
      <c r="D111" s="94">
        <f>D102*H84</f>
        <v>5058733.9061799468</v>
      </c>
      <c r="E111" s="94">
        <f>E102*I84</f>
        <v>3999434.4758991445</v>
      </c>
      <c r="F111" s="94">
        <f>F102*J84</f>
        <v>3355960.6152037126</v>
      </c>
      <c r="G111" s="94">
        <f>G102*K84</f>
        <v>2712357.4735148898</v>
      </c>
      <c r="H111" s="94">
        <f>SUM(D111:G111)</f>
        <v>15126486.470797693</v>
      </c>
    </row>
    <row r="113" spans="8:8">
      <c r="H113">
        <v>611</v>
      </c>
    </row>
    <row r="114" spans="8:8">
      <c r="H114">
        <v>4051</v>
      </c>
    </row>
    <row r="115" spans="8:8">
      <c r="H115">
        <v>3441</v>
      </c>
    </row>
    <row r="116" spans="8:8">
      <c r="H116">
        <v>312</v>
      </c>
    </row>
    <row r="117" spans="8:8">
      <c r="H117">
        <v>680</v>
      </c>
    </row>
    <row r="118" spans="8:8">
      <c r="H118">
        <f>SUM(H114:H117)</f>
        <v>8484</v>
      </c>
    </row>
    <row r="120" spans="8:8">
      <c r="H120">
        <v>9016</v>
      </c>
    </row>
    <row r="123" spans="8:8">
      <c r="H123">
        <v>32</v>
      </c>
    </row>
    <row r="125" spans="8:8">
      <c r="H125">
        <v>1705</v>
      </c>
    </row>
    <row r="126" spans="8:8">
      <c r="H126">
        <f>H125+H120+H113+H123</f>
        <v>11364</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 ref="L66" r:id="rId20"/>
    <hyperlink ref="L67" r:id="rId21"/>
    <hyperlink ref="L69" r:id="rId22"/>
    <hyperlink ref="L73" r:id="rId23"/>
  </hyperlinks>
  <pageMargins left="0.7" right="0.7" top="0.75" bottom="0.75" header="0.3" footer="0.3"/>
  <pageSetup paperSize="9" orientation="portrait"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34"/>
  <sheetViews>
    <sheetView workbookViewId="0">
      <selection activeCell="G14" sqref="G14"/>
    </sheetView>
  </sheetViews>
  <sheetFormatPr defaultRowHeight="15"/>
  <cols>
    <col min="3" max="3" width="25.140625" customWidth="1"/>
    <col min="4" max="4" width="11.140625" bestFit="1" customWidth="1"/>
    <col min="5" max="5" width="15.7109375" customWidth="1"/>
    <col min="6" max="6" width="11.140625" bestFit="1" customWidth="1"/>
    <col min="7" max="7" width="25.42578125" customWidth="1"/>
    <col min="8" max="8" width="11.140625" bestFit="1" customWidth="1"/>
    <col min="9" max="9" width="19.42578125" customWidth="1"/>
    <col min="10" max="10" width="11.140625" bestFit="1" customWidth="1"/>
    <col min="11" max="11" width="25.85546875" customWidth="1"/>
    <col min="12" max="15" width="11.140625" bestFit="1" customWidth="1"/>
    <col min="16" max="16" width="10" bestFit="1" customWidth="1"/>
    <col min="17" max="18" width="14.7109375" bestFit="1" customWidth="1"/>
    <col min="20" max="20" width="14.7109375" bestFit="1" customWidth="1"/>
    <col min="22" max="22" width="14.7109375" bestFit="1" customWidth="1"/>
  </cols>
  <sheetData>
    <row r="1" spans="1:23">
      <c r="B1" s="1" t="s">
        <v>70</v>
      </c>
      <c r="E1" s="1" t="s">
        <v>77</v>
      </c>
      <c r="F1" s="1"/>
    </row>
    <row r="2" spans="1:23">
      <c r="C2" s="4" t="s">
        <v>53</v>
      </c>
      <c r="D2" s="4" t="s">
        <v>8</v>
      </c>
      <c r="E2" s="51"/>
      <c r="F2" s="51" t="s">
        <v>71</v>
      </c>
    </row>
    <row r="3" spans="1:23">
      <c r="B3" s="4" t="s">
        <v>1</v>
      </c>
      <c r="C3" s="30">
        <v>339400</v>
      </c>
      <c r="D3" s="32">
        <f>C3/$C$8</f>
        <v>9.8505311058672329E-2</v>
      </c>
      <c r="E3" s="51" t="s">
        <v>1</v>
      </c>
      <c r="F3" s="106">
        <f>C3/(C$3+C$4+C$5+C$7)</f>
        <v>0.12520032882608462</v>
      </c>
      <c r="G3" s="135"/>
      <c r="H3" s="135"/>
      <c r="I3" s="135"/>
      <c r="J3" s="135"/>
    </row>
    <row r="4" spans="1:23">
      <c r="B4" s="4" t="s">
        <v>2</v>
      </c>
      <c r="C4" s="30">
        <v>816349</v>
      </c>
      <c r="D4" s="32">
        <f>C4/$C$8</f>
        <v>0.23693197459468504</v>
      </c>
      <c r="E4" s="51" t="s">
        <v>2</v>
      </c>
      <c r="F4" s="106">
        <f>C4/(C$3+C$4+C$5+C$7)</f>
        <v>0.30114072845269696</v>
      </c>
      <c r="G4" s="135"/>
      <c r="H4" s="135"/>
      <c r="I4" s="135"/>
      <c r="J4" s="135"/>
    </row>
    <row r="5" spans="1:23">
      <c r="B5" s="4" t="s">
        <v>10</v>
      </c>
      <c r="C5" s="30">
        <v>878299.5</v>
      </c>
      <c r="D5" s="32">
        <f>C5/$C$8</f>
        <v>0.25491209619969468</v>
      </c>
      <c r="E5" s="51" t="s">
        <v>10</v>
      </c>
      <c r="F5" s="106">
        <f>C5/(C$3+C$4+C$5+C$7)</f>
        <v>0.32399347733584472</v>
      </c>
      <c r="G5" s="135"/>
      <c r="H5" s="135"/>
      <c r="I5" s="135"/>
      <c r="J5" s="135"/>
    </row>
    <row r="6" spans="1:23">
      <c r="B6" s="4" t="s">
        <v>54</v>
      </c>
      <c r="C6" s="30">
        <v>734644</v>
      </c>
      <c r="D6" s="32">
        <f>C6/$C$8</f>
        <v>0.21321843175423477</v>
      </c>
      <c r="E6" s="51"/>
      <c r="F6" s="106"/>
      <c r="G6" s="135"/>
      <c r="H6" s="135"/>
      <c r="I6" s="135"/>
      <c r="J6" s="135"/>
    </row>
    <row r="7" spans="1:23">
      <c r="B7" s="4" t="s">
        <v>3</v>
      </c>
      <c r="C7" s="30">
        <v>676807</v>
      </c>
      <c r="D7" s="32">
        <f>C7/$C$8</f>
        <v>0.19643218639271315</v>
      </c>
      <c r="E7" s="51" t="s">
        <v>3</v>
      </c>
      <c r="F7" s="106">
        <f>C7/(C$3+C$4+C$5+C$7)</f>
        <v>0.24966546538537374</v>
      </c>
      <c r="G7" s="135"/>
      <c r="H7" s="135"/>
      <c r="I7" s="135"/>
      <c r="J7" s="135"/>
    </row>
    <row r="8" spans="1:23">
      <c r="B8" s="4" t="s">
        <v>0</v>
      </c>
      <c r="C8" s="30">
        <f>SUM(C3:C7)</f>
        <v>3445499.5</v>
      </c>
      <c r="D8" s="17">
        <f>SUM(D3:D7)</f>
        <v>1</v>
      </c>
      <c r="E8" s="51" t="s">
        <v>0</v>
      </c>
      <c r="F8" s="106">
        <f>SUM(F3:F7)</f>
        <v>1</v>
      </c>
      <c r="G8" s="135"/>
      <c r="H8" s="135"/>
      <c r="I8" s="135"/>
      <c r="J8" s="135"/>
    </row>
    <row r="10" spans="1:23">
      <c r="B10" s="8" t="s">
        <v>7</v>
      </c>
      <c r="C10" t="s">
        <v>9</v>
      </c>
    </row>
    <row r="12" spans="1:23" s="36" customFormat="1"/>
    <row r="13" spans="1:23" s="36" customFormat="1"/>
    <row r="14" spans="1:23" s="36" customFormat="1">
      <c r="A14" s="58"/>
      <c r="Q14" s="59"/>
      <c r="V14" s="59"/>
    </row>
    <row r="15" spans="1:23" s="36" customFormat="1">
      <c r="C15" s="56"/>
      <c r="D15" s="56"/>
      <c r="E15" s="56"/>
      <c r="F15" s="56"/>
      <c r="G15" s="56"/>
      <c r="H15" s="56"/>
      <c r="I15" s="56"/>
      <c r="J15" s="56"/>
      <c r="K15" s="56"/>
      <c r="L15" s="56"/>
      <c r="M15" s="56"/>
      <c r="N15" s="56"/>
      <c r="O15" s="60"/>
    </row>
    <row r="16" spans="1:23" s="36" customFormat="1">
      <c r="C16" s="57"/>
      <c r="D16" s="57"/>
      <c r="E16" s="57"/>
      <c r="F16" s="57"/>
      <c r="G16" s="57"/>
      <c r="H16" s="57"/>
      <c r="I16" s="57"/>
      <c r="J16" s="57"/>
      <c r="K16" s="57"/>
      <c r="L16" s="57"/>
      <c r="M16" s="57"/>
      <c r="N16" s="57"/>
      <c r="O16" s="60"/>
      <c r="Q16" s="61"/>
      <c r="S16" s="62"/>
      <c r="V16" s="61"/>
      <c r="W16" s="62"/>
    </row>
    <row r="17" spans="3:23" s="36" customFormat="1">
      <c r="C17" s="57"/>
      <c r="D17" s="57"/>
      <c r="E17" s="57"/>
      <c r="F17" s="57"/>
      <c r="G17" s="57"/>
      <c r="H17" s="57"/>
      <c r="I17" s="57"/>
      <c r="J17" s="57"/>
      <c r="K17" s="57"/>
      <c r="L17" s="57"/>
      <c r="M17" s="57"/>
      <c r="N17" s="57"/>
      <c r="O17" s="60"/>
      <c r="Q17" s="61"/>
      <c r="S17" s="62"/>
      <c r="V17" s="61"/>
      <c r="W17" s="62"/>
    </row>
    <row r="18" spans="3:23" s="36" customFormat="1">
      <c r="C18" s="57"/>
      <c r="D18" s="57"/>
      <c r="E18" s="57"/>
      <c r="F18" s="57"/>
      <c r="G18" s="57"/>
      <c r="H18" s="57"/>
      <c r="I18" s="57"/>
      <c r="J18" s="57"/>
      <c r="K18" s="57"/>
      <c r="L18" s="57"/>
      <c r="M18" s="57"/>
      <c r="N18" s="57"/>
      <c r="O18" s="60"/>
      <c r="Q18" s="61"/>
      <c r="S18" s="62"/>
      <c r="V18" s="61"/>
      <c r="W18" s="62"/>
    </row>
    <row r="19" spans="3:23" s="36" customFormat="1">
      <c r="C19" s="57"/>
      <c r="D19" s="57"/>
      <c r="E19" s="57"/>
      <c r="F19" s="57"/>
      <c r="G19" s="57"/>
      <c r="H19" s="57"/>
      <c r="I19" s="57"/>
      <c r="J19" s="57"/>
      <c r="K19" s="57"/>
      <c r="L19" s="57"/>
      <c r="M19" s="57"/>
      <c r="N19" s="57"/>
      <c r="O19" s="60"/>
      <c r="Q19" s="61"/>
      <c r="S19" s="62"/>
      <c r="V19" s="61"/>
      <c r="W19" s="62"/>
    </row>
    <row r="20" spans="3:23" s="36" customFormat="1">
      <c r="C20" s="57"/>
      <c r="D20" s="57"/>
      <c r="E20" s="57"/>
      <c r="F20" s="57"/>
      <c r="G20" s="57"/>
      <c r="H20" s="57"/>
      <c r="I20" s="57"/>
      <c r="J20" s="57"/>
      <c r="K20" s="57"/>
      <c r="L20" s="57"/>
      <c r="M20" s="57"/>
      <c r="N20" s="57"/>
      <c r="O20" s="60"/>
      <c r="Q20" s="61"/>
      <c r="S20" s="62"/>
      <c r="V20" s="61"/>
      <c r="W20" s="62"/>
    </row>
    <row r="21" spans="3:23" s="36" customFormat="1">
      <c r="C21" s="57"/>
      <c r="D21" s="57"/>
      <c r="E21" s="57"/>
      <c r="F21" s="57"/>
      <c r="G21" s="57"/>
      <c r="H21" s="57"/>
      <c r="I21" s="57"/>
      <c r="J21" s="57"/>
      <c r="K21" s="57"/>
      <c r="L21" s="57"/>
      <c r="M21" s="57"/>
      <c r="N21" s="57"/>
      <c r="O21" s="60"/>
      <c r="P21" s="61"/>
      <c r="Q21" s="63"/>
      <c r="S21" s="64"/>
      <c r="V21" s="63"/>
      <c r="W21" s="64"/>
    </row>
    <row r="22" spans="3:23" s="36" customFormat="1">
      <c r="C22" s="65"/>
      <c r="D22" s="65"/>
      <c r="E22" s="65"/>
      <c r="F22" s="65"/>
      <c r="G22" s="65"/>
      <c r="H22" s="65"/>
      <c r="I22" s="65"/>
      <c r="J22" s="65"/>
      <c r="K22" s="65"/>
      <c r="L22" s="65"/>
      <c r="M22" s="65"/>
      <c r="N22" s="65"/>
      <c r="O22" s="61"/>
      <c r="P22" s="61"/>
      <c r="Q22" s="61"/>
    </row>
    <row r="23" spans="3:23" s="36" customFormat="1"/>
    <row r="24" spans="3:23" s="36" customFormat="1">
      <c r="C24" s="57"/>
      <c r="D24" s="57"/>
      <c r="E24" s="57"/>
      <c r="F24" s="57"/>
      <c r="G24" s="57"/>
      <c r="H24" s="57"/>
      <c r="I24" s="57"/>
      <c r="J24" s="57"/>
      <c r="K24" s="57"/>
      <c r="L24" s="57"/>
      <c r="M24" s="57"/>
      <c r="N24" s="57"/>
      <c r="O24" s="60"/>
    </row>
    <row r="25" spans="3:23" s="36" customFormat="1"/>
    <row r="26" spans="3:23" s="36" customFormat="1"/>
    <row r="27" spans="3:23" s="36" customFormat="1"/>
    <row r="28" spans="3:23" s="36" customFormat="1">
      <c r="Q28" s="66"/>
      <c r="R28" s="66"/>
      <c r="S28" s="62"/>
      <c r="T28" s="62"/>
    </row>
    <row r="29" spans="3:23" s="36" customFormat="1">
      <c r="Q29" s="66"/>
      <c r="R29" s="66"/>
      <c r="S29" s="62"/>
      <c r="T29" s="62"/>
    </row>
    <row r="30" spans="3:23" s="36" customFormat="1">
      <c r="Q30" s="66"/>
      <c r="R30" s="66"/>
      <c r="S30" s="62"/>
      <c r="T30" s="62"/>
    </row>
    <row r="31" spans="3:23" s="36" customFormat="1">
      <c r="Q31" s="66"/>
      <c r="R31" s="66"/>
      <c r="S31" s="62"/>
      <c r="T31" s="62"/>
    </row>
    <row r="32" spans="3:23" s="36" customFormat="1"/>
    <row r="33" s="36" customFormat="1"/>
    <row r="34" s="36" customForma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election activeCell="G33" sqref="G33"/>
    </sheetView>
  </sheetViews>
  <sheetFormatPr defaultColWidth="9.28515625" defaultRowHeight="15"/>
  <cols>
    <col min="1" max="1" width="59" style="73" bestFit="1" customWidth="1"/>
    <col min="2" max="4" width="10.28515625" bestFit="1" customWidth="1"/>
    <col min="5" max="9" width="11.5703125" bestFit="1" customWidth="1"/>
    <col min="10" max="10" width="11.7109375" customWidth="1"/>
    <col min="11" max="11" width="8.7109375" bestFit="1" customWidth="1"/>
    <col min="15" max="15" width="7" customWidth="1"/>
  </cols>
  <sheetData>
    <row r="1" spans="1:17" ht="15.75" thickBot="1">
      <c r="A1" s="71"/>
      <c r="B1" s="72">
        <v>2005</v>
      </c>
      <c r="C1" s="72">
        <v>2006</v>
      </c>
      <c r="D1" s="72">
        <v>2007</v>
      </c>
      <c r="E1" s="72">
        <v>2008</v>
      </c>
      <c r="F1" s="72">
        <v>2009</v>
      </c>
      <c r="G1" s="72">
        <v>2010</v>
      </c>
      <c r="H1" s="72">
        <v>2011</v>
      </c>
      <c r="I1" s="72">
        <v>2012</v>
      </c>
      <c r="J1" s="72">
        <v>2013</v>
      </c>
      <c r="K1" s="72">
        <v>2014</v>
      </c>
      <c r="L1" s="72">
        <v>2015</v>
      </c>
      <c r="M1" s="72">
        <v>2016</v>
      </c>
      <c r="N1" s="72">
        <v>2017</v>
      </c>
      <c r="O1" s="72">
        <v>2018</v>
      </c>
      <c r="P1" s="72">
        <v>2019</v>
      </c>
    </row>
    <row r="2" spans="1:17">
      <c r="A2" s="73" t="s">
        <v>79</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74">
        <v>12</v>
      </c>
    </row>
    <row r="3" spans="1:17">
      <c r="A3" s="73" t="s">
        <v>80</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74">
        <v>6</v>
      </c>
    </row>
    <row r="4" spans="1:17">
      <c r="A4" s="73" t="s">
        <v>81</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74">
        <v>12</v>
      </c>
    </row>
    <row r="6" spans="1:17">
      <c r="C6" t="s">
        <v>82</v>
      </c>
      <c r="D6" t="s">
        <v>83</v>
      </c>
      <c r="E6" t="s">
        <v>84</v>
      </c>
      <c r="F6" t="s">
        <v>16</v>
      </c>
      <c r="G6" t="s">
        <v>17</v>
      </c>
      <c r="H6" t="s">
        <v>18</v>
      </c>
      <c r="I6" t="s">
        <v>19</v>
      </c>
      <c r="J6" t="s">
        <v>20</v>
      </c>
      <c r="K6" t="s">
        <v>22</v>
      </c>
      <c r="L6" s="1" t="s">
        <v>62</v>
      </c>
      <c r="M6" s="1" t="s">
        <v>63</v>
      </c>
      <c r="N6" s="1" t="s">
        <v>64</v>
      </c>
      <c r="O6" s="1" t="s">
        <v>65</v>
      </c>
      <c r="P6" s="1" t="s">
        <v>85</v>
      </c>
    </row>
    <row r="7" spans="1:17">
      <c r="C7">
        <v>2006</v>
      </c>
      <c r="D7">
        <v>2007</v>
      </c>
      <c r="E7">
        <v>2008</v>
      </c>
      <c r="F7">
        <v>2009</v>
      </c>
      <c r="G7">
        <v>2010</v>
      </c>
      <c r="H7">
        <v>2011</v>
      </c>
      <c r="I7">
        <v>2012</v>
      </c>
      <c r="J7">
        <v>2013</v>
      </c>
      <c r="K7">
        <v>2014</v>
      </c>
      <c r="L7">
        <v>2015</v>
      </c>
      <c r="M7">
        <v>2016</v>
      </c>
      <c r="N7">
        <v>2017</v>
      </c>
      <c r="O7">
        <v>2018</v>
      </c>
      <c r="P7">
        <v>2019</v>
      </c>
    </row>
    <row r="8" spans="1:17">
      <c r="A8" s="73" t="s">
        <v>86</v>
      </c>
      <c r="C8" s="75">
        <f t="shared" ref="C8:P8" si="2">$L$3/B2</f>
        <v>1.2828162291169452</v>
      </c>
      <c r="D8" s="75">
        <f t="shared" si="2"/>
        <v>1.2413394919168592</v>
      </c>
      <c r="E8" s="75">
        <f t="shared" si="2"/>
        <v>1.2065095398428733</v>
      </c>
      <c r="F8" s="75">
        <f>$L$3/E2</f>
        <v>1.1634199134199132</v>
      </c>
      <c r="G8" s="75">
        <f t="shared" si="2"/>
        <v>1.1399787910922587</v>
      </c>
      <c r="H8" s="75">
        <f t="shared" si="2"/>
        <v>1.1093911248710009</v>
      </c>
      <c r="I8" s="75">
        <f t="shared" si="2"/>
        <v>1.0771543086172346</v>
      </c>
      <c r="J8" s="75">
        <f t="shared" si="2"/>
        <v>1.053921568627451</v>
      </c>
      <c r="K8" s="75">
        <f t="shared" si="2"/>
        <v>1.0257633587786259</v>
      </c>
      <c r="L8" s="75">
        <f t="shared" si="2"/>
        <v>1.0084427767354598</v>
      </c>
      <c r="M8" s="75">
        <f t="shared" si="2"/>
        <v>0.99169741697416969</v>
      </c>
      <c r="N8" s="75">
        <f t="shared" si="2"/>
        <v>0.97727272727272729</v>
      </c>
      <c r="O8" s="75">
        <f t="shared" si="2"/>
        <v>0.95896520963425513</v>
      </c>
      <c r="P8" s="75">
        <f t="shared" si="2"/>
        <v>0.94215600350569684</v>
      </c>
    </row>
    <row r="9" spans="1:17">
      <c r="A9" s="73" t="s">
        <v>87</v>
      </c>
      <c r="C9" s="75">
        <f t="shared" ref="C9:P9" si="3">$L$3/C3</f>
        <v>1.2514551804423748</v>
      </c>
      <c r="D9" s="75">
        <f t="shared" si="3"/>
        <v>1.225769669327252</v>
      </c>
      <c r="E9" s="75">
        <f t="shared" si="3"/>
        <v>1.1735807860262009</v>
      </c>
      <c r="F9" s="75">
        <f t="shared" si="3"/>
        <v>1.1571582346609257</v>
      </c>
      <c r="G9" s="75">
        <f t="shared" si="3"/>
        <v>1.1221294363256786</v>
      </c>
      <c r="H9" s="75">
        <f t="shared" si="3"/>
        <v>1.0836693548387097</v>
      </c>
      <c r="I9" s="75">
        <f t="shared" si="3"/>
        <v>1.0707171314741035</v>
      </c>
      <c r="J9" s="75">
        <f t="shared" si="3"/>
        <v>1.0457198443579767</v>
      </c>
      <c r="K9" s="75">
        <f t="shared" si="3"/>
        <v>1.0151085930122756</v>
      </c>
      <c r="L9" s="75">
        <f t="shared" si="3"/>
        <v>1</v>
      </c>
      <c r="M9" s="75">
        <f t="shared" si="3"/>
        <v>0.98987108655616951</v>
      </c>
      <c r="N9" s="75">
        <f t="shared" si="3"/>
        <v>0.97109304426377596</v>
      </c>
      <c r="O9" s="75">
        <f t="shared" si="3"/>
        <v>0.95132743362831862</v>
      </c>
      <c r="P9" s="75">
        <f t="shared" si="3"/>
        <v>0.93641114982578399</v>
      </c>
    </row>
    <row r="11" spans="1:17" ht="15.75" thickBot="1">
      <c r="B11" s="72" t="s">
        <v>88</v>
      </c>
      <c r="C11" s="72"/>
      <c r="D11" s="72"/>
      <c r="E11" s="72"/>
      <c r="F11" s="72"/>
      <c r="G11" s="72"/>
      <c r="H11" s="72"/>
      <c r="I11" s="72"/>
      <c r="J11" s="72"/>
      <c r="K11" s="72"/>
      <c r="L11" s="72"/>
      <c r="M11" s="72"/>
    </row>
    <row r="12" spans="1:17">
      <c r="C12" s="76"/>
      <c r="G12" t="s">
        <v>89</v>
      </c>
    </row>
    <row r="13" spans="1:17">
      <c r="B13" s="77">
        <v>37986</v>
      </c>
      <c r="C13">
        <v>79.5</v>
      </c>
      <c r="D13">
        <f t="shared" ref="D13:D76" si="4">YEAR(B13)</f>
        <v>2003</v>
      </c>
      <c r="E13">
        <f t="shared" ref="E13:E76" si="5">MONTH(B13)</f>
        <v>12</v>
      </c>
      <c r="G13" t="s">
        <v>90</v>
      </c>
    </row>
    <row r="14" spans="1:17">
      <c r="B14" s="77">
        <v>38077</v>
      </c>
      <c r="C14">
        <v>80.2</v>
      </c>
      <c r="D14">
        <f t="shared" si="4"/>
        <v>2004</v>
      </c>
      <c r="E14">
        <f t="shared" si="5"/>
        <v>3</v>
      </c>
      <c r="G14" t="s">
        <v>91</v>
      </c>
    </row>
    <row r="15" spans="1:17">
      <c r="B15" s="77">
        <v>38168</v>
      </c>
      <c r="C15">
        <v>80.599999999999994</v>
      </c>
      <c r="D15">
        <f t="shared" si="4"/>
        <v>2004</v>
      </c>
      <c r="E15">
        <f t="shared" si="5"/>
        <v>6</v>
      </c>
      <c r="G15" t="s">
        <v>92</v>
      </c>
    </row>
    <row r="16" spans="1:17">
      <c r="B16" s="77">
        <v>38260</v>
      </c>
      <c r="C16">
        <v>80.900000000000006</v>
      </c>
      <c r="D16">
        <f t="shared" si="4"/>
        <v>2004</v>
      </c>
      <c r="E16">
        <f t="shared" si="5"/>
        <v>9</v>
      </c>
      <c r="G16" t="s">
        <v>93</v>
      </c>
    </row>
    <row r="17" spans="2:7">
      <c r="B17" s="77">
        <v>38352</v>
      </c>
      <c r="C17">
        <v>81.5</v>
      </c>
      <c r="D17">
        <f t="shared" si="4"/>
        <v>2004</v>
      </c>
      <c r="E17">
        <f t="shared" si="5"/>
        <v>12</v>
      </c>
      <c r="G17">
        <v>3</v>
      </c>
    </row>
    <row r="18" spans="2:7">
      <c r="B18" s="77">
        <v>38442</v>
      </c>
      <c r="C18">
        <v>82.1</v>
      </c>
      <c r="D18">
        <f t="shared" si="4"/>
        <v>2005</v>
      </c>
      <c r="E18">
        <f t="shared" si="5"/>
        <v>3</v>
      </c>
      <c r="G18" s="78">
        <v>17777</v>
      </c>
    </row>
    <row r="19" spans="2:7">
      <c r="B19" s="77">
        <v>38533</v>
      </c>
      <c r="C19">
        <v>82.6</v>
      </c>
      <c r="D19">
        <f t="shared" si="4"/>
        <v>2005</v>
      </c>
      <c r="E19">
        <f t="shared" si="5"/>
        <v>6</v>
      </c>
      <c r="G19" s="78">
        <v>42887</v>
      </c>
    </row>
    <row r="20" spans="2:7">
      <c r="B20" s="77">
        <v>38625</v>
      </c>
      <c r="C20">
        <v>83.4</v>
      </c>
      <c r="D20">
        <f t="shared" si="4"/>
        <v>2005</v>
      </c>
      <c r="E20">
        <f t="shared" si="5"/>
        <v>9</v>
      </c>
      <c r="G20">
        <v>276</v>
      </c>
    </row>
    <row r="21" spans="2:7">
      <c r="B21" s="77">
        <v>38717</v>
      </c>
      <c r="C21">
        <v>83.8</v>
      </c>
      <c r="D21">
        <f t="shared" si="4"/>
        <v>2005</v>
      </c>
      <c r="E21">
        <f t="shared" si="5"/>
        <v>12</v>
      </c>
      <c r="G21" t="s">
        <v>94</v>
      </c>
    </row>
    <row r="22" spans="2:7">
      <c r="B22" s="77">
        <v>38807</v>
      </c>
      <c r="C22">
        <v>84.5</v>
      </c>
      <c r="D22">
        <f t="shared" si="4"/>
        <v>2006</v>
      </c>
      <c r="E22">
        <f t="shared" si="5"/>
        <v>3</v>
      </c>
    </row>
    <row r="23" spans="2:7">
      <c r="B23" s="77">
        <v>38898</v>
      </c>
      <c r="C23">
        <v>85.9</v>
      </c>
      <c r="D23">
        <f t="shared" si="4"/>
        <v>2006</v>
      </c>
      <c r="E23">
        <f t="shared" si="5"/>
        <v>6</v>
      </c>
    </row>
    <row r="24" spans="2:7">
      <c r="B24" s="77">
        <v>38990</v>
      </c>
      <c r="C24">
        <v>86.7</v>
      </c>
      <c r="D24">
        <f t="shared" si="4"/>
        <v>2006</v>
      </c>
      <c r="E24">
        <f t="shared" si="5"/>
        <v>9</v>
      </c>
    </row>
    <row r="25" spans="2:7">
      <c r="B25" s="77">
        <v>39082</v>
      </c>
      <c r="C25">
        <v>86.6</v>
      </c>
      <c r="D25">
        <f t="shared" si="4"/>
        <v>2006</v>
      </c>
      <c r="E25">
        <f t="shared" si="5"/>
        <v>12</v>
      </c>
    </row>
    <row r="26" spans="2:7">
      <c r="B26" s="77">
        <v>39172</v>
      </c>
      <c r="C26">
        <v>86.6</v>
      </c>
      <c r="D26">
        <f t="shared" si="4"/>
        <v>2007</v>
      </c>
      <c r="E26">
        <f t="shared" si="5"/>
        <v>3</v>
      </c>
    </row>
    <row r="27" spans="2:7">
      <c r="B27" s="77">
        <v>39263</v>
      </c>
      <c r="C27">
        <v>87.7</v>
      </c>
      <c r="D27">
        <f t="shared" si="4"/>
        <v>2007</v>
      </c>
      <c r="E27">
        <f t="shared" si="5"/>
        <v>6</v>
      </c>
    </row>
    <row r="28" spans="2:7">
      <c r="B28" s="77">
        <v>39355</v>
      </c>
      <c r="C28">
        <v>88.3</v>
      </c>
      <c r="D28">
        <f t="shared" si="4"/>
        <v>2007</v>
      </c>
      <c r="E28">
        <f t="shared" si="5"/>
        <v>9</v>
      </c>
    </row>
    <row r="29" spans="2:7">
      <c r="B29" s="77">
        <v>39447</v>
      </c>
      <c r="C29">
        <v>89.1</v>
      </c>
      <c r="D29">
        <f t="shared" si="4"/>
        <v>2007</v>
      </c>
      <c r="E29">
        <f t="shared" si="5"/>
        <v>12</v>
      </c>
    </row>
    <row r="30" spans="2:7">
      <c r="B30" s="77">
        <v>39538</v>
      </c>
      <c r="C30">
        <v>90.3</v>
      </c>
      <c r="D30">
        <f t="shared" si="4"/>
        <v>2008</v>
      </c>
      <c r="E30">
        <f t="shared" si="5"/>
        <v>3</v>
      </c>
    </row>
    <row r="31" spans="2:7">
      <c r="B31" s="77">
        <v>39629</v>
      </c>
      <c r="C31">
        <v>91.6</v>
      </c>
      <c r="D31">
        <f t="shared" si="4"/>
        <v>2008</v>
      </c>
      <c r="E31">
        <f t="shared" si="5"/>
        <v>6</v>
      </c>
    </row>
    <row r="32" spans="2:7">
      <c r="B32" s="77">
        <v>39721</v>
      </c>
      <c r="C32">
        <v>92.7</v>
      </c>
      <c r="D32">
        <f t="shared" si="4"/>
        <v>2008</v>
      </c>
      <c r="E32">
        <f t="shared" si="5"/>
        <v>9</v>
      </c>
    </row>
    <row r="33" spans="2:5">
      <c r="B33" s="77">
        <v>39813</v>
      </c>
      <c r="C33">
        <v>92.4</v>
      </c>
      <c r="D33">
        <f t="shared" si="4"/>
        <v>2008</v>
      </c>
      <c r="E33">
        <f t="shared" si="5"/>
        <v>12</v>
      </c>
    </row>
    <row r="34" spans="2:5">
      <c r="B34" s="77">
        <v>39903</v>
      </c>
      <c r="C34">
        <v>92.5</v>
      </c>
      <c r="D34">
        <f t="shared" si="4"/>
        <v>2009</v>
      </c>
      <c r="E34">
        <f t="shared" si="5"/>
        <v>3</v>
      </c>
    </row>
    <row r="35" spans="2:5">
      <c r="B35" s="77">
        <v>39994</v>
      </c>
      <c r="C35">
        <v>92.9</v>
      </c>
      <c r="D35">
        <f t="shared" si="4"/>
        <v>2009</v>
      </c>
      <c r="E35">
        <f t="shared" si="5"/>
        <v>6</v>
      </c>
    </row>
    <row r="36" spans="2:5">
      <c r="B36" s="77">
        <v>40086</v>
      </c>
      <c r="C36">
        <v>93.8</v>
      </c>
      <c r="D36">
        <f t="shared" si="4"/>
        <v>2009</v>
      </c>
      <c r="E36">
        <f t="shared" si="5"/>
        <v>9</v>
      </c>
    </row>
    <row r="37" spans="2:5">
      <c r="B37" s="77">
        <v>40178</v>
      </c>
      <c r="C37">
        <v>94.3</v>
      </c>
      <c r="D37">
        <f t="shared" si="4"/>
        <v>2009</v>
      </c>
      <c r="E37">
        <f t="shared" si="5"/>
        <v>12</v>
      </c>
    </row>
    <row r="38" spans="2:5">
      <c r="B38" s="77">
        <v>40268</v>
      </c>
      <c r="C38">
        <v>95.2</v>
      </c>
      <c r="D38">
        <f t="shared" si="4"/>
        <v>2010</v>
      </c>
      <c r="E38">
        <f t="shared" si="5"/>
        <v>3</v>
      </c>
    </row>
    <row r="39" spans="2:5">
      <c r="B39" s="77">
        <v>40359</v>
      </c>
      <c r="C39">
        <v>95.8</v>
      </c>
      <c r="D39">
        <f t="shared" si="4"/>
        <v>2010</v>
      </c>
      <c r="E39">
        <f t="shared" si="5"/>
        <v>6</v>
      </c>
    </row>
    <row r="40" spans="2:5">
      <c r="B40" s="77">
        <v>40451</v>
      </c>
      <c r="C40">
        <v>96.5</v>
      </c>
      <c r="D40">
        <f t="shared" si="4"/>
        <v>2010</v>
      </c>
      <c r="E40">
        <f t="shared" si="5"/>
        <v>9</v>
      </c>
    </row>
    <row r="41" spans="2:5">
      <c r="B41" s="77">
        <v>40543</v>
      </c>
      <c r="C41">
        <v>96.9</v>
      </c>
      <c r="D41">
        <f t="shared" si="4"/>
        <v>2010</v>
      </c>
      <c r="E41">
        <f t="shared" si="5"/>
        <v>12</v>
      </c>
    </row>
    <row r="42" spans="2:5">
      <c r="B42" s="77">
        <v>40633</v>
      </c>
      <c r="C42">
        <v>98.3</v>
      </c>
      <c r="D42">
        <f t="shared" si="4"/>
        <v>2011</v>
      </c>
      <c r="E42">
        <f t="shared" si="5"/>
        <v>3</v>
      </c>
    </row>
    <row r="43" spans="2:5">
      <c r="B43" s="77">
        <v>40724</v>
      </c>
      <c r="C43">
        <v>99.2</v>
      </c>
      <c r="D43">
        <f t="shared" si="4"/>
        <v>2011</v>
      </c>
      <c r="E43">
        <f t="shared" si="5"/>
        <v>6</v>
      </c>
    </row>
    <row r="44" spans="2:5">
      <c r="B44" s="77">
        <v>40816</v>
      </c>
      <c r="C44">
        <v>99.8</v>
      </c>
      <c r="D44">
        <f t="shared" si="4"/>
        <v>2011</v>
      </c>
      <c r="E44">
        <f t="shared" si="5"/>
        <v>9</v>
      </c>
    </row>
    <row r="45" spans="2:5">
      <c r="B45" s="77">
        <v>40908</v>
      </c>
      <c r="C45">
        <v>99.8</v>
      </c>
      <c r="D45">
        <f t="shared" si="4"/>
        <v>2011</v>
      </c>
      <c r="E45">
        <f t="shared" si="5"/>
        <v>12</v>
      </c>
    </row>
    <row r="46" spans="2:5">
      <c r="B46" s="77">
        <v>40999</v>
      </c>
      <c r="C46">
        <v>99.9</v>
      </c>
      <c r="D46">
        <f t="shared" si="4"/>
        <v>2012</v>
      </c>
      <c r="E46">
        <f t="shared" si="5"/>
        <v>3</v>
      </c>
    </row>
    <row r="47" spans="2:5">
      <c r="B47" s="77">
        <v>41090</v>
      </c>
      <c r="C47">
        <v>100.4</v>
      </c>
      <c r="D47">
        <f t="shared" si="4"/>
        <v>2012</v>
      </c>
      <c r="E47">
        <f t="shared" si="5"/>
        <v>6</v>
      </c>
    </row>
    <row r="48" spans="2:5">
      <c r="B48" s="77">
        <v>41182</v>
      </c>
      <c r="C48">
        <v>101.8</v>
      </c>
      <c r="D48">
        <f t="shared" si="4"/>
        <v>2012</v>
      </c>
      <c r="E48">
        <f t="shared" si="5"/>
        <v>9</v>
      </c>
    </row>
    <row r="49" spans="2:5">
      <c r="B49" s="77">
        <v>41274</v>
      </c>
      <c r="C49">
        <v>102</v>
      </c>
      <c r="D49">
        <f t="shared" si="4"/>
        <v>2012</v>
      </c>
      <c r="E49">
        <f t="shared" si="5"/>
        <v>12</v>
      </c>
    </row>
    <row r="50" spans="2:5">
      <c r="B50" s="77">
        <v>41364</v>
      </c>
      <c r="C50">
        <v>102.4</v>
      </c>
      <c r="D50">
        <f t="shared" si="4"/>
        <v>2013</v>
      </c>
      <c r="E50">
        <f t="shared" si="5"/>
        <v>3</v>
      </c>
    </row>
    <row r="51" spans="2:5">
      <c r="B51" s="77">
        <v>41455</v>
      </c>
      <c r="C51">
        <v>102.8</v>
      </c>
      <c r="D51">
        <f t="shared" si="4"/>
        <v>2013</v>
      </c>
      <c r="E51">
        <f t="shared" si="5"/>
        <v>6</v>
      </c>
    </row>
    <row r="52" spans="2:5">
      <c r="B52" s="77">
        <v>41547</v>
      </c>
      <c r="C52">
        <v>104</v>
      </c>
      <c r="D52">
        <f t="shared" si="4"/>
        <v>2013</v>
      </c>
      <c r="E52">
        <f t="shared" si="5"/>
        <v>9</v>
      </c>
    </row>
    <row r="53" spans="2:5">
      <c r="B53" s="77">
        <v>41639</v>
      </c>
      <c r="C53">
        <v>104.8</v>
      </c>
      <c r="D53">
        <f t="shared" si="4"/>
        <v>2013</v>
      </c>
      <c r="E53">
        <f t="shared" si="5"/>
        <v>12</v>
      </c>
    </row>
    <row r="54" spans="2:5">
      <c r="B54" s="77">
        <v>41729</v>
      </c>
      <c r="C54">
        <v>105.4</v>
      </c>
      <c r="D54">
        <f t="shared" si="4"/>
        <v>2014</v>
      </c>
      <c r="E54">
        <f t="shared" si="5"/>
        <v>3</v>
      </c>
    </row>
    <row r="55" spans="2:5">
      <c r="B55" s="77">
        <v>41820</v>
      </c>
      <c r="C55">
        <v>105.9</v>
      </c>
      <c r="D55">
        <f t="shared" si="4"/>
        <v>2014</v>
      </c>
      <c r="E55">
        <f t="shared" si="5"/>
        <v>6</v>
      </c>
    </row>
    <row r="56" spans="2:5">
      <c r="B56" s="77">
        <v>41912</v>
      </c>
      <c r="C56">
        <v>106.4</v>
      </c>
      <c r="D56">
        <f t="shared" si="4"/>
        <v>2014</v>
      </c>
      <c r="E56">
        <f t="shared" si="5"/>
        <v>9</v>
      </c>
    </row>
    <row r="57" spans="2:5">
      <c r="B57" s="77">
        <v>42004</v>
      </c>
      <c r="C57">
        <v>106.6</v>
      </c>
      <c r="D57">
        <f t="shared" si="4"/>
        <v>2014</v>
      </c>
      <c r="E57">
        <f t="shared" si="5"/>
        <v>12</v>
      </c>
    </row>
    <row r="58" spans="2:5">
      <c r="B58" s="77">
        <v>42094</v>
      </c>
      <c r="C58">
        <v>106.8</v>
      </c>
      <c r="D58">
        <f t="shared" si="4"/>
        <v>2015</v>
      </c>
      <c r="E58">
        <f t="shared" si="5"/>
        <v>3</v>
      </c>
    </row>
    <row r="59" spans="2:5">
      <c r="B59" s="77">
        <v>42185</v>
      </c>
      <c r="C59">
        <v>107.5</v>
      </c>
      <c r="D59">
        <f t="shared" si="4"/>
        <v>2015</v>
      </c>
      <c r="E59">
        <f t="shared" si="5"/>
        <v>6</v>
      </c>
    </row>
    <row r="60" spans="2:5">
      <c r="B60" s="77">
        <v>42277</v>
      </c>
      <c r="C60">
        <v>108</v>
      </c>
      <c r="D60">
        <f t="shared" si="4"/>
        <v>2015</v>
      </c>
      <c r="E60">
        <f t="shared" si="5"/>
        <v>9</v>
      </c>
    </row>
    <row r="61" spans="2:5">
      <c r="B61" s="77">
        <v>42369</v>
      </c>
      <c r="C61">
        <v>108.4</v>
      </c>
      <c r="D61">
        <f t="shared" si="4"/>
        <v>2015</v>
      </c>
      <c r="E61">
        <f t="shared" si="5"/>
        <v>12</v>
      </c>
    </row>
    <row r="62" spans="2:5">
      <c r="B62" s="77">
        <v>42460</v>
      </c>
      <c r="C62">
        <v>108.2</v>
      </c>
      <c r="D62">
        <f t="shared" si="4"/>
        <v>2016</v>
      </c>
      <c r="E62">
        <f t="shared" si="5"/>
        <v>3</v>
      </c>
    </row>
    <row r="63" spans="2:5">
      <c r="B63" s="77">
        <v>42551</v>
      </c>
      <c r="C63">
        <v>108.6</v>
      </c>
      <c r="D63">
        <f t="shared" si="4"/>
        <v>2016</v>
      </c>
      <c r="E63">
        <f t="shared" si="5"/>
        <v>6</v>
      </c>
    </row>
    <row r="64" spans="2:5">
      <c r="B64" s="77">
        <v>42643</v>
      </c>
      <c r="C64">
        <v>109.4</v>
      </c>
      <c r="D64">
        <f t="shared" si="4"/>
        <v>2016</v>
      </c>
      <c r="E64">
        <f t="shared" si="5"/>
        <v>9</v>
      </c>
    </row>
    <row r="65" spans="1:5">
      <c r="B65" s="77">
        <v>42735</v>
      </c>
      <c r="C65">
        <v>110</v>
      </c>
      <c r="D65">
        <f t="shared" si="4"/>
        <v>2016</v>
      </c>
      <c r="E65">
        <f t="shared" si="5"/>
        <v>12</v>
      </c>
    </row>
    <row r="66" spans="1:5">
      <c r="B66" s="77">
        <v>42825</v>
      </c>
      <c r="C66">
        <v>110.5</v>
      </c>
      <c r="D66">
        <f t="shared" si="4"/>
        <v>2017</v>
      </c>
      <c r="E66">
        <f t="shared" si="5"/>
        <v>3</v>
      </c>
    </row>
    <row r="67" spans="1:5">
      <c r="B67" s="77">
        <v>42916</v>
      </c>
      <c r="C67">
        <v>110.7</v>
      </c>
      <c r="D67">
        <f t="shared" si="4"/>
        <v>2017</v>
      </c>
      <c r="E67">
        <f t="shared" si="5"/>
        <v>6</v>
      </c>
    </row>
    <row r="68" spans="1:5">
      <c r="B68" s="77">
        <v>42979</v>
      </c>
      <c r="C68">
        <v>111.4</v>
      </c>
      <c r="D68">
        <f t="shared" si="4"/>
        <v>2017</v>
      </c>
      <c r="E68">
        <f t="shared" si="5"/>
        <v>9</v>
      </c>
    </row>
    <row r="69" spans="1:5">
      <c r="B69" s="77">
        <v>43070</v>
      </c>
      <c r="C69">
        <v>112.1</v>
      </c>
      <c r="D69">
        <f t="shared" si="4"/>
        <v>2017</v>
      </c>
      <c r="E69">
        <f t="shared" si="5"/>
        <v>12</v>
      </c>
    </row>
    <row r="70" spans="1:5">
      <c r="B70" s="77">
        <v>43160</v>
      </c>
      <c r="C70">
        <v>112.6</v>
      </c>
      <c r="D70">
        <f t="shared" si="4"/>
        <v>2018</v>
      </c>
      <c r="E70">
        <f t="shared" si="5"/>
        <v>3</v>
      </c>
    </row>
    <row r="71" spans="1:5">
      <c r="B71" s="77">
        <v>43252</v>
      </c>
      <c r="C71">
        <v>113</v>
      </c>
      <c r="D71">
        <f t="shared" si="4"/>
        <v>2018</v>
      </c>
      <c r="E71">
        <f t="shared" si="5"/>
        <v>6</v>
      </c>
    </row>
    <row r="72" spans="1:5">
      <c r="B72" s="77">
        <v>43344</v>
      </c>
      <c r="C72">
        <v>113.5</v>
      </c>
      <c r="D72">
        <f t="shared" si="4"/>
        <v>2018</v>
      </c>
      <c r="E72">
        <f t="shared" si="5"/>
        <v>9</v>
      </c>
    </row>
    <row r="73" spans="1:5">
      <c r="B73" s="77">
        <v>43435</v>
      </c>
      <c r="C73">
        <v>114.1</v>
      </c>
      <c r="D73">
        <f t="shared" si="4"/>
        <v>2018</v>
      </c>
      <c r="E73">
        <f t="shared" si="5"/>
        <v>12</v>
      </c>
    </row>
    <row r="74" spans="1:5">
      <c r="B74" s="77">
        <v>43525</v>
      </c>
      <c r="C74">
        <v>114.1</v>
      </c>
      <c r="D74">
        <f t="shared" si="4"/>
        <v>2019</v>
      </c>
      <c r="E74">
        <f t="shared" si="5"/>
        <v>3</v>
      </c>
    </row>
    <row r="75" spans="1:5">
      <c r="B75" s="77">
        <v>43617</v>
      </c>
      <c r="C75">
        <v>114.8</v>
      </c>
      <c r="D75">
        <f t="shared" si="4"/>
        <v>2019</v>
      </c>
      <c r="E75">
        <f t="shared" si="5"/>
        <v>6</v>
      </c>
    </row>
    <row r="76" spans="1:5">
      <c r="B76" s="77">
        <v>43709</v>
      </c>
      <c r="C76">
        <v>115.4</v>
      </c>
      <c r="D76">
        <f t="shared" si="4"/>
        <v>2019</v>
      </c>
      <c r="E76">
        <f t="shared" si="5"/>
        <v>9</v>
      </c>
    </row>
    <row r="77" spans="1:5">
      <c r="B77" s="77">
        <v>43800</v>
      </c>
    </row>
    <row r="79" spans="1:5">
      <c r="A79" s="95" t="s">
        <v>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Divison of responsibility</vt:lpstr>
      <vt:lpstr>Bushfire obligations</vt:lpstr>
      <vt:lpstr>Bushfire obligations source</vt:lpstr>
      <vt:lpstr>Customer weights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2020-09-28T03:57:57Z</dcterms:created>
  <dcterms:modified xsi:type="dcterms:W3CDTF">2020-09-28T03:58:05Z</dcterms:modified>
</cp:coreProperties>
</file>