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552" windowHeight="3120" tabRatio="691" firstSheet="6" activeTab="6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D10" i="4" s="1"/>
  <c r="D12" i="4" s="1"/>
  <c r="K12" i="3"/>
  <c r="G10" i="4" s="1"/>
  <c r="G12" i="4" s="1"/>
  <c r="H29" i="3"/>
  <c r="A5" i="14"/>
  <c r="A6" i="14" s="1"/>
  <c r="A7" i="14" s="1"/>
  <c r="A8" i="14" s="1"/>
  <c r="A9" i="14" s="1"/>
  <c r="A10" i="14" s="1"/>
  <c r="D18" i="2"/>
  <c r="E18" i="2" s="1"/>
  <c r="F18" i="2" s="1"/>
  <c r="G18" i="2" s="1"/>
  <c r="H18" i="2" s="1"/>
  <c r="G7" i="13"/>
  <c r="F7" i="13" s="1"/>
  <c r="F30" i="3" s="1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H23" i="3" s="1"/>
  <c r="I16" i="3"/>
  <c r="I23" i="3" s="1"/>
  <c r="I12" i="3"/>
  <c r="E10" i="4" s="1"/>
  <c r="E12" i="4" s="1"/>
  <c r="L16" i="3"/>
  <c r="L23" i="3" s="1"/>
  <c r="K16" i="3"/>
  <c r="K23" i="3" s="1"/>
  <c r="J16" i="3"/>
  <c r="J23" i="3" s="1"/>
  <c r="J12" i="3"/>
  <c r="G22" i="13"/>
  <c r="D9" i="4" s="1"/>
  <c r="H22" i="13"/>
  <c r="I22" i="13"/>
  <c r="J22" i="13"/>
  <c r="K22" i="13"/>
  <c r="H9" i="4"/>
  <c r="H8" i="4"/>
  <c r="G19" i="4"/>
  <c r="N14" i="13"/>
  <c r="E9" i="4"/>
  <c r="N9" i="13"/>
  <c r="O9" i="13" s="1"/>
  <c r="P9" i="13" s="1"/>
  <c r="Q9" i="13" s="1"/>
  <c r="C15" i="13"/>
  <c r="G15" i="13"/>
  <c r="H15" i="13" s="1"/>
  <c r="I15" i="13" s="1"/>
  <c r="J15" i="13" s="1"/>
  <c r="K15" i="13" s="1"/>
  <c r="L15" i="13" s="1"/>
  <c r="M15" i="13" s="1"/>
  <c r="C10" i="13"/>
  <c r="G8" i="4"/>
  <c r="F8" i="4"/>
  <c r="E8" i="4"/>
  <c r="F9" i="4"/>
  <c r="B1" i="2"/>
  <c r="B1" i="10" s="1"/>
  <c r="G9" i="4"/>
  <c r="D41" i="4"/>
  <c r="J6" i="10" s="1"/>
  <c r="F8" i="10" s="1"/>
  <c r="E41" i="4"/>
  <c r="K6" i="10" s="1"/>
  <c r="F41" i="4"/>
  <c r="L6" i="10" s="1"/>
  <c r="G41" i="4"/>
  <c r="M6" i="10" s="1"/>
  <c r="H41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3" i="4"/>
  <c r="C45" i="4"/>
  <c r="G10" i="13"/>
  <c r="H10" i="13" s="1"/>
  <c r="I10" i="13" s="1"/>
  <c r="J10" i="13" s="1"/>
  <c r="K10" i="13" s="1"/>
  <c r="L10" i="13" s="1"/>
  <c r="F10" i="4"/>
  <c r="F12" i="4" s="1"/>
  <c r="G11" i="4"/>
  <c r="F11" i="4"/>
  <c r="E11" i="4"/>
  <c r="F19" i="4"/>
  <c r="E19" i="4" s="1"/>
  <c r="D19" i="4" s="1"/>
  <c r="O14" i="13"/>
  <c r="N15" i="13"/>
  <c r="B1" i="5"/>
  <c r="B1" i="3"/>
  <c r="B1" i="13"/>
  <c r="B1" i="4"/>
  <c r="M10" i="13"/>
  <c r="H30" i="3"/>
  <c r="H31" i="3" s="1"/>
  <c r="D26" i="4" s="1"/>
  <c r="D21" i="4"/>
  <c r="O15" i="13"/>
  <c r="P14" i="13"/>
  <c r="Q14" i="13"/>
  <c r="P15" i="13"/>
  <c r="Q15" i="13"/>
  <c r="O22" i="13"/>
  <c r="F25" i="4" s="1"/>
  <c r="Q22" i="13"/>
  <c r="H25" i="4" s="1"/>
  <c r="P22" i="13"/>
  <c r="G25" i="4" s="1"/>
  <c r="N22" i="13"/>
  <c r="E25" i="4" s="1"/>
  <c r="D42" i="4"/>
  <c r="E42" i="4" s="1"/>
  <c r="F42" i="4" s="1"/>
  <c r="G42" i="4" s="1"/>
  <c r="H42" i="4" s="1"/>
  <c r="M22" i="13"/>
  <c r="D25" i="4" s="1"/>
  <c r="D27" i="4" s="1"/>
  <c r="L22" i="13"/>
  <c r="N10" i="13"/>
  <c r="I29" i="3"/>
  <c r="I30" i="3" s="1"/>
  <c r="I31" i="3" s="1"/>
  <c r="E26" i="4" s="1"/>
  <c r="O10" i="13"/>
  <c r="G14" i="4" l="1"/>
  <c r="E20" i="4"/>
  <c r="H14" i="4"/>
  <c r="F14" i="4"/>
  <c r="F18" i="4" s="1"/>
  <c r="F21" i="4" s="1"/>
  <c r="G20" i="4"/>
  <c r="H16" i="4"/>
  <c r="H13" i="4"/>
  <c r="D20" i="4"/>
  <c r="E13" i="4"/>
  <c r="E18" i="4" s="1"/>
  <c r="E21" i="4" s="1"/>
  <c r="F13" i="4"/>
  <c r="G13" i="4"/>
  <c r="F20" i="4"/>
  <c r="G15" i="4"/>
  <c r="G18" i="4" s="1"/>
  <c r="G21" i="4" s="1"/>
  <c r="L12" i="3"/>
  <c r="H10" i="4" s="1"/>
  <c r="H12" i="4" s="1"/>
  <c r="H20" i="4" s="1"/>
  <c r="H15" i="4"/>
  <c r="G27" i="4"/>
  <c r="E27" i="4"/>
  <c r="E28" i="4"/>
  <c r="H27" i="4"/>
  <c r="F27" i="4"/>
  <c r="D28" i="4"/>
  <c r="P10" i="13"/>
  <c r="J29" i="3"/>
  <c r="J30" i="3" s="1"/>
  <c r="J31" i="3" s="1"/>
  <c r="F26" i="4" s="1"/>
  <c r="F28" i="4" s="1"/>
  <c r="H18" i="4" l="1"/>
  <c r="H21" i="4" s="1"/>
  <c r="D35" i="4" s="1"/>
  <c r="Q10" i="13"/>
  <c r="L29" i="3" s="1"/>
  <c r="L30" i="3" s="1"/>
  <c r="L31" i="3" s="1"/>
  <c r="H26" i="4" s="1"/>
  <c r="H28" i="4" s="1"/>
  <c r="K29" i="3"/>
  <c r="K30" i="3" s="1"/>
  <c r="K31" i="3" s="1"/>
  <c r="G26" i="4" s="1"/>
  <c r="G28" i="4" s="1"/>
  <c r="D31" i="4" l="1"/>
  <c r="D33" i="4" s="1"/>
  <c r="D34" i="4"/>
  <c r="D36" i="4" s="1"/>
  <c r="D37" i="4" s="1"/>
  <c r="D43" i="4" s="1"/>
  <c r="E43" i="4" l="1"/>
  <c r="J8" i="10"/>
  <c r="F43" i="4" l="1"/>
  <c r="K8" i="10"/>
  <c r="G43" i="4" l="1"/>
  <c r="L8" i="10"/>
  <c r="M8" i="10" l="1"/>
  <c r="H43" i="4"/>
  <c r="D45" i="4" l="1"/>
  <c r="N8" i="10"/>
  <c r="O8" i="10" s="1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<sst xmlns="http://schemas.openxmlformats.org/spreadsheetml/2006/main" count="233" uniqueCount="128">
  <si>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</si>
  <si>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</si>
  <si>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</si>
  <si>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</si>
  <si>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</si>
  <si>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</si>
  <si>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</si>
  <si>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</si>
  <si>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</si>
  <si>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</si>
  <si>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</si>
  <si>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</si>
  <si>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</si>
  <si>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</si>
  <si>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</si>
  <si>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</si>
  <si>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</si>
  <si>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</si>
  <si>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</si>
  <si>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</si>
  <si>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</si>
  <si>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</si>
  <si>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</si>
  <si>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</si>
  <si>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</si>
  <si>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</si>
  <si>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</si>
  <si>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</si>
  <si>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</si>
  <si>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</si>
  <si>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</si>
  <si>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</si>
  <si>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</si>
  <si>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</si>
  <si>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</si>
  <si>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</si>
  <si>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</si>
  <si>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</si>
  <si>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</si>
  <si>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</si>
  <si>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</si>
  <si>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</si>
  <si>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</si>
  <si>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</si>
  <si>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</si>
  <si>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</si>
  <si>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</si>
  <si>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</si>
  <si>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</si>
  <si>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</si>
  <si>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</si>
  <si>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</si>
  <si>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</si>
  <si>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</si>
  <si>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</si>
  <si>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</si>
  <si>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</si>
  <si>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</si>
  <si>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</si>
  <si>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</si>
  <si>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</si>
  <si>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</si>
  <si>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</si>
  <si>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</si>
  <si>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</si>
  <si>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</si>
  <si>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</si>
  <si>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</si>
  <si>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</si>
  <si>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</si>
  <si>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</si>
  <si>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</si>
  <si>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</si>
  <si>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</si>
  <si>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</si>
  <si>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</si>
  <si>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</si>
  <si>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</si>
  <si>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</si>
  <si>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</si>
  <si>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</si>
  <si>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</si>
  <si>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</si>
  <si>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</si>
  <si>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</si>
  <si>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</si>
  <si>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</si>
  <si>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</si>
  <si>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</si>
  <si>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</si>
  <si>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</si>
  <si>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</si>
  <si>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</si>
  <si>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</si>
  <si>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</si>
  <si>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</si>
  <si>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</si>
  <si>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</si>
  <si>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</si>
  <si>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</si>
  <si>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</si>
  <si>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</si>
  <si>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</si>
  <si>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</si>
  <si>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</si>
  <si>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</si>
  <si>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</si>
  <si>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</si>
  <si>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</si>
  <si>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</si>
  <si>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</si>
  <si>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</si>
  <si>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</si>
  <si>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</si>
  <si>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</si>
  <si>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</si>
  <si>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</si>
  <si>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</si>
  <si>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</si>
  <si>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</si>
  <si>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</si>
  <si>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</si>
  <si>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</si>
  <si>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</si>
  <si>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</si>
  <si>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</si>
  <si>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Powercor</t>
  </si>
  <si>
    <t>DNSP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</si>
</sst>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Powercor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20" t="s">
        <v>109</v>
      </c>
      <c r="B1" s="211"/>
      <c r="C1" s="211"/>
      <c r="D1" s="211"/>
      <c r="E1" s="211"/>
    </row>
    <row r="2" spans="1:5" ht="1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G15" sqref="G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Powercor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224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zoomScale="90" zoomScaleNormal="90" workbookViewId="0">
      <selection activeCell="M21" sqref="M21:Q21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Powercor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127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194">
        <v>9.9504938362078299E-3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127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2.3998043050028173E-2</v>
      </c>
      <c r="N9" s="139">
        <f t="shared" ref="N9:Q9" si="0">M9</f>
        <v>2.3998043050028173E-2</v>
      </c>
      <c r="O9" s="139">
        <f t="shared" si="0"/>
        <v>2.3998043050028173E-2</v>
      </c>
      <c r="P9" s="139">
        <f t="shared" si="0"/>
        <v>2.3998043050028173E-2</v>
      </c>
      <c r="Q9" s="139">
        <f t="shared" si="0"/>
        <v>2.3998043050028173E-2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127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1.0948282973786276</v>
      </c>
      <c r="M10" s="87">
        <f>IF(M7&lt;&gt;"",(L10*(1+M9)),"")</f>
        <v>1.121102033991509</v>
      </c>
      <c r="N10" s="87">
        <f t="shared" ref="N10:Q10" si="2">IF(N7&lt;&gt;"",(M10*(1+N9)),"")</f>
        <v>1.1480062888667113</v>
      </c>
      <c r="O10" s="87">
        <f t="shared" si="2"/>
        <v>1.1755561932086378</v>
      </c>
      <c r="P10" s="87">
        <f t="shared" si="2"/>
        <v>1.2037672413409859</v>
      </c>
      <c r="Q10" s="87">
        <f t="shared" si="2"/>
        <v>1.2326552994209006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156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2.3743086789108414E-2</v>
      </c>
      <c r="N14" s="139">
        <f t="shared" ref="N14:Q14" si="3">M14</f>
        <v>2.3743086789108414E-2</v>
      </c>
      <c r="O14" s="139">
        <f t="shared" si="3"/>
        <v>2.3743086789108414E-2</v>
      </c>
      <c r="P14" s="139">
        <f t="shared" si="3"/>
        <v>2.3743086789108414E-2</v>
      </c>
      <c r="Q14" s="139">
        <f t="shared" si="3"/>
        <v>2.3743086789108414E-2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1.1233139441444229</v>
      </c>
      <c r="N15" s="87">
        <f t="shared" ref="N15:Q15" si="5">IF(N7&lt;&gt;"",(M15*(1+N14)),"")</f>
        <v>1.1499848846116596</v>
      </c>
      <c r="O15" s="87">
        <f t="shared" si="5"/>
        <v>1.1772890755331571</v>
      </c>
      <c r="P15" s="87">
        <f t="shared" si="5"/>
        <v>1.20524155222941</v>
      </c>
      <c r="Q15" s="87">
        <f t="shared" si="5"/>
        <v>1.2338577070058325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3.6700024103140549E-2</v>
      </c>
      <c r="H20" s="156">
        <v>3.6127568814887212E-2</v>
      </c>
      <c r="I20" s="156">
        <v>3.5630478851562009E-2</v>
      </c>
      <c r="J20" s="156">
        <v>3.5080474747029244E-2</v>
      </c>
      <c r="K20" s="156">
        <v>3.3621044143256062E-2</v>
      </c>
      <c r="L20" s="156">
        <v>1.1767001750234041E-2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2.1645481539978119E-2</v>
      </c>
      <c r="N21" s="156">
        <v>2.010314121448329E-2</v>
      </c>
      <c r="O21" s="156">
        <v>1.8560800888988462E-2</v>
      </c>
      <c r="P21" s="156">
        <v>1.7018460563493765E-2</v>
      </c>
      <c r="Q21" s="156">
        <v>1.5476120237998936E-2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5.2363102843131282E-2</v>
      </c>
      <c r="H22" s="140">
        <f t="shared" si="7"/>
        <v>4.6729804402760422E-2</v>
      </c>
      <c r="I22" s="140">
        <f t="shared" si="7"/>
        <v>5.5656482586260658E-2</v>
      </c>
      <c r="J22" s="140">
        <f t="shared" si="7"/>
        <v>5.6586211801394004E-2</v>
      </c>
      <c r="K22" s="140">
        <f t="shared" si="7"/>
        <v>5.0085804138458423E-2</v>
      </c>
      <c r="L22" s="196">
        <f t="shared" si="7"/>
        <v>2.4105623722797898E-2</v>
      </c>
      <c r="M22" s="140">
        <f>IF(AND(M14&lt;&gt;"",M21&lt;&gt;""),((1+M21)*(1+M14)-1),"")</f>
        <v>4.5902498875882269E-2</v>
      </c>
      <c r="N22" s="140">
        <f t="shared" ref="N22:Q22" si="8">IF(AND(N14&lt;&gt;"",N21&lt;&gt;""),((1+N21)*(1+N14)-1),"")</f>
        <v>4.4323538630180792E-2</v>
      </c>
      <c r="O22" s="140">
        <f t="shared" si="8"/>
        <v>4.2744578384479315E-2</v>
      </c>
      <c r="P22" s="140">
        <f t="shared" si="8"/>
        <v>4.1165618138778282E-2</v>
      </c>
      <c r="Q22" s="140">
        <f t="shared" si="8"/>
        <v>3.9586657893076804E-2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opLeftCell="A4" zoomScale="90" zoomScaleNormal="90" workbookViewId="0">
      <selection activeCell="H20" sqref="H20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Powercor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415.32215481091134</v>
      </c>
      <c r="I8" s="157">
        <v>466.22809832512507</v>
      </c>
      <c r="J8" s="157">
        <v>485.04785610052227</v>
      </c>
      <c r="K8" s="157">
        <v>453.97256519821917</v>
      </c>
      <c r="L8" s="157">
        <v>435.15165856128635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77.061090098694009</v>
      </c>
      <c r="I9" s="157">
        <v>83.369417570217422</v>
      </c>
      <c r="J9" s="157">
        <v>74.941328205377886</v>
      </c>
      <c r="K9" s="157">
        <v>73.190908274507407</v>
      </c>
      <c r="L9" s="157">
        <v>73.155606578866326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2.0703420000000001</v>
      </c>
      <c r="I10" s="157">
        <v>2.0703420000000001</v>
      </c>
      <c r="J10" s="157">
        <v>2.0703420000000001</v>
      </c>
      <c r="K10" s="157">
        <v>2.0703420000000001</v>
      </c>
      <c r="L10" s="157">
        <v>2.0703420000000001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336.19072271221734</v>
      </c>
      <c r="I12" s="66">
        <f t="shared" ref="I12:L12" si="0">IF(I6="", "", I8-I9-I10)</f>
        <v>380.78833875490767</v>
      </c>
      <c r="J12" s="66">
        <f t="shared" si="0"/>
        <v>408.0361858951444</v>
      </c>
      <c r="K12" s="66">
        <f t="shared" si="0"/>
        <v>378.71131492371177</v>
      </c>
      <c r="L12" s="66">
        <f t="shared" si="0"/>
        <v>359.92570998242002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319.76967842063294</v>
      </c>
      <c r="I18" s="158">
        <v>421.96261419223543</v>
      </c>
      <c r="J18" s="158">
        <v>450.85996204868155</v>
      </c>
      <c r="K18" s="158">
        <v>480.62636181079995</v>
      </c>
      <c r="L18" s="158">
        <v>477.20984664515481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56.887223483276884</v>
      </c>
      <c r="I19" s="158">
        <v>91.026953504721718</v>
      </c>
      <c r="J19" s="158">
        <v>106.03833398000002</v>
      </c>
      <c r="K19" s="158">
        <v>132.85674297</v>
      </c>
      <c r="L19" s="158">
        <v>89.773309517999607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1.73569101</v>
      </c>
      <c r="I20" s="158">
        <v>2.5618581600000003</v>
      </c>
      <c r="J20" s="158">
        <v>3.7863832000000004</v>
      </c>
      <c r="K20" s="158">
        <v>1.7646117099999998</v>
      </c>
      <c r="L20" s="158">
        <v>2.7923190112021246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261.14676392735606</v>
      </c>
      <c r="I23" s="66">
        <f t="shared" ref="I23:L23" si="2">IF(I16="", "", I18-I19-I20-I21)</f>
        <v>328.37380252751376</v>
      </c>
      <c r="J23" s="66">
        <f t="shared" si="2"/>
        <v>341.03524486868156</v>
      </c>
      <c r="K23" s="66">
        <f t="shared" si="2"/>
        <v>346.00500713079992</v>
      </c>
      <c r="L23" s="66">
        <f t="shared" si="2"/>
        <v>384.64421811595309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f>H32</f>
        <v>8.2948717657839115</v>
      </c>
      <c r="I29" s="157">
        <f>I32*'Input | Inflation and Disc Rate'!N10/'Input | Inflation and Disc Rate'!$M$10</f>
        <v>6.9193450750657002</v>
      </c>
      <c r="J29" s="157">
        <f>J32*'Input | Inflation and Disc Rate'!O10/'Input | Inflation and Disc Rate'!$M$10</f>
        <v>7.0570860575604133</v>
      </c>
      <c r="K29" s="157">
        <f>K32*'Input | Inflation and Disc Rate'!P10/'Input | Inflation and Disc Rate'!$M$10</f>
        <v>6.8128112577437951</v>
      </c>
      <c r="L29" s="157">
        <f>L32*'Input | Inflation and Disc Rate'!Q10/'Input | Inflation and Disc Rate'!$M$10</f>
        <v>5.2890151985058615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7.4871080259410929</v>
      </c>
      <c r="I30" s="197">
        <f>IF(I29&lt;&gt;"",I29/('Input | Inflation and Disc Rate'!M10*(1+'Input | Inflation and Disc Rate'!N9)^0.5),"")</f>
        <v>6.0991636461803607</v>
      </c>
      <c r="J30" s="197">
        <f>IF(J29&lt;&gt;"",J29/('Input | Inflation and Disc Rate'!N10*(1+'Input | Inflation and Disc Rate'!O9)^0.5),"")</f>
        <v>6.0747943866039442</v>
      </c>
      <c r="K30" s="197">
        <f>IF(K29&lt;&gt;"",K29/('Input | Inflation and Disc Rate'!O10*(1+'Input | Inflation and Disc Rate'!P9)^0.5),"")</f>
        <v>5.7270819852116972</v>
      </c>
      <c r="L30" s="197">
        <f>IF(L29&lt;&gt;"",L29/('Input | Inflation and Disc Rate'!P10*(1+'Input | Inflation and Disc Rate'!Q9)^0.5),"")</f>
        <v>4.3419291365861472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8.312272233194868</v>
      </c>
      <c r="I31" s="197">
        <f>IF(I29&lt;&gt;"",I30*'Input | Inflation and Disc Rate'!M15*(1+'Input | Inflation and Disc Rate'!N14)^0.5,"")</f>
        <v>6.932133647125764</v>
      </c>
      <c r="J31" s="197">
        <f>IF(J29&lt;&gt;"",J30*'Input | Inflation and Disc Rate'!N15*(1+'Input | Inflation and Disc Rate'!O14)^0.5,"")</f>
        <v>7.0683688780021257</v>
      </c>
      <c r="K31" s="197">
        <f>IF(K29&lt;&gt;"",K30*'Input | Inflation and Disc Rate'!O15*(1+'Input | Inflation and Disc Rate'!P14)^0.5,"")</f>
        <v>6.8220045594329708</v>
      </c>
      <c r="L31" s="197">
        <f>IF(L29&lt;&gt;"",L30*'Input | Inflation and Disc Rate'!P15*(1+'Input | Inflation and Disc Rate'!Q14)^0.5,"")</f>
        <v>5.2948336263843041</v>
      </c>
      <c r="M31" s="2"/>
      <c r="N31" s="2"/>
    </row>
    <row r="32" spans="2:14" ht="10.5" customHeight="1">
      <c r="D32" s="68"/>
      <c r="E32" s="68"/>
      <c r="F32" s="78">
        <v>2021</v>
      </c>
      <c r="G32" s="68"/>
      <c r="H32" s="157">
        <v>8.2948717657839115</v>
      </c>
      <c r="I32" s="157">
        <v>6.7571858384182972</v>
      </c>
      <c r="J32" s="157">
        <v>6.7301874456459325</v>
      </c>
      <c r="K32" s="157">
        <v>6.3449612981229793</v>
      </c>
      <c r="L32" s="157">
        <v>4.8103680726011619</v>
      </c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6" priority="21">
      <formula>IF($H$6&lt;&gt;"","FALSE","TRUE")</formula>
    </cfRule>
  </conditionalFormatting>
  <conditionalFormatting sqref="H19:L20">
    <cfRule type="expression" dxfId="5" priority="11">
      <formula>IF($H$6&lt;&gt;"","FALSE","TRUE")</formula>
    </cfRule>
  </conditionalFormatting>
  <conditionalFormatting sqref="H29:L29">
    <cfRule type="expression" dxfId="4" priority="5">
      <formula>IF($H$6&lt;&gt;"","FALSE","TRUE")</formula>
    </cfRule>
  </conditionalFormatting>
  <conditionalFormatting sqref="H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H18:L18">
    <cfRule type="expression" dxfId="1" priority="2">
      <formula>IF($H$6&lt;&gt;"","FALSE","TRUE")</formula>
    </cfRule>
  </conditionalFormatting>
  <conditionalFormatting sqref="H32:L32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A4" zoomScale="80" zoomScaleNormal="80" workbookViewId="0">
      <selection activeCell="D43" sqref="D43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Powercor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3.6700024103140549E-2</v>
      </c>
      <c r="E8" s="161">
        <f>'Input | Inflation and Disc Rate'!H20</f>
        <v>3.6127568814887212E-2</v>
      </c>
      <c r="F8" s="161">
        <f>'Input | Inflation and Disc Rate'!I20</f>
        <v>3.5630478851562009E-2</v>
      </c>
      <c r="G8" s="161">
        <f>'Input | Inflation and Disc Rate'!J20</f>
        <v>3.5080474747029244E-2</v>
      </c>
      <c r="H8" s="162">
        <f>'Input | Inflation and Disc Rate'!K20</f>
        <v>3.3621044143256062E-2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5.2363102843131282E-2</v>
      </c>
      <c r="E9" s="161">
        <f>'Input | Inflation and Disc Rate'!H22</f>
        <v>4.6729804402760422E-2</v>
      </c>
      <c r="F9" s="161">
        <f>'Input | Inflation and Disc Rate'!I22</f>
        <v>5.5656482586260658E-2</v>
      </c>
      <c r="G9" s="161">
        <f>'Input | Inflation and Disc Rate'!J22</f>
        <v>5.6586211801394004E-2</v>
      </c>
      <c r="H9" s="162">
        <f>'Input | Inflation and Disc Rate'!K22</f>
        <v>5.0085804138458423E-2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347.47597582635711</v>
      </c>
      <c r="E10" s="164">
        <f>'Input | Reported Capex'!I$12*'Input | Inflation and Disc Rate'!H$15*(1+'Input | Inflation and Disc Rate'!H$20)^0.5</f>
        <v>397.48808961485537</v>
      </c>
      <c r="F10" s="164">
        <f>'Input | Reported Capex'!J$12*'Input | Inflation and Disc Rate'!I$15*(1+'Input | Inflation and Disc Rate'!I$20)^0.5</f>
        <v>434.06298412432602</v>
      </c>
      <c r="G10" s="164">
        <f>'Input | Reported Capex'!K$12*'Input | Inflation and Disc Rate'!J$15*(1+'Input | Inflation and Disc Rate'!J$20)^0.5</f>
        <v>411.12872601162258</v>
      </c>
      <c r="H10" s="165">
        <f>'Input | Reported Capex'!L$12*'Input | Inflation and Disc Rate'!K$15*(1+'Input | Inflation and Disc Rate'!K$20)^0.5</f>
        <v>396.67923714436523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267.89675612821952</v>
      </c>
      <c r="E11" s="164">
        <f>'Input | Reported Capex'!I23*(1+E$9)^0.5</f>
        <v>335.95862664379382</v>
      </c>
      <c r="F11" s="164">
        <f>'Input | Reported Capex'!J23*(1+F$9)^0.5</f>
        <v>350.39715692095382</v>
      </c>
      <c r="G11" s="164">
        <f>'Input | Reported Capex'!K23*(1+G$9)^0.5</f>
        <v>355.65985992312596</v>
      </c>
      <c r="H11" s="165">
        <f>'Input | Reported Capex'!L23*(1+H$9)^0.5</f>
        <v>394.15914055061438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79.579219698137592</v>
      </c>
      <c r="E12" s="142">
        <f>(E10-E11)</f>
        <v>61.529462971061548</v>
      </c>
      <c r="F12" s="142">
        <f t="shared" ref="F12:H12" si="0">(F10-F11)</f>
        <v>83.665827203372203</v>
      </c>
      <c r="G12" s="142">
        <f t="shared" si="0"/>
        <v>55.468866088496611</v>
      </c>
      <c r="H12" s="145">
        <f t="shared" si="0"/>
        <v>2.5200965937508499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2.8750037358794938</v>
      </c>
      <c r="F13" s="142">
        <f>$D$12*$F$8*(1+'Input | Inflation and Disc Rate'!H13)</f>
        <v>2.8644595675008668</v>
      </c>
      <c r="G13" s="142">
        <f>$D$12*$G$8*(1+'Input | Inflation and Disc Rate'!H13)*(1+'Input | Inflation and Disc Rate'!I13)</f>
        <v>2.8747778840546516</v>
      </c>
      <c r="H13" s="145">
        <f>$D$12*$H$8*(1+'Input | Inflation and Disc Rate'!H13)*(1+'Input | Inflation and Disc Rate'!I13)*(1+'Input | Inflation and Disc Rate'!J13)</f>
        <v>2.8124243701798708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2.192324229138376</v>
      </c>
      <c r="G14" s="142">
        <f>$E$12*G$8*(1+'Input | Inflation and Disc Rate'!I13)</f>
        <v>2.2002213890918392</v>
      </c>
      <c r="H14" s="145">
        <f>$E$12*H$8*(1+'Input | Inflation and Disc Rate'!I13)*(1+'Input | Inflation and Disc Rate'!J13)</f>
        <v>2.1524989074095919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2.9350369383972108</v>
      </c>
      <c r="H15" s="145">
        <f>$F$12*$H$8*(1+'Input | Inflation and Disc Rate'!J13)</f>
        <v>2.8713764144045806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1.8649211953377038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2.8750037358794938</v>
      </c>
      <c r="F18" s="146">
        <f t="shared" ref="F18:H18" si="1">SUM(F13:F17)</f>
        <v>5.0567837966392428</v>
      </c>
      <c r="G18" s="146">
        <f t="shared" si="1"/>
        <v>8.0100362115437012</v>
      </c>
      <c r="H18" s="147">
        <f t="shared" si="1"/>
        <v>9.7012208873317469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1.2259900222477611</v>
      </c>
      <c r="E19" s="146">
        <f>F19*(1+F$9)</f>
        <v>1.1712573933511736</v>
      </c>
      <c r="F19" s="146">
        <f>G19*(1+G$9)</f>
        <v>1.1095061818610743</v>
      </c>
      <c r="G19" s="146">
        <f>H19*(1+H$9)</f>
        <v>1.0500858041384584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97.563329328179179</v>
      </c>
      <c r="E20" s="142">
        <f>E12*E19</f>
        <v>72.066838413783103</v>
      </c>
      <c r="F20" s="142">
        <f t="shared" ref="F20:H20" si="2">F12*F19</f>
        <v>92.827752492661901</v>
      </c>
      <c r="G20" s="142">
        <f t="shared" si="2"/>
        <v>58.247068851187429</v>
      </c>
      <c r="H20" s="145">
        <f t="shared" si="2"/>
        <v>2.5200965937508499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3.3673693815611019</v>
      </c>
      <c r="F21" s="146">
        <f t="shared" ref="F21:H21" si="3">F18*F19</f>
        <v>5.6105328827061536</v>
      </c>
      <c r="G21" s="146">
        <f t="shared" si="3"/>
        <v>8.4112253163770383</v>
      </c>
      <c r="H21" s="147">
        <f t="shared" si="3"/>
        <v>9.7012208873317469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4.5902498875882269E-2</v>
      </c>
      <c r="E25" s="167">
        <f>'Input | Inflation and Disc Rate'!N$22</f>
        <v>4.4323538630180792E-2</v>
      </c>
      <c r="F25" s="167">
        <f>'Input | Inflation and Disc Rate'!O$22</f>
        <v>4.2744578384479315E-2</v>
      </c>
      <c r="G25" s="167">
        <f>'Input | Inflation and Disc Rate'!P$22</f>
        <v>4.1165618138778282E-2</v>
      </c>
      <c r="H25" s="168">
        <f>'Input | Inflation and Disc Rate'!Q$22</f>
        <v>3.9586657893076804E-2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8.312272233194868</v>
      </c>
      <c r="E26" s="164">
        <f>'Input | Reported Capex'!I31</f>
        <v>6.932133647125764</v>
      </c>
      <c r="F26" s="164">
        <f>'Input | Reported Capex'!J31</f>
        <v>7.0683688780021257</v>
      </c>
      <c r="G26" s="164">
        <f>'Input | Reported Capex'!K31</f>
        <v>6.8220045594329708</v>
      </c>
      <c r="H26" s="165">
        <f>'Input | Reported Capex'!L31</f>
        <v>5.2948336263843041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0.95479392850300571</v>
      </c>
      <c r="E27" s="199">
        <f>1/((1+E25)^(0.5)*(1+D25)*(1+'Input | Inflation and Disc Rate'!$L$22))</f>
        <v>0.9135798557558521</v>
      </c>
      <c r="F27" s="199">
        <f>1/((1+F25)^(0.5)*(1+E25)*(1+D25)*(1+'Input | Inflation and Disc Rate'!$L$22))</f>
        <v>0.87546746534650965</v>
      </c>
      <c r="G27" s="199">
        <f>1/((1+G25)^(0.5)*(1+F25)*(1+E25)*(1+D25)*(1+'Input | Inflation and Disc Rate'!$L$22))</f>
        <v>0.84021635683566043</v>
      </c>
      <c r="H27" s="200">
        <f>1/((1+H25)^(0.5)*(1+G25)*(1+F25)*(1+E25)*(1+D25)*(1+'Input | Inflation and Disc Rate'!$L$22))</f>
        <v>0.80760848701615162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7.9365070603185801</v>
      </c>
      <c r="E28" s="91">
        <f t="shared" ref="E28:G28" si="4">E26*E27</f>
        <v>6.3330576574214446</v>
      </c>
      <c r="F28" s="91">
        <f t="shared" si="4"/>
        <v>6.1881269857586734</v>
      </c>
      <c r="G28" s="91">
        <f t="shared" si="4"/>
        <v>5.7319598172430357</v>
      </c>
      <c r="H28" s="92">
        <f>H26*H27</f>
        <v>4.2761525740064714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292.75928158481423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204.93149710936996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87.827784475444261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27.090348467976039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60.737436007468219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62.201549785751766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0.97881311870791943</v>
      </c>
      <c r="E42" s="169">
        <f>D42/(1+'Input | Inflation and Disc Rate'!N21)</f>
        <v>0.95952367869644439</v>
      </c>
      <c r="F42" s="169">
        <f>E42/(1+'Input | Inflation and Disc Rate'!O21)</f>
        <v>0.94203868621194042</v>
      </c>
      <c r="G42" s="169">
        <f>F42/(1+'Input | Inflation and Disc Rate'!P21)</f>
        <v>0.9262749131318524</v>
      </c>
      <c r="H42" s="170">
        <f>G42/(1+'Input | Inflation and Disc Rate'!Q21)</f>
        <v>0.91215824249491928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13.181621578901165</v>
      </c>
      <c r="E43" s="204">
        <f>D43</f>
        <v>13.181621578901165</v>
      </c>
      <c r="F43" s="204">
        <f t="shared" ref="F43:H43" si="5">E43</f>
        <v>13.181621578901165</v>
      </c>
      <c r="G43" s="204">
        <f t="shared" si="5"/>
        <v>13.181621578901165</v>
      </c>
      <c r="H43" s="205">
        <f t="shared" si="5"/>
        <v>13.181621578901165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65.908107894505832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/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Powercor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5"/>
      <c r="K3" s="225"/>
      <c r="L3" s="225"/>
      <c r="M3" s="42"/>
      <c r="N3" s="225"/>
      <c r="O3" s="225"/>
      <c r="P3" s="225"/>
      <c r="Q3" s="225"/>
      <c r="R3" s="225"/>
      <c r="S3" s="225"/>
      <c r="T3" s="225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13.181621578901165</v>
      </c>
      <c r="K8" s="129">
        <f>'Calc | CESS Revenue Increments'!E43</f>
        <v>13.181621578901165</v>
      </c>
      <c r="L8" s="129">
        <f>'Calc | CESS Revenue Increments'!F43</f>
        <v>13.181621578901165</v>
      </c>
      <c r="M8" s="129">
        <f>'Calc | CESS Revenue Increments'!G43</f>
        <v>13.181621578901165</v>
      </c>
      <c r="N8" s="129">
        <f>'Calc | CESS Revenue Increments'!H43</f>
        <v>13.181621578901165</v>
      </c>
      <c r="O8" s="60">
        <f>SUM(J8:N8)</f>
        <v>65.908107894505832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2020-09-14T03:38:12Z</dcterms:created>
  <dcterms:modified xsi:type="dcterms:W3CDTF">2020-09-16T02:55:47Z</dcterms:modified>
  <cp:category/>
  <cp:contentStatus/>
</cp:coreProperties>
</file>