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852" yWindow="240" windowWidth="14868" windowHeight="16236" tabRatio="691" firstSheet="4" activeTab="4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4" l="1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D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H23" i="3"/>
  <c r="H12" i="3"/>
  <c r="I16" i="3"/>
  <c r="I23" i="3"/>
  <c r="I12" i="3"/>
  <c r="L16" i="3"/>
  <c r="L12" i="3"/>
  <c r="K16" i="3"/>
  <c r="K12" i="3"/>
  <c r="J16" i="3"/>
  <c r="J23" i="3"/>
  <c r="J12" i="3"/>
  <c r="G22" i="13"/>
  <c r="D9" i="4"/>
  <c r="H22" i="13"/>
  <c r="I22" i="13"/>
  <c r="J22" i="13"/>
  <c r="G9" i="4" s="1"/>
  <c r="K22" i="13"/>
  <c r="H9" i="4"/>
  <c r="H8" i="4"/>
  <c r="G19" i="4"/>
  <c r="F19" i="4" s="1"/>
  <c r="E19" i="4" s="1"/>
  <c r="D19" i="4" s="1"/>
  <c r="D21" i="4" s="1"/>
  <c r="N14" i="13"/>
  <c r="E9" i="4"/>
  <c r="N9" i="13"/>
  <c r="O9" i="13" s="1"/>
  <c r="P9" i="13" s="1"/>
  <c r="Q9" i="13" s="1"/>
  <c r="C15" i="13"/>
  <c r="G15" i="13"/>
  <c r="H15" i="13"/>
  <c r="I15" i="13" s="1"/>
  <c r="J15" i="13" s="1"/>
  <c r="K15" i="13" s="1"/>
  <c r="L15" i="13" s="1"/>
  <c r="M15" i="13" s="1"/>
  <c r="C10" i="13"/>
  <c r="G8" i="4"/>
  <c r="F8" i="4"/>
  <c r="E8" i="4"/>
  <c r="F9" i="4"/>
  <c r="B1" i="2"/>
  <c r="B1" i="10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C43" i="4"/>
  <c r="C45" i="4"/>
  <c r="G10" i="13"/>
  <c r="H10" i="13"/>
  <c r="I10" i="13"/>
  <c r="J10" i="13"/>
  <c r="K10" i="13" s="1"/>
  <c r="L10" i="13" s="1"/>
  <c r="O14" i="13"/>
  <c r="P14" i="13" s="1"/>
  <c r="B1" i="5"/>
  <c r="B1" i="3"/>
  <c r="B1" i="13"/>
  <c r="B1" i="4"/>
  <c r="O22" i="13"/>
  <c r="F25" i="4" s="1"/>
  <c r="N22" i="13"/>
  <c r="E25" i="4" s="1"/>
  <c r="D42" i="4"/>
  <c r="E42" i="4" s="1"/>
  <c r="F42" i="4" s="1"/>
  <c r="G42" i="4" s="1"/>
  <c r="H42" i="4" s="1"/>
  <c r="M22" i="13"/>
  <c r="D25" i="4" s="1"/>
  <c r="L22" i="13"/>
  <c r="K23" i="3"/>
  <c r="L23" i="3"/>
  <c r="H11" i="4" s="1"/>
  <c r="E10" i="4" l="1"/>
  <c r="F10" i="4"/>
  <c r="E11" i="4"/>
  <c r="F11" i="4"/>
  <c r="D10" i="4"/>
  <c r="G10" i="4"/>
  <c r="G12" i="4" s="1"/>
  <c r="D11" i="4"/>
  <c r="G11" i="4"/>
  <c r="H10" i="4"/>
  <c r="H30" i="3"/>
  <c r="M10" i="13"/>
  <c r="H31" i="3"/>
  <c r="D26" i="4" s="1"/>
  <c r="F12" i="4"/>
  <c r="H15" i="4" s="1"/>
  <c r="H12" i="4"/>
  <c r="H20" i="4" s="1"/>
  <c r="E12" i="4"/>
  <c r="F14" i="4" s="1"/>
  <c r="P22" i="13"/>
  <c r="G25" i="4" s="1"/>
  <c r="G27" i="4" s="1"/>
  <c r="Q14" i="13"/>
  <c r="Q22" i="13" s="1"/>
  <c r="H25" i="4" s="1"/>
  <c r="D27" i="4"/>
  <c r="N15" i="13"/>
  <c r="F27" i="4"/>
  <c r="E27" i="4"/>
  <c r="D12" i="4" l="1"/>
  <c r="G13" i="4" s="1"/>
  <c r="G20" i="4"/>
  <c r="H16" i="4"/>
  <c r="D28" i="4"/>
  <c r="I30" i="3"/>
  <c r="I31" i="3" s="1"/>
  <c r="E26" i="4" s="1"/>
  <c r="E28" i="4" s="1"/>
  <c r="N10" i="13"/>
  <c r="D20" i="4"/>
  <c r="E13" i="4"/>
  <c r="E18" i="4" s="1"/>
  <c r="E21" i="4" s="1"/>
  <c r="H13" i="4"/>
  <c r="E20" i="4"/>
  <c r="F13" i="4"/>
  <c r="F18" i="4" s="1"/>
  <c r="F21" i="4" s="1"/>
  <c r="H27" i="4"/>
  <c r="G15" i="4"/>
  <c r="G14" i="4"/>
  <c r="G18" i="4" s="1"/>
  <c r="G21" i="4" s="1"/>
  <c r="H14" i="4"/>
  <c r="F20" i="4"/>
  <c r="O15" i="13"/>
  <c r="J30" i="3" l="1"/>
  <c r="J31" i="3" s="1"/>
  <c r="F26" i="4" s="1"/>
  <c r="F28" i="4" s="1"/>
  <c r="O10" i="13"/>
  <c r="H18" i="4"/>
  <c r="H21" i="4" s="1"/>
  <c r="D35" i="4" s="1"/>
  <c r="P15" i="13"/>
  <c r="K30" i="3" l="1"/>
  <c r="K31" i="3" s="1"/>
  <c r="G26" i="4" s="1"/>
  <c r="G28" i="4" s="1"/>
  <c r="P10" i="13"/>
  <c r="Q15" i="13"/>
  <c r="L30" i="3" l="1"/>
  <c r="L31" i="3" s="1"/>
  <c r="H26" i="4" s="1"/>
  <c r="H28" i="4" s="1"/>
  <c r="D31" i="4" s="1"/>
  <c r="D34" i="4" s="1"/>
  <c r="D36" i="4" s="1"/>
  <c r="D37" i="4" s="1"/>
  <c r="D43" i="4" s="1"/>
  <c r="Q10" i="13"/>
  <c r="D33" i="4" l="1"/>
  <c r="E43" i="4"/>
  <c r="J8" i="10"/>
  <c r="K8" i="10" l="1"/>
  <c r="F43" i="4"/>
  <c r="G43" i="4" l="1"/>
  <c r="L8" i="10"/>
  <c r="H43" i="4" l="1"/>
  <c r="N8" i="10" s="1"/>
  <c r="M8" i="10"/>
  <c r="O8" i="10" l="1"/>
  <c r="D45" i="4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<sst xmlns="http://schemas.openxmlformats.org/spreadsheetml/2006/main" count="233" uniqueCount="127">
  <si>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</si>
  <si>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</si>
  <si>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</si>
  <si>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</si>
  <si>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</si>
  <si>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</si>
  <si>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</si>
  <si>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</si>
  <si>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</si>
  <si>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</si>
  <si>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</si>
  <si>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</si>
  <si>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</si>
  <si>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</si>
  <si>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</si>
  <si>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</si>
  <si>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</si>
  <si>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</si>
  <si>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</si>
  <si>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</si>
  <si>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</si>
  <si>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</si>
  <si>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</si>
  <si>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</si>
  <si>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</si>
  <si>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</si>
  <si>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</si>
  <si>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</si>
  <si>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</si>
  <si>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</si>
  <si>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</si>
  <si>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</si>
  <si>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</si>
  <si>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</si>
  <si>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</si>
  <si>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</si>
  <si>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</si>
  <si>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</si>
  <si>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</si>
  <si>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</si>
  <si>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</si>
  <si>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</si>
  <si>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</si>
  <si>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</si>
  <si>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</si>
  <si>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</si>
  <si>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</si>
  <si>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</si>
  <si>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</si>
  <si>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</si>
  <si>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</si>
  <si>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</si>
  <si>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</si>
  <si>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</si>
  <si>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</si>
  <si>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</si>
  <si>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</si>
  <si>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</si>
  <si>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</si>
  <si>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</si>
  <si>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</si>
  <si>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</si>
  <si>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</si>
  <si>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</si>
  <si>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</si>
  <si>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</si>
  <si>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</si>
  <si>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</si>
  <si>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</si>
  <si>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</si>
  <si>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</si>
  <si>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</si>
  <si>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</si>
  <si>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</si>
  <si>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</si>
  <si>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</si>
  <si>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</si>
  <si>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</si>
  <si>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</si>
  <si>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</si>
  <si>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</si>
  <si>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</si>
  <si>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</si>
  <si>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</si>
  <si>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</si>
  <si>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</si>
  <si>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</si>
  <si>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</si>
  <si>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</si>
  <si>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</si>
  <si>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</si>
  <si>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</si>
  <si>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</si>
  <si>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</si>
  <si>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</si>
  <si>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</si>
  <si>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</si>
  <si>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</si>
  <si>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</si>
  <si>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</si>
  <si>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</si>
  <si>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</si>
  <si>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</si>
  <si>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</si>
  <si>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</si>
  <si>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</si>
  <si>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</si>
  <si>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</si>
  <si>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</si>
  <si>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</si>
  <si>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</si>
  <si>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</si>
  <si>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</si>
  <si>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</si>
  <si>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</si>
  <si>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</si>
  <si>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</si>
  <si>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</si>
  <si>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</si>
  <si>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</si>
  <si>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</si>
  <si>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</si>
  <si>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</si>
  <si>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</si>
  <si>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</si>
  <si>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Proposal</t>
  </si>
  <si>
    <t>United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</si>
</sst>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2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167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8" fontId="24" fillId="56" borderId="2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0" fontId="24" fillId="58" borderId="24" xfId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6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11" sqref="C1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United Energy 2021-26 Proposal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4.4"/>
  <cols>
    <col min="2" max="2" width="37.88671875" customWidth="1"/>
    <col min="3" max="3" width="23.5546875" customWidth="1"/>
    <col min="4" max="4" width="70.5546875" bestFit="1" customWidth="1"/>
    <col min="5" max="5" width="75.44140625" customWidth="1"/>
  </cols>
  <sheetData>
    <row r="1" spans="1:5" ht="17.399999999999999">
      <c r="A1" s="220" t="s">
        <v>109</v>
      </c>
      <c r="B1" s="211"/>
      <c r="C1" s="211"/>
      <c r="D1" s="211"/>
      <c r="E1" s="211"/>
    </row>
    <row r="2" spans="1:5" ht="15" thickBot="1">
      <c r="A2" s="211"/>
      <c r="B2" s="211"/>
      <c r="C2" s="211"/>
      <c r="D2" s="211"/>
      <c r="E2" s="211"/>
    </row>
    <row r="3" spans="1:5">
      <c r="A3" s="212" t="s">
        <v>105</v>
      </c>
      <c r="B3" s="213" t="s">
        <v>106</v>
      </c>
      <c r="C3" s="213" t="s">
        <v>107</v>
      </c>
      <c r="D3" s="214" t="s">
        <v>108</v>
      </c>
      <c r="E3" s="221"/>
    </row>
    <row r="4" spans="1:5" ht="41.1" customHeight="1">
      <c r="A4" s="210">
        <v>1</v>
      </c>
      <c r="B4" s="211" t="s">
        <v>31</v>
      </c>
      <c r="C4" s="211" t="s">
        <v>110</v>
      </c>
      <c r="D4" s="216" t="s">
        <v>111</v>
      </c>
      <c r="E4" s="221"/>
    </row>
    <row r="5" spans="1:5" ht="41.1" customHeight="1">
      <c r="A5" s="210">
        <f>A4+1</f>
        <v>2</v>
      </c>
      <c r="B5" s="211" t="s">
        <v>75</v>
      </c>
      <c r="C5" s="211" t="s">
        <v>112</v>
      </c>
      <c r="D5" s="216" t="s">
        <v>113</v>
      </c>
      <c r="E5" s="221"/>
    </row>
    <row r="6" spans="1:5" ht="41.1" customHeight="1">
      <c r="A6" s="210">
        <f>A5+1</f>
        <v>3</v>
      </c>
      <c r="B6" s="211" t="s">
        <v>51</v>
      </c>
      <c r="C6" s="215" t="s">
        <v>114</v>
      </c>
      <c r="D6" s="216" t="s">
        <v>118</v>
      </c>
      <c r="E6" s="221"/>
    </row>
    <row r="7" spans="1:5" ht="41.1" customHeight="1">
      <c r="A7" s="210">
        <f t="shared" ref="A7:A9" si="0">A6+1</f>
        <v>4</v>
      </c>
      <c r="B7" s="211" t="s">
        <v>54</v>
      </c>
      <c r="C7" s="211" t="s">
        <v>115</v>
      </c>
      <c r="D7" s="216" t="s">
        <v>116</v>
      </c>
      <c r="E7" s="221"/>
    </row>
    <row r="8" spans="1:5" ht="41.1" customHeight="1">
      <c r="A8" s="210">
        <f t="shared" si="0"/>
        <v>5</v>
      </c>
      <c r="B8" s="211" t="s">
        <v>54</v>
      </c>
      <c r="C8" s="211" t="s">
        <v>117</v>
      </c>
      <c r="D8" s="216" t="s">
        <v>118</v>
      </c>
      <c r="E8" s="221"/>
    </row>
    <row r="9" spans="1:5" ht="41.1" customHeight="1">
      <c r="A9" s="210">
        <f t="shared" si="0"/>
        <v>6</v>
      </c>
      <c r="B9" s="211" t="s">
        <v>54</v>
      </c>
      <c r="C9" s="211" t="s">
        <v>119</v>
      </c>
      <c r="D9" s="216" t="s">
        <v>124</v>
      </c>
      <c r="E9" s="221"/>
    </row>
    <row r="10" spans="1:5" ht="41.4" customHeight="1" thickBot="1">
      <c r="A10" s="217">
        <f t="shared" ref="A10" si="1">A9+1</f>
        <v>7</v>
      </c>
      <c r="B10" s="218" t="s">
        <v>54</v>
      </c>
      <c r="C10" s="218" t="s">
        <v>122</v>
      </c>
      <c r="D10" s="223" t="s">
        <v>123</v>
      </c>
      <c r="E10" s="211"/>
    </row>
    <row r="11" spans="1:5" ht="20.100000000000001" customHeight="1">
      <c r="A11" s="211"/>
      <c r="B11" s="211"/>
      <c r="C11" s="211"/>
      <c r="D11" s="211"/>
      <c r="E11" s="211"/>
    </row>
    <row r="12" spans="1:5" ht="20.100000000000001" customHeight="1">
      <c r="A12" s="211"/>
      <c r="B12" s="211"/>
      <c r="C12" s="211"/>
      <c r="D12" s="211"/>
      <c r="E12" s="211"/>
    </row>
    <row r="13" spans="1:5" ht="20.100000000000001" customHeight="1">
      <c r="A13" s="221"/>
      <c r="B13" s="221"/>
      <c r="C13" s="221"/>
      <c r="D13" s="221"/>
      <c r="E13" s="221"/>
    </row>
    <row r="14" spans="1:5" ht="20.100000000000001" customHeight="1">
      <c r="A14" s="221"/>
      <c r="B14" s="221"/>
      <c r="C14" s="221"/>
      <c r="D14" s="221"/>
      <c r="E14" s="221"/>
    </row>
    <row r="15" spans="1:5" ht="20.100000000000001" customHeight="1">
      <c r="A15" s="221"/>
      <c r="B15" s="221"/>
      <c r="C15" s="221"/>
      <c r="D15" s="221"/>
      <c r="E15" s="221"/>
    </row>
    <row r="16" spans="1:5" ht="20.100000000000001" customHeight="1">
      <c r="A16" s="221"/>
      <c r="B16" s="221"/>
      <c r="C16" s="221"/>
      <c r="D16" s="221"/>
      <c r="E16" s="221"/>
    </row>
    <row r="17" ht="20.100000000000001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="90" zoomScaleNormal="90" workbookViewId="0">
      <selection activeCell="G15" sqref="G15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9" width="9.44140625" style="14" customWidth="1"/>
    <col min="10" max="10" width="11.441406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United Energy 2021-26 Proposal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9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126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125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5">
        <v>2016</v>
      </c>
      <c r="E13" s="195">
        <v>2017</v>
      </c>
      <c r="F13" s="195">
        <v>2018</v>
      </c>
      <c r="G13" s="195">
        <v>2019</v>
      </c>
      <c r="H13" s="195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224" t="s">
        <v>7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G108"/>
  <sheetViews>
    <sheetView showGridLines="0" zoomScale="90" zoomScaleNormal="90" workbookViewId="0">
      <selection activeCell="S21" sqref="S21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3" width="12.6640625" style="11" customWidth="1"/>
    <col min="14" max="14" width="12.5546875" style="22" customWidth="1"/>
    <col min="15" max="17" width="12.6640625" style="24" customWidth="1"/>
    <col min="18" max="19" width="2.88671875" style="24" customWidth="1"/>
    <col min="20" max="33" width="12.6640625" style="24" hidden="1" customWidth="1"/>
    <col min="34" max="16384" width="9.109375" style="24" hidden="1"/>
  </cols>
  <sheetData>
    <row r="1" spans="1:21" s="11" customFormat="1" ht="18" customHeight="1">
      <c r="B1" s="3" t="str">
        <f>'Input | General'!$B$1</f>
        <v>United Energy 2021-26 Proposal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9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82</v>
      </c>
      <c r="E8" s="78" t="s">
        <v>47</v>
      </c>
      <c r="F8" s="78"/>
      <c r="G8" s="156">
        <v>1.5108593012275628E-2</v>
      </c>
      <c r="H8" s="156">
        <v>1.0232558139534831E-2</v>
      </c>
      <c r="I8" s="156">
        <v>1.9337016574585641E-2</v>
      </c>
      <c r="J8" s="156">
        <v>2.0776874435411097E-2</v>
      </c>
      <c r="K8" s="156">
        <v>1.5929203539823078E-2</v>
      </c>
      <c r="L8" s="194">
        <v>9.9504938362078299E-3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82</v>
      </c>
      <c r="E9" s="78" t="s">
        <v>47</v>
      </c>
      <c r="F9" s="78"/>
      <c r="G9" s="126"/>
      <c r="H9" s="126"/>
      <c r="I9" s="126"/>
      <c r="J9" s="126"/>
      <c r="K9" s="126"/>
      <c r="L9" s="126"/>
      <c r="M9" s="156">
        <v>2.3998043050028173E-2</v>
      </c>
      <c r="N9" s="139">
        <f t="shared" ref="N9:Q9" si="0">M9</f>
        <v>2.3998043050028173E-2</v>
      </c>
      <c r="O9" s="139">
        <f t="shared" si="0"/>
        <v>2.3998043050028173E-2</v>
      </c>
      <c r="P9" s="139">
        <f t="shared" si="0"/>
        <v>2.3998043050028173E-2</v>
      </c>
      <c r="Q9" s="139">
        <f t="shared" si="0"/>
        <v>2.3998043050028173E-2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82</v>
      </c>
      <c r="E10" s="78" t="s">
        <v>26</v>
      </c>
      <c r="F10" s="134">
        <v>1</v>
      </c>
      <c r="G10" s="121">
        <f t="shared" ref="G10:L10" si="1">IF(G7&lt;&gt;"",(F10*(1+G8)),"")</f>
        <v>1.0151085930122756</v>
      </c>
      <c r="H10" s="121">
        <f t="shared" si="1"/>
        <v>1.0254957507082152</v>
      </c>
      <c r="I10" s="121">
        <f t="shared" si="1"/>
        <v>1.0453257790368271</v>
      </c>
      <c r="J10" s="121">
        <f t="shared" si="1"/>
        <v>1.0670443814919734</v>
      </c>
      <c r="K10" s="121">
        <f t="shared" si="1"/>
        <v>1.0840415486307837</v>
      </c>
      <c r="L10" s="121">
        <f t="shared" si="1"/>
        <v>1.0948282973786276</v>
      </c>
      <c r="M10" s="87">
        <f>IF(M7&lt;&gt;"",(L10*(1+M9)),"")</f>
        <v>1.121102033991509</v>
      </c>
      <c r="N10" s="87">
        <f t="shared" ref="N10:Q10" si="2">IF(N7&lt;&gt;"",(M10*(1+N9)),"")</f>
        <v>1.1480062888667113</v>
      </c>
      <c r="O10" s="87">
        <f t="shared" si="2"/>
        <v>1.1755561932086378</v>
      </c>
      <c r="P10" s="87">
        <f t="shared" si="2"/>
        <v>1.2037672413409859</v>
      </c>
      <c r="Q10" s="87">
        <f t="shared" si="2"/>
        <v>1.2326552994209006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1.5108593012275628E-2</v>
      </c>
      <c r="H13" s="156">
        <v>1.0232558139534831E-2</v>
      </c>
      <c r="I13" s="156">
        <v>1.9337016574585641E-2</v>
      </c>
      <c r="J13" s="156">
        <v>2.0776874435411097E-2</v>
      </c>
      <c r="K13" s="156">
        <v>1.5929203539823078E-2</v>
      </c>
      <c r="L13" s="194">
        <v>1.2195121951219523E-2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156">
        <v>2.3743086789108414E-2</v>
      </c>
      <c r="N14" s="139">
        <f t="shared" ref="N14:Q14" si="3">M14</f>
        <v>2.3743086789108414E-2</v>
      </c>
      <c r="O14" s="139">
        <f t="shared" si="3"/>
        <v>2.3743086789108414E-2</v>
      </c>
      <c r="P14" s="139">
        <f t="shared" si="3"/>
        <v>2.3743086789108414E-2</v>
      </c>
      <c r="Q14" s="139">
        <f t="shared" si="3"/>
        <v>2.3743086789108414E-2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1.0151085930122756</v>
      </c>
      <c r="H15" s="121">
        <f t="shared" si="4"/>
        <v>1.0254957507082152</v>
      </c>
      <c r="I15" s="121">
        <f t="shared" si="4"/>
        <v>1.0453257790368271</v>
      </c>
      <c r="J15" s="190">
        <f t="shared" si="4"/>
        <v>1.0670443814919734</v>
      </c>
      <c r="K15" s="191">
        <f t="shared" si="4"/>
        <v>1.0840415486307837</v>
      </c>
      <c r="L15" s="190">
        <f t="shared" si="4"/>
        <v>1.0972615675165249</v>
      </c>
      <c r="M15" s="191">
        <f>IF(M7&lt;&gt;"",(L15*(1+M14)),"")</f>
        <v>1.1233139441444229</v>
      </c>
      <c r="N15" s="87">
        <f t="shared" ref="N15:Q15" si="5">IF(N7&lt;&gt;"",(M15*(1+N14)),"")</f>
        <v>1.1499848846116596</v>
      </c>
      <c r="O15" s="87">
        <f t="shared" si="5"/>
        <v>1.1772890755331571</v>
      </c>
      <c r="P15" s="87">
        <f t="shared" si="5"/>
        <v>1.20524155222941</v>
      </c>
      <c r="Q15" s="87">
        <f t="shared" si="5"/>
        <v>1.2338577070058325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3.9330190400643561E-2</v>
      </c>
      <c r="H20" s="156">
        <v>3.8695031687912662E-2</v>
      </c>
      <c r="I20" s="156">
        <v>3.8123822021083775E-2</v>
      </c>
      <c r="J20" s="156">
        <v>3.7516149645275165E-2</v>
      </c>
      <c r="K20" s="156">
        <v>3.6002053810034296E-2</v>
      </c>
      <c r="L20" s="194">
        <v>1.1944673826015828E-2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156">
        <v>2.1970911943750338E-2</v>
      </c>
      <c r="N21" s="156">
        <v>2.0360980247794605E-2</v>
      </c>
      <c r="O21" s="156">
        <v>1.8751048551838602E-2</v>
      </c>
      <c r="P21" s="156">
        <v>1.7141116855882731E-2</v>
      </c>
      <c r="Q21" s="156">
        <v>1.5531185159926863E-2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5.5033007252777821E-2</v>
      </c>
      <c r="H22" s="140">
        <f t="shared" si="7"/>
        <v>4.9323538988905291E-2</v>
      </c>
      <c r="I22" s="140">
        <f t="shared" si="7"/>
        <v>5.8198039573977622E-2</v>
      </c>
      <c r="J22" s="140">
        <f t="shared" si="7"/>
        <v>5.90724924111663E-2</v>
      </c>
      <c r="K22" s="140">
        <f t="shared" si="7"/>
        <v>5.2504741392848997E-2</v>
      </c>
      <c r="L22" s="196">
        <f t="shared" si="7"/>
        <v>2.4285462531211222E-2</v>
      </c>
      <c r="M22" s="140">
        <f>IF(AND(M14&lt;&gt;"",M21&lt;&gt;""),((1+M21)*(1+M14)-1),"")</f>
        <v>4.623565600197499E-2</v>
      </c>
      <c r="N22" s="140">
        <f t="shared" ref="N22:Q22" si="8">IF(AND(N14&lt;&gt;"",N21&lt;&gt;""),((1+N21)*(1+N14)-1),"")</f>
        <v>4.4587499558037758E-2</v>
      </c>
      <c r="O22" s="140">
        <f t="shared" si="8"/>
        <v>4.2939343114100081E-2</v>
      </c>
      <c r="P22" s="140">
        <f t="shared" si="8"/>
        <v>4.1291186670162627E-2</v>
      </c>
      <c r="Q22" s="140">
        <f t="shared" si="8"/>
        <v>3.9643030226225173E-2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tabSelected="1" zoomScale="90" zoomScaleNormal="90" workbookViewId="0">
      <selection activeCell="J21" sqref="J21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United Energy 2021-26 Proposal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9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228.91539523906081</v>
      </c>
      <c r="I8" s="157">
        <v>232.16736554572151</v>
      </c>
      <c r="J8" s="157">
        <v>207.75112578719984</v>
      </c>
      <c r="K8" s="157">
        <v>196.92988418165513</v>
      </c>
      <c r="L8" s="157">
        <v>188.08984207816678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19.19503592181421</v>
      </c>
      <c r="I9" s="157">
        <v>27.396514712547379</v>
      </c>
      <c r="J9" s="157">
        <v>29.506559915409852</v>
      </c>
      <c r="K9" s="157">
        <v>29.789036723870449</v>
      </c>
      <c r="L9" s="157">
        <v>30.166346020165868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0.131966</v>
      </c>
      <c r="I10" s="157">
        <v>0.131966</v>
      </c>
      <c r="J10" s="157">
        <v>0.131966</v>
      </c>
      <c r="K10" s="157">
        <v>0.131966</v>
      </c>
      <c r="L10" s="157">
        <v>0.131966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209.58839331724661</v>
      </c>
      <c r="I12" s="66">
        <f t="shared" ref="I12:L12" si="0">IF(I6="", "", I8-I9-I10)</f>
        <v>204.63888483317413</v>
      </c>
      <c r="J12" s="66">
        <f t="shared" si="0"/>
        <v>178.11259987178997</v>
      </c>
      <c r="K12" s="66">
        <f t="shared" si="0"/>
        <v>167.00888145778467</v>
      </c>
      <c r="L12" s="66">
        <f t="shared" si="0"/>
        <v>157.79153005800092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208.07361655348964</v>
      </c>
      <c r="I18" s="158">
        <v>190.45602538</v>
      </c>
      <c r="J18" s="158">
        <v>167.60581379491043</v>
      </c>
      <c r="K18" s="158">
        <v>178.33075199999996</v>
      </c>
      <c r="L18" s="158">
        <v>217.36252457406275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41.648783999999999</v>
      </c>
      <c r="I19" s="158">
        <v>40.922868000000001</v>
      </c>
      <c r="J19" s="158">
        <v>37.919767810000003</v>
      </c>
      <c r="K19" s="158">
        <v>36.703401999999997</v>
      </c>
      <c r="L19" s="158">
        <v>36.529106494860372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0.23077500000000001</v>
      </c>
      <c r="I20" s="158">
        <v>8.0561290000000008E-2</v>
      </c>
      <c r="J20" s="158">
        <v>1.2786858100000003</v>
      </c>
      <c r="K20" s="158">
        <v>1.7798179999999999</v>
      </c>
      <c r="L20" s="158">
        <v>0.48436988374513296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166.19405755348964</v>
      </c>
      <c r="I23" s="66">
        <f t="shared" ref="I23:L23" si="2">IF(I16="", "", I18-I19-I20-I21)</f>
        <v>149.45259609000001</v>
      </c>
      <c r="J23" s="66">
        <f t="shared" si="2"/>
        <v>128.40736017491042</v>
      </c>
      <c r="K23" s="66">
        <f t="shared" si="2"/>
        <v>139.84753199999997</v>
      </c>
      <c r="L23" s="66">
        <f t="shared" si="2"/>
        <v>180.34904819545724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7">
        <f>IF(H29&lt;&gt;"",H29/('Input | Inflation and Disc Rate'!L10*(1+'Input | Inflation and Disc Rate'!M9)^0.5),"")</f>
        <v>0</v>
      </c>
      <c r="I30" s="197">
        <f>IF(I29&lt;&gt;"",I29/('Input | Inflation and Disc Rate'!M10*(1+'Input | Inflation and Disc Rate'!N9)^0.5),"")</f>
        <v>0</v>
      </c>
      <c r="J30" s="197">
        <f>IF(J29&lt;&gt;"",J29/('Input | Inflation and Disc Rate'!N10*(1+'Input | Inflation and Disc Rate'!O9)^0.5),"")</f>
        <v>0</v>
      </c>
      <c r="K30" s="197">
        <f>IF(K29&lt;&gt;"",K29/('Input | Inflation and Disc Rate'!O10*(1+'Input | Inflation and Disc Rate'!P9)^0.5),"")</f>
        <v>0</v>
      </c>
      <c r="L30" s="197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7">
        <f>IF(H29&lt;&gt;"",H30*'Input | Inflation and Disc Rate'!L15*(1+'Input | Inflation and Disc Rate'!M14)^0.5,"")</f>
        <v>0</v>
      </c>
      <c r="I31" s="197">
        <f>IF(I29&lt;&gt;"",I30*'Input | Inflation and Disc Rate'!M15*(1+'Input | Inflation and Disc Rate'!N14)^0.5,"")</f>
        <v>0</v>
      </c>
      <c r="J31" s="197">
        <f>IF(J29&lt;&gt;"",J30*'Input | Inflation and Disc Rate'!N15*(1+'Input | Inflation and Disc Rate'!O14)^0.5,"")</f>
        <v>0</v>
      </c>
      <c r="K31" s="197">
        <f>IF(K29&lt;&gt;"",K30*'Input | Inflation and Disc Rate'!O15*(1+'Input | Inflation and Disc Rate'!P14)^0.5,"")</f>
        <v>0</v>
      </c>
      <c r="L31" s="197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5" priority="20">
      <formula>IF($H$6&lt;&gt;"","FALSE","TRUE")</formula>
    </cfRule>
  </conditionalFormatting>
  <conditionalFormatting sqref="H19:L20">
    <cfRule type="expression" dxfId="4" priority="10">
      <formula>IF($H$6&lt;&gt;"","FALSE","TRUE")</formula>
    </cfRule>
  </conditionalFormatting>
  <conditionalFormatting sqref="H29:L29">
    <cfRule type="expression" dxfId="3" priority="4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18:L18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4"/>
  <sheetViews>
    <sheetView zoomScale="80" zoomScaleNormal="80" workbookViewId="0">
      <selection activeCell="D26" sqref="D26"/>
    </sheetView>
  </sheetViews>
  <sheetFormatPr defaultColWidth="0" defaultRowHeight="0" customHeight="1" zeroHeight="1"/>
  <cols>
    <col min="1" max="2" width="1.33203125" style="2" customWidth="1"/>
    <col min="3" max="3" width="86.5546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United Energy 2021-26 Proposal - Capital expenditure sharing scheme model</v>
      </c>
      <c r="D1" s="106" t="s">
        <v>43</v>
      </c>
      <c r="E1" s="154" t="s">
        <v>44</v>
      </c>
      <c r="F1" s="159" t="s">
        <v>32</v>
      </c>
      <c r="G1" s="219" t="s">
        <v>104</v>
      </c>
      <c r="H1" s="222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3.9330190400643561E-2</v>
      </c>
      <c r="E8" s="161">
        <f>'Input | Inflation and Disc Rate'!H20</f>
        <v>3.8695031687912662E-2</v>
      </c>
      <c r="F8" s="161">
        <f>'Input | Inflation and Disc Rate'!I20</f>
        <v>3.8123822021083775E-2</v>
      </c>
      <c r="G8" s="161">
        <f>'Input | Inflation and Disc Rate'!J20</f>
        <v>3.7516149645275165E-2</v>
      </c>
      <c r="H8" s="162">
        <f>'Input | Inflation and Disc Rate'!K20</f>
        <v>3.6002053810034296E-2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5.5033007252777821E-2</v>
      </c>
      <c r="E9" s="161">
        <f>'Input | Inflation and Disc Rate'!H22</f>
        <v>4.9323538988905291E-2</v>
      </c>
      <c r="F9" s="161">
        <f>'Input | Inflation and Disc Rate'!I22</f>
        <v>5.8198039573977622E-2</v>
      </c>
      <c r="G9" s="161">
        <f>'Input | Inflation and Disc Rate'!J22</f>
        <v>5.90724924111663E-2</v>
      </c>
      <c r="H9" s="162">
        <f>'Input | Inflation and Disc Rate'!K22</f>
        <v>5.2504741392848997E-2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216.89847772158691</v>
      </c>
      <c r="E10" s="164">
        <f>'Input | Reported Capex'!I$12*'Input | Inflation and Disc Rate'!H$15*(1+'Input | Inflation and Disc Rate'!H$20)^0.5</f>
        <v>213.87796969786552</v>
      </c>
      <c r="F10" s="164">
        <f>'Input | Reported Capex'!J$12*'Input | Inflation and Disc Rate'!I$15*(1+'Input | Inflation and Disc Rate'!I$20)^0.5</f>
        <v>189.70155124860995</v>
      </c>
      <c r="G10" s="164">
        <f>'Input | Reported Capex'!K$12*'Input | Inflation and Disc Rate'!J$15*(1+'Input | Inflation and Disc Rate'!J$20)^0.5</f>
        <v>181.51791044097519</v>
      </c>
      <c r="H10" s="165">
        <f>'Input | Reported Capex'!L$12*'Input | Inflation and Disc Rate'!K$15*(1+'Input | Inflation and Disc Rate'!K$20)^0.5</f>
        <v>174.10447084839524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170.70589328986301</v>
      </c>
      <c r="E11" s="164">
        <f>'Input | Reported Capex'!I23*(1+E$9)^0.5</f>
        <v>153.09400026033538</v>
      </c>
      <c r="F11" s="164">
        <f>'Input | Reported Capex'!J23*(1+F$9)^0.5</f>
        <v>132.09105049647772</v>
      </c>
      <c r="G11" s="164">
        <f>'Input | Reported Capex'!K23*(1+G$9)^0.5</f>
        <v>143.91884020114119</v>
      </c>
      <c r="H11" s="165">
        <f>'Input | Reported Capex'!L23*(1+H$9)^0.5</f>
        <v>185.02307102012193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46.192584431723901</v>
      </c>
      <c r="E12" s="142">
        <f>(E10-E11)</f>
        <v>60.783969437530146</v>
      </c>
      <c r="F12" s="142">
        <f t="shared" ref="F12:H12" si="0">(F10-F11)</f>
        <v>57.610500752132225</v>
      </c>
      <c r="G12" s="142">
        <f t="shared" si="0"/>
        <v>37.599070239833992</v>
      </c>
      <c r="H12" s="145">
        <f t="shared" si="0"/>
        <v>-10.918600171726695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1.7874235183321374</v>
      </c>
      <c r="F13" s="142">
        <f>$D$12*$F$8*(1+'Input | Inflation and Disc Rate'!H13)</f>
        <v>1.7790577899347488</v>
      </c>
      <c r="G13" s="142">
        <f>$D$12*$G$8*(1+'Input | Inflation and Disc Rate'!H13)*(1+'Input | Inflation and Disc Rate'!I13)</f>
        <v>1.7845539315508052</v>
      </c>
      <c r="H13" s="145">
        <f>$D$12*$H$8*(1+'Input | Inflation and Disc Rate'!H13)*(1+'Input | Inflation and Disc Rate'!I13)*(1+'Input | Inflation and Disc Rate'!J13)</f>
        <v>1.7481130592363612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2.3173172325713951</v>
      </c>
      <c r="G14" s="142">
        <f>$E$12*G$8*(1+'Input | Inflation and Disc Rate'!I13)</f>
        <v>2.32447624885046</v>
      </c>
      <c r="H14" s="145">
        <f>$E$12*H$8*(1+'Input | Inflation and Disc Rate'!I13)*(1+'Input | Inflation and Disc Rate'!J13)</f>
        <v>2.2770100777896016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2.1613241673562302</v>
      </c>
      <c r="H15" s="145">
        <f>$F$12*$H$8*(1+'Input | Inflation and Disc Rate'!J13)</f>
        <v>2.1171895874927307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1.3536437499817624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1.7874235183321374</v>
      </c>
      <c r="F18" s="146">
        <f t="shared" ref="F18:H18" si="1">SUM(F13:F17)</f>
        <v>4.0963750225061437</v>
      </c>
      <c r="G18" s="146">
        <f t="shared" si="1"/>
        <v>6.270354347757495</v>
      </c>
      <c r="H18" s="147">
        <f t="shared" si="1"/>
        <v>7.4959564745004563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1.2377305686726077</v>
      </c>
      <c r="E19" s="146">
        <f>F19*(1+F$9)</f>
        <v>1.1795509418050847</v>
      </c>
      <c r="F19" s="146">
        <f>G19*(1+G$9)</f>
        <v>1.1146788197414945</v>
      </c>
      <c r="G19" s="146">
        <f>H19*(1+H$9)</f>
        <v>1.052504741392849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6" t="s">
        <v>101</v>
      </c>
      <c r="D20" s="89">
        <f>D12*D19</f>
        <v>57.173973797135069</v>
      </c>
      <c r="E20" s="142">
        <f>E12*E19</f>
        <v>71.697788396690171</v>
      </c>
      <c r="F20" s="142">
        <f t="shared" ref="F20:H20" si="2">F12*F19</f>
        <v>64.21720498310323</v>
      </c>
      <c r="G20" s="142">
        <f t="shared" si="2"/>
        <v>39.573199699388041</v>
      </c>
      <c r="H20" s="145">
        <f t="shared" si="2"/>
        <v>-10.918600171726695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7" t="s">
        <v>102</v>
      </c>
      <c r="D21" s="90">
        <f>D18*D19</f>
        <v>0</v>
      </c>
      <c r="E21" s="146">
        <f>E18*E19</f>
        <v>2.1083570944532308</v>
      </c>
      <c r="F21" s="146">
        <f t="shared" ref="F21:H21" si="3">F18*F19</f>
        <v>4.5661424753056865</v>
      </c>
      <c r="G21" s="146">
        <f t="shared" si="3"/>
        <v>6.5995776812280287</v>
      </c>
      <c r="H21" s="147">
        <f t="shared" si="3"/>
        <v>7.4959564745004563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4.623565600197499E-2</v>
      </c>
      <c r="E25" s="167">
        <f>'Input | Inflation and Disc Rate'!N$22</f>
        <v>4.4587499558037758E-2</v>
      </c>
      <c r="F25" s="167">
        <f>'Input | Inflation and Disc Rate'!O$22</f>
        <v>4.2939343114100081E-2</v>
      </c>
      <c r="G25" s="167">
        <f>'Input | Inflation and Disc Rate'!P$22</f>
        <v>4.1291186670162627E-2</v>
      </c>
      <c r="H25" s="168">
        <f>'Input | Inflation and Disc Rate'!Q$22</f>
        <v>3.9643030226225173E-2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0</v>
      </c>
      <c r="E26" s="164">
        <f>'Input | Reported Capex'!I31</f>
        <v>0</v>
      </c>
      <c r="F26" s="164">
        <f>'Input | Reported Capex'!J31</f>
        <v>0</v>
      </c>
      <c r="G26" s="164">
        <f>'Input | Reported Capex'!K31</f>
        <v>0</v>
      </c>
      <c r="H26" s="165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1">
        <f>1/((1+D25)^(0.5)*(1+'Input | Inflation and Disc Rate'!$L$22))</f>
        <v>0.95447428577183546</v>
      </c>
      <c r="E27" s="199">
        <f>1/((1+E25)^(0.5)*(1+D25)*(1+'Input | Inflation and Disc Rate'!$L$22))</f>
        <v>0.91301321183746786</v>
      </c>
      <c r="F27" s="199">
        <f>1/((1+F25)^(0.5)*(1+E25)*(1+D25)*(1+'Input | Inflation and Disc Rate'!$L$22))</f>
        <v>0.87473222163006248</v>
      </c>
      <c r="G27" s="199">
        <f>1/((1+G25)^(0.5)*(1+F25)*(1+E25)*(1+D25)*(1+'Input | Inflation and Disc Rate'!$L$22))</f>
        <v>0.83938171198022393</v>
      </c>
      <c r="H27" s="200">
        <f>1/((1+H25)^(0.5)*(1+G25)*(1+F25)*(1+E25)*(1+D25)*(1+'Input | Inflation and Disc Rate'!$L$22))</f>
        <v>0.80673571364237973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8" t="s">
        <v>100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221.74356670458982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155.22049669321288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66.523070011376944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20.770033725487401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7" t="s">
        <v>121</v>
      </c>
      <c r="D36" s="103">
        <f>D34-D35</f>
        <v>45.753036285889543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8" t="s">
        <v>120</v>
      </c>
      <c r="D37" s="202">
        <f>D36*(1+'Input | Inflation and Disc Rate'!L22)</f>
        <v>46.86416993429966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0.97850143121787836</v>
      </c>
      <c r="E42" s="169">
        <f>D42/(1+'Input | Inflation and Disc Rate'!N21)</f>
        <v>0.95897574501550353</v>
      </c>
      <c r="F42" s="169">
        <f>E42/(1+'Input | Inflation and Disc Rate'!O21)</f>
        <v>0.94132491581598277</v>
      </c>
      <c r="G42" s="169">
        <f>F42/(1+'Input | Inflation and Disc Rate'!P21)</f>
        <v>0.92546147256905908</v>
      </c>
      <c r="H42" s="170">
        <f>G42/(1+'Input | Inflation and Disc Rate'!Q21)</f>
        <v>0.91130778265890122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3">
        <f>D37/(SUM(D42:H42))</f>
        <v>9.9381742917235432</v>
      </c>
      <c r="E43" s="204">
        <f>D43</f>
        <v>9.9381742917235432</v>
      </c>
      <c r="F43" s="204">
        <f t="shared" ref="F43:H43" si="5">E43</f>
        <v>9.9381742917235432</v>
      </c>
      <c r="G43" s="204">
        <f t="shared" si="5"/>
        <v>9.9381742917235432</v>
      </c>
      <c r="H43" s="205">
        <f t="shared" si="5"/>
        <v>9.9381742917235432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49.690871458617714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opLeftCell="E1" workbookViewId="0">
      <selection activeCell="I8" sqref="I8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United Energy 2021-26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5"/>
      <c r="K3" s="225"/>
      <c r="L3" s="225"/>
      <c r="M3" s="42"/>
      <c r="N3" s="225"/>
      <c r="O3" s="225"/>
      <c r="P3" s="225"/>
      <c r="Q3" s="225"/>
      <c r="R3" s="225"/>
      <c r="S3" s="225"/>
      <c r="T3" s="225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9.9381742917235432</v>
      </c>
      <c r="K8" s="129">
        <f>'Calc | CESS Revenue Increments'!E43</f>
        <v>9.9381742917235432</v>
      </c>
      <c r="L8" s="129">
        <f>'Calc | CESS Revenue Increments'!F43</f>
        <v>9.9381742917235432</v>
      </c>
      <c r="M8" s="129">
        <f>'Calc | CESS Revenue Increments'!G43</f>
        <v>9.9381742917235432</v>
      </c>
      <c r="N8" s="129">
        <f>'Calc | CESS Revenue Increments'!H43</f>
        <v>9.9381742917235432</v>
      </c>
      <c r="O8" s="60">
        <f>SUM(J8:N8)</f>
        <v>49.690871458617714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2020-09-14T03:45:08Z</dcterms:created>
  <dcterms:modified xsi:type="dcterms:W3CDTF">2020-09-16T02:56:17Z</dcterms:modified>
  <cp:category/>
  <cp:contentStatus/>
</cp:coreProperties>
</file>