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15" windowWidth="25230" windowHeight="12375"/>
  </bookViews>
  <sheets>
    <sheet name="Opex input AER Draft dec (ROC)" sheetId="16" r:id="rId1"/>
    <sheet name="Opex input corrected (AER) " sheetId="13" r:id="rId2"/>
    <sheet name="Opex input APTNT" sheetId="11" r:id="rId3"/>
    <sheet name="Opex MEJ adjustment APTNT" sheetId="9" r:id="rId4"/>
    <sheet name="AER opex sheet APTNT" sheetId="6" r:id="rId5"/>
    <sheet name="CPI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'[1]Lookup|Tables'!$G$12</definedName>
    <definedName name="abc" localSheetId="0">#REF!</definedName>
    <definedName name="abc">#REF!</definedName>
    <definedName name="Actuals">'[2]Lookup|Tables'!$G$26</definedName>
    <definedName name="Asset_class">'[3]Capex input'!$W$109:$W$115</definedName>
    <definedName name="Asset1" localSheetId="0">'[4]4. RAB'!#REF!</definedName>
    <definedName name="Asset1">'[4]4. RAB'!#REF!</definedName>
    <definedName name="Asset10" localSheetId="0">'[4]4. RAB'!#REF!</definedName>
    <definedName name="Asset10">'[4]4. RAB'!#REF!</definedName>
    <definedName name="Asset11" localSheetId="0">'[4]4. RAB'!#REF!</definedName>
    <definedName name="Asset11">'[4]4. RAB'!#REF!</definedName>
    <definedName name="asset11a" localSheetId="0">#REF!</definedName>
    <definedName name="asset11a">#REF!</definedName>
    <definedName name="Asset12" localSheetId="0">'[4]4. RAB'!#REF!</definedName>
    <definedName name="Asset12">'[4]4. RAB'!#REF!</definedName>
    <definedName name="Asset13" localSheetId="0">'[4]4. RAB'!#REF!</definedName>
    <definedName name="Asset13">'[4]4. RAB'!#REF!</definedName>
    <definedName name="Asset14" localSheetId="0">'[4]4. RAB'!#REF!</definedName>
    <definedName name="Asset14">'[4]4. RAB'!#REF!</definedName>
    <definedName name="Asset15" localSheetId="0">'[4]4. RAB'!#REF!</definedName>
    <definedName name="Asset15">'[4]4. RAB'!#REF!</definedName>
    <definedName name="Asset16" localSheetId="0">'[4]4. RAB'!#REF!</definedName>
    <definedName name="Asset16">'[4]4. RAB'!#REF!</definedName>
    <definedName name="Asset17" localSheetId="0">'[4]4. RAB'!#REF!</definedName>
    <definedName name="Asset17">'[4]4. RAB'!#REF!</definedName>
    <definedName name="Asset18" localSheetId="0">'[4]4. RAB'!#REF!</definedName>
    <definedName name="Asset18">'[4]4. RAB'!#REF!</definedName>
    <definedName name="Asset19" localSheetId="0">'[4]4. RAB'!#REF!</definedName>
    <definedName name="Asset19">'[4]4. RAB'!#REF!</definedName>
    <definedName name="Asset2" localSheetId="0">'[4]4. RAB'!#REF!</definedName>
    <definedName name="Asset2">'[4]4. RAB'!#REF!</definedName>
    <definedName name="Asset20" localSheetId="0">'[4]4. RAB'!#REF!</definedName>
    <definedName name="Asset20">'[4]4. RAB'!#REF!</definedName>
    <definedName name="Asset3" localSheetId="0">'[4]4. RAB'!#REF!</definedName>
    <definedName name="Asset3">'[4]4. RAB'!#REF!</definedName>
    <definedName name="Asset4" localSheetId="0">'[4]4. RAB'!#REF!</definedName>
    <definedName name="Asset4">'[4]4. RAB'!#REF!</definedName>
    <definedName name="Asset5" localSheetId="0">'[4]4. RAB'!#REF!</definedName>
    <definedName name="Asset5">'[4]4. RAB'!#REF!</definedName>
    <definedName name="Asset6" localSheetId="0">'[4]4. RAB'!#REF!</definedName>
    <definedName name="Asset6">'[4]4. RAB'!#REF!</definedName>
    <definedName name="Asset7" localSheetId="0">'[4]4. RAB'!#REF!</definedName>
    <definedName name="Asset7">'[4]4. RAB'!#REF!</definedName>
    <definedName name="Asset8" localSheetId="0">'[4]4. RAB'!#REF!</definedName>
    <definedName name="Asset8">'[4]4. RAB'!#REF!</definedName>
    <definedName name="Asset9" localSheetId="0">'[4]4. RAB'!#REF!</definedName>
    <definedName name="Asset9">'[4]4. RAB'!#REF!</definedName>
    <definedName name="assset1" localSheetId="0">#REF!</definedName>
    <definedName name="assset1">#REF!</definedName>
    <definedName name="assset10" localSheetId="0">#REF!</definedName>
    <definedName name="assset10">#REF!</definedName>
    <definedName name="DNSP">[5]Outcomes!$B$2</definedName>
    <definedName name="dollars">'[2]Lookup|Tables'!$G$10</definedName>
    <definedName name="factor">'[2]Lookup|Tables'!$G$17</definedName>
    <definedName name="InputRange">'[6]Scale escalation (2.8)'!$AA$26:$AA$32</definedName>
    <definedName name="kms">'[2]Lookup|Tables'!$G$23</definedName>
    <definedName name="millions">'[2]Lookup|Tables'!$G$12</definedName>
    <definedName name="Nominal">'[2]Input|Escalators'!$C$25</definedName>
    <definedName name="Nominal_to_Real">'[2]Input|Escalators'!$C$29:$C$35</definedName>
    <definedName name="number">'[2]Lookup|Tables'!$G$16</definedName>
    <definedName name="percent">'[2]Lookup|Tables'!$G$14</definedName>
    <definedName name="_xlnm.Print_Area" localSheetId="5">CPI!$A$1:$K$63</definedName>
    <definedName name="Real_to_Nominal">'[2]Input|Escalators'!$C$19:$C$25</definedName>
    <definedName name="Select" localSheetId="0">#REF!</definedName>
    <definedName name="Select">#REF!</definedName>
    <definedName name="TJ">'[2]Lookup|Tables'!$G$20</definedName>
  </definedNames>
  <calcPr calcId="145621"/>
</workbook>
</file>

<file path=xl/calcChain.xml><?xml version="1.0" encoding="utf-8"?>
<calcChain xmlns="http://schemas.openxmlformats.org/spreadsheetml/2006/main">
  <c r="Q73" i="16" l="1"/>
  <c r="Q71" i="16"/>
  <c r="Q70" i="16"/>
  <c r="K72" i="16"/>
  <c r="L72" i="16"/>
  <c r="M72" i="16"/>
  <c r="N72" i="16"/>
  <c r="O72" i="16"/>
  <c r="P72" i="16"/>
  <c r="J72" i="16"/>
  <c r="K70" i="16"/>
  <c r="L70" i="16"/>
  <c r="M70" i="16"/>
  <c r="N70" i="16"/>
  <c r="O70" i="16"/>
  <c r="P70" i="16"/>
  <c r="K71" i="16"/>
  <c r="L71" i="16"/>
  <c r="M71" i="16"/>
  <c r="N71" i="16"/>
  <c r="O71" i="16"/>
  <c r="P71" i="16"/>
  <c r="J71" i="16"/>
  <c r="J70" i="16"/>
  <c r="K69" i="16"/>
  <c r="L69" i="16"/>
  <c r="M69" i="16"/>
  <c r="N69" i="16"/>
  <c r="O69" i="16"/>
  <c r="P69" i="16"/>
  <c r="J69" i="16"/>
  <c r="L66" i="16"/>
  <c r="M66" i="16"/>
  <c r="N66" i="16"/>
  <c r="O66" i="16"/>
  <c r="P66" i="16"/>
  <c r="K66" i="16"/>
  <c r="P15" i="16"/>
  <c r="O15" i="16"/>
  <c r="N15" i="16"/>
  <c r="M15" i="16"/>
  <c r="L15" i="16"/>
  <c r="P14" i="16"/>
  <c r="O14" i="16"/>
  <c r="N14" i="16"/>
  <c r="M14" i="16"/>
  <c r="L14" i="16"/>
  <c r="P13" i="16"/>
  <c r="O13" i="16"/>
  <c r="N13" i="16"/>
  <c r="M13" i="16"/>
  <c r="L13" i="16"/>
  <c r="J95" i="16"/>
  <c r="J94" i="16"/>
  <c r="J93" i="16"/>
  <c r="J92" i="16"/>
  <c r="H92" i="16"/>
  <c r="H96" i="16"/>
  <c r="P52" i="16"/>
  <c r="P95" i="16" s="1"/>
  <c r="O52" i="16"/>
  <c r="O95" i="16" s="1"/>
  <c r="N52" i="16"/>
  <c r="N95" i="16" s="1"/>
  <c r="M52" i="16"/>
  <c r="M95" i="16" s="1"/>
  <c r="L52" i="16"/>
  <c r="L95" i="16" s="1"/>
  <c r="K52" i="16"/>
  <c r="K95" i="16" s="1"/>
  <c r="P51" i="16"/>
  <c r="P94" i="16" s="1"/>
  <c r="N51" i="16"/>
  <c r="N94" i="16" s="1"/>
  <c r="L51" i="16"/>
  <c r="L94" i="16" s="1"/>
  <c r="P50" i="16"/>
  <c r="P93" i="16" s="1"/>
  <c r="O50" i="16"/>
  <c r="O93" i="16" s="1"/>
  <c r="N50" i="16"/>
  <c r="N93" i="16" s="1"/>
  <c r="M50" i="16"/>
  <c r="M93" i="16" s="1"/>
  <c r="L50" i="16"/>
  <c r="K50" i="16"/>
  <c r="K93" i="16" s="1"/>
  <c r="F47" i="16"/>
  <c r="J47" i="16" s="1"/>
  <c r="F46" i="16"/>
  <c r="J46" i="16" s="1"/>
  <c r="K90" i="16" s="1"/>
  <c r="F45" i="16"/>
  <c r="J45" i="16" s="1"/>
  <c r="H44" i="16"/>
  <c r="H88" i="16" s="1"/>
  <c r="E44" i="16"/>
  <c r="D44" i="16"/>
  <c r="F43" i="16"/>
  <c r="J43" i="16" s="1"/>
  <c r="J87" i="16" s="1"/>
  <c r="F42" i="16"/>
  <c r="J42" i="16" s="1"/>
  <c r="J86" i="16" s="1"/>
  <c r="F41" i="16"/>
  <c r="J41" i="16" s="1"/>
  <c r="H40" i="16"/>
  <c r="H84" i="16" s="1"/>
  <c r="E40" i="16"/>
  <c r="D40" i="16"/>
  <c r="E39" i="16"/>
  <c r="F39" i="16" s="1"/>
  <c r="J39" i="16" s="1"/>
  <c r="E38" i="16"/>
  <c r="F38" i="16" s="1"/>
  <c r="J38" i="16" s="1"/>
  <c r="J82" i="16" s="1"/>
  <c r="E37" i="16"/>
  <c r="F37" i="16" s="1"/>
  <c r="J37" i="16" s="1"/>
  <c r="H36" i="16"/>
  <c r="H80" i="16" s="1"/>
  <c r="D36" i="16"/>
  <c r="F21" i="16"/>
  <c r="F27" i="16" s="1"/>
  <c r="E21" i="16"/>
  <c r="E27" i="16" s="1"/>
  <c r="D21" i="16"/>
  <c r="D27" i="16" s="1"/>
  <c r="C21" i="16"/>
  <c r="C27" i="16" s="1"/>
  <c r="O20" i="16"/>
  <c r="N20" i="16"/>
  <c r="N25" i="16" s="1"/>
  <c r="M20" i="16"/>
  <c r="L20" i="16"/>
  <c r="L25" i="16" s="1"/>
  <c r="O19" i="16"/>
  <c r="N19" i="16"/>
  <c r="N24" i="16" s="1"/>
  <c r="M19" i="16"/>
  <c r="L19" i="16"/>
  <c r="L24" i="16" s="1"/>
  <c r="O18" i="16"/>
  <c r="N18" i="16"/>
  <c r="N23" i="16" s="1"/>
  <c r="M18" i="16"/>
  <c r="L18" i="16"/>
  <c r="L23" i="16" s="1"/>
  <c r="G15" i="16"/>
  <c r="F15" i="16"/>
  <c r="F25" i="16" s="1"/>
  <c r="E15" i="16"/>
  <c r="E25" i="16" s="1"/>
  <c r="D15" i="16"/>
  <c r="D25" i="16" s="1"/>
  <c r="C15" i="16"/>
  <c r="C25" i="16" s="1"/>
  <c r="G14" i="16"/>
  <c r="F14" i="16"/>
  <c r="F24" i="16" s="1"/>
  <c r="E14" i="16"/>
  <c r="E24" i="16" s="1"/>
  <c r="D14" i="16"/>
  <c r="D24" i="16" s="1"/>
  <c r="C14" i="16"/>
  <c r="C24" i="16" s="1"/>
  <c r="G13" i="16"/>
  <c r="F13" i="16"/>
  <c r="F23" i="16" s="1"/>
  <c r="E13" i="16"/>
  <c r="E23" i="16" s="1"/>
  <c r="D13" i="16"/>
  <c r="D23" i="16" s="1"/>
  <c r="C13" i="16"/>
  <c r="C23" i="16" s="1"/>
  <c r="M16" i="16" l="1"/>
  <c r="Q72" i="16"/>
  <c r="P49" i="16"/>
  <c r="P92" i="16" s="1"/>
  <c r="L49" i="16"/>
  <c r="L92" i="16" s="1"/>
  <c r="O16" i="16"/>
  <c r="G16" i="16"/>
  <c r="M23" i="16"/>
  <c r="O23" i="16"/>
  <c r="M25" i="16"/>
  <c r="O25" i="16"/>
  <c r="E36" i="16"/>
  <c r="E48" i="16" s="1"/>
  <c r="F40" i="16"/>
  <c r="F44" i="16"/>
  <c r="L16" i="16"/>
  <c r="N16" i="16"/>
  <c r="P16" i="16"/>
  <c r="Q14" i="16"/>
  <c r="Q15" i="16"/>
  <c r="J44" i="16"/>
  <c r="J88" i="16" s="1"/>
  <c r="N49" i="16"/>
  <c r="N92" i="16" s="1"/>
  <c r="Q52" i="16"/>
  <c r="Q50" i="16"/>
  <c r="L93" i="16"/>
  <c r="K51" i="16"/>
  <c r="M51" i="16"/>
  <c r="O51" i="16"/>
  <c r="M24" i="16"/>
  <c r="O24" i="16"/>
  <c r="Q16" i="16"/>
  <c r="J36" i="16"/>
  <c r="J81" i="16"/>
  <c r="J83" i="16"/>
  <c r="H13" i="16"/>
  <c r="Q13" i="16"/>
  <c r="H14" i="16"/>
  <c r="H15" i="16"/>
  <c r="D16" i="16"/>
  <c r="F16" i="16"/>
  <c r="M21" i="16"/>
  <c r="M26" i="16" s="1"/>
  <c r="O21" i="16"/>
  <c r="D26" i="16"/>
  <c r="F26" i="16"/>
  <c r="K85" i="16"/>
  <c r="K87" i="16"/>
  <c r="J89" i="16"/>
  <c r="J91" i="16"/>
  <c r="Q93" i="16"/>
  <c r="Q95" i="16"/>
  <c r="C16" i="16"/>
  <c r="E16" i="16"/>
  <c r="L21" i="16"/>
  <c r="N21" i="16"/>
  <c r="C26" i="16"/>
  <c r="E26" i="16"/>
  <c r="D48" i="16"/>
  <c r="J85" i="16"/>
  <c r="J40" i="16"/>
  <c r="J84" i="16" s="1"/>
  <c r="J90" i="16"/>
  <c r="F36" i="16"/>
  <c r="F48" i="16" s="1"/>
  <c r="N26" i="16" l="1"/>
  <c r="O26" i="16"/>
  <c r="J48" i="16"/>
  <c r="M94" i="16"/>
  <c r="M49" i="16"/>
  <c r="Q51" i="16"/>
  <c r="K82" i="16"/>
  <c r="O94" i="16"/>
  <c r="O49" i="16"/>
  <c r="O92" i="16" s="1"/>
  <c r="K94" i="16"/>
  <c r="K49" i="16"/>
  <c r="K92" i="16" s="1"/>
  <c r="K86" i="16"/>
  <c r="K91" i="16"/>
  <c r="K89" i="16"/>
  <c r="L87" i="16"/>
  <c r="L85" i="16"/>
  <c r="K81" i="16"/>
  <c r="L90" i="16"/>
  <c r="L26" i="16"/>
  <c r="H16" i="16"/>
  <c r="K83" i="16"/>
  <c r="J80" i="16"/>
  <c r="J53" i="16" l="1"/>
  <c r="K48" i="16"/>
  <c r="J96" i="16"/>
  <c r="L82" i="16"/>
  <c r="Q94" i="16"/>
  <c r="M92" i="16"/>
  <c r="Q92" i="16" s="1"/>
  <c r="Q49" i="16"/>
  <c r="L83" i="16"/>
  <c r="P18" i="16"/>
  <c r="G18" i="16"/>
  <c r="K80" i="16"/>
  <c r="M85" i="16"/>
  <c r="L84" i="16"/>
  <c r="M87" i="16"/>
  <c r="L89" i="16"/>
  <c r="L91" i="16"/>
  <c r="K84" i="16"/>
  <c r="P19" i="16"/>
  <c r="G19" i="16"/>
  <c r="M90" i="16"/>
  <c r="L81" i="16"/>
  <c r="K88" i="16"/>
  <c r="P20" i="16"/>
  <c r="G20" i="16"/>
  <c r="L86" i="16"/>
  <c r="K53" i="16" l="1"/>
  <c r="K96" i="16" s="1"/>
  <c r="L48" i="16"/>
  <c r="M82" i="16"/>
  <c r="G25" i="16"/>
  <c r="H25" i="16" s="1"/>
  <c r="H20" i="16"/>
  <c r="L80" i="16"/>
  <c r="P24" i="16"/>
  <c r="Q24" i="16" s="1"/>
  <c r="Q19" i="16"/>
  <c r="M91" i="16"/>
  <c r="M89" i="16"/>
  <c r="M88" i="16"/>
  <c r="N85" i="16"/>
  <c r="P23" i="16"/>
  <c r="Q23" i="16" s="1"/>
  <c r="P21" i="16"/>
  <c r="Q18" i="16"/>
  <c r="M86" i="16"/>
  <c r="P25" i="16"/>
  <c r="Q25" i="16" s="1"/>
  <c r="Q20" i="16"/>
  <c r="M81" i="16"/>
  <c r="N90" i="16"/>
  <c r="G24" i="16"/>
  <c r="H24" i="16" s="1"/>
  <c r="H19" i="16"/>
  <c r="L88" i="16"/>
  <c r="N87" i="16"/>
  <c r="G23" i="16"/>
  <c r="H23" i="16" s="1"/>
  <c r="G21" i="16"/>
  <c r="H18" i="16"/>
  <c r="M83" i="16"/>
  <c r="L53" i="16" l="1"/>
  <c r="L96" i="16" s="1"/>
  <c r="M48" i="16"/>
  <c r="N82" i="16"/>
  <c r="O87" i="16"/>
  <c r="Q43" i="16"/>
  <c r="N83" i="16"/>
  <c r="G26" i="16"/>
  <c r="H26" i="16" s="1"/>
  <c r="H21" i="16"/>
  <c r="M84" i="16"/>
  <c r="O90" i="16"/>
  <c r="N81" i="16"/>
  <c r="P26" i="16"/>
  <c r="Q26" i="16" s="1"/>
  <c r="Q21" i="16"/>
  <c r="O85" i="16"/>
  <c r="Q41" i="16"/>
  <c r="N89" i="16"/>
  <c r="M80" i="16"/>
  <c r="N86" i="16"/>
  <c r="N84" i="16"/>
  <c r="N91" i="16"/>
  <c r="N48" i="16" l="1"/>
  <c r="M53" i="16"/>
  <c r="Q38" i="16"/>
  <c r="O82" i="16"/>
  <c r="N88" i="16"/>
  <c r="P85" i="16"/>
  <c r="Q85" i="16" s="1"/>
  <c r="P90" i="16"/>
  <c r="Q90" i="16" s="1"/>
  <c r="Q46" i="16"/>
  <c r="N80" i="16"/>
  <c r="O91" i="16"/>
  <c r="O86" i="16"/>
  <c r="M96" i="16"/>
  <c r="O88" i="16"/>
  <c r="O89" i="16"/>
  <c r="O84" i="16"/>
  <c r="O81" i="16"/>
  <c r="O83" i="16"/>
  <c r="P87" i="16"/>
  <c r="Q87" i="16" s="1"/>
  <c r="O48" i="16" l="1"/>
  <c r="N53" i="16"/>
  <c r="P82" i="16"/>
  <c r="Q82" i="16" s="1"/>
  <c r="P84" i="16"/>
  <c r="Q84" i="16" s="1"/>
  <c r="Q40" i="16"/>
  <c r="N96" i="16"/>
  <c r="O80" i="16"/>
  <c r="P89" i="16"/>
  <c r="Q89" i="16" s="1"/>
  <c r="P88" i="16"/>
  <c r="Q88" i="16" s="1"/>
  <c r="Q45" i="16"/>
  <c r="P86" i="16"/>
  <c r="Q86" i="16" s="1"/>
  <c r="Q42" i="16"/>
  <c r="P91" i="16"/>
  <c r="Q91" i="16" s="1"/>
  <c r="P83" i="16"/>
  <c r="Q83" i="16" s="1"/>
  <c r="Q39" i="16"/>
  <c r="Q36" i="16"/>
  <c r="P81" i="16"/>
  <c r="Q81" i="16" s="1"/>
  <c r="Q37" i="16"/>
  <c r="Q47" i="16"/>
  <c r="P48" i="16" l="1"/>
  <c r="P53" i="16" s="1"/>
  <c r="O53" i="16"/>
  <c r="Q48" i="16"/>
  <c r="P80" i="16"/>
  <c r="Q80" i="16" s="1"/>
  <c r="O96" i="16"/>
  <c r="Q44" i="16"/>
  <c r="P96" i="16" l="1"/>
  <c r="Q96" i="16" s="1"/>
  <c r="Q53" i="16"/>
  <c r="D16" i="11" l="1"/>
  <c r="K54" i="13"/>
  <c r="L54" i="13"/>
  <c r="M54" i="13"/>
  <c r="N54" i="13"/>
  <c r="O54" i="13"/>
  <c r="P54" i="13"/>
  <c r="Q54" i="13"/>
  <c r="R54" i="13"/>
  <c r="J54" i="13"/>
  <c r="D15" i="13"/>
  <c r="E15" i="13"/>
  <c r="F15" i="13"/>
  <c r="G15" i="13"/>
  <c r="C15" i="13"/>
  <c r="D14" i="13"/>
  <c r="E14" i="13"/>
  <c r="F14" i="13"/>
  <c r="G14" i="13"/>
  <c r="C14" i="13"/>
  <c r="D13" i="13"/>
  <c r="E13" i="13"/>
  <c r="F13" i="13"/>
  <c r="G13" i="13"/>
  <c r="C13" i="13"/>
  <c r="M13" i="13" l="1"/>
  <c r="N13" i="13"/>
  <c r="N16" i="13" s="1"/>
  <c r="O13" i="13"/>
  <c r="P13" i="13"/>
  <c r="P16" i="13" s="1"/>
  <c r="M14" i="13"/>
  <c r="N14" i="13"/>
  <c r="O14" i="13"/>
  <c r="P14" i="13"/>
  <c r="M15" i="13"/>
  <c r="N15" i="13"/>
  <c r="O15" i="13"/>
  <c r="P15" i="13"/>
  <c r="L15" i="13"/>
  <c r="L25" i="13" s="1"/>
  <c r="L14" i="13"/>
  <c r="L13" i="13"/>
  <c r="J88" i="13"/>
  <c r="J87" i="13"/>
  <c r="J86" i="13"/>
  <c r="J85" i="13"/>
  <c r="H85" i="13"/>
  <c r="H52" i="13"/>
  <c r="H89" i="13" s="1"/>
  <c r="U51" i="13"/>
  <c r="U88" i="13" s="1"/>
  <c r="T51" i="13"/>
  <c r="T88" i="13" s="1"/>
  <c r="S51" i="13"/>
  <c r="S88" i="13" s="1"/>
  <c r="R51" i="13"/>
  <c r="R88" i="13" s="1"/>
  <c r="Q51" i="13"/>
  <c r="Q88" i="13" s="1"/>
  <c r="P51" i="13"/>
  <c r="P88" i="13" s="1"/>
  <c r="O51" i="13"/>
  <c r="O88" i="13" s="1"/>
  <c r="N51" i="13"/>
  <c r="N88" i="13" s="1"/>
  <c r="M51" i="13"/>
  <c r="M88" i="13" s="1"/>
  <c r="L51" i="13"/>
  <c r="L88" i="13" s="1"/>
  <c r="K51" i="13"/>
  <c r="K88" i="13" s="1"/>
  <c r="U50" i="13"/>
  <c r="U87" i="13" s="1"/>
  <c r="T50" i="13"/>
  <c r="T87" i="13" s="1"/>
  <c r="S50" i="13"/>
  <c r="S87" i="13" s="1"/>
  <c r="R50" i="13"/>
  <c r="R87" i="13" s="1"/>
  <c r="Q50" i="13"/>
  <c r="Q87" i="13" s="1"/>
  <c r="P50" i="13"/>
  <c r="P87" i="13" s="1"/>
  <c r="O50" i="13"/>
  <c r="O87" i="13" s="1"/>
  <c r="N50" i="13"/>
  <c r="N87" i="13" s="1"/>
  <c r="M50" i="13"/>
  <c r="M87" i="13" s="1"/>
  <c r="L50" i="13"/>
  <c r="L87" i="13" s="1"/>
  <c r="K50" i="13"/>
  <c r="K87" i="13" s="1"/>
  <c r="U49" i="13"/>
  <c r="U86" i="13" s="1"/>
  <c r="T49" i="13"/>
  <c r="T86" i="13" s="1"/>
  <c r="S49" i="13"/>
  <c r="S86" i="13" s="1"/>
  <c r="R49" i="13"/>
  <c r="R86" i="13" s="1"/>
  <c r="Q49" i="13"/>
  <c r="Q86" i="13" s="1"/>
  <c r="P49" i="13"/>
  <c r="P86" i="13" s="1"/>
  <c r="O49" i="13"/>
  <c r="O86" i="13" s="1"/>
  <c r="N49" i="13"/>
  <c r="N86" i="13" s="1"/>
  <c r="M49" i="13"/>
  <c r="M86" i="13" s="1"/>
  <c r="L49" i="13"/>
  <c r="L86" i="13" s="1"/>
  <c r="K49" i="13"/>
  <c r="K86" i="13" s="1"/>
  <c r="U48" i="13"/>
  <c r="U85" i="13" s="1"/>
  <c r="T48" i="13"/>
  <c r="T85" i="13" s="1"/>
  <c r="S48" i="13"/>
  <c r="S85" i="13" s="1"/>
  <c r="R48" i="13"/>
  <c r="R85" i="13" s="1"/>
  <c r="Q48" i="13"/>
  <c r="Q85" i="13" s="1"/>
  <c r="P48" i="13"/>
  <c r="P85" i="13" s="1"/>
  <c r="O48" i="13"/>
  <c r="O85" i="13" s="1"/>
  <c r="N48" i="13"/>
  <c r="N85" i="13" s="1"/>
  <c r="M48" i="13"/>
  <c r="M85" i="13" s="1"/>
  <c r="L48" i="13"/>
  <c r="L85" i="13" s="1"/>
  <c r="K48" i="13"/>
  <c r="K85" i="13" s="1"/>
  <c r="J47" i="13"/>
  <c r="F47" i="13"/>
  <c r="J46" i="13"/>
  <c r="F46" i="13"/>
  <c r="J45" i="13"/>
  <c r="F45" i="13"/>
  <c r="J44" i="13"/>
  <c r="J81" i="13" s="1"/>
  <c r="H44" i="13"/>
  <c r="H81" i="13" s="1"/>
  <c r="E44" i="13"/>
  <c r="D44" i="13"/>
  <c r="F44" i="13" s="1"/>
  <c r="F43" i="13"/>
  <c r="J43" i="13" s="1"/>
  <c r="J80" i="13" s="1"/>
  <c r="K42" i="13"/>
  <c r="F42" i="13"/>
  <c r="J42" i="13" s="1"/>
  <c r="J79" i="13" s="1"/>
  <c r="F41" i="13"/>
  <c r="J41" i="13" s="1"/>
  <c r="K41" i="13" s="1"/>
  <c r="H40" i="13"/>
  <c r="H77" i="13" s="1"/>
  <c r="E40" i="13"/>
  <c r="D40" i="13"/>
  <c r="J39" i="13"/>
  <c r="E39" i="13"/>
  <c r="F39" i="13" s="1"/>
  <c r="F38" i="13"/>
  <c r="J38" i="13" s="1"/>
  <c r="J75" i="13" s="1"/>
  <c r="E38" i="13"/>
  <c r="J37" i="13"/>
  <c r="E37" i="13"/>
  <c r="F37" i="13" s="1"/>
  <c r="H36" i="13"/>
  <c r="H73" i="13" s="1"/>
  <c r="E36" i="13"/>
  <c r="E48" i="13" s="1"/>
  <c r="D36" i="13"/>
  <c r="D48" i="13" s="1"/>
  <c r="F21" i="13"/>
  <c r="F27" i="13" s="1"/>
  <c r="E21" i="13"/>
  <c r="E27" i="13" s="1"/>
  <c r="D21" i="13"/>
  <c r="C21" i="13"/>
  <c r="C27" i="13" s="1"/>
  <c r="O20" i="13"/>
  <c r="N20" i="13"/>
  <c r="M20" i="13"/>
  <c r="L20" i="13"/>
  <c r="O19" i="13"/>
  <c r="N19" i="13"/>
  <c r="M19" i="13"/>
  <c r="L19" i="13"/>
  <c r="O18" i="13"/>
  <c r="O21" i="13" s="1"/>
  <c r="N18" i="13"/>
  <c r="N21" i="13" s="1"/>
  <c r="M18" i="13"/>
  <c r="L18" i="13"/>
  <c r="L21" i="13" s="1"/>
  <c r="Q15" i="13"/>
  <c r="F25" i="13"/>
  <c r="E25" i="13"/>
  <c r="D25" i="13"/>
  <c r="C25" i="13"/>
  <c r="Q14" i="13"/>
  <c r="L24" i="13"/>
  <c r="F24" i="13"/>
  <c r="E24" i="13"/>
  <c r="D24" i="13"/>
  <c r="C24" i="13"/>
  <c r="O16" i="13"/>
  <c r="M16" i="13"/>
  <c r="L23" i="13"/>
  <c r="G16" i="13"/>
  <c r="F23" i="13"/>
  <c r="E23" i="13"/>
  <c r="D23" i="13"/>
  <c r="C23" i="13"/>
  <c r="N24" i="13" l="1"/>
  <c r="N25" i="13"/>
  <c r="O26" i="13"/>
  <c r="N26" i="13"/>
  <c r="K78" i="13"/>
  <c r="L41" i="13"/>
  <c r="H13" i="13"/>
  <c r="Q13" i="13"/>
  <c r="H14" i="13"/>
  <c r="C16" i="13"/>
  <c r="C26" i="13" s="1"/>
  <c r="E16" i="13"/>
  <c r="E26" i="13" s="1"/>
  <c r="L16" i="13"/>
  <c r="Q16" i="13" s="1"/>
  <c r="N23" i="13"/>
  <c r="K38" i="13"/>
  <c r="F40" i="13"/>
  <c r="K43" i="13"/>
  <c r="J82" i="13"/>
  <c r="K45" i="13"/>
  <c r="J83" i="13"/>
  <c r="K46" i="13"/>
  <c r="J84" i="13"/>
  <c r="K47" i="13"/>
  <c r="H15" i="13"/>
  <c r="D16" i="13"/>
  <c r="D26" i="13" s="1"/>
  <c r="F16" i="13"/>
  <c r="F26" i="13" s="1"/>
  <c r="M23" i="13"/>
  <c r="O23" i="13"/>
  <c r="M24" i="13"/>
  <c r="O24" i="13"/>
  <c r="M25" i="13"/>
  <c r="O25" i="13"/>
  <c r="M21" i="13"/>
  <c r="D27" i="13"/>
  <c r="J74" i="13"/>
  <c r="K37" i="13"/>
  <c r="J36" i="13"/>
  <c r="J76" i="13"/>
  <c r="K39" i="13"/>
  <c r="J78" i="13"/>
  <c r="J40" i="13"/>
  <c r="J77" i="13" s="1"/>
  <c r="K79" i="13"/>
  <c r="L42" i="13"/>
  <c r="F36" i="13"/>
  <c r="F48" i="13" s="1"/>
  <c r="V85" i="13"/>
  <c r="V48" i="13"/>
  <c r="V86" i="13"/>
  <c r="V49" i="13"/>
  <c r="V87" i="13"/>
  <c r="V50" i="13"/>
  <c r="V88" i="13"/>
  <c r="V51" i="13"/>
  <c r="K74" i="13" l="1"/>
  <c r="L37" i="13"/>
  <c r="K36" i="13"/>
  <c r="K84" i="13"/>
  <c r="L47" i="13"/>
  <c r="K83" i="13"/>
  <c r="L46" i="13"/>
  <c r="K82" i="13"/>
  <c r="K44" i="13"/>
  <c r="L45" i="13"/>
  <c r="K80" i="13"/>
  <c r="L43" i="13"/>
  <c r="K75" i="13"/>
  <c r="L38" i="13"/>
  <c r="H16" i="13"/>
  <c r="K40" i="13"/>
  <c r="L26" i="13"/>
  <c r="L79" i="13"/>
  <c r="M42" i="13"/>
  <c r="K76" i="13"/>
  <c r="L39" i="13"/>
  <c r="J73" i="13"/>
  <c r="J52" i="13"/>
  <c r="M26" i="13"/>
  <c r="L78" i="13"/>
  <c r="L40" i="13"/>
  <c r="M41" i="13"/>
  <c r="M78" i="13" l="1"/>
  <c r="N41" i="13"/>
  <c r="L77" i="13"/>
  <c r="J89" i="13"/>
  <c r="L76" i="13"/>
  <c r="M39" i="13"/>
  <c r="M79" i="13"/>
  <c r="N42" i="13"/>
  <c r="K77" i="13"/>
  <c r="P19" i="13"/>
  <c r="G19" i="13"/>
  <c r="L75" i="13"/>
  <c r="M38" i="13"/>
  <c r="L80" i="13"/>
  <c r="M43" i="13"/>
  <c r="L82" i="13"/>
  <c r="M45" i="13"/>
  <c r="L44" i="13"/>
  <c r="L74" i="13"/>
  <c r="M37" i="13"/>
  <c r="L36" i="13"/>
  <c r="J53" i="13"/>
  <c r="K81" i="13"/>
  <c r="P20" i="13"/>
  <c r="G20" i="13"/>
  <c r="L83" i="13"/>
  <c r="M46" i="13"/>
  <c r="L84" i="13"/>
  <c r="M47" i="13"/>
  <c r="K73" i="13"/>
  <c r="K52" i="13"/>
  <c r="K89" i="13" s="1"/>
  <c r="P18" i="13"/>
  <c r="G18" i="13"/>
  <c r="M84" i="13" l="1"/>
  <c r="N47" i="13"/>
  <c r="G21" i="13"/>
  <c r="H18" i="13"/>
  <c r="G23" i="13"/>
  <c r="H23" i="13" s="1"/>
  <c r="M83" i="13"/>
  <c r="N46" i="13"/>
  <c r="H20" i="13"/>
  <c r="G25" i="13"/>
  <c r="H25" i="13" s="1"/>
  <c r="L73" i="13"/>
  <c r="L52" i="13"/>
  <c r="L81" i="13"/>
  <c r="M75" i="13"/>
  <c r="N38" i="13"/>
  <c r="P24" i="13"/>
  <c r="Q24" i="13" s="1"/>
  <c r="Q19" i="13"/>
  <c r="M76" i="13"/>
  <c r="N39" i="13"/>
  <c r="N78" i="13"/>
  <c r="O41" i="13"/>
  <c r="P21" i="13"/>
  <c r="P23" i="13"/>
  <c r="Q23" i="13" s="1"/>
  <c r="Q18" i="13"/>
  <c r="P25" i="13"/>
  <c r="Q25" i="13" s="1"/>
  <c r="Q20" i="13"/>
  <c r="M74" i="13"/>
  <c r="N37" i="13"/>
  <c r="M36" i="13"/>
  <c r="M82" i="13"/>
  <c r="M44" i="13"/>
  <c r="M81" i="13" s="1"/>
  <c r="N45" i="13"/>
  <c r="M80" i="13"/>
  <c r="N43" i="13"/>
  <c r="N40" i="13" s="1"/>
  <c r="N77" i="13" s="1"/>
  <c r="H19" i="13"/>
  <c r="G24" i="13"/>
  <c r="H24" i="13" s="1"/>
  <c r="N79" i="13"/>
  <c r="O42" i="13"/>
  <c r="M40" i="13"/>
  <c r="N82" i="13" l="1"/>
  <c r="O45" i="13"/>
  <c r="N44" i="13"/>
  <c r="N81" i="13" s="1"/>
  <c r="O78" i="13"/>
  <c r="P41" i="13"/>
  <c r="V41" i="13"/>
  <c r="M77" i="13"/>
  <c r="O79" i="13"/>
  <c r="P42" i="13"/>
  <c r="M73" i="13"/>
  <c r="M52" i="13"/>
  <c r="P26" i="13"/>
  <c r="Q26" i="13" s="1"/>
  <c r="Q21" i="13"/>
  <c r="N76" i="13"/>
  <c r="O39" i="13"/>
  <c r="L89" i="13"/>
  <c r="N83" i="13"/>
  <c r="O46" i="13"/>
  <c r="G26" i="13"/>
  <c r="H26" i="13" s="1"/>
  <c r="H21" i="13"/>
  <c r="N80" i="13"/>
  <c r="O43" i="13"/>
  <c r="N74" i="13"/>
  <c r="O37" i="13"/>
  <c r="N36" i="13"/>
  <c r="N75" i="13"/>
  <c r="O38" i="13"/>
  <c r="N84" i="13"/>
  <c r="O47" i="13"/>
  <c r="O80" i="13" l="1"/>
  <c r="P43" i="13"/>
  <c r="O84" i="13"/>
  <c r="P47" i="13"/>
  <c r="V47" i="13" s="1"/>
  <c r="O75" i="13"/>
  <c r="P38" i="13"/>
  <c r="N73" i="13"/>
  <c r="N52" i="13"/>
  <c r="O83" i="13"/>
  <c r="P46" i="13"/>
  <c r="O40" i="13"/>
  <c r="O74" i="13"/>
  <c r="P37" i="13"/>
  <c r="O36" i="13"/>
  <c r="O76" i="13"/>
  <c r="P39" i="13"/>
  <c r="M89" i="13"/>
  <c r="P79" i="13"/>
  <c r="V79" i="13" s="1"/>
  <c r="Q42" i="13"/>
  <c r="V42" i="13"/>
  <c r="P78" i="13"/>
  <c r="V78" i="13" s="1"/>
  <c r="P40" i="13"/>
  <c r="P77" i="13" s="1"/>
  <c r="Q41" i="13"/>
  <c r="O82" i="13"/>
  <c r="O44" i="13"/>
  <c r="P45" i="13"/>
  <c r="L54" i="11"/>
  <c r="M54" i="11"/>
  <c r="N54" i="11"/>
  <c r="O54" i="11"/>
  <c r="P54" i="11"/>
  <c r="Q54" i="11"/>
  <c r="R54" i="11"/>
  <c r="P82" i="13" l="1"/>
  <c r="Q45" i="13"/>
  <c r="P44" i="13"/>
  <c r="P81" i="13" s="1"/>
  <c r="V45" i="13"/>
  <c r="V82" i="13"/>
  <c r="O81" i="13"/>
  <c r="V81" i="13" s="1"/>
  <c r="V44" i="13"/>
  <c r="Q78" i="13"/>
  <c r="R41" i="13"/>
  <c r="Q79" i="13"/>
  <c r="R42" i="13"/>
  <c r="P76" i="13"/>
  <c r="V76" i="13" s="1"/>
  <c r="Q39" i="13"/>
  <c r="P74" i="13"/>
  <c r="V74" i="13" s="1"/>
  <c r="Q37" i="13"/>
  <c r="P36" i="13"/>
  <c r="N89" i="13"/>
  <c r="P75" i="13"/>
  <c r="V75" i="13" s="1"/>
  <c r="Q38" i="13"/>
  <c r="V38" i="13"/>
  <c r="V39" i="13"/>
  <c r="O73" i="13"/>
  <c r="O52" i="13"/>
  <c r="V36" i="13"/>
  <c r="O77" i="13"/>
  <c r="V77" i="13" s="1"/>
  <c r="V40" i="13"/>
  <c r="P83" i="13"/>
  <c r="V83" i="13" s="1"/>
  <c r="Q46" i="13"/>
  <c r="V46" i="13"/>
  <c r="P84" i="13"/>
  <c r="V84" i="13" s="1"/>
  <c r="Q47" i="13"/>
  <c r="P80" i="13"/>
  <c r="V80" i="13" s="1"/>
  <c r="Q43" i="13"/>
  <c r="V43" i="13"/>
  <c r="V37" i="13"/>
  <c r="H89" i="11"/>
  <c r="S88" i="11"/>
  <c r="O88" i="11"/>
  <c r="K88" i="11"/>
  <c r="J88" i="11"/>
  <c r="J87" i="11"/>
  <c r="K86" i="11"/>
  <c r="J86" i="11"/>
  <c r="J85" i="11"/>
  <c r="H85" i="11"/>
  <c r="J77" i="11"/>
  <c r="H73" i="11"/>
  <c r="H52" i="11"/>
  <c r="U51" i="11"/>
  <c r="U88" i="11" s="1"/>
  <c r="T51" i="11"/>
  <c r="T88" i="11" s="1"/>
  <c r="S51" i="11"/>
  <c r="R51" i="11"/>
  <c r="R88" i="11" s="1"/>
  <c r="Q51" i="11"/>
  <c r="Q88" i="11" s="1"/>
  <c r="P51" i="11"/>
  <c r="P88" i="11" s="1"/>
  <c r="O51" i="11"/>
  <c r="N51" i="11"/>
  <c r="N88" i="11" s="1"/>
  <c r="M51" i="11"/>
  <c r="M88" i="11" s="1"/>
  <c r="L51" i="11"/>
  <c r="L88" i="11" s="1"/>
  <c r="K51" i="11"/>
  <c r="U50" i="11"/>
  <c r="U87" i="11" s="1"/>
  <c r="T50" i="11"/>
  <c r="T87" i="11" s="1"/>
  <c r="S50" i="11"/>
  <c r="S87" i="11" s="1"/>
  <c r="R50" i="11"/>
  <c r="R87" i="11" s="1"/>
  <c r="Q50" i="11"/>
  <c r="Q87" i="11" s="1"/>
  <c r="P50" i="11"/>
  <c r="P87" i="11" s="1"/>
  <c r="O50" i="11"/>
  <c r="O87" i="11" s="1"/>
  <c r="N50" i="11"/>
  <c r="N87" i="11" s="1"/>
  <c r="M50" i="11"/>
  <c r="M87" i="11" s="1"/>
  <c r="L50" i="11"/>
  <c r="L87" i="11" s="1"/>
  <c r="V87" i="11" s="1"/>
  <c r="K50" i="11"/>
  <c r="K87" i="11" s="1"/>
  <c r="U49" i="11"/>
  <c r="U86" i="11" s="1"/>
  <c r="T49" i="11"/>
  <c r="T86" i="11" s="1"/>
  <c r="S49" i="11"/>
  <c r="S48" i="11" s="1"/>
  <c r="S85" i="11" s="1"/>
  <c r="R49" i="11"/>
  <c r="R86" i="11" s="1"/>
  <c r="Q49" i="11"/>
  <c r="Q86" i="11" s="1"/>
  <c r="P49" i="11"/>
  <c r="P86" i="11" s="1"/>
  <c r="O49" i="11"/>
  <c r="O86" i="11" s="1"/>
  <c r="N49" i="11"/>
  <c r="N86" i="11" s="1"/>
  <c r="M49" i="11"/>
  <c r="M86" i="11" s="1"/>
  <c r="L49" i="11"/>
  <c r="L86" i="11" s="1"/>
  <c r="K49" i="11"/>
  <c r="T48" i="11"/>
  <c r="T85" i="11" s="1"/>
  <c r="R48" i="11"/>
  <c r="R85" i="11" s="1"/>
  <c r="P48" i="11"/>
  <c r="P85" i="11" s="1"/>
  <c r="N48" i="11"/>
  <c r="N85" i="11" s="1"/>
  <c r="M48" i="11"/>
  <c r="M85" i="11" s="1"/>
  <c r="L48" i="11"/>
  <c r="L85" i="11" s="1"/>
  <c r="K48" i="11"/>
  <c r="K85" i="11" s="1"/>
  <c r="D48" i="11"/>
  <c r="K47" i="11"/>
  <c r="F47" i="11"/>
  <c r="J47" i="11" s="1"/>
  <c r="J84" i="11" s="1"/>
  <c r="F46" i="11"/>
  <c r="J46" i="11" s="1"/>
  <c r="J83" i="11" s="1"/>
  <c r="K45" i="11"/>
  <c r="F45" i="11"/>
  <c r="J45" i="11" s="1"/>
  <c r="H44" i="11"/>
  <c r="H81" i="11" s="1"/>
  <c r="E44" i="11"/>
  <c r="D44" i="11"/>
  <c r="F44" i="11" s="1"/>
  <c r="J43" i="11"/>
  <c r="F43" i="11"/>
  <c r="J42" i="11"/>
  <c r="F42" i="11"/>
  <c r="J41" i="11"/>
  <c r="F41" i="11"/>
  <c r="J40" i="11"/>
  <c r="H40" i="11"/>
  <c r="H77" i="11" s="1"/>
  <c r="E40" i="11"/>
  <c r="D40" i="11"/>
  <c r="F40" i="11" s="1"/>
  <c r="F39" i="11"/>
  <c r="J39" i="11" s="1"/>
  <c r="J76" i="11" s="1"/>
  <c r="E39" i="11"/>
  <c r="E38" i="11"/>
  <c r="F37" i="11"/>
  <c r="J37" i="11" s="1"/>
  <c r="J74" i="11" s="1"/>
  <c r="E37" i="11"/>
  <c r="H36" i="11"/>
  <c r="D36" i="11"/>
  <c r="E27" i="11"/>
  <c r="E25" i="11"/>
  <c r="E24" i="11"/>
  <c r="E23" i="11"/>
  <c r="F21" i="11"/>
  <c r="F27" i="11" s="1"/>
  <c r="E21" i="11"/>
  <c r="D21" i="11"/>
  <c r="D27" i="11" s="1"/>
  <c r="C21" i="11"/>
  <c r="O20" i="11"/>
  <c r="O25" i="11" s="1"/>
  <c r="N20" i="11"/>
  <c r="N25" i="11" s="1"/>
  <c r="M20" i="11"/>
  <c r="M25" i="11" s="1"/>
  <c r="L20" i="11"/>
  <c r="O19" i="11"/>
  <c r="O24" i="11" s="1"/>
  <c r="N19" i="11"/>
  <c r="N24" i="11" s="1"/>
  <c r="M19" i="11"/>
  <c r="M24" i="11" s="1"/>
  <c r="L19" i="11"/>
  <c r="O18" i="11"/>
  <c r="O23" i="11" s="1"/>
  <c r="N18" i="11"/>
  <c r="N23" i="11" s="1"/>
  <c r="M18" i="11"/>
  <c r="M23" i="11" s="1"/>
  <c r="L18" i="11"/>
  <c r="E16" i="11"/>
  <c r="E26" i="11" s="1"/>
  <c r="P15" i="11"/>
  <c r="O15" i="11"/>
  <c r="N15" i="11"/>
  <c r="M15" i="11"/>
  <c r="L15" i="11"/>
  <c r="Q15" i="11" s="1"/>
  <c r="G15" i="11"/>
  <c r="F15" i="11"/>
  <c r="F25" i="11" s="1"/>
  <c r="E15" i="11"/>
  <c r="D15" i="11"/>
  <c r="D25" i="11" s="1"/>
  <c r="C15" i="11"/>
  <c r="H15" i="11" s="1"/>
  <c r="P14" i="11"/>
  <c r="O14" i="11"/>
  <c r="N14" i="11"/>
  <c r="M14" i="11"/>
  <c r="L14" i="11"/>
  <c r="Q14" i="11" s="1"/>
  <c r="G14" i="11"/>
  <c r="F14" i="11"/>
  <c r="F24" i="11" s="1"/>
  <c r="E14" i="11"/>
  <c r="D14" i="11"/>
  <c r="D24" i="11" s="1"/>
  <c r="C14" i="11"/>
  <c r="H14" i="11" s="1"/>
  <c r="P13" i="11"/>
  <c r="P16" i="11" s="1"/>
  <c r="O13" i="11"/>
  <c r="O16" i="11" s="1"/>
  <c r="N13" i="11"/>
  <c r="N16" i="11" s="1"/>
  <c r="M13" i="11"/>
  <c r="M16" i="11" s="1"/>
  <c r="L13" i="11"/>
  <c r="Q13" i="11" s="1"/>
  <c r="G13" i="11"/>
  <c r="G16" i="11" s="1"/>
  <c r="F13" i="11"/>
  <c r="F23" i="11" s="1"/>
  <c r="E13" i="11"/>
  <c r="D13" i="11"/>
  <c r="D23" i="11" s="1"/>
  <c r="C13" i="11"/>
  <c r="H13" i="11" s="1"/>
  <c r="O89" i="13" l="1"/>
  <c r="Q75" i="13"/>
  <c r="R38" i="13"/>
  <c r="P73" i="13"/>
  <c r="V73" i="13" s="1"/>
  <c r="P52" i="13"/>
  <c r="R78" i="13"/>
  <c r="R40" i="13"/>
  <c r="R77" i="13" s="1"/>
  <c r="S41" i="13"/>
  <c r="Q80" i="13"/>
  <c r="R43" i="13"/>
  <c r="Q84" i="13"/>
  <c r="R47" i="13"/>
  <c r="Q83" i="13"/>
  <c r="R46" i="13"/>
  <c r="Q74" i="13"/>
  <c r="R37" i="13"/>
  <c r="Q36" i="13"/>
  <c r="Q76" i="13"/>
  <c r="R39" i="13"/>
  <c r="R79" i="13"/>
  <c r="S42" i="13"/>
  <c r="Q40" i="13"/>
  <c r="Q77" i="13" s="1"/>
  <c r="Q82" i="13"/>
  <c r="Q44" i="13"/>
  <c r="Q81" i="13" s="1"/>
  <c r="R45" i="13"/>
  <c r="S86" i="11"/>
  <c r="O48" i="11"/>
  <c r="Q48" i="11"/>
  <c r="Q85" i="11" s="1"/>
  <c r="U48" i="11"/>
  <c r="U85" i="11" s="1"/>
  <c r="L16" i="11"/>
  <c r="Q16" i="11" s="1"/>
  <c r="L21" i="11"/>
  <c r="L23" i="11"/>
  <c r="L24" i="11"/>
  <c r="L25" i="11"/>
  <c r="K82" i="11"/>
  <c r="L45" i="11"/>
  <c r="C16" i="11"/>
  <c r="N21" i="11"/>
  <c r="N26" i="11" s="1"/>
  <c r="C23" i="11"/>
  <c r="C24" i="11"/>
  <c r="C25" i="11"/>
  <c r="C26" i="11"/>
  <c r="C27" i="11"/>
  <c r="K37" i="11"/>
  <c r="F38" i="11"/>
  <c r="J38" i="11" s="1"/>
  <c r="E36" i="11"/>
  <c r="K39" i="11"/>
  <c r="J78" i="11"/>
  <c r="K41" i="11"/>
  <c r="J79" i="11"/>
  <c r="K42" i="11"/>
  <c r="J80" i="11"/>
  <c r="K43" i="11"/>
  <c r="K44" i="11"/>
  <c r="J82" i="11"/>
  <c r="J44" i="11"/>
  <c r="J81" i="11" s="1"/>
  <c r="K46" i="11"/>
  <c r="K84" i="11"/>
  <c r="L47" i="11"/>
  <c r="F16" i="11"/>
  <c r="M21" i="11"/>
  <c r="M26" i="11" s="1"/>
  <c r="O21" i="11"/>
  <c r="O26" i="11" s="1"/>
  <c r="D26" i="11"/>
  <c r="F26" i="11"/>
  <c r="V48" i="11"/>
  <c r="V86" i="11"/>
  <c r="V49" i="11"/>
  <c r="V50" i="11"/>
  <c r="V88" i="11"/>
  <c r="V51" i="11"/>
  <c r="F8" i="9"/>
  <c r="R74" i="13" l="1"/>
  <c r="S37" i="13"/>
  <c r="R36" i="13"/>
  <c r="R83" i="13"/>
  <c r="S46" i="13"/>
  <c r="R84" i="13"/>
  <c r="S47" i="13"/>
  <c r="R80" i="13"/>
  <c r="S43" i="13"/>
  <c r="S78" i="13"/>
  <c r="T41" i="13"/>
  <c r="S40" i="13"/>
  <c r="S77" i="13" s="1"/>
  <c r="R82" i="13"/>
  <c r="S45" i="13"/>
  <c r="R44" i="13"/>
  <c r="R81" i="13" s="1"/>
  <c r="S79" i="13"/>
  <c r="T42" i="13"/>
  <c r="R76" i="13"/>
  <c r="S39" i="13"/>
  <c r="Q73" i="13"/>
  <c r="Q52" i="13"/>
  <c r="P89" i="13"/>
  <c r="V89" i="13" s="1"/>
  <c r="V52" i="13"/>
  <c r="R75" i="13"/>
  <c r="S38" i="13"/>
  <c r="O85" i="11"/>
  <c r="V85" i="11" s="1"/>
  <c r="K81" i="11"/>
  <c r="G20" i="11"/>
  <c r="P20" i="11"/>
  <c r="E48" i="11"/>
  <c r="F36" i="11"/>
  <c r="F48" i="11" s="1"/>
  <c r="K74" i="11"/>
  <c r="L37" i="11"/>
  <c r="H16" i="11"/>
  <c r="L26" i="11"/>
  <c r="L84" i="11"/>
  <c r="M47" i="11"/>
  <c r="L46" i="11"/>
  <c r="K83" i="11"/>
  <c r="K80" i="11"/>
  <c r="L43" i="11"/>
  <c r="K79" i="11"/>
  <c r="L42" i="11"/>
  <c r="K78" i="11"/>
  <c r="K40" i="11"/>
  <c r="L41" i="11"/>
  <c r="K76" i="11"/>
  <c r="L39" i="11"/>
  <c r="J75" i="11"/>
  <c r="K38" i="11"/>
  <c r="J36" i="11"/>
  <c r="L82" i="11"/>
  <c r="L44" i="11"/>
  <c r="M45" i="11"/>
  <c r="C45" i="7"/>
  <c r="S82" i="13" l="1"/>
  <c r="S44" i="13"/>
  <c r="S81" i="13" s="1"/>
  <c r="T45" i="13"/>
  <c r="S74" i="13"/>
  <c r="T37" i="13"/>
  <c r="S36" i="13"/>
  <c r="S75" i="13"/>
  <c r="T38" i="13"/>
  <c r="Q89" i="13"/>
  <c r="S76" i="13"/>
  <c r="T39" i="13"/>
  <c r="T79" i="13"/>
  <c r="U42" i="13"/>
  <c r="U79" i="13" s="1"/>
  <c r="T78" i="13"/>
  <c r="U41" i="13"/>
  <c r="S80" i="13"/>
  <c r="T43" i="13"/>
  <c r="T40" i="13" s="1"/>
  <c r="T77" i="13" s="1"/>
  <c r="S84" i="13"/>
  <c r="T47" i="13"/>
  <c r="S83" i="13"/>
  <c r="T46" i="13"/>
  <c r="R73" i="13"/>
  <c r="R52" i="13"/>
  <c r="M82" i="11"/>
  <c r="N45" i="11"/>
  <c r="M44" i="11"/>
  <c r="M81" i="11" s="1"/>
  <c r="J73" i="11"/>
  <c r="J52" i="11"/>
  <c r="J89" i="11" s="1"/>
  <c r="K77" i="11"/>
  <c r="G19" i="11"/>
  <c r="P19" i="11"/>
  <c r="L79" i="11"/>
  <c r="M42" i="11"/>
  <c r="L80" i="11"/>
  <c r="M43" i="11"/>
  <c r="M84" i="11"/>
  <c r="N47" i="11"/>
  <c r="L74" i="11"/>
  <c r="M37" i="11"/>
  <c r="J53" i="11"/>
  <c r="P25" i="11"/>
  <c r="Q25" i="11" s="1"/>
  <c r="Q20" i="11"/>
  <c r="L81" i="11"/>
  <c r="L38" i="11"/>
  <c r="K75" i="11"/>
  <c r="L76" i="11"/>
  <c r="M39" i="11"/>
  <c r="L78" i="11"/>
  <c r="M41" i="11"/>
  <c r="L40" i="11"/>
  <c r="L83" i="11"/>
  <c r="M46" i="11"/>
  <c r="K36" i="11"/>
  <c r="H20" i="11"/>
  <c r="G25" i="11"/>
  <c r="H25" i="11" s="1"/>
  <c r="D46" i="7"/>
  <c r="T83" i="13" l="1"/>
  <c r="U46" i="13"/>
  <c r="U83" i="13" s="1"/>
  <c r="T76" i="13"/>
  <c r="U39" i="13"/>
  <c r="U76" i="13" s="1"/>
  <c r="T75" i="13"/>
  <c r="U38" i="13"/>
  <c r="U75" i="13" s="1"/>
  <c r="S73" i="13"/>
  <c r="S52" i="13"/>
  <c r="S89" i="13" s="1"/>
  <c r="R89" i="13"/>
  <c r="T84" i="13"/>
  <c r="U47" i="13"/>
  <c r="U84" i="13" s="1"/>
  <c r="T80" i="13"/>
  <c r="U43" i="13"/>
  <c r="U80" i="13" s="1"/>
  <c r="U78" i="13"/>
  <c r="U40" i="13"/>
  <c r="U77" i="13" s="1"/>
  <c r="T74" i="13"/>
  <c r="U37" i="13"/>
  <c r="T36" i="13"/>
  <c r="T82" i="13"/>
  <c r="U45" i="13"/>
  <c r="T44" i="13"/>
  <c r="T81" i="13" s="1"/>
  <c r="K52" i="11"/>
  <c r="K89" i="11" s="1"/>
  <c r="K73" i="11"/>
  <c r="G18" i="11"/>
  <c r="P18" i="11"/>
  <c r="L77" i="11"/>
  <c r="M40" i="11"/>
  <c r="M77" i="11" s="1"/>
  <c r="N41" i="11"/>
  <c r="M78" i="11"/>
  <c r="M76" i="11"/>
  <c r="N39" i="11"/>
  <c r="L75" i="11"/>
  <c r="M38" i="11"/>
  <c r="L36" i="11"/>
  <c r="N84" i="11"/>
  <c r="O47" i="11"/>
  <c r="M79" i="11"/>
  <c r="N42" i="11"/>
  <c r="P24" i="11"/>
  <c r="Q24" i="11" s="1"/>
  <c r="Q19" i="11"/>
  <c r="M83" i="11"/>
  <c r="N46" i="11"/>
  <c r="M74" i="11"/>
  <c r="N37" i="11"/>
  <c r="M80" i="11"/>
  <c r="N43" i="11"/>
  <c r="H19" i="11"/>
  <c r="G24" i="11"/>
  <c r="H24" i="11" s="1"/>
  <c r="N82" i="11"/>
  <c r="N44" i="11"/>
  <c r="O45" i="11"/>
  <c r="U74" i="13" l="1"/>
  <c r="U36" i="13"/>
  <c r="U82" i="13"/>
  <c r="U44" i="13"/>
  <c r="U81" i="13" s="1"/>
  <c r="T73" i="13"/>
  <c r="T52" i="13"/>
  <c r="T89" i="13" s="1"/>
  <c r="N81" i="11"/>
  <c r="N80" i="11"/>
  <c r="O43" i="11"/>
  <c r="N74" i="11"/>
  <c r="O37" i="11"/>
  <c r="N36" i="11"/>
  <c r="O84" i="11"/>
  <c r="P47" i="11"/>
  <c r="V47" i="11"/>
  <c r="L73" i="11"/>
  <c r="L52" i="11"/>
  <c r="M75" i="11"/>
  <c r="N38" i="11"/>
  <c r="N78" i="11"/>
  <c r="O41" i="11"/>
  <c r="N40" i="11"/>
  <c r="P23" i="11"/>
  <c r="Q23" i="11" s="1"/>
  <c r="P21" i="11"/>
  <c r="Q18" i="11"/>
  <c r="O82" i="11"/>
  <c r="P45" i="11"/>
  <c r="V45" i="11" s="1"/>
  <c r="M36" i="11"/>
  <c r="N83" i="11"/>
  <c r="O46" i="11"/>
  <c r="O44" i="11" s="1"/>
  <c r="O81" i="11" s="1"/>
  <c r="N79" i="11"/>
  <c r="O42" i="11"/>
  <c r="O39" i="11"/>
  <c r="N76" i="11"/>
  <c r="H18" i="11"/>
  <c r="G23" i="11"/>
  <c r="H23" i="11" s="1"/>
  <c r="G21" i="11"/>
  <c r="P15" i="9"/>
  <c r="O15" i="9"/>
  <c r="N15" i="9"/>
  <c r="M15" i="9"/>
  <c r="L15" i="9"/>
  <c r="K15" i="9"/>
  <c r="J15" i="9"/>
  <c r="I15" i="9"/>
  <c r="H15" i="9"/>
  <c r="G15" i="9"/>
  <c r="F15" i="9"/>
  <c r="P10" i="9"/>
  <c r="P8" i="9"/>
  <c r="O10" i="9"/>
  <c r="O9" i="9"/>
  <c r="O8" i="9"/>
  <c r="N10" i="9"/>
  <c r="N9" i="9"/>
  <c r="N8" i="9"/>
  <c r="M10" i="9"/>
  <c r="M9" i="9"/>
  <c r="M8" i="9"/>
  <c r="L10" i="9"/>
  <c r="L9" i="9"/>
  <c r="L8" i="9"/>
  <c r="K10" i="9"/>
  <c r="K9" i="9"/>
  <c r="K8" i="9"/>
  <c r="J10" i="9"/>
  <c r="J9" i="9"/>
  <c r="J8" i="9"/>
  <c r="I10" i="9"/>
  <c r="I9" i="9"/>
  <c r="I8" i="9"/>
  <c r="H10" i="9"/>
  <c r="H9" i="9"/>
  <c r="H8" i="9"/>
  <c r="G8" i="9"/>
  <c r="G9" i="9"/>
  <c r="G10" i="9"/>
  <c r="F10" i="9"/>
  <c r="F9" i="9"/>
  <c r="P14" i="9"/>
  <c r="E24" i="9"/>
  <c r="U73" i="13" l="1"/>
  <c r="U52" i="13"/>
  <c r="U89" i="13" s="1"/>
  <c r="O76" i="11"/>
  <c r="P39" i="11"/>
  <c r="V39" i="11"/>
  <c r="O79" i="11"/>
  <c r="P42" i="11"/>
  <c r="M52" i="11"/>
  <c r="M89" i="11" s="1"/>
  <c r="M73" i="11"/>
  <c r="P26" i="11"/>
  <c r="Q26" i="11" s="1"/>
  <c r="Q21" i="11"/>
  <c r="N77" i="11"/>
  <c r="L89" i="11"/>
  <c r="N73" i="11"/>
  <c r="N52" i="11"/>
  <c r="N89" i="11" s="1"/>
  <c r="O80" i="11"/>
  <c r="P43" i="11"/>
  <c r="G26" i="11"/>
  <c r="H26" i="11" s="1"/>
  <c r="H21" i="11"/>
  <c r="O83" i="11"/>
  <c r="P46" i="11"/>
  <c r="P82" i="11"/>
  <c r="V82" i="11" s="1"/>
  <c r="Q45" i="11"/>
  <c r="O78" i="11"/>
  <c r="O40" i="11"/>
  <c r="O77" i="11" s="1"/>
  <c r="P41" i="11"/>
  <c r="N75" i="11"/>
  <c r="O38" i="11"/>
  <c r="P84" i="11"/>
  <c r="V84" i="11" s="1"/>
  <c r="Q47" i="11"/>
  <c r="O74" i="11"/>
  <c r="P37" i="11"/>
  <c r="V43" i="11"/>
  <c r="P9" i="9"/>
  <c r="P74" i="11" l="1"/>
  <c r="V74" i="11" s="1"/>
  <c r="Q37" i="11"/>
  <c r="V37" i="11"/>
  <c r="Q84" i="11"/>
  <c r="R47" i="11"/>
  <c r="O75" i="11"/>
  <c r="P38" i="11"/>
  <c r="P78" i="11"/>
  <c r="V78" i="11" s="1"/>
  <c r="Q41" i="11"/>
  <c r="P40" i="11"/>
  <c r="P77" i="11" s="1"/>
  <c r="V77" i="11" s="1"/>
  <c r="V41" i="11"/>
  <c r="P83" i="11"/>
  <c r="V83" i="11" s="1"/>
  <c r="Q46" i="11"/>
  <c r="Q44" i="11" s="1"/>
  <c r="Q81" i="11" s="1"/>
  <c r="V46" i="11"/>
  <c r="Q42" i="11"/>
  <c r="P79" i="11"/>
  <c r="V79" i="11" s="1"/>
  <c r="O36" i="11"/>
  <c r="Q82" i="11"/>
  <c r="R45" i="11"/>
  <c r="P44" i="11"/>
  <c r="P80" i="11"/>
  <c r="V80" i="11" s="1"/>
  <c r="Q43" i="11"/>
  <c r="V40" i="11"/>
  <c r="V42" i="11"/>
  <c r="P76" i="11"/>
  <c r="V76" i="11" s="1"/>
  <c r="Q39" i="11"/>
  <c r="Q80" i="11" l="1"/>
  <c r="R43" i="11"/>
  <c r="P81" i="11"/>
  <c r="V81" i="11" s="1"/>
  <c r="V44" i="11"/>
  <c r="R82" i="11"/>
  <c r="S45" i="11"/>
  <c r="O52" i="11"/>
  <c r="O73" i="11"/>
  <c r="Q79" i="11"/>
  <c r="R42" i="11"/>
  <c r="P75" i="11"/>
  <c r="Q38" i="11"/>
  <c r="R84" i="11"/>
  <c r="S47" i="11"/>
  <c r="Q76" i="11"/>
  <c r="R39" i="11"/>
  <c r="Q83" i="11"/>
  <c r="R46" i="11"/>
  <c r="Q78" i="11"/>
  <c r="Q40" i="11"/>
  <c r="Q77" i="11" s="1"/>
  <c r="R41" i="11"/>
  <c r="V38" i="11"/>
  <c r="V75" i="11"/>
  <c r="Q74" i="11"/>
  <c r="R37" i="11"/>
  <c r="Q36" i="11"/>
  <c r="P36" i="11"/>
  <c r="P73" i="11" l="1"/>
  <c r="P52" i="11"/>
  <c r="R74" i="11"/>
  <c r="S37" i="11"/>
  <c r="R78" i="11"/>
  <c r="S41" i="11"/>
  <c r="R40" i="11"/>
  <c r="R77" i="11" s="1"/>
  <c r="V73" i="11"/>
  <c r="S82" i="11"/>
  <c r="T45" i="11"/>
  <c r="Q52" i="11"/>
  <c r="Q89" i="11" s="1"/>
  <c r="Q73" i="11"/>
  <c r="R83" i="11"/>
  <c r="S46" i="11"/>
  <c r="R76" i="11"/>
  <c r="S39" i="11"/>
  <c r="S84" i="11"/>
  <c r="T47" i="11"/>
  <c r="Q75" i="11"/>
  <c r="R38" i="11"/>
  <c r="R79" i="11"/>
  <c r="S42" i="11"/>
  <c r="V36" i="11"/>
  <c r="O89" i="11"/>
  <c r="R44" i="11"/>
  <c r="R81" i="11" s="1"/>
  <c r="R80" i="11"/>
  <c r="S43" i="11"/>
  <c r="D11" i="9"/>
  <c r="G11" i="9"/>
  <c r="H11" i="9"/>
  <c r="I11" i="9"/>
  <c r="J11" i="9"/>
  <c r="K11" i="9"/>
  <c r="L11" i="9"/>
  <c r="M11" i="9"/>
  <c r="O11" i="9"/>
  <c r="V89" i="11" l="1"/>
  <c r="P89" i="11"/>
  <c r="S80" i="11"/>
  <c r="T43" i="11"/>
  <c r="S79" i="11"/>
  <c r="T42" i="11"/>
  <c r="R75" i="11"/>
  <c r="S38" i="11"/>
  <c r="T84" i="11"/>
  <c r="U47" i="11"/>
  <c r="U84" i="11" s="1"/>
  <c r="S76" i="11"/>
  <c r="T39" i="11"/>
  <c r="T46" i="11"/>
  <c r="S83" i="11"/>
  <c r="S44" i="11"/>
  <c r="S81" i="11" s="1"/>
  <c r="S74" i="11"/>
  <c r="T37" i="11"/>
  <c r="S36" i="11"/>
  <c r="V52" i="11"/>
  <c r="T82" i="11"/>
  <c r="T44" i="11"/>
  <c r="T81" i="11" s="1"/>
  <c r="U45" i="11"/>
  <c r="S78" i="11"/>
  <c r="S40" i="11"/>
  <c r="S77" i="11" s="1"/>
  <c r="T41" i="11"/>
  <c r="R36" i="11"/>
  <c r="F11" i="9"/>
  <c r="P11" i="9"/>
  <c r="N11" i="9"/>
  <c r="E11" i="9"/>
  <c r="T78" i="11" l="1"/>
  <c r="U41" i="11"/>
  <c r="T40" i="11"/>
  <c r="T77" i="11" s="1"/>
  <c r="T74" i="11"/>
  <c r="U37" i="11"/>
  <c r="T83" i="11"/>
  <c r="U46" i="11"/>
  <c r="U83" i="11" s="1"/>
  <c r="R73" i="11"/>
  <c r="R52" i="11"/>
  <c r="R89" i="11" s="1"/>
  <c r="U82" i="11"/>
  <c r="U44" i="11"/>
  <c r="U81" i="11" s="1"/>
  <c r="S52" i="11"/>
  <c r="S89" i="11" s="1"/>
  <c r="S73" i="11"/>
  <c r="T76" i="11"/>
  <c r="U39" i="11"/>
  <c r="U76" i="11" s="1"/>
  <c r="T38" i="11"/>
  <c r="S75" i="11"/>
  <c r="T79" i="11"/>
  <c r="U42" i="11"/>
  <c r="U79" i="11" s="1"/>
  <c r="T80" i="11"/>
  <c r="U43" i="11"/>
  <c r="U80" i="11" s="1"/>
  <c r="U74" i="11" l="1"/>
  <c r="U40" i="11"/>
  <c r="U77" i="11" s="1"/>
  <c r="U78" i="11"/>
  <c r="T75" i="11"/>
  <c r="U38" i="11"/>
  <c r="U75" i="11" s="1"/>
  <c r="T36" i="11"/>
  <c r="T73" i="11" l="1"/>
  <c r="T52" i="11"/>
  <c r="T89" i="11" s="1"/>
  <c r="U36" i="11"/>
  <c r="U52" i="11" l="1"/>
  <c r="U89" i="11" s="1"/>
  <c r="U73" i="11"/>
  <c r="D47" i="7"/>
  <c r="D48" i="7" s="1"/>
  <c r="D49" i="7" s="1"/>
  <c r="D50" i="7" s="1"/>
  <c r="D51" i="7" s="1"/>
  <c r="D52" i="7" s="1"/>
  <c r="D53" i="7" s="1"/>
  <c r="D54" i="7" s="1"/>
  <c r="D55" i="7" s="1"/>
  <c r="D56" i="7" s="1"/>
  <c r="C46" i="7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B36" i="7"/>
  <c r="B37" i="7" s="1"/>
  <c r="B38" i="7" s="1"/>
  <c r="K35" i="7"/>
  <c r="J35" i="7"/>
  <c r="I35" i="7"/>
  <c r="H35" i="7"/>
  <c r="K34" i="7"/>
  <c r="J34" i="7"/>
  <c r="I34" i="7"/>
  <c r="H34" i="7"/>
  <c r="K33" i="7"/>
  <c r="J33" i="7"/>
  <c r="I33" i="7"/>
  <c r="H33" i="7"/>
  <c r="K32" i="7"/>
  <c r="J32" i="7"/>
  <c r="I32" i="7"/>
  <c r="H32" i="7"/>
  <c r="K31" i="7"/>
  <c r="J31" i="7"/>
  <c r="I31" i="7"/>
  <c r="H31" i="7"/>
  <c r="K30" i="7"/>
  <c r="J30" i="7"/>
  <c r="I30" i="7"/>
  <c r="H30" i="7"/>
  <c r="K29" i="7"/>
  <c r="J29" i="7"/>
  <c r="I29" i="7"/>
  <c r="H29" i="7"/>
  <c r="K28" i="7"/>
  <c r="J28" i="7"/>
  <c r="I28" i="7"/>
  <c r="H28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J21" i="7"/>
  <c r="I21" i="7"/>
  <c r="H21" i="7"/>
  <c r="K20" i="7"/>
  <c r="J20" i="7"/>
  <c r="I20" i="7"/>
  <c r="H20" i="7"/>
  <c r="K19" i="7"/>
  <c r="J19" i="7"/>
  <c r="I19" i="7"/>
  <c r="H19" i="7"/>
  <c r="K18" i="7"/>
  <c r="J18" i="7"/>
  <c r="I18" i="7"/>
  <c r="H18" i="7"/>
  <c r="K17" i="7"/>
  <c r="J17" i="7"/>
  <c r="I17" i="7"/>
  <c r="H17" i="7"/>
  <c r="K16" i="7"/>
  <c r="J16" i="7"/>
  <c r="E42" i="6" l="1"/>
  <c r="B38" i="6"/>
  <c r="G37" i="6"/>
  <c r="F37" i="6"/>
  <c r="E37" i="6"/>
  <c r="D37" i="6"/>
  <c r="C37" i="6"/>
  <c r="H37" i="6" s="1"/>
  <c r="B35" i="6"/>
  <c r="H30" i="6"/>
  <c r="B30" i="6"/>
  <c r="G28" i="6"/>
  <c r="G43" i="6" s="1"/>
  <c r="F28" i="6"/>
  <c r="F43" i="6" s="1"/>
  <c r="E28" i="6"/>
  <c r="E43" i="6" s="1"/>
  <c r="D28" i="6"/>
  <c r="H28" i="6" s="1"/>
  <c r="C28" i="6"/>
  <c r="C43" i="6" s="1"/>
  <c r="B28" i="6"/>
  <c r="G27" i="6"/>
  <c r="G42" i="6" s="1"/>
  <c r="F27" i="6"/>
  <c r="F42" i="6" s="1"/>
  <c r="E27" i="6"/>
  <c r="D27" i="6"/>
  <c r="D42" i="6" s="1"/>
  <c r="C27" i="6"/>
  <c r="C42" i="6" s="1"/>
  <c r="B27" i="6"/>
  <c r="B24" i="6"/>
  <c r="P20" i="6"/>
  <c r="F9" i="6" s="1"/>
  <c r="O20" i="6"/>
  <c r="E9" i="6" s="1"/>
  <c r="Q18" i="6"/>
  <c r="Q20" i="6" s="1"/>
  <c r="G9" i="6" s="1"/>
  <c r="P18" i="6"/>
  <c r="O18" i="6"/>
  <c r="M18" i="6"/>
  <c r="M20" i="6" s="1"/>
  <c r="C9" i="6" s="1"/>
  <c r="Q16" i="6"/>
  <c r="P16" i="6"/>
  <c r="O16" i="6"/>
  <c r="N16" i="6"/>
  <c r="N18" i="6" s="1"/>
  <c r="N20" i="6" s="1"/>
  <c r="D9" i="6" s="1"/>
  <c r="M16" i="6"/>
  <c r="G25" i="6" l="1"/>
  <c r="G10" i="6"/>
  <c r="G26" i="6" s="1"/>
  <c r="G36" i="6" s="1"/>
  <c r="D10" i="6"/>
  <c r="D26" i="6" s="1"/>
  <c r="D36" i="6" s="1"/>
  <c r="D25" i="6"/>
  <c r="D13" i="6"/>
  <c r="D15" i="6" s="1"/>
  <c r="D35" i="6" s="1"/>
  <c r="D38" i="6" s="1"/>
  <c r="C25" i="6"/>
  <c r="C10" i="6"/>
  <c r="H9" i="6"/>
  <c r="E10" i="6"/>
  <c r="E26" i="6" s="1"/>
  <c r="E36" i="6" s="1"/>
  <c r="E25" i="6"/>
  <c r="F25" i="6"/>
  <c r="F13" i="6"/>
  <c r="F15" i="6" s="1"/>
  <c r="F35" i="6" s="1"/>
  <c r="F38" i="6" s="1"/>
  <c r="F10" i="6"/>
  <c r="F26" i="6" s="1"/>
  <c r="F36" i="6" s="1"/>
  <c r="D43" i="6"/>
  <c r="H27" i="6"/>
  <c r="H25" i="6" l="1"/>
  <c r="C29" i="6"/>
  <c r="F29" i="6"/>
  <c r="F31" i="6" s="1"/>
  <c r="F41" i="6"/>
  <c r="H13" i="6"/>
  <c r="H15" i="6" s="1"/>
  <c r="G13" i="6"/>
  <c r="G15" i="6" s="1"/>
  <c r="G35" i="6" s="1"/>
  <c r="G38" i="6" s="1"/>
  <c r="E13" i="6"/>
  <c r="E15" i="6" s="1"/>
  <c r="E35" i="6" s="1"/>
  <c r="E38" i="6" s="1"/>
  <c r="H10" i="6"/>
  <c r="C26" i="6"/>
  <c r="D41" i="6"/>
  <c r="D29" i="6"/>
  <c r="D31" i="6" s="1"/>
  <c r="G41" i="6"/>
  <c r="G29" i="6"/>
  <c r="G31" i="6" s="1"/>
  <c r="E41" i="6"/>
  <c r="E29" i="6"/>
  <c r="E31" i="6" s="1"/>
  <c r="C13" i="6"/>
  <c r="C15" i="6" s="1"/>
  <c r="C35" i="6" s="1"/>
  <c r="H29" i="6" l="1"/>
  <c r="C31" i="6"/>
  <c r="H31" i="6" s="1"/>
  <c r="C36" i="6"/>
  <c r="H36" i="6" s="1"/>
  <c r="H26" i="6"/>
  <c r="C41" i="6"/>
  <c r="H35" i="6"/>
  <c r="C38" i="6" l="1"/>
  <c r="H38" i="6" s="1"/>
</calcChain>
</file>

<file path=xl/sharedStrings.xml><?xml version="1.0" encoding="utf-8"?>
<sst xmlns="http://schemas.openxmlformats.org/spreadsheetml/2006/main" count="575" uniqueCount="143">
  <si>
    <t>2011/12</t>
  </si>
  <si>
    <t>2012/13</t>
  </si>
  <si>
    <t>2013/14</t>
  </si>
  <si>
    <t>2014/15</t>
  </si>
  <si>
    <t>2016/17</t>
  </si>
  <si>
    <t>Total</t>
  </si>
  <si>
    <t>$'000 nominal</t>
  </si>
  <si>
    <t>AER Final Decision</t>
  </si>
  <si>
    <t>Overheads</t>
  </si>
  <si>
    <t>Total Forecast</t>
  </si>
  <si>
    <t>Variance between approved forecast and actual</t>
  </si>
  <si>
    <t>Total Actual</t>
  </si>
  <si>
    <t>Total variance</t>
  </si>
  <si>
    <t>NOMINAL</t>
  </si>
  <si>
    <t>$2015/16</t>
  </si>
  <si>
    <t>Actual operating expenditure</t>
  </si>
  <si>
    <t>2015/16 E</t>
  </si>
  <si>
    <t>2017/18</t>
  </si>
  <si>
    <t>2018/19</t>
  </si>
  <si>
    <t>2019/20</t>
  </si>
  <si>
    <t>2020/21</t>
  </si>
  <si>
    <t>Earlier AA</t>
  </si>
  <si>
    <t>Forecast AA</t>
  </si>
  <si>
    <t>NT Gas revised proposal</t>
  </si>
  <si>
    <t>NT Gas step changes ($2009-10)</t>
  </si>
  <si>
    <t>2011-12</t>
  </si>
  <si>
    <t>2012-13</t>
  </si>
  <si>
    <t>2013-14</t>
  </si>
  <si>
    <t>2014-15</t>
  </si>
  <si>
    <t>2015-16</t>
  </si>
  <si>
    <t>O&amp;M</t>
  </si>
  <si>
    <t>CP</t>
  </si>
  <si>
    <t xml:space="preserve"> - step changes</t>
  </si>
  <si>
    <t>Access lease fees</t>
  </si>
  <si>
    <t xml:space="preserve"> - non step changes</t>
  </si>
  <si>
    <t>Leasing of emergency trucks</t>
  </si>
  <si>
    <t>SCADA</t>
  </si>
  <si>
    <t>Sales &amp; marketing</t>
  </si>
  <si>
    <t>Right of way erosion</t>
  </si>
  <si>
    <t>Site batteries</t>
  </si>
  <si>
    <t>Debt raising costs</t>
  </si>
  <si>
    <t xml:space="preserve">Above ground recoating </t>
  </si>
  <si>
    <t>Intelligent pigging</t>
  </si>
  <si>
    <t>AER's escalators</t>
  </si>
  <si>
    <t>Step changes ($2010-11)</t>
  </si>
  <si>
    <t>Less: new negative step change</t>
  </si>
  <si>
    <t>Operating and maintenance</t>
  </si>
  <si>
    <t>Total step changes</t>
  </si>
  <si>
    <t>AER's final decision</t>
  </si>
  <si>
    <t>Revisions table</t>
  </si>
  <si>
    <t>Effect of labour escalators</t>
  </si>
  <si>
    <t>Amendment to debt raising costs</t>
  </si>
  <si>
    <t>PTRM inputs</t>
  </si>
  <si>
    <t>Controllable opex</t>
  </si>
  <si>
    <t>Corporate</t>
  </si>
  <si>
    <t xml:space="preserve">Sales and marketing </t>
  </si>
  <si>
    <t>NOTE: This is an AER input sheet and should not be changed. It has been password protected. The password is 'AER'</t>
  </si>
  <si>
    <t>Sales and marketing</t>
  </si>
  <si>
    <t xml:space="preserve">Source: </t>
  </si>
  <si>
    <t>www.abs.gov.au/ausstats/abs%40.nsf/mf/6401.0</t>
  </si>
  <si>
    <t xml:space="preserve"> </t>
  </si>
  <si>
    <t>Consumer Price Index</t>
  </si>
  <si>
    <t>(Weighted average of eight capital cities)</t>
  </si>
  <si>
    <t>Indexation numbers to be applied to the cost to calculate the "indexed cost base" of assets</t>
  </si>
  <si>
    <r>
      <t xml:space="preserve">acquired </t>
    </r>
    <r>
      <rPr>
        <sz val="12"/>
        <color indexed="10"/>
        <rFont val="Times New Roman"/>
        <family val="1"/>
      </rPr>
      <t>after 19 September 1985</t>
    </r>
    <r>
      <rPr>
        <sz val="12"/>
        <rFont val="Times New Roman"/>
        <family val="1"/>
      </rPr>
      <t xml:space="preserve"> are :</t>
    </r>
  </si>
  <si>
    <t>Annual</t>
  </si>
  <si>
    <t>Year</t>
  </si>
  <si>
    <t>March</t>
  </si>
  <si>
    <t>June</t>
  </si>
  <si>
    <t>September</t>
  </si>
  <si>
    <t>December</t>
  </si>
  <si>
    <t xml:space="preserve">Dec 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</si>
  <si>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</si>
  <si>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</si>
  <si>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</si>
  <si>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</si>
  <si>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</si>
  <si>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</si>
  <si>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</si>
  <si>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</si>
  <si>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</si>
  <si>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</si>
  <si>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</si>
  <si>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</si>
  <si>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</si>
  <si>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*</t>
  </si>
  <si>
    <t>Estimated</t>
  </si>
  <si>
    <t>f</t>
  </si>
  <si>
    <t>Indexation is frozen at 30 September 1999</t>
  </si>
  <si>
    <t>Forecast inflation</t>
  </si>
  <si>
    <t>Operating expenditure  over the earlier access arrangement period ($2015/16)</t>
  </si>
  <si>
    <t>Inputs required</t>
  </si>
  <si>
    <t>$'000 $2015/16</t>
  </si>
  <si>
    <t>2021/22</t>
  </si>
  <si>
    <t>2022/23</t>
  </si>
  <si>
    <t>2023/24</t>
  </si>
  <si>
    <t>2024/25</t>
  </si>
  <si>
    <t>2025/26</t>
  </si>
  <si>
    <t>Operating expenditure over the earlier access arrangement period ($nominal)</t>
  </si>
  <si>
    <t>Forecast operating expenditure by category ($2015/16)</t>
  </si>
  <si>
    <t>Item</t>
  </si>
  <si>
    <t>Operations and maintenance</t>
  </si>
  <si>
    <t>Value</t>
  </si>
  <si>
    <t>Instructions: Enter values for historic and forecast spends in the coloured cells below. Grey cells will auto fill.</t>
  </si>
  <si>
    <t>Operations &amp; Maintenance</t>
  </si>
  <si>
    <t>Intelligent pigging adjustment</t>
  </si>
  <si>
    <t>2015/16</t>
  </si>
  <si>
    <t>Internal labour</t>
  </si>
  <si>
    <t>External labour</t>
  </si>
  <si>
    <t>Materials and other</t>
  </si>
  <si>
    <t>Components</t>
  </si>
  <si>
    <t>Other</t>
  </si>
  <si>
    <t>2014/15 Base year adjustments and breakdowns</t>
  </si>
  <si>
    <t>Intelligent Pigging</t>
  </si>
  <si>
    <t>$'000 $2014/15</t>
  </si>
  <si>
    <t>Real cost escalators</t>
  </si>
  <si>
    <t>Adjusted Base Year</t>
  </si>
  <si>
    <t>2014/15 Adjusted Base Year</t>
  </si>
  <si>
    <t>Total (5 -year)</t>
  </si>
  <si>
    <t>Pigging adjustment</t>
  </si>
  <si>
    <t>Direct labour%</t>
  </si>
  <si>
    <t>Direct Material%</t>
  </si>
  <si>
    <t>Director contractor%</t>
  </si>
  <si>
    <t>Breakdown of Pigging costs for forecast</t>
  </si>
  <si>
    <t>Forecast</t>
  </si>
  <si>
    <t xml:space="preserve">Actual </t>
  </si>
  <si>
    <t xml:space="preserve">Total Forecast of Pigging costs </t>
  </si>
  <si>
    <t>Forecast operating expenditure by category ($nominal)</t>
  </si>
  <si>
    <t>Difference</t>
  </si>
  <si>
    <t>The formulas in the table below originally referenced the NT revised proposal data on the "AER opex sheet"</t>
  </si>
  <si>
    <t>In this version of Opex Input work sheet the formulas have been revised to link to AER final decision section of "AER opex sheet"</t>
  </si>
  <si>
    <t>Rate of change</t>
  </si>
  <si>
    <t>Total opex incl pigging</t>
  </si>
  <si>
    <t>Output growth</t>
  </si>
  <si>
    <t>Productivity</t>
  </si>
  <si>
    <t>Total opex excl pigging</t>
  </si>
  <si>
    <t>2016-17 - 2020-21</t>
  </si>
  <si>
    <t>Materiality</t>
  </si>
  <si>
    <t>difference / total opex</t>
  </si>
  <si>
    <t>Comparison</t>
  </si>
  <si>
    <t xml:space="preserve">APTNT forecast </t>
  </si>
  <si>
    <t>AER forecast (Rate of change model, input corrected)</t>
  </si>
  <si>
    <t>Total opex less pigging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</si>
</sst>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.0_);\(#,##0.0\)"/>
    <numFmt numFmtId="166" formatCode="0.000%;\(0.000%\)"/>
    <numFmt numFmtId="167" formatCode="0.0%"/>
    <numFmt numFmtId="168" formatCode="0.000%"/>
    <numFmt numFmtId="169" formatCode="0.00000000000000%"/>
    <numFmt numFmtId="170" formatCode="_(#,##0_);\(#,##0\);_(&quot;-&quot;_)"/>
    <numFmt numFmtId="171" formatCode="_-* #,##0.00_-;[Red]\(#,##0.00\)_-;_-* &quot;-&quot;??_-;_-@_-"/>
    <numFmt numFmtId="172" formatCode="_(* #,##0_);_(* \(#,##0\);_(* &quot;-&quot;_);_(@_)"/>
    <numFmt numFmtId="173" formatCode="_(* #,##0.00_);_(* \(#,##0.00\);_(* &quot;-&quot;??_);_(@_)"/>
    <numFmt numFmtId="174" formatCode="mm/dd/yy"/>
    <numFmt numFmtId="175" formatCode="_([$€-2]* #,##0.00_);_([$€-2]* \(#,##0.00\);_([$€-2]* &quot;-&quot;??_)"/>
    <numFmt numFmtId="176" formatCode="0_);[Red]\(0\)"/>
    <numFmt numFmtId="177" formatCode="dd/mmm"/>
    <numFmt numFmtId="178" formatCode="_(* #,##0_);_(* \(#,##0\);_(* &quot;-&quot;?_);_(@_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</numFmts>
  <fonts count="7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u/>
      <sz val="7.2"/>
      <color indexed="1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Arial"/>
      <family val="2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vertAlign val="superscript"/>
      <sz val="12"/>
      <name val="Times New Roman"/>
      <family val="1"/>
    </font>
    <font>
      <u/>
      <sz val="7.5"/>
      <color indexed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4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70" fontId="24" fillId="0" borderId="22">
      <alignment horizontal="right"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4" fillId="0" borderId="0"/>
    <xf numFmtId="171" fontId="24" fillId="0" borderId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/>
    <xf numFmtId="42" fontId="29" fillId="0" borderId="0" applyFont="0" applyFill="0" applyBorder="0" applyAlignment="0" applyProtection="0"/>
    <xf numFmtId="0" fontId="30" fillId="38" borderId="0" applyNumberFormat="0" applyBorder="0" applyAlignment="0" applyProtection="0"/>
    <xf numFmtId="0" fontId="31" fillId="0" borderId="0" applyNumberFormat="0" applyFill="0" applyBorder="0" applyAlignment="0"/>
    <xf numFmtId="172" fontId="4" fillId="39" borderId="0" applyNumberFormat="0" applyFont="0" applyBorder="0" applyAlignment="0">
      <alignment horizontal="right"/>
    </xf>
    <xf numFmtId="172" fontId="4" fillId="39" borderId="0" applyNumberFormat="0" applyFont="0" applyBorder="0" applyAlignment="0">
      <alignment horizontal="right"/>
    </xf>
    <xf numFmtId="0" fontId="32" fillId="0" borderId="0" applyNumberFormat="0" applyFill="0" applyBorder="0" applyAlignment="0">
      <protection locked="0"/>
    </xf>
    <xf numFmtId="0" fontId="33" fillId="22" borderId="23" applyNumberFormat="0" applyAlignment="0" applyProtection="0"/>
    <xf numFmtId="0" fontId="34" fillId="40" borderId="24" applyNumberFormat="0" applyAlignment="0" applyProtection="0"/>
    <xf numFmtId="41" fontId="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3" borderId="0" applyNumberFormat="0" applyBorder="0" applyAlignment="0" applyProtection="0"/>
    <xf numFmtId="175" fontId="2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0" fillId="0" borderId="0"/>
    <xf numFmtId="0" fontId="41" fillId="0" borderId="0"/>
    <xf numFmtId="0" fontId="42" fillId="44" borderId="0" applyNumberFormat="0" applyBorder="0" applyAlignment="0" applyProtection="0"/>
    <xf numFmtId="0" fontId="5" fillId="0" borderId="0" applyFill="0" applyBorder="0">
      <alignment vertical="center"/>
    </xf>
    <xf numFmtId="0" fontId="43" fillId="0" borderId="25" applyNumberFormat="0" applyFill="0" applyAlignment="0" applyProtection="0"/>
    <xf numFmtId="0" fontId="5" fillId="0" borderId="0" applyFill="0" applyBorder="0">
      <alignment vertical="center"/>
    </xf>
    <xf numFmtId="0" fontId="44" fillId="0" borderId="0" applyFill="0" applyBorder="0">
      <alignment vertical="center"/>
    </xf>
    <xf numFmtId="0" fontId="45" fillId="0" borderId="26" applyNumberFormat="0" applyFill="0" applyAlignment="0" applyProtection="0"/>
    <xf numFmtId="0" fontId="44" fillId="0" borderId="0" applyFill="0" applyBorder="0">
      <alignment vertical="center"/>
    </xf>
    <xf numFmtId="0" fontId="25" fillId="0" borderId="0" applyFill="0" applyBorder="0">
      <alignment vertical="center"/>
    </xf>
    <xf numFmtId="0" fontId="46" fillId="0" borderId="27" applyNumberFormat="0" applyFill="0" applyAlignment="0" applyProtection="0"/>
    <xf numFmtId="0" fontId="25" fillId="0" borderId="0" applyFill="0" applyBorder="0">
      <alignment vertical="center"/>
    </xf>
    <xf numFmtId="0" fontId="24" fillId="0" borderId="0" applyFill="0" applyBorder="0">
      <alignment vertical="center"/>
    </xf>
    <xf numFmtId="0" fontId="46" fillId="0" borderId="0" applyNumberFormat="0" applyFill="0" applyBorder="0" applyAlignment="0" applyProtection="0"/>
    <xf numFmtId="0" fontId="24" fillId="0" borderId="0" applyFill="0" applyBorder="0">
      <alignment vertical="center"/>
    </xf>
    <xf numFmtId="167" fontId="47" fillId="0" borderId="0"/>
    <xf numFmtId="0" fontId="48" fillId="0" borderId="0" applyFill="0" applyBorder="0">
      <alignment horizontal="center" vertical="center"/>
      <protection locked="0"/>
    </xf>
    <xf numFmtId="0" fontId="49" fillId="0" borderId="0" applyFill="0" applyBorder="0">
      <alignment horizontal="left" vertical="center"/>
      <protection locked="0"/>
    </xf>
    <xf numFmtId="0" fontId="50" fillId="20" borderId="23" applyNumberFormat="0" applyAlignment="0" applyProtection="0"/>
    <xf numFmtId="177" fontId="23" fillId="45" borderId="0" applyProtection="0"/>
    <xf numFmtId="172" fontId="4" fillId="46" borderId="0" applyFont="0" applyBorder="0" applyAlignment="0">
      <alignment horizontal="right"/>
      <protection locked="0"/>
    </xf>
    <xf numFmtId="172" fontId="4" fillId="46" borderId="0" applyFont="0" applyBorder="0" applyAlignment="0">
      <alignment horizontal="right"/>
      <protection locked="0"/>
    </xf>
    <xf numFmtId="178" fontId="4" fillId="47" borderId="0" applyFont="0" applyBorder="0">
      <alignment horizontal="right"/>
      <protection locked="0"/>
    </xf>
    <xf numFmtId="178" fontId="4" fillId="47" borderId="0" applyFont="0" applyBorder="0">
      <alignment horizontal="right"/>
      <protection locked="0"/>
    </xf>
    <xf numFmtId="172" fontId="4" fillId="48" borderId="0" applyFont="0" applyBorder="0">
      <alignment horizontal="right"/>
      <protection locked="0"/>
    </xf>
    <xf numFmtId="172" fontId="4" fillId="48" borderId="0" applyFont="0" applyBorder="0">
      <alignment horizontal="right"/>
      <protection locked="0"/>
    </xf>
    <xf numFmtId="0" fontId="24" fillId="39" borderId="0"/>
    <xf numFmtId="0" fontId="51" fillId="0" borderId="28" applyNumberFormat="0" applyFill="0" applyAlignment="0" applyProtection="0"/>
    <xf numFmtId="165" fontId="52" fillId="0" borderId="0"/>
    <xf numFmtId="0" fontId="53" fillId="0" borderId="0" applyFill="0" applyBorder="0">
      <alignment horizontal="left" vertical="center"/>
    </xf>
    <xf numFmtId="0" fontId="54" fillId="23" borderId="0" applyNumberFormat="0" applyBorder="0" applyAlignment="0" applyProtection="0"/>
    <xf numFmtId="179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8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18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1" borderId="29" applyNumberFormat="0" applyFont="0" applyAlignment="0" applyProtection="0"/>
    <xf numFmtId="0" fontId="56" fillId="22" borderId="30" applyNumberFormat="0" applyAlignment="0" applyProtection="0"/>
    <xf numFmtId="180" fontId="4" fillId="0" borderId="0" applyFill="0" applyBorder="0"/>
    <xf numFmtId="180" fontId="4" fillId="0" borderId="0" applyFill="0" applyBorder="0"/>
    <xf numFmtId="180" fontId="4" fillId="0" borderId="0" applyFill="0" applyBorder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57" fillId="0" borderId="0"/>
    <xf numFmtId="0" fontId="25" fillId="0" borderId="0" applyFill="0" applyBorder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181" fontId="58" fillId="0" borderId="17"/>
    <xf numFmtId="0" fontId="59" fillId="0" borderId="21">
      <alignment horizontal="center"/>
    </xf>
    <xf numFmtId="3" fontId="35" fillId="0" borderId="0" applyFont="0" applyFill="0" applyBorder="0" applyAlignment="0" applyProtection="0"/>
    <xf numFmtId="0" fontId="35" fillId="49" borderId="0" applyNumberFormat="0" applyFont="0" applyBorder="0" applyAlignment="0" applyProtection="0"/>
    <xf numFmtId="182" fontId="4" fillId="0" borderId="0"/>
    <xf numFmtId="182" fontId="4" fillId="0" borderId="0"/>
    <xf numFmtId="182" fontId="4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4" fillId="21" borderId="0" applyNumberFormat="0" applyFont="0" applyBorder="0" applyAlignment="0" applyProtection="0"/>
    <xf numFmtId="0" fontId="4" fillId="21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24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6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3" fillId="0" borderId="0"/>
    <xf numFmtId="0" fontId="61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62" fillId="50" borderId="13" applyBorder="0" applyProtection="0">
      <alignment horizontal="centerContinuous" vertical="center"/>
    </xf>
    <xf numFmtId="0" fontId="63" fillId="0" borderId="0" applyBorder="0" applyProtection="0">
      <alignment vertical="center"/>
    </xf>
    <xf numFmtId="0" fontId="64" fillId="0" borderId="0">
      <alignment horizontal="left"/>
    </xf>
    <xf numFmtId="0" fontId="64" fillId="0" borderId="7" applyFill="0" applyBorder="0" applyProtection="0">
      <alignment horizontal="left" vertical="top"/>
    </xf>
    <xf numFmtId="49" fontId="4" fillId="0" borderId="0" applyFont="0" applyFill="0" applyBorder="0" applyAlignment="0" applyProtection="0"/>
    <xf numFmtId="0" fontId="65" fillId="0" borderId="0"/>
    <xf numFmtId="49" fontId="4" fillId="0" borderId="0" applyFont="0" applyFill="0" applyBorder="0" applyAlignment="0" applyProtection="0"/>
    <xf numFmtId="0" fontId="66" fillId="0" borderId="0"/>
    <xf numFmtId="0" fontId="66" fillId="0" borderId="0"/>
    <xf numFmtId="0" fontId="65" fillId="0" borderId="0"/>
    <xf numFmtId="165" fontId="67" fillId="0" borderId="0"/>
    <xf numFmtId="0" fontId="60" fillId="0" borderId="0" applyNumberFormat="0" applyFill="0" applyBorder="0" applyAlignment="0" applyProtection="0"/>
    <xf numFmtId="0" fontId="68" fillId="0" borderId="0" applyFill="0" applyBorder="0">
      <alignment horizontal="left" vertical="center"/>
      <protection locked="0"/>
    </xf>
    <xf numFmtId="0" fontId="65" fillId="0" borderId="0"/>
    <xf numFmtId="0" fontId="69" fillId="0" borderId="0" applyFill="0" applyBorder="0">
      <alignment horizontal="left" vertical="center"/>
      <protection locked="0"/>
    </xf>
    <xf numFmtId="0" fontId="38" fillId="0" borderId="31" applyNumberFormat="0" applyFill="0" applyAlignment="0" applyProtection="0"/>
    <xf numFmtId="0" fontId="70" fillId="0" borderId="0" applyNumberFormat="0" applyFill="0" applyBorder="0" applyAlignment="0" applyProtection="0"/>
    <xf numFmtId="186" fontId="4" fillId="0" borderId="13" applyBorder="0" applyProtection="0">
      <alignment horizontal="right"/>
    </xf>
    <xf numFmtId="186" fontId="4" fillId="0" borderId="13" applyBorder="0" applyProtection="0">
      <alignment horizontal="right"/>
    </xf>
    <xf numFmtId="186" fontId="4" fillId="0" borderId="13" applyBorder="0" applyProtection="0">
      <alignment horizontal="right"/>
    </xf>
  </cellStyleXfs>
  <cellXfs count="243">
    <xf numFmtId="0" fontId="0" fillId="0" borderId="0" xfId="0"/>
    <xf numFmtId="0" fontId="3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5" xfId="0" applyFont="1" applyFill="1" applyBorder="1"/>
    <xf numFmtId="0" fontId="3" fillId="0" borderId="0" xfId="0" applyFont="1" applyFill="1" applyBorder="1"/>
    <xf numFmtId="0" fontId="2" fillId="3" borderId="0" xfId="0" applyFont="1" applyFill="1" applyBorder="1"/>
    <xf numFmtId="0" fontId="0" fillId="6" borderId="0" xfId="0" applyFill="1"/>
    <xf numFmtId="0" fontId="5" fillId="0" borderId="0" xfId="5" applyFont="1" applyBorder="1"/>
    <xf numFmtId="0" fontId="6" fillId="0" borderId="0" xfId="5"/>
    <xf numFmtId="0" fontId="5" fillId="0" borderId="6" xfId="5" applyFont="1" applyBorder="1"/>
    <xf numFmtId="0" fontId="5" fillId="0" borderId="0" xfId="5" applyFont="1"/>
    <xf numFmtId="0" fontId="6" fillId="0" borderId="6" xfId="5" applyBorder="1"/>
    <xf numFmtId="1" fontId="6" fillId="0" borderId="6" xfId="5" applyNumberFormat="1" applyBorder="1"/>
    <xf numFmtId="1" fontId="5" fillId="0" borderId="6" xfId="5" applyNumberFormat="1" applyFont="1" applyBorder="1"/>
    <xf numFmtId="0" fontId="4" fillId="0" borderId="6" xfId="5" applyFont="1" applyBorder="1"/>
    <xf numFmtId="0" fontId="4" fillId="0" borderId="6" xfId="5" applyFont="1" applyBorder="1" applyAlignment="1">
      <alignment horizontal="right"/>
    </xf>
    <xf numFmtId="0" fontId="5" fillId="0" borderId="0" xfId="5" applyFont="1" applyFill="1" applyBorder="1"/>
    <xf numFmtId="0" fontId="6" fillId="0" borderId="0" xfId="5" applyBorder="1"/>
    <xf numFmtId="1" fontId="6" fillId="9" borderId="6" xfId="5" applyNumberFormat="1" applyFill="1" applyBorder="1"/>
    <xf numFmtId="1" fontId="5" fillId="0" borderId="6" xfId="5" applyNumberFormat="1" applyFont="1" applyFill="1" applyBorder="1"/>
    <xf numFmtId="0" fontId="6" fillId="0" borderId="10" xfId="5" applyBorder="1"/>
    <xf numFmtId="1" fontId="6" fillId="0" borderId="9" xfId="5" applyNumberFormat="1" applyBorder="1"/>
    <xf numFmtId="1" fontId="6" fillId="0" borderId="8" xfId="5" applyNumberFormat="1" applyBorder="1"/>
    <xf numFmtId="1" fontId="6" fillId="0" borderId="0" xfId="5" applyNumberFormat="1"/>
    <xf numFmtId="0" fontId="6" fillId="0" borderId="7" xfId="5" applyBorder="1"/>
    <xf numFmtId="1" fontId="6" fillId="0" borderId="0" xfId="5" applyNumberFormat="1" applyBorder="1"/>
    <xf numFmtId="1" fontId="6" fillId="0" borderId="11" xfId="5" applyNumberFormat="1" applyBorder="1"/>
    <xf numFmtId="0" fontId="6" fillId="0" borderId="12" xfId="5" applyBorder="1"/>
    <xf numFmtId="1" fontId="6" fillId="0" borderId="13" xfId="5" applyNumberFormat="1" applyBorder="1"/>
    <xf numFmtId="1" fontId="6" fillId="0" borderId="14" xfId="5" applyNumberFormat="1" applyBorder="1"/>
    <xf numFmtId="0" fontId="2" fillId="11" borderId="0" xfId="0" applyFont="1" applyFill="1" applyBorder="1"/>
    <xf numFmtId="0" fontId="0" fillId="11" borderId="0" xfId="0" applyFill="1" applyBorder="1"/>
    <xf numFmtId="0" fontId="3" fillId="11" borderId="0" xfId="0" applyFont="1" applyFill="1" applyBorder="1"/>
    <xf numFmtId="0" fontId="0" fillId="0" borderId="0" xfId="0" applyFill="1" applyBorder="1"/>
    <xf numFmtId="164" fontId="0" fillId="0" borderId="0" xfId="0" applyNumberFormat="1" applyAlignment="1">
      <alignment horizontal="left" indent="1"/>
    </xf>
    <xf numFmtId="0" fontId="8" fillId="0" borderId="0" xfId="6" applyFont="1"/>
    <xf numFmtId="0" fontId="9" fillId="0" borderId="0" xfId="7" applyAlignment="1" applyProtection="1"/>
    <xf numFmtId="0" fontId="10" fillId="0" borderId="0" xfId="6" applyFont="1"/>
    <xf numFmtId="0" fontId="8" fillId="0" borderId="0" xfId="6" applyFont="1" applyProtection="1"/>
    <xf numFmtId="0" fontId="8" fillId="0" borderId="0" xfId="6" applyFont="1" applyAlignment="1" applyProtection="1">
      <alignment horizontal="centerContinuous"/>
    </xf>
    <xf numFmtId="0" fontId="11" fillId="0" borderId="0" xfId="6" applyFont="1" applyAlignment="1" applyProtection="1">
      <alignment horizontal="centerContinuous"/>
    </xf>
    <xf numFmtId="0" fontId="12" fillId="0" borderId="0" xfId="6" quotePrefix="1" applyFont="1" applyAlignment="1" applyProtection="1">
      <alignment horizontal="left"/>
    </xf>
    <xf numFmtId="0" fontId="8" fillId="0" borderId="0" xfId="6" applyFont="1" applyBorder="1" applyProtection="1"/>
    <xf numFmtId="0" fontId="8" fillId="0" borderId="16" xfId="6" applyFont="1" applyBorder="1" applyProtection="1"/>
    <xf numFmtId="0" fontId="8" fillId="0" borderId="0" xfId="6" applyFont="1" applyAlignment="1">
      <alignment horizontal="center"/>
    </xf>
    <xf numFmtId="0" fontId="8" fillId="0" borderId="0" xfId="6" applyFont="1" applyBorder="1"/>
    <xf numFmtId="0" fontId="8" fillId="0" borderId="17" xfId="6" applyFont="1" applyBorder="1" applyAlignment="1">
      <alignment horizontal="center"/>
    </xf>
    <xf numFmtId="0" fontId="8" fillId="0" borderId="18" xfId="6" applyFont="1" applyBorder="1" applyProtection="1"/>
    <xf numFmtId="0" fontId="8" fillId="0" borderId="17" xfId="6" applyFont="1" applyBorder="1" applyProtection="1"/>
    <xf numFmtId="0" fontId="8" fillId="0" borderId="10" xfId="6" applyFont="1" applyBorder="1"/>
    <xf numFmtId="165" fontId="8" fillId="0" borderId="16" xfId="6" applyNumberFormat="1" applyFont="1" applyBorder="1"/>
    <xf numFmtId="165" fontId="8" fillId="0" borderId="8" xfId="6" applyNumberFormat="1" applyFont="1" applyBorder="1"/>
    <xf numFmtId="0" fontId="8" fillId="0" borderId="7" xfId="6" applyFont="1" applyBorder="1" applyAlignment="1" applyProtection="1">
      <alignment horizontal="center"/>
    </xf>
    <xf numFmtId="165" fontId="16" fillId="0" borderId="17" xfId="6" applyNumberFormat="1" applyFont="1" applyBorder="1" applyAlignment="1" applyProtection="1">
      <alignment horizontal="right"/>
    </xf>
    <xf numFmtId="165" fontId="16" fillId="0" borderId="11" xfId="6" applyNumberFormat="1" applyFont="1" applyBorder="1" applyAlignment="1" applyProtection="1">
      <alignment horizontal="right"/>
    </xf>
    <xf numFmtId="165" fontId="16" fillId="0" borderId="17" xfId="6" applyNumberFormat="1" applyFont="1" applyBorder="1" applyProtection="1"/>
    <xf numFmtId="165" fontId="16" fillId="0" borderId="11" xfId="6" applyNumberFormat="1" applyFont="1" applyBorder="1" applyProtection="1"/>
    <xf numFmtId="166" fontId="8" fillId="0" borderId="0" xfId="4" applyNumberFormat="1" applyFont="1"/>
    <xf numFmtId="0" fontId="8" fillId="0" borderId="0" xfId="6" applyFont="1" applyFill="1"/>
    <xf numFmtId="0" fontId="8" fillId="0" borderId="7" xfId="6" applyFont="1" applyBorder="1" applyAlignment="1">
      <alignment horizontal="center"/>
    </xf>
    <xf numFmtId="165" fontId="16" fillId="0" borderId="17" xfId="6" applyNumberFormat="1" applyFont="1" applyBorder="1"/>
    <xf numFmtId="165" fontId="16" fillId="0" borderId="11" xfId="6" applyNumberFormat="1" applyFont="1" applyBorder="1"/>
    <xf numFmtId="167" fontId="8" fillId="0" borderId="0" xfId="4" applyNumberFormat="1" applyFont="1"/>
    <xf numFmtId="168" fontId="8" fillId="0" borderId="0" xfId="4" applyNumberFormat="1" applyFont="1" applyFill="1"/>
    <xf numFmtId="168" fontId="8" fillId="0" borderId="0" xfId="4" applyNumberFormat="1" applyFont="1"/>
    <xf numFmtId="165" fontId="16" fillId="0" borderId="17" xfId="6" applyNumberFormat="1" applyFont="1" applyFill="1" applyBorder="1" applyAlignment="1" applyProtection="1">
      <alignment horizontal="right"/>
    </xf>
    <xf numFmtId="165" fontId="16" fillId="0" borderId="17" xfId="6" applyNumberFormat="1" applyFont="1" applyFill="1" applyBorder="1" applyProtection="1"/>
    <xf numFmtId="165" fontId="16" fillId="7" borderId="17" xfId="6" applyNumberFormat="1" applyFont="1" applyFill="1" applyBorder="1" applyProtection="1"/>
    <xf numFmtId="0" fontId="8" fillId="0" borderId="12" xfId="6" applyFont="1" applyBorder="1" applyProtection="1"/>
    <xf numFmtId="165" fontId="8" fillId="0" borderId="18" xfId="6" applyNumberFormat="1" applyFont="1" applyBorder="1" applyProtection="1"/>
    <xf numFmtId="165" fontId="8" fillId="0" borderId="14" xfId="6" applyNumberFormat="1" applyFont="1" applyBorder="1" applyProtection="1"/>
    <xf numFmtId="167" fontId="8" fillId="0" borderId="0" xfId="4" applyNumberFormat="1" applyFont="1" applyBorder="1" applyProtection="1"/>
    <xf numFmtId="169" fontId="8" fillId="0" borderId="0" xfId="6" applyNumberFormat="1" applyFont="1"/>
    <xf numFmtId="165" fontId="16" fillId="0" borderId="0" xfId="6" applyNumberFormat="1" applyFont="1" applyBorder="1" applyProtection="1"/>
    <xf numFmtId="0" fontId="17" fillId="0" borderId="0" xfId="6" applyFont="1"/>
    <xf numFmtId="0" fontId="8" fillId="2" borderId="0" xfId="6" applyFont="1" applyFill="1"/>
    <xf numFmtId="0" fontId="8" fillId="0" borderId="0" xfId="6" quotePrefix="1" applyFont="1"/>
    <xf numFmtId="10" fontId="8" fillId="7" borderId="0" xfId="6" applyNumberFormat="1" applyFont="1" applyFill="1"/>
    <xf numFmtId="0" fontId="0" fillId="8" borderId="0" xfId="0" applyFill="1" applyBorder="1"/>
    <xf numFmtId="0" fontId="19" fillId="8" borderId="0" xfId="0" applyFont="1" applyFill="1" applyBorder="1" applyAlignment="1">
      <alignment vertical="center"/>
    </xf>
    <xf numFmtId="0" fontId="3" fillId="13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12" borderId="10" xfId="0" applyFill="1" applyBorder="1"/>
    <xf numFmtId="0" fontId="0" fillId="12" borderId="9" xfId="0" applyFill="1" applyBorder="1"/>
    <xf numFmtId="0" fontId="0" fillId="8" borderId="9" xfId="0" applyFill="1" applyBorder="1"/>
    <xf numFmtId="0" fontId="0" fillId="8" borderId="8" xfId="0" applyFill="1" applyBorder="1"/>
    <xf numFmtId="0" fontId="3" fillId="8" borderId="11" xfId="0" applyFont="1" applyFill="1" applyBorder="1" applyAlignment="1">
      <alignment horizontal="center" vertical="center" wrapText="1"/>
    </xf>
    <xf numFmtId="0" fontId="0" fillId="12" borderId="12" xfId="0" applyFill="1" applyBorder="1"/>
    <xf numFmtId="0" fontId="19" fillId="12" borderId="13" xfId="0" applyFont="1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165" fontId="16" fillId="14" borderId="11" xfId="6" applyNumberFormat="1" applyFont="1" applyFill="1" applyBorder="1" applyAlignment="1" applyProtection="1">
      <alignment horizontal="right"/>
    </xf>
    <xf numFmtId="3" fontId="0" fillId="6" borderId="0" xfId="0" applyNumberFormat="1" applyFill="1" applyBorder="1"/>
    <xf numFmtId="3" fontId="3" fillId="6" borderId="0" xfId="0" applyNumberFormat="1" applyFont="1" applyFill="1" applyBorder="1"/>
    <xf numFmtId="3" fontId="0" fillId="11" borderId="0" xfId="0" applyNumberFormat="1" applyFill="1" applyBorder="1"/>
    <xf numFmtId="3" fontId="3" fillId="11" borderId="0" xfId="0" applyNumberFormat="1" applyFont="1" applyFill="1" applyBorder="1"/>
    <xf numFmtId="3" fontId="0" fillId="4" borderId="0" xfId="0" applyNumberFormat="1" applyFill="1" applyBorder="1"/>
    <xf numFmtId="3" fontId="3" fillId="4" borderId="0" xfId="0" applyNumberFormat="1" applyFont="1" applyFill="1" applyBorder="1"/>
    <xf numFmtId="3" fontId="0" fillId="13" borderId="0" xfId="0" applyNumberFormat="1" applyFill="1" applyBorder="1"/>
    <xf numFmtId="3" fontId="0" fillId="0" borderId="0" xfId="0" applyNumberFormat="1" applyAlignment="1">
      <alignment horizontal="center"/>
    </xf>
    <xf numFmtId="3" fontId="0" fillId="5" borderId="0" xfId="0" applyNumberFormat="1" applyFill="1"/>
    <xf numFmtId="3" fontId="0" fillId="0" borderId="0" xfId="0" applyNumberFormat="1"/>
    <xf numFmtId="0" fontId="3" fillId="6" borderId="0" xfId="0" applyFont="1" applyFill="1"/>
    <xf numFmtId="0" fontId="2" fillId="11" borderId="0" xfId="0" applyFont="1" applyFill="1" applyAlignment="1">
      <alignment wrapText="1"/>
    </xf>
    <xf numFmtId="1" fontId="3" fillId="6" borderId="0" xfId="0" applyNumberFormat="1" applyFont="1" applyFill="1"/>
    <xf numFmtId="1" fontId="0" fillId="13" borderId="0" xfId="0" applyNumberFormat="1" applyFill="1"/>
    <xf numFmtId="167" fontId="0" fillId="13" borderId="0" xfId="0" applyNumberFormat="1" applyFill="1"/>
    <xf numFmtId="167" fontId="0" fillId="5" borderId="0" xfId="0" applyNumberFormat="1" applyFill="1"/>
    <xf numFmtId="0" fontId="2" fillId="11" borderId="0" xfId="0" applyFont="1" applyFill="1" applyBorder="1" applyAlignment="1">
      <alignment wrapText="1"/>
    </xf>
    <xf numFmtId="3" fontId="0" fillId="13" borderId="0" xfId="0" applyNumberFormat="1" applyFill="1"/>
    <xf numFmtId="164" fontId="3" fillId="0" borderId="0" xfId="0" applyNumberFormat="1" applyFont="1" applyAlignment="1">
      <alignment horizontal="left" indent="1"/>
    </xf>
    <xf numFmtId="0" fontId="2" fillId="3" borderId="7" xfId="0" applyFont="1" applyFill="1" applyBorder="1"/>
    <xf numFmtId="0" fontId="2" fillId="3" borderId="2" xfId="0" applyFont="1" applyFill="1" applyBorder="1" applyAlignment="1">
      <alignment wrapText="1"/>
    </xf>
    <xf numFmtId="3" fontId="3" fillId="4" borderId="0" xfId="0" applyNumberFormat="1" applyFont="1" applyFill="1"/>
    <xf numFmtId="3" fontId="0" fillId="4" borderId="0" xfId="0" applyNumberFormat="1" applyFill="1"/>
    <xf numFmtId="0" fontId="0" fillId="6" borderId="0" xfId="0" applyFont="1" applyFill="1"/>
    <xf numFmtId="3" fontId="3" fillId="6" borderId="0" xfId="0" applyNumberFormat="1" applyFont="1" applyFill="1"/>
    <xf numFmtId="3" fontId="0" fillId="6" borderId="0" xfId="0" applyNumberFormat="1" applyFont="1" applyFill="1"/>
    <xf numFmtId="3" fontId="0" fillId="6" borderId="0" xfId="0" applyNumberFormat="1" applyFill="1"/>
    <xf numFmtId="0" fontId="0" fillId="13" borderId="0" xfId="0" applyFill="1"/>
    <xf numFmtId="0" fontId="0" fillId="15" borderId="0" xfId="0" applyFill="1"/>
    <xf numFmtId="0" fontId="0" fillId="0" borderId="0" xfId="0" applyAlignment="1">
      <alignment horizontal="center"/>
    </xf>
    <xf numFmtId="3" fontId="0" fillId="0" borderId="0" xfId="0" applyNumberFormat="1" applyFill="1"/>
    <xf numFmtId="9" fontId="0" fillId="0" borderId="0" xfId="9" applyFont="1"/>
    <xf numFmtId="9" fontId="0" fillId="0" borderId="0" xfId="9" applyFont="1" applyAlignment="1">
      <alignment horizontal="center"/>
    </xf>
    <xf numFmtId="9" fontId="0" fillId="0" borderId="19" xfId="0" applyNumberFormat="1" applyBorder="1"/>
    <xf numFmtId="0" fontId="0" fillId="0" borderId="20" xfId="0" applyBorder="1" applyAlignment="1">
      <alignment horizontal="center"/>
    </xf>
    <xf numFmtId="1" fontId="0" fillId="15" borderId="0" xfId="0" applyNumberFormat="1" applyFill="1"/>
    <xf numFmtId="1" fontId="0" fillId="0" borderId="0" xfId="0" applyNumberFormat="1" applyAlignment="1">
      <alignment horizontal="center"/>
    </xf>
    <xf numFmtId="165" fontId="16" fillId="0" borderId="11" xfId="6" applyNumberFormat="1" applyFont="1" applyFill="1" applyBorder="1" applyAlignment="1" applyProtection="1">
      <alignment horizontal="right"/>
    </xf>
    <xf numFmtId="3" fontId="0" fillId="4" borderId="0" xfId="0" applyNumberFormat="1" applyFont="1" applyFill="1"/>
    <xf numFmtId="0" fontId="0" fillId="0" borderId="0" xfId="0" applyFont="1"/>
    <xf numFmtId="167" fontId="0" fillId="0" borderId="0" xfId="9" applyNumberFormat="1" applyFont="1"/>
    <xf numFmtId="0" fontId="8" fillId="0" borderId="0" xfId="4" applyNumberFormat="1" applyFont="1"/>
    <xf numFmtId="0" fontId="8" fillId="0" borderId="0" xfId="4" applyNumberFormat="1" applyFont="1" applyFill="1"/>
    <xf numFmtId="167" fontId="0" fillId="13" borderId="0" xfId="0" applyNumberFormat="1" applyFill="1" applyBorder="1"/>
    <xf numFmtId="167" fontId="0" fillId="5" borderId="0" xfId="0" applyNumberFormat="1" applyFill="1" applyBorder="1"/>
    <xf numFmtId="0" fontId="0" fillId="12" borderId="32" xfId="0" applyFill="1" applyBorder="1"/>
    <xf numFmtId="0" fontId="0" fillId="8" borderId="32" xfId="0" applyFill="1" applyBorder="1"/>
    <xf numFmtId="0" fontId="0" fillId="0" borderId="32" xfId="0" applyBorder="1"/>
    <xf numFmtId="0" fontId="19" fillId="8" borderId="32" xfId="0" applyFont="1" applyFill="1" applyBorder="1" applyAlignment="1">
      <alignment vertical="center"/>
    </xf>
    <xf numFmtId="0" fontId="3" fillId="13" borderId="32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 wrapText="1"/>
    </xf>
    <xf numFmtId="0" fontId="21" fillId="17" borderId="32" xfId="0" applyFont="1" applyFill="1" applyBorder="1"/>
    <xf numFmtId="0" fontId="0" fillId="17" borderId="32" xfId="0" applyFill="1" applyBorder="1"/>
    <xf numFmtId="0" fontId="19" fillId="12" borderId="32" xfId="0" applyFont="1" applyFill="1" applyBorder="1" applyAlignment="1">
      <alignment vertical="center"/>
    </xf>
    <xf numFmtId="0" fontId="0" fillId="8" borderId="32" xfId="0" applyFill="1" applyBorder="1" applyAlignment="1">
      <alignment vertical="center"/>
    </xf>
    <xf numFmtId="0" fontId="3" fillId="8" borderId="32" xfId="0" applyFont="1" applyFill="1" applyBorder="1" applyAlignment="1">
      <alignment horizontal="center" vertical="center"/>
    </xf>
    <xf numFmtId="0" fontId="3" fillId="0" borderId="32" xfId="0" applyFont="1" applyBorder="1"/>
    <xf numFmtId="1" fontId="0" fillId="0" borderId="32" xfId="0" applyNumberFormat="1" applyBorder="1"/>
    <xf numFmtId="0" fontId="2" fillId="3" borderId="32" xfId="0" applyFont="1" applyFill="1" applyBorder="1"/>
    <xf numFmtId="0" fontId="2" fillId="11" borderId="32" xfId="0" applyFont="1" applyFill="1" applyBorder="1"/>
    <xf numFmtId="0" fontId="0" fillId="11" borderId="32" xfId="0" applyFill="1" applyBorder="1"/>
    <xf numFmtId="0" fontId="3" fillId="11" borderId="32" xfId="0" applyFont="1" applyFill="1" applyBorder="1"/>
    <xf numFmtId="0" fontId="0" fillId="0" borderId="32" xfId="0" applyFill="1" applyBorder="1"/>
    <xf numFmtId="3" fontId="0" fillId="6" borderId="32" xfId="0" applyNumberFormat="1" applyFill="1" applyBorder="1"/>
    <xf numFmtId="3" fontId="3" fillId="6" borderId="32" xfId="0" applyNumberFormat="1" applyFont="1" applyFill="1" applyBorder="1"/>
    <xf numFmtId="3" fontId="0" fillId="17" borderId="32" xfId="0" applyNumberFormat="1" applyFill="1" applyBorder="1"/>
    <xf numFmtId="0" fontId="3" fillId="0" borderId="32" xfId="0" applyFont="1" applyFill="1" applyBorder="1"/>
    <xf numFmtId="3" fontId="0" fillId="11" borderId="32" xfId="0" applyNumberFormat="1" applyFill="1" applyBorder="1"/>
    <xf numFmtId="3" fontId="3" fillId="11" borderId="32" xfId="0" applyNumberFormat="1" applyFont="1" applyFill="1" applyBorder="1"/>
    <xf numFmtId="3" fontId="0" fillId="13" borderId="32" xfId="0" applyNumberFormat="1" applyFill="1" applyBorder="1"/>
    <xf numFmtId="3" fontId="3" fillId="4" borderId="32" xfId="0" applyNumberFormat="1" applyFont="1" applyFill="1" applyBorder="1"/>
    <xf numFmtId="3" fontId="0" fillId="4" borderId="32" xfId="0" applyNumberFormat="1" applyFill="1" applyBorder="1"/>
    <xf numFmtId="3" fontId="0" fillId="0" borderId="32" xfId="0" applyNumberFormat="1" applyBorder="1" applyAlignment="1">
      <alignment horizontal="center"/>
    </xf>
    <xf numFmtId="3" fontId="0" fillId="0" borderId="32" xfId="0" applyNumberFormat="1" applyBorder="1"/>
    <xf numFmtId="0" fontId="2" fillId="3" borderId="32" xfId="0" applyFont="1" applyFill="1" applyBorder="1" applyAlignment="1">
      <alignment wrapText="1"/>
    </xf>
    <xf numFmtId="0" fontId="2" fillId="11" borderId="32" xfId="0" applyFont="1" applyFill="1" applyBorder="1" applyAlignment="1">
      <alignment wrapText="1"/>
    </xf>
    <xf numFmtId="0" fontId="3" fillId="6" borderId="32" xfId="0" applyFont="1" applyFill="1" applyBorder="1"/>
    <xf numFmtId="0" fontId="0" fillId="6" borderId="32" xfId="0" applyFill="1" applyBorder="1"/>
    <xf numFmtId="3" fontId="0" fillId="6" borderId="32" xfId="0" applyNumberFormat="1" applyFont="1" applyFill="1" applyBorder="1"/>
    <xf numFmtId="3" fontId="0" fillId="0" borderId="32" xfId="0" applyNumberFormat="1" applyFill="1" applyBorder="1"/>
    <xf numFmtId="0" fontId="3" fillId="16" borderId="32" xfId="0" applyFont="1" applyFill="1" applyBorder="1"/>
    <xf numFmtId="0" fontId="0" fillId="16" borderId="32" xfId="0" applyFill="1" applyBorder="1"/>
    <xf numFmtId="3" fontId="3" fillId="16" borderId="32" xfId="0" applyNumberFormat="1" applyFont="1" applyFill="1" applyBorder="1"/>
    <xf numFmtId="3" fontId="0" fillId="16" borderId="32" xfId="0" applyNumberFormat="1" applyFill="1" applyBorder="1"/>
    <xf numFmtId="3" fontId="0" fillId="16" borderId="32" xfId="0" applyNumberFormat="1" applyFont="1" applyFill="1" applyBorder="1"/>
    <xf numFmtId="0" fontId="0" fillId="0" borderId="32" xfId="0" applyBorder="1" applyAlignment="1">
      <alignment horizontal="center"/>
    </xf>
    <xf numFmtId="167" fontId="0" fillId="0" borderId="32" xfId="9" applyNumberFormat="1" applyFont="1" applyBorder="1"/>
    <xf numFmtId="167" fontId="0" fillId="13" borderId="32" xfId="0" applyNumberFormat="1" applyFill="1" applyBorder="1"/>
    <xf numFmtId="167" fontId="0" fillId="5" borderId="32" xfId="0" applyNumberFormat="1" applyFill="1" applyBorder="1"/>
    <xf numFmtId="164" fontId="0" fillId="0" borderId="32" xfId="0" applyNumberFormat="1" applyBorder="1" applyAlignment="1">
      <alignment horizontal="left" indent="1"/>
    </xf>
    <xf numFmtId="0" fontId="0" fillId="6" borderId="32" xfId="0" applyFont="1" applyFill="1" applyBorder="1"/>
    <xf numFmtId="3" fontId="0" fillId="4" borderId="32" xfId="0" applyNumberFormat="1" applyFont="1" applyFill="1" applyBorder="1"/>
    <xf numFmtId="0" fontId="0" fillId="0" borderId="32" xfId="0" applyFont="1" applyBorder="1"/>
    <xf numFmtId="166" fontId="8" fillId="0" borderId="0" xfId="4" applyNumberFormat="1" applyFont="1" applyFill="1"/>
    <xf numFmtId="0" fontId="0" fillId="12" borderId="0" xfId="0" applyFill="1" applyBorder="1"/>
    <xf numFmtId="0" fontId="0" fillId="0" borderId="0" xfId="0" applyBorder="1"/>
    <xf numFmtId="0" fontId="3" fillId="8" borderId="0" xfId="0" applyFont="1" applyFill="1" applyBorder="1" applyAlignment="1">
      <alignment horizontal="center" vertical="center" wrapText="1"/>
    </xf>
    <xf numFmtId="0" fontId="19" fillId="12" borderId="0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0" fontId="3" fillId="0" borderId="0" xfId="0" applyFont="1" applyBorder="1"/>
    <xf numFmtId="3" fontId="0" fillId="0" borderId="0" xfId="0" applyNumberFormat="1" applyBorder="1" applyAlignment="1">
      <alignment horizontal="center"/>
    </xf>
    <xf numFmtId="3" fontId="0" fillId="0" borderId="0" xfId="0" applyNumberFormat="1" applyBorder="1"/>
    <xf numFmtId="0" fontId="3" fillId="6" borderId="0" xfId="0" applyFont="1" applyFill="1" applyBorder="1"/>
    <xf numFmtId="0" fontId="0" fillId="6" borderId="0" xfId="0" applyFill="1" applyBorder="1"/>
    <xf numFmtId="3" fontId="0" fillId="6" borderId="0" xfId="0" applyNumberFormat="1" applyFont="1" applyFill="1" applyBorder="1"/>
    <xf numFmtId="3" fontId="0" fillId="0" borderId="0" xfId="0" applyNumberFormat="1" applyFill="1" applyBorder="1"/>
    <xf numFmtId="3" fontId="3" fillId="16" borderId="0" xfId="0" applyNumberFormat="1" applyFont="1" applyFill="1" applyBorder="1"/>
    <xf numFmtId="3" fontId="0" fillId="16" borderId="0" xfId="0" applyNumberFormat="1" applyFont="1" applyFill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left" indent="1"/>
    </xf>
    <xf numFmtId="0" fontId="0" fillId="6" borderId="0" xfId="0" applyFont="1" applyFill="1" applyBorder="1"/>
    <xf numFmtId="3" fontId="0" fillId="4" borderId="0" xfId="0" applyNumberFormat="1" applyFont="1" applyFill="1" applyBorder="1"/>
    <xf numFmtId="0" fontId="0" fillId="0" borderId="0" xfId="0" applyFont="1" applyBorder="1"/>
    <xf numFmtId="0" fontId="3" fillId="51" borderId="0" xfId="0" applyFont="1" applyFill="1"/>
    <xf numFmtId="0" fontId="71" fillId="6" borderId="0" xfId="0" applyFont="1" applyFill="1"/>
    <xf numFmtId="0" fontId="71" fillId="6" borderId="19" xfId="0" applyFont="1" applyFill="1" applyBorder="1"/>
    <xf numFmtId="3" fontId="71" fillId="6" borderId="19" xfId="0" applyNumberFormat="1" applyFont="1" applyFill="1" applyBorder="1"/>
    <xf numFmtId="0" fontId="72" fillId="6" borderId="19" xfId="0" applyFont="1" applyFill="1" applyBorder="1"/>
    <xf numFmtId="0" fontId="0" fillId="52" borderId="0" xfId="0" applyFill="1"/>
    <xf numFmtId="0" fontId="73" fillId="3" borderId="0" xfId="0" applyFont="1" applyFill="1"/>
    <xf numFmtId="3" fontId="0" fillId="52" borderId="0" xfId="0" applyNumberFormat="1" applyFill="1"/>
    <xf numFmtId="1" fontId="0" fillId="52" borderId="0" xfId="0" applyNumberFormat="1" applyFill="1"/>
    <xf numFmtId="10" fontId="0" fillId="52" borderId="0" xfId="9" applyNumberFormat="1" applyFont="1" applyFill="1"/>
    <xf numFmtId="10" fontId="71" fillId="6" borderId="0" xfId="9" applyNumberFormat="1" applyFont="1" applyFill="1"/>
    <xf numFmtId="0" fontId="0" fillId="51" borderId="0" xfId="0" applyFill="1"/>
    <xf numFmtId="3" fontId="3" fillId="51" borderId="0" xfId="0" applyNumberFormat="1" applyFont="1" applyFill="1"/>
    <xf numFmtId="3" fontId="0" fillId="51" borderId="0" xfId="0" applyNumberFormat="1" applyFill="1"/>
    <xf numFmtId="3" fontId="0" fillId="51" borderId="0" xfId="0" applyNumberFormat="1" applyFont="1" applyFill="1"/>
    <xf numFmtId="0" fontId="2" fillId="3" borderId="0" xfId="0" applyFont="1" applyFill="1" applyBorder="1" applyAlignment="1">
      <alignment wrapText="1"/>
    </xf>
    <xf numFmtId="0" fontId="3" fillId="16" borderId="0" xfId="0" applyFont="1" applyFill="1" applyBorder="1"/>
    <xf numFmtId="0" fontId="0" fillId="16" borderId="0" xfId="0" applyFill="1" applyBorder="1"/>
    <xf numFmtId="3" fontId="0" fillId="16" borderId="0" xfId="0" applyNumberFormat="1" applyFill="1" applyBorder="1"/>
    <xf numFmtId="167" fontId="0" fillId="0" borderId="0" xfId="9" applyNumberFormat="1" applyFont="1" applyBorder="1"/>
    <xf numFmtId="0" fontId="0" fillId="51" borderId="32" xfId="0" applyFill="1" applyBorder="1"/>
    <xf numFmtId="3" fontId="0" fillId="51" borderId="32" xfId="0" applyNumberFormat="1" applyFill="1" applyBorder="1"/>
    <xf numFmtId="0" fontId="3" fillId="12" borderId="7" xfId="0" applyFont="1" applyFill="1" applyBorder="1" applyAlignment="1">
      <alignment vertical="center" wrapText="1"/>
    </xf>
    <xf numFmtId="0" fontId="0" fillId="12" borderId="0" xfId="0" applyFill="1" applyBorder="1" applyAlignment="1"/>
    <xf numFmtId="0" fontId="3" fillId="12" borderId="32" xfId="0" applyFont="1" applyFill="1" applyBorder="1" applyAlignment="1">
      <alignment vertical="center" wrapText="1"/>
    </xf>
    <xf numFmtId="0" fontId="0" fillId="12" borderId="32" xfId="0" applyFill="1" applyBorder="1" applyAlignment="1"/>
    <xf numFmtId="0" fontId="3" fillId="12" borderId="0" xfId="0" applyFont="1" applyFill="1" applyBorder="1" applyAlignment="1">
      <alignment vertical="center" wrapText="1"/>
    </xf>
    <xf numFmtId="0" fontId="2" fillId="10" borderId="15" xfId="5" applyFont="1" applyFill="1" applyBorder="1" applyAlignment="1">
      <alignment wrapText="1"/>
    </xf>
    <xf numFmtId="0" fontId="0" fillId="0" borderId="0" xfId="0" applyAlignment="1"/>
    <xf numFmtId="0" fontId="2" fillId="10" borderId="15" xfId="0" applyFont="1" applyFill="1" applyBorder="1" applyAlignment="1">
      <alignment wrapText="1"/>
    </xf>
    <xf numFmtId="0" fontId="13" fillId="0" borderId="0" xfId="6" quotePrefix="1" applyFont="1" applyAlignment="1" applyProtection="1">
      <alignment horizontal="center" wrapText="1"/>
    </xf>
    <xf numFmtId="0" fontId="14" fillId="0" borderId="0" xfId="6" applyFont="1" applyAlignment="1">
      <alignment horizontal="center" wrapText="1"/>
    </xf>
  </cellXfs>
  <cellStyles count="240">
    <cellStyle name=" 1" xfId="13"/>
    <cellStyle name=" 1 2" xfId="14"/>
    <cellStyle name=" 1_29(d) - Gas extensions -tariffs" xfId="15"/>
    <cellStyle name="_Capex" xfId="16"/>
    <cellStyle name="_Capex 2" xfId="17"/>
    <cellStyle name="_Capex_29(d) - Gas extensions -tariffs" xfId="18"/>
    <cellStyle name="_UED AMP 2009-14 Final 250309 Less PU" xfId="19"/>
    <cellStyle name="_UED AMP 2009-14 Final 250309 Less PU_1011 monthly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40% - Accent1 2" xfId="27"/>
    <cellStyle name="40% - Accent2 2" xfId="28"/>
    <cellStyle name="40% - Accent3 2" xfId="29"/>
    <cellStyle name="40% - Accent4 2" xfId="30"/>
    <cellStyle name="40% - Accent5 2" xfId="31"/>
    <cellStyle name="40% - Accent6 2" xfId="32"/>
    <cellStyle name="60% - Accent1 2" xfId="33"/>
    <cellStyle name="60% - Accent2 2" xfId="34"/>
    <cellStyle name="60% - Accent3 2" xfId="35"/>
    <cellStyle name="60% - Accent4 2" xfId="36"/>
    <cellStyle name="60% - Accent5 2" xfId="37"/>
    <cellStyle name="60% - Accent6 2" xfId="38"/>
    <cellStyle name="Accent1 - 20%" xfId="39"/>
    <cellStyle name="Accent1 - 40%" xfId="40"/>
    <cellStyle name="Accent1 - 60%" xfId="41"/>
    <cellStyle name="Accent1 2" xfId="42"/>
    <cellStyle name="Accent2 - 20%" xfId="43"/>
    <cellStyle name="Accent2 - 40%" xfId="44"/>
    <cellStyle name="Accent2 - 60%" xfId="45"/>
    <cellStyle name="Accent2 2" xfId="46"/>
    <cellStyle name="Accent3 - 20%" xfId="47"/>
    <cellStyle name="Accent3 - 40%" xfId="48"/>
    <cellStyle name="Accent3 - 60%" xfId="49"/>
    <cellStyle name="Accent3 2" xfId="50"/>
    <cellStyle name="Accent4 - 20%" xfId="51"/>
    <cellStyle name="Accent4 - 40%" xfId="52"/>
    <cellStyle name="Accent4 - 60%" xfId="53"/>
    <cellStyle name="Accent4 2" xfId="54"/>
    <cellStyle name="Accent5 - 20%" xfId="55"/>
    <cellStyle name="Accent5 - 40%" xfId="56"/>
    <cellStyle name="Accent5 - 60%" xfId="57"/>
    <cellStyle name="Accent5 2" xfId="58"/>
    <cellStyle name="Accent6 - 20%" xfId="59"/>
    <cellStyle name="Accent6 - 40%" xfId="60"/>
    <cellStyle name="Accent6 - 60%" xfId="61"/>
    <cellStyle name="Accent6 2" xfId="62"/>
    <cellStyle name="Agara" xfId="63"/>
    <cellStyle name="Assumptions Right Number" xfId="12"/>
    <cellStyle name="B79812_.wvu.PrintTitlest" xfId="64"/>
    <cellStyle name="Bad 2" xfId="65"/>
    <cellStyle name="Black" xfId="66"/>
    <cellStyle name="Blockout" xfId="67"/>
    <cellStyle name="Blockout 2" xfId="68"/>
    <cellStyle name="Blue" xfId="69"/>
    <cellStyle name="Calculation 2" xfId="70"/>
    <cellStyle name="Check Cell 2" xfId="71"/>
    <cellStyle name="Comma [0]7Z_87C" xfId="72"/>
    <cellStyle name="Comma 0" xfId="73"/>
    <cellStyle name="Comma 1" xfId="74"/>
    <cellStyle name="Comma 1 2" xfId="75"/>
    <cellStyle name="Comma 2" xfId="2"/>
    <cellStyle name="Comma 2 2" xfId="76"/>
    <cellStyle name="Comma 2 3" xfId="77"/>
    <cellStyle name="Comma 2 3 2" xfId="78"/>
    <cellStyle name="Comma 2 4" xfId="79"/>
    <cellStyle name="Comma 2 5" xfId="80"/>
    <cellStyle name="Comma 3" xfId="10"/>
    <cellStyle name="Comma 3 2" xfId="81"/>
    <cellStyle name="Comma 3 3" xfId="82"/>
    <cellStyle name="Comma 4" xfId="83"/>
    <cellStyle name="Comma 5" xfId="84"/>
    <cellStyle name="Comma 6" xfId="85"/>
    <cellStyle name="Comma 7" xfId="86"/>
    <cellStyle name="Comma 8" xfId="87"/>
    <cellStyle name="Comma0" xfId="88"/>
    <cellStyle name="Currency 11" xfId="89"/>
    <cellStyle name="Currency 11 2" xfId="90"/>
    <cellStyle name="Currency 2" xfId="3"/>
    <cellStyle name="Currency 2 2" xfId="91"/>
    <cellStyle name="Currency 3" xfId="92"/>
    <cellStyle name="Currency 3 2" xfId="93"/>
    <cellStyle name="Currency 4" xfId="94"/>
    <cellStyle name="Currency 4 2" xfId="95"/>
    <cellStyle name="D4_B8B1_005004B79812_.wvu.PrintTitlest" xfId="96"/>
    <cellStyle name="Date" xfId="97"/>
    <cellStyle name="Date 2" xfId="98"/>
    <cellStyle name="Emphasis 1" xfId="99"/>
    <cellStyle name="Emphasis 2" xfId="100"/>
    <cellStyle name="Emphasis 3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ing 1 2" xfId="109"/>
    <cellStyle name="Heading 1 2 2" xfId="110"/>
    <cellStyle name="Heading 1 3" xfId="111"/>
    <cellStyle name="Heading 2 2" xfId="112"/>
    <cellStyle name="Heading 2 2 2" xfId="113"/>
    <cellStyle name="Heading 2 3" xfId="114"/>
    <cellStyle name="Heading 3 2" xfId="115"/>
    <cellStyle name="Heading 3 2 2" xfId="116"/>
    <cellStyle name="Heading 3 3" xfId="117"/>
    <cellStyle name="Heading 4 2" xfId="118"/>
    <cellStyle name="Heading 4 2 2" xfId="119"/>
    <cellStyle name="Heading 4 3" xfId="120"/>
    <cellStyle name="Heading(4)" xfId="121"/>
    <cellStyle name="Hyperlink" xfId="7" builtinId="8"/>
    <cellStyle name="Hyperlink 2" xfId="8"/>
    <cellStyle name="Hyperlink Arrow" xfId="122"/>
    <cellStyle name="Hyperlink Text" xfId="123"/>
    <cellStyle name="Input 2" xfId="124"/>
    <cellStyle name="Input|Date" xfId="125"/>
    <cellStyle name="Input1" xfId="126"/>
    <cellStyle name="Input1 2" xfId="127"/>
    <cellStyle name="Input2" xfId="128"/>
    <cellStyle name="Input2 2" xfId="129"/>
    <cellStyle name="Input3" xfId="130"/>
    <cellStyle name="Input3 2" xfId="131"/>
    <cellStyle name="Lines" xfId="132"/>
    <cellStyle name="Linked Cell 2" xfId="133"/>
    <cellStyle name="Mine" xfId="134"/>
    <cellStyle name="Model Name" xfId="135"/>
    <cellStyle name="Neutral 2" xfId="136"/>
    <cellStyle name="Normal" xfId="0" builtinId="0"/>
    <cellStyle name="Normal - Style1" xfId="137"/>
    <cellStyle name="Normal 13" xfId="138"/>
    <cellStyle name="Normal 13 2" xfId="139"/>
    <cellStyle name="Normal 13_29(d) - Gas extensions -tariffs" xfId="140"/>
    <cellStyle name="Normal 15" xfId="141"/>
    <cellStyle name="Normal 16" xfId="142"/>
    <cellStyle name="Normal 2" xfId="1"/>
    <cellStyle name="Normal 2 2" xfId="143"/>
    <cellStyle name="Normal 2 2 2" xfId="144"/>
    <cellStyle name="Normal 2 3" xfId="145"/>
    <cellStyle name="Normal 2 3 2" xfId="146"/>
    <cellStyle name="Normal 2 3_29(d) - Gas extensions -tariffs" xfId="147"/>
    <cellStyle name="Normal 2 4" xfId="148"/>
    <cellStyle name="Normal 2 5" xfId="149"/>
    <cellStyle name="Normal 2_29(d) - Gas extensions -tariffs" xfId="150"/>
    <cellStyle name="Normal 3" xfId="5"/>
    <cellStyle name="Normal 3 2" xfId="151"/>
    <cellStyle name="Normal 3_29(d) - Gas extensions -tariffs" xfId="152"/>
    <cellStyle name="Normal 38" xfId="153"/>
    <cellStyle name="Normal 38 2" xfId="154"/>
    <cellStyle name="Normal 38_29(d) - Gas extensions -tariffs" xfId="155"/>
    <cellStyle name="Normal 4" xfId="6"/>
    <cellStyle name="Normal 4 2" xfId="156"/>
    <cellStyle name="Normal 4 3" xfId="157"/>
    <cellStyle name="Normal 4_29(d) - Gas extensions -tariffs" xfId="158"/>
    <cellStyle name="Normal 40" xfId="159"/>
    <cellStyle name="Normal 40 2" xfId="160"/>
    <cellStyle name="Normal 40_29(d) - Gas extensions -tariffs" xfId="161"/>
    <cellStyle name="Normal 5" xfId="11"/>
    <cellStyle name="Normal 5 2" xfId="162"/>
    <cellStyle name="Normal 6" xfId="163"/>
    <cellStyle name="Normal 6 2" xfId="164"/>
    <cellStyle name="Normal 7" xfId="165"/>
    <cellStyle name="Normal 7 2" xfId="166"/>
    <cellStyle name="Normal 8" xfId="167"/>
    <cellStyle name="Normal 9" xfId="168"/>
    <cellStyle name="Note 2" xfId="169"/>
    <cellStyle name="Output 2" xfId="170"/>
    <cellStyle name="Percent" xfId="9" builtinId="5"/>
    <cellStyle name="Percent [2]" xfId="171"/>
    <cellStyle name="Percent [2] 2" xfId="172"/>
    <cellStyle name="Percent [2]_29(d) - Gas extensions -tariffs" xfId="173"/>
    <cellStyle name="Percent 2" xfId="4"/>
    <cellStyle name="Percent 2 2" xfId="174"/>
    <cellStyle name="Percent 3" xfId="175"/>
    <cellStyle name="Percent 3 2" xfId="176"/>
    <cellStyle name="Percent 4" xfId="177"/>
    <cellStyle name="Percent 7" xfId="178"/>
    <cellStyle name="Percentage" xfId="179"/>
    <cellStyle name="Period Title" xfId="180"/>
    <cellStyle name="PSChar" xfId="181"/>
    <cellStyle name="PSDate" xfId="182"/>
    <cellStyle name="PSDec" xfId="183"/>
    <cellStyle name="PSDetail" xfId="184"/>
    <cellStyle name="PSHeading" xfId="185"/>
    <cellStyle name="PSInt" xfId="186"/>
    <cellStyle name="PSSpacer" xfId="187"/>
    <cellStyle name="Ratio" xfId="188"/>
    <cellStyle name="Ratio 2" xfId="189"/>
    <cellStyle name="Ratio_29(d) - Gas extensions -tariffs" xfId="190"/>
    <cellStyle name="Right Date" xfId="191"/>
    <cellStyle name="Right Number" xfId="192"/>
    <cellStyle name="Right Year" xfId="193"/>
    <cellStyle name="SAPError" xfId="194"/>
    <cellStyle name="SAPError 2" xfId="195"/>
    <cellStyle name="SAPKey" xfId="196"/>
    <cellStyle name="SAPKey 2" xfId="197"/>
    <cellStyle name="SAPLocked" xfId="198"/>
    <cellStyle name="SAPLocked 2" xfId="199"/>
    <cellStyle name="SAPOutput" xfId="200"/>
    <cellStyle name="SAPOutput 2" xfId="201"/>
    <cellStyle name="SAPSpace" xfId="202"/>
    <cellStyle name="SAPSpace 2" xfId="203"/>
    <cellStyle name="SAPText" xfId="204"/>
    <cellStyle name="SAPText 2" xfId="205"/>
    <cellStyle name="SAPUnLocked" xfId="206"/>
    <cellStyle name="SAPUnLocked 2" xfId="207"/>
    <cellStyle name="Sheet Title" xfId="208"/>
    <cellStyle name="Style 1" xfId="209"/>
    <cellStyle name="Style 1 2" xfId="210"/>
    <cellStyle name="Style 1_29(d) - Gas extensions -tariffs" xfId="211"/>
    <cellStyle name="Style2" xfId="212"/>
    <cellStyle name="Style3" xfId="213"/>
    <cellStyle name="Style4" xfId="214"/>
    <cellStyle name="Style4 2" xfId="215"/>
    <cellStyle name="Style4_29(d) - Gas extensions -tariffs" xfId="216"/>
    <cellStyle name="Style5" xfId="217"/>
    <cellStyle name="Style5 2" xfId="218"/>
    <cellStyle name="Style5_29(d) - Gas extensions -tariffs" xfId="219"/>
    <cellStyle name="Table Head Green" xfId="220"/>
    <cellStyle name="Table Head_pldt" xfId="221"/>
    <cellStyle name="Table Source" xfId="222"/>
    <cellStyle name="Table Units" xfId="223"/>
    <cellStyle name="Text" xfId="224"/>
    <cellStyle name="Text 2" xfId="225"/>
    <cellStyle name="Text 3" xfId="226"/>
    <cellStyle name="Text Head 1" xfId="227"/>
    <cellStyle name="Text Head 2" xfId="228"/>
    <cellStyle name="Text Indent 2" xfId="229"/>
    <cellStyle name="Theirs" xfId="230"/>
    <cellStyle name="Title 2" xfId="231"/>
    <cellStyle name="TOC 1" xfId="232"/>
    <cellStyle name="TOC 2" xfId="233"/>
    <cellStyle name="TOC 3" xfId="234"/>
    <cellStyle name="Total 2" xfId="235"/>
    <cellStyle name="Warning Text 2" xfId="236"/>
    <cellStyle name="year" xfId="237"/>
    <cellStyle name="year 2" xfId="238"/>
    <cellStyle name="year_29(d) - Gas extensions -tariffs" xfId="239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usli\AppData\Local\Microsoft\Windows\Temporary%20Internet%20Files\Content.Outlook\EKQWP3XN\Analysis\AA15%20-%20JGN%20Opex%20Forecast%20Model%20-%20v18%20-%2010%20Jan%2014%20-%20Reg%20Analysi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Opex%20modelling\Opex%20proposal%20decompositions\JGN%202014\JGN%20opex%20model%20-%20version%203%20-%20decomposed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ilvana%20Alessandro\Misc\AGP%20AA%20capex%20model%20-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mleco\Local%20Settings\Temporary%20Internet%20Files\OLK25AE\2010%2006%2028%20-%20AA%20-%20Template%20for%20data%20collec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TRIMDATA\TRIM\TEMP\CONTEXT.2816\AER11%202074%20%20Aurora%202012%20-%20multiple%20issues%20addressed%20%20-%20AER%20regulatory%20proposal%20-%20-%20RIN%20template%20confidential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hub.apa.com.au/workareap/AGPAA2016/Data%20and%20models/AGP%20regulatory%20opex%20for%202012%20to%202016%20(includes%20actuals%20and%20forecas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Escalators"/>
      <sheetName val="Input|Opex"/>
      <sheetName val="Calc|Opex Forecast"/>
      <sheetName val="Calc|Opex Summary"/>
      <sheetName val="Output|Models"/>
      <sheetName val="Output|Tables"/>
      <sheetName val="Output|Reg Analysis"/>
      <sheetName val="Lookup|Tables"/>
      <sheetName val="Check|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 t="str">
            <v>$millions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Escalators"/>
      <sheetName val="Input|Opex (view 1)"/>
      <sheetName val="Input|Opex (view 2)"/>
      <sheetName val="Calc|Opex Forecast"/>
      <sheetName val="Calc|Opex Summary (view 1)"/>
      <sheetName val="Calc|Opex Summary (view 2)"/>
      <sheetName val="Output|Models"/>
      <sheetName val="Output|AAI Tables"/>
      <sheetName val="Output|Appendix"/>
      <sheetName val="Output|AA RIN"/>
      <sheetName val="Lookup|Tables"/>
      <sheetName val="Check|List"/>
      <sheetName val="Decomposition"/>
    </sheetNames>
    <sheetDataSet>
      <sheetData sheetId="0" refreshError="1"/>
      <sheetData sheetId="1" refreshError="1"/>
      <sheetData sheetId="2">
        <row r="19">
          <cell r="C19" t="str">
            <v>Real 2010</v>
          </cell>
        </row>
        <row r="20">
          <cell r="C20" t="str">
            <v>Real 2011</v>
          </cell>
        </row>
        <row r="21">
          <cell r="C21" t="str">
            <v>Real 2012</v>
          </cell>
        </row>
        <row r="22">
          <cell r="C22" t="str">
            <v>Real 2013</v>
          </cell>
        </row>
        <row r="23">
          <cell r="C23" t="str">
            <v>Real 2014</v>
          </cell>
        </row>
        <row r="24">
          <cell r="C24" t="str">
            <v>Real 2015</v>
          </cell>
        </row>
        <row r="25">
          <cell r="C25" t="str">
            <v>Nominal</v>
          </cell>
        </row>
        <row r="29">
          <cell r="C29" t="str">
            <v>Real 2010</v>
          </cell>
        </row>
        <row r="30">
          <cell r="C30" t="str">
            <v>Real 2011</v>
          </cell>
        </row>
        <row r="31">
          <cell r="C31" t="str">
            <v>Real 2012</v>
          </cell>
        </row>
        <row r="32">
          <cell r="C32" t="str">
            <v>Real 2013</v>
          </cell>
        </row>
        <row r="33">
          <cell r="C33" t="str">
            <v>Real 2014</v>
          </cell>
        </row>
        <row r="34">
          <cell r="C34" t="str">
            <v>Real 2015</v>
          </cell>
        </row>
        <row r="35">
          <cell r="C35" t="str">
            <v>Nominal</v>
          </cell>
        </row>
      </sheetData>
      <sheetData sheetId="3">
        <row r="290">
          <cell r="N290">
            <v>147.6128951271748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8">
          <cell r="D48">
            <v>166.3548944081551</v>
          </cell>
        </row>
      </sheetData>
      <sheetData sheetId="10">
        <row r="134">
          <cell r="D134">
            <v>166.35489440815508</v>
          </cell>
        </row>
      </sheetData>
      <sheetData sheetId="11" refreshError="1"/>
      <sheetData sheetId="12">
        <row r="10">
          <cell r="G10" t="str">
            <v>$dollars</v>
          </cell>
        </row>
        <row r="12">
          <cell r="G12" t="str">
            <v>$millions</v>
          </cell>
        </row>
        <row r="14">
          <cell r="G14" t="str">
            <v>Per cent</v>
          </cell>
        </row>
        <row r="16">
          <cell r="G16" t="str">
            <v>number</v>
          </cell>
        </row>
        <row r="17">
          <cell r="G17" t="str">
            <v>factor</v>
          </cell>
        </row>
        <row r="20">
          <cell r="G20" t="str">
            <v>TJ</v>
          </cell>
        </row>
        <row r="23">
          <cell r="G23" t="str">
            <v>kms</v>
          </cell>
        </row>
        <row r="26">
          <cell r="G26" t="str">
            <v>Actual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e Notes for Alex!"/>
      <sheetName val="Capex input"/>
      <sheetName val="AMP-MASTER"/>
      <sheetName val="AMPmasterescalated"/>
      <sheetName val="Submission graphs"/>
      <sheetName val="CPI"/>
      <sheetName val="AER calc sheet"/>
      <sheetName val="AER Cost escalators"/>
      <sheetName val="AERCalculation of routine capex"/>
      <sheetName val="RIN Capex Detailed Info"/>
      <sheetName val="RIN Schedule "/>
    </sheetNames>
    <sheetDataSet>
      <sheetData sheetId="0" refreshError="1"/>
      <sheetData sheetId="1">
        <row r="36">
          <cell r="D36">
            <v>2321.7685900000001</v>
          </cell>
        </row>
        <row r="109">
          <cell r="W109">
            <v>69.828760499999987</v>
          </cell>
        </row>
        <row r="110">
          <cell r="W110">
            <v>1120.3068574999998</v>
          </cell>
        </row>
        <row r="111">
          <cell r="W111">
            <v>901.42250474999969</v>
          </cell>
        </row>
        <row r="112">
          <cell r="W112">
            <v>171.46286099999995</v>
          </cell>
        </row>
        <row r="113">
          <cell r="W113">
            <v>190.51428999999996</v>
          </cell>
        </row>
        <row r="115">
          <cell r="W1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B7">
            <v>4125.0180334167117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1. Classification"/>
      <sheetName val="2. Negotiation"/>
      <sheetName val="3. Control mechanisms"/>
      <sheetName val="4. RAB"/>
      <sheetName val="5. Demand"/>
      <sheetName val="6. Capex"/>
      <sheetName val="7. Opex"/>
      <sheetName val="8a. STPIS Reliability"/>
      <sheetName val="8b. STPIS feeder performance"/>
      <sheetName val="8c. STPIS Customer service"/>
      <sheetName val="8d. STPIS Unplanned outages"/>
      <sheetName val="8e. STPIS Exclusions"/>
      <sheetName val="8f.STPIS daily data"/>
      <sheetName val="9. EBSS"/>
      <sheetName val="10. DMIS - annual report"/>
      <sheetName val="11. Pass through events"/>
      <sheetName val="12. Self insurance"/>
      <sheetName val="13a. ACS - opex and capex"/>
      <sheetName val="13b. ACS - control mechanism "/>
      <sheetName val="14. Financial performance"/>
      <sheetName val="15. Financial position"/>
      <sheetName val="16. Cash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/>
      <sheetData sheetId="1">
        <row r="2">
          <cell r="B2" t="str">
            <v>ActewAGL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Definitions"/>
      <sheetName val="Business details (1.1)"/>
      <sheetName val="Operating Inc. RPM (2.1)"/>
      <sheetName val="Maintenance Inc. RPM (2.2)"/>
      <sheetName val="Operating Exc. RPM (2.3)"/>
      <sheetName val="Maintenance Exc. RPM (2.4)"/>
      <sheetName val="Allowance vs actual (2.5)"/>
      <sheetName val="Actual vs forecast (2.6)"/>
      <sheetName val="Provisions (2.7)"/>
      <sheetName val="Scale escalation (2.8)"/>
      <sheetName val="Opex Step Changes (2.9) "/>
      <sheetName val="Opex Reconciliation (2.10)"/>
      <sheetName val="Opex input to PTRM (2.11)"/>
      <sheetName val="Capex - spend (3.1)"/>
      <sheetName val="Capex - past allowances (3.2)"/>
      <sheetName val="Capex - past proposals (3.3)"/>
      <sheetName val="Capex - volumes (3.4)"/>
      <sheetName val="Capex - Inputs (3.5)"/>
      <sheetName val="Capex - RAB Allocation (3.6)"/>
      <sheetName val="Capex - TAB Allocation (3.7)"/>
      <sheetName val="Capex - disposals (3.8)"/>
      <sheetName val="Alt. Control Services (4.1)"/>
      <sheetName val="PL RAB (4.2)"/>
      <sheetName val="PL model Inputs Capex (4.3)"/>
      <sheetName val="PL O&amp;M (4.4)"/>
      <sheetName val="Metering RAB (4.5)"/>
      <sheetName val="Metering capex (4.6)"/>
      <sheetName val="Metering O&amp;M (4.7)"/>
      <sheetName val="Total Opex Inc. RPM (5.1)"/>
      <sheetName val="Total Opex Exc. RPM (5.2)"/>
      <sheetName val="Total Overheads (5.3)"/>
      <sheetName val="Outsourcing (5.4)"/>
      <sheetName val="Input cost escalation (5.5)"/>
      <sheetName val="Tax (5.6)"/>
      <sheetName val="Customers (6.1)"/>
      <sheetName val="Energy consumption (6.2)"/>
      <sheetName val="MD at network level (6.3)"/>
      <sheetName val="MD by connect point (6.4)"/>
      <sheetName val="MD by substation (6.5)"/>
      <sheetName val="MD by feeder (6.6)"/>
      <sheetName val="ACIL Tasman forecasts (6.7)"/>
      <sheetName val="Past Demand Forecasts (6.8)"/>
      <sheetName val="Asset age (6.9)"/>
      <sheetName val="Asset capacity (6.10)"/>
      <sheetName val="Projects (6.11)"/>
      <sheetName val="Contributions (6.12)"/>
      <sheetName val="Prices (6.13)"/>
      <sheetName val="Service standards (6.14)"/>
      <sheetName val="Daily performance data (6.15)"/>
      <sheetName val="Regulatory obligations (7.1)"/>
      <sheetName val="Policies (7.2)"/>
      <sheetName val="Key Assumptions (7.3)"/>
      <sheetName val="Assumptions Regi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6">
          <cell r="AA26" t="str">
            <v>Choose from the list if needed</v>
          </cell>
        </row>
        <row r="27">
          <cell r="AA27" t="str">
            <v>Customer numbers</v>
          </cell>
        </row>
        <row r="28">
          <cell r="AA28" t="str">
            <v>Distribution transformers</v>
          </cell>
        </row>
        <row r="29">
          <cell r="AA29" t="str">
            <v>Zone substation capacity</v>
          </cell>
        </row>
        <row r="30">
          <cell r="AA30" t="str">
            <v>Line length</v>
          </cell>
        </row>
        <row r="31">
          <cell r="AA31" t="str">
            <v>Other 1 (if applicable)</v>
          </cell>
        </row>
        <row r="32">
          <cell r="AA32" t="str">
            <v>Other 2 (if applicable)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Note "/>
      <sheetName val="Actual Reg Opex"/>
      <sheetName val="Actual  Reg Opex by Exp"/>
      <sheetName val=" Actual Detailed  Reg Opex "/>
      <sheetName val="Opex - Base Year adjust pigging"/>
      <sheetName val="Controllable exp Fore'cast purp"/>
      <sheetName val="MEJ 2014"/>
      <sheetName val="MEJ 2015"/>
      <sheetName val="FY15 breakdown Pigging &amp; Excav "/>
      <sheetName val="Data for FY15 Pigging&amp; Excav "/>
      <sheetName val="TB 30 Jun 12"/>
      <sheetName val="TB 30 Jun 13"/>
      <sheetName val="TB 30 Jun 14"/>
      <sheetName val="TB 30 June 15"/>
      <sheetName val="Lisa's schedules -&gt;"/>
      <sheetName val="Data"/>
      <sheetName val="AA Types"/>
      <sheetName val="Mapping of exp types"/>
      <sheetName val="O&amp;M Detailed Variance"/>
      <sheetName val="Heatshrink - by exp"/>
      <sheetName val="Hazardous Dossier by Expense"/>
      <sheetName val="Pigging by expenses"/>
      <sheetName val="Sheet3"/>
      <sheetName val="Summary variance"/>
      <sheetName val="Admin Detailed Variance"/>
      <sheetName val="Checks Bn LP &amp; SA calcs -&gt;"/>
      <sheetName val="2012 Controllable exps"/>
      <sheetName val="2012 Corporate &amp; Ins"/>
      <sheetName val="2012 Selling &amp; Marketing"/>
      <sheetName val="2013 Corporate &amp; Ins"/>
      <sheetName val="2014 Corporate &amp; Ins"/>
    </sheetNames>
    <sheetDataSet>
      <sheetData sheetId="0"/>
      <sheetData sheetId="1">
        <row r="7">
          <cell r="C7">
            <v>7352.1309499999988</v>
          </cell>
        </row>
        <row r="11">
          <cell r="C11">
            <v>11063.526389999999</v>
          </cell>
          <cell r="D11">
            <v>10060.444000000003</v>
          </cell>
          <cell r="E11">
            <v>11324.702109999995</v>
          </cell>
          <cell r="F11">
            <v>11492.998099999997</v>
          </cell>
        </row>
      </sheetData>
      <sheetData sheetId="2"/>
      <sheetData sheetId="3"/>
      <sheetData sheetId="4">
        <row r="8">
          <cell r="C8">
            <v>5446.4692499999983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ausstats/abs%40.nsf/mf/64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6"/>
  <sheetViews>
    <sheetView tabSelected="1" zoomScaleNormal="100" workbookViewId="0">
      <selection activeCell="I4" sqref="I4:J14"/>
    </sheetView>
  </sheetViews>
  <sheetFormatPr defaultRowHeight="12.75"/>
  <cols>
    <col min="2" max="2" width="28.42578125" customWidth="1"/>
    <col min="3" max="3" width="13" customWidth="1"/>
    <col min="4" max="4" width="12.7109375" customWidth="1"/>
    <col min="5" max="5" width="12.28515625" customWidth="1"/>
    <col min="6" max="6" width="13.140625" customWidth="1"/>
    <col min="7" max="7" width="12.28515625" customWidth="1"/>
    <col min="8" max="8" width="30" customWidth="1"/>
    <col min="9" max="9" width="18.28515625" customWidth="1"/>
    <col min="10" max="10" width="12.42578125" customWidth="1"/>
    <col min="11" max="11" width="23.28515625" customWidth="1"/>
    <col min="12" max="12" width="14.28515625" customWidth="1"/>
    <col min="13" max="13" width="15.140625" customWidth="1"/>
    <col min="14" max="14" width="12.28515625" customWidth="1"/>
    <col min="15" max="15" width="14.140625" customWidth="1"/>
    <col min="16" max="16" width="14.5703125" customWidth="1"/>
    <col min="17" max="17" width="14.28515625" customWidth="1"/>
    <col min="18" max="18" width="11.7109375" customWidth="1"/>
    <col min="19" max="19" width="14.7109375" customWidth="1"/>
    <col min="20" max="20" width="14" customWidth="1"/>
    <col min="21" max="21" width="13.7109375" customWidth="1"/>
    <col min="22" max="22" width="13.85546875" customWidth="1"/>
  </cols>
  <sheetData>
    <row r="2" spans="2:17">
      <c r="B2" s="85"/>
      <c r="C2" s="86"/>
      <c r="D2" s="87"/>
      <c r="E2" s="87"/>
      <c r="F2" s="87"/>
      <c r="G2" s="87"/>
      <c r="H2" s="88"/>
    </row>
    <row r="3" spans="2:17" ht="43.5" customHeight="1">
      <c r="B3" s="233" t="s">
        <v>103</v>
      </c>
      <c r="C3" s="234"/>
      <c r="D3" s="82" t="s">
        <v>91</v>
      </c>
      <c r="E3" s="81"/>
      <c r="F3" s="83" t="s">
        <v>21</v>
      </c>
      <c r="G3" s="84" t="s">
        <v>22</v>
      </c>
      <c r="H3" s="89"/>
    </row>
    <row r="4" spans="2:17" ht="15.75">
      <c r="B4" s="90"/>
      <c r="C4" s="91"/>
      <c r="D4" s="92"/>
      <c r="E4" s="93"/>
      <c r="F4" s="93"/>
      <c r="G4" s="93"/>
      <c r="H4" s="94"/>
    </row>
    <row r="7" spans="2:17">
      <c r="B7" s="1" t="s">
        <v>13</v>
      </c>
      <c r="K7" s="1" t="s">
        <v>14</v>
      </c>
    </row>
    <row r="8" spans="2:17">
      <c r="B8" s="1"/>
      <c r="H8" s="1"/>
      <c r="K8" s="1"/>
      <c r="Q8" s="1"/>
    </row>
    <row r="9" spans="2:17">
      <c r="B9" s="1" t="s">
        <v>98</v>
      </c>
      <c r="H9" s="1"/>
      <c r="K9" s="1" t="s">
        <v>90</v>
      </c>
      <c r="Q9" s="1"/>
    </row>
    <row r="10" spans="2:17" ht="13.5" thickBot="1">
      <c r="H10" s="1"/>
      <c r="Q10" s="1"/>
    </row>
    <row r="11" spans="2:17">
      <c r="B11" s="5" t="s">
        <v>6</v>
      </c>
      <c r="C11" s="3" t="s">
        <v>0</v>
      </c>
      <c r="D11" s="4" t="s">
        <v>1</v>
      </c>
      <c r="E11" s="4" t="s">
        <v>2</v>
      </c>
      <c r="F11" s="4" t="s">
        <v>3</v>
      </c>
      <c r="G11" s="6" t="s">
        <v>16</v>
      </c>
      <c r="H11" s="2" t="s">
        <v>5</v>
      </c>
      <c r="K11" s="5" t="s">
        <v>92</v>
      </c>
      <c r="L11" s="3" t="s">
        <v>0</v>
      </c>
      <c r="M11" s="4" t="s">
        <v>1</v>
      </c>
      <c r="N11" s="4" t="s">
        <v>2</v>
      </c>
      <c r="O11" s="4" t="s">
        <v>3</v>
      </c>
      <c r="P11" s="6" t="s">
        <v>106</v>
      </c>
      <c r="Q11" s="2" t="s">
        <v>5</v>
      </c>
    </row>
    <row r="12" spans="2:17">
      <c r="B12" s="33" t="s">
        <v>7</v>
      </c>
      <c r="C12" s="34"/>
      <c r="D12" s="34"/>
      <c r="E12" s="34"/>
      <c r="F12" s="34"/>
      <c r="G12" s="34"/>
      <c r="H12" s="35"/>
      <c r="K12" s="33" t="s">
        <v>7</v>
      </c>
      <c r="L12" s="34"/>
      <c r="M12" s="34"/>
      <c r="N12" s="34"/>
      <c r="O12" s="34"/>
      <c r="P12" s="34"/>
      <c r="Q12" s="35"/>
    </row>
    <row r="13" spans="2:17">
      <c r="B13" s="36" t="s">
        <v>104</v>
      </c>
      <c r="C13" s="96">
        <f>SUM('AER opex sheet APTNT'!C9:C10)*CPI!$D$42/CPI!$D$41</f>
        <v>8916.572580645161</v>
      </c>
      <c r="D13" s="96">
        <f>SUM('AER opex sheet APTNT'!D9:D10)*CPI!$D$43/CPI!$D$41</f>
        <v>10861.358870967742</v>
      </c>
      <c r="E13" s="96">
        <f>SUM('AER opex sheet APTNT'!E9:E10)*CPI!$D$44/CPI!$D$41</f>
        <v>9543.8104838709678</v>
      </c>
      <c r="F13" s="96">
        <f>SUM('AER opex sheet APTNT'!F9:F10)*CPI!$D$45/CPI!$D$41</f>
        <v>9728.0997983870966</v>
      </c>
      <c r="G13" s="96">
        <f>SUM('AER opex sheet APTNT'!G9:G10)*CPI!$D$46/CPI!$D$41</f>
        <v>12281.008606350808</v>
      </c>
      <c r="H13" s="97">
        <f>SUM(C13:G13)</f>
        <v>51330.850340221776</v>
      </c>
      <c r="K13" s="36" t="s">
        <v>104</v>
      </c>
      <c r="L13" s="96">
        <f>'Opex input corrected (AER) '!L13</f>
        <v>9919.6159176056972</v>
      </c>
      <c r="M13" s="96">
        <f>'Opex input corrected (AER) '!M13</f>
        <v>11726.842318059604</v>
      </c>
      <c r="N13" s="96">
        <f>'Opex input corrected (AER) '!N13</f>
        <v>9947.2844071707495</v>
      </c>
      <c r="O13" s="96">
        <f>'Opex input corrected (AER) '!O13</f>
        <v>9855.4218133495979</v>
      </c>
      <c r="P13" s="96">
        <f>'Opex input corrected (AER) '!P13</f>
        <v>11968.306752331282</v>
      </c>
      <c r="Q13" s="97">
        <f>SUM(L13:P13)</f>
        <v>53417.47120851693</v>
      </c>
    </row>
    <row r="14" spans="2:17">
      <c r="B14" s="36" t="s">
        <v>54</v>
      </c>
      <c r="C14" s="96">
        <f>'AER opex sheet APTNT'!C11*CPI!$D$42/CPI!$D$41</f>
        <v>4425.8991935483873</v>
      </c>
      <c r="D14" s="96">
        <f>'AER opex sheet APTNT'!D11*CPI!$D$43/CPI!$D$41</f>
        <v>4596.9838709677415</v>
      </c>
      <c r="E14" s="96">
        <f>'AER opex sheet APTNT'!E11*CPI!$D$44/CPI!$D$41</f>
        <v>4771.9052419354839</v>
      </c>
      <c r="F14" s="96">
        <f>'AER opex sheet APTNT'!F11*CPI!$D$45/CPI!$D$41</f>
        <v>5594.9848790322576</v>
      </c>
      <c r="G14" s="96">
        <f>'AER opex sheet APTNT'!G11*CPI!$D$46/CPI!$D$41</f>
        <v>5045.3152721774195</v>
      </c>
      <c r="H14" s="97">
        <f>SUM(C14:G14)</f>
        <v>24435.088457661292</v>
      </c>
      <c r="K14" s="36" t="s">
        <v>54</v>
      </c>
      <c r="L14" s="96">
        <f>'Opex input corrected (AER) '!L14</f>
        <v>4954.0258399515624</v>
      </c>
      <c r="M14" s="96">
        <f>'Opex input corrected (AER) '!M14</f>
        <v>4987.6691401606358</v>
      </c>
      <c r="N14" s="96">
        <f>'Opex input corrected (AER) '!N14</f>
        <v>4975.9837610273435</v>
      </c>
      <c r="O14" s="96">
        <f>'Opex input corrected (AER) '!O14</f>
        <v>5635.7676805579385</v>
      </c>
      <c r="P14" s="96">
        <f>'Opex input corrected (AER) '!P14</f>
        <v>4817.2519868354893</v>
      </c>
      <c r="Q14" s="97">
        <f>SUM(L14:P14)</f>
        <v>25370.698408532971</v>
      </c>
    </row>
    <row r="15" spans="2:17">
      <c r="B15" s="36" t="s">
        <v>37</v>
      </c>
      <c r="C15" s="96">
        <f>'AER opex sheet APTNT'!C12*CPI!$D$42/CPI!$D$41</f>
        <v>62.75</v>
      </c>
      <c r="D15" s="96">
        <f>'AER opex sheet APTNT'!D12*CPI!$D$43/CPI!$D$41</f>
        <v>64.249999999999986</v>
      </c>
      <c r="E15" s="96">
        <f>'AER opex sheet APTNT'!E12*CPI!$D$44/CPI!$D$41</f>
        <v>66.1875</v>
      </c>
      <c r="F15" s="96">
        <f>'AER opex sheet APTNT'!F12*CPI!$D$45/CPI!$D$41</f>
        <v>67.1875</v>
      </c>
      <c r="G15" s="96">
        <f>'AER opex sheet APTNT'!G12*CPI!$D$46/CPI!$D$41</f>
        <v>68.900781250000009</v>
      </c>
      <c r="H15" s="97">
        <f>SUM(C15:G15)</f>
        <v>329.27578125000002</v>
      </c>
      <c r="K15" s="36" t="s">
        <v>37</v>
      </c>
      <c r="L15" s="96">
        <f>'Opex input corrected (AER) '!L15</f>
        <v>68.900781250000009</v>
      </c>
      <c r="M15" s="96">
        <f>'Opex input corrected (AER) '!M15</f>
        <v>68.900781250000009</v>
      </c>
      <c r="N15" s="96">
        <f>'Opex input corrected (AER) '!N15</f>
        <v>68.900781250000009</v>
      </c>
      <c r="O15" s="96">
        <f>'Opex input corrected (AER) '!O15</f>
        <v>68.900781250000009</v>
      </c>
      <c r="P15" s="96">
        <f>'Opex input corrected (AER) '!P15</f>
        <v>68.900781250000009</v>
      </c>
      <c r="Q15" s="97">
        <f>SUM(L15:P15)</f>
        <v>344.50390625000006</v>
      </c>
    </row>
    <row r="16" spans="2:17">
      <c r="B16" s="7" t="s">
        <v>9</v>
      </c>
      <c r="C16" s="97">
        <f>SUM(C13:C15)</f>
        <v>13405.221774193549</v>
      </c>
      <c r="D16" s="97">
        <f>SUM(D13:D15)</f>
        <v>15522.592741935485</v>
      </c>
      <c r="E16" s="97">
        <f>SUM(E13:E15)</f>
        <v>14381.903225806451</v>
      </c>
      <c r="F16" s="97">
        <f>SUM(F13:F15)</f>
        <v>15390.272177419354</v>
      </c>
      <c r="G16" s="97">
        <f>SUM(G13:G15)</f>
        <v>17395.224659778225</v>
      </c>
      <c r="H16" s="97">
        <f>SUM(C16:G16)</f>
        <v>76095.214579133069</v>
      </c>
      <c r="K16" s="7" t="s">
        <v>9</v>
      </c>
      <c r="L16" s="97">
        <f>SUM(L13:L15)</f>
        <v>14942.54253880726</v>
      </c>
      <c r="M16" s="97">
        <f>SUM(M13:M15)</f>
        <v>16783.412239470239</v>
      </c>
      <c r="N16" s="97">
        <f>SUM(N13:N15)</f>
        <v>14992.168949448094</v>
      </c>
      <c r="O16" s="97">
        <f>SUM(O13:O15)</f>
        <v>15560.090275157536</v>
      </c>
      <c r="P16" s="97">
        <f>SUM(P13:P15)</f>
        <v>16854.459520416771</v>
      </c>
      <c r="Q16" s="97">
        <f>SUM(L16:P16)</f>
        <v>79132.673523299891</v>
      </c>
    </row>
    <row r="17" spans="2:17">
      <c r="B17" s="33" t="s">
        <v>15</v>
      </c>
      <c r="C17" s="98"/>
      <c r="D17" s="98"/>
      <c r="E17" s="98"/>
      <c r="F17" s="98"/>
      <c r="G17" s="98"/>
      <c r="H17" s="99"/>
      <c r="K17" s="33" t="s">
        <v>15</v>
      </c>
      <c r="L17" s="98"/>
      <c r="M17" s="98"/>
      <c r="N17" s="98"/>
      <c r="O17" s="98"/>
      <c r="P17" s="98"/>
      <c r="Q17" s="99"/>
    </row>
    <row r="18" spans="2:17">
      <c r="B18" s="36" t="s">
        <v>104</v>
      </c>
      <c r="C18" s="102">
        <v>7352.1309499999988</v>
      </c>
      <c r="D18" s="102">
        <v>7006.916140000003</v>
      </c>
      <c r="E18" s="102">
        <v>8385.1044199999942</v>
      </c>
      <c r="F18" s="102">
        <v>8774.6843899999985</v>
      </c>
      <c r="G18" s="102">
        <f>K36</f>
        <v>0</v>
      </c>
      <c r="H18" s="101">
        <f>SUM(C18:G18)</f>
        <v>31518.835899999995</v>
      </c>
      <c r="K18" s="36" t="s">
        <v>104</v>
      </c>
      <c r="L18" s="100">
        <f>C18*CPI!$D$46/CPI!$D$42</f>
        <v>8072.7899013116275</v>
      </c>
      <c r="M18" s="100">
        <f>D18*CPI!$D$46/CPI!$D$43</f>
        <v>7514.1166723616288</v>
      </c>
      <c r="N18" s="100">
        <f>E18*CPI!$D$46/CPI!$D$44</f>
        <v>8728.8422345734125</v>
      </c>
      <c r="O18" s="100">
        <f>F18*CPI!$D$46/CPI!$D$45</f>
        <v>8998.4388419449988</v>
      </c>
      <c r="P18" s="100">
        <f>K36</f>
        <v>0</v>
      </c>
      <c r="Q18" s="101">
        <f>SUM(L18:P18)</f>
        <v>33314.187650191663</v>
      </c>
    </row>
    <row r="19" spans="2:17">
      <c r="B19" s="36" t="s">
        <v>54</v>
      </c>
      <c r="C19" s="102">
        <v>3671.5363000000007</v>
      </c>
      <c r="D19" s="102">
        <v>3019.4133999999995</v>
      </c>
      <c r="E19" s="102">
        <v>2915.30269</v>
      </c>
      <c r="F19" s="102">
        <v>2709.1645299999991</v>
      </c>
      <c r="G19" s="102">
        <f>K40</f>
        <v>0</v>
      </c>
      <c r="H19" s="101">
        <f>SUM(C19:G19)</f>
        <v>12315.41692</v>
      </c>
      <c r="K19" s="36" t="s">
        <v>54</v>
      </c>
      <c r="L19" s="100">
        <f>C19*CPI!$D$46/CPI!$D$42</f>
        <v>4031.42182402764</v>
      </c>
      <c r="M19" s="100">
        <f>D19*CPI!$D$46/CPI!$D$43</f>
        <v>3237.9757537232485</v>
      </c>
      <c r="N19" s="100">
        <f>E19*CPI!$D$46/CPI!$D$44</f>
        <v>3034.8122065529983</v>
      </c>
      <c r="O19" s="100">
        <f>F19*CPI!$D$46/CPI!$D$45</f>
        <v>2778.2482255149994</v>
      </c>
      <c r="P19" s="100">
        <f>K40</f>
        <v>0</v>
      </c>
      <c r="Q19" s="101">
        <f>SUM(L19:P19)</f>
        <v>13082.458009818885</v>
      </c>
    </row>
    <row r="20" spans="2:17">
      <c r="B20" s="36" t="s">
        <v>37</v>
      </c>
      <c r="C20" s="102">
        <v>39.859139999999996</v>
      </c>
      <c r="D20" s="102">
        <v>34.114460000000001</v>
      </c>
      <c r="E20" s="102">
        <v>24.295000000000002</v>
      </c>
      <c r="F20" s="102">
        <v>9.1491799999999994</v>
      </c>
      <c r="G20" s="102">
        <f>K44</f>
        <v>0</v>
      </c>
      <c r="H20" s="101">
        <f>SUM(C20:G20)</f>
        <v>107.41778000000001</v>
      </c>
      <c r="K20" s="36" t="s">
        <v>37</v>
      </c>
      <c r="L20" s="100">
        <f>C20*CPI!$D$46/CPI!$D$42</f>
        <v>43.766149576942226</v>
      </c>
      <c r="M20" s="100">
        <f>D20*CPI!$D$46/CPI!$D$43</f>
        <v>36.583859080496111</v>
      </c>
      <c r="N20" s="100">
        <f>E20*CPI!$D$46/CPI!$D$44</f>
        <v>25.290945880547689</v>
      </c>
      <c r="O20" s="100">
        <f>F20*CPI!$D$46/CPI!$D$45</f>
        <v>9.3824840900000002</v>
      </c>
      <c r="P20" s="100">
        <f>K44</f>
        <v>0</v>
      </c>
      <c r="Q20" s="101">
        <f>SUM(L20:P20)</f>
        <v>115.02343862798604</v>
      </c>
    </row>
    <row r="21" spans="2:17">
      <c r="B21" s="7" t="s">
        <v>11</v>
      </c>
      <c r="C21" s="101">
        <f>SUM(C18:C20)</f>
        <v>11063.526389999999</v>
      </c>
      <c r="D21" s="101">
        <f>SUM(D18:D20)</f>
        <v>10060.444000000003</v>
      </c>
      <c r="E21" s="101">
        <f>SUM(E18:E20)</f>
        <v>11324.702109999995</v>
      </c>
      <c r="F21" s="101">
        <f>SUM(F18:F20)</f>
        <v>11492.998099999997</v>
      </c>
      <c r="G21" s="101">
        <f>SUM(G18:G20)</f>
        <v>0</v>
      </c>
      <c r="H21" s="101">
        <f>SUM(C21:G21)</f>
        <v>43941.670599999998</v>
      </c>
      <c r="K21" s="7" t="s">
        <v>11</v>
      </c>
      <c r="L21" s="101">
        <f>SUM(L18:L20)</f>
        <v>12147.977874916211</v>
      </c>
      <c r="M21" s="101">
        <f>SUM(M18:M20)</f>
        <v>10788.676285165373</v>
      </c>
      <c r="N21" s="101">
        <f>SUM(N18:N20)</f>
        <v>11788.945387006959</v>
      </c>
      <c r="O21" s="101">
        <f>SUM(O18:O20)</f>
        <v>11786.069551549997</v>
      </c>
      <c r="P21" s="101">
        <f>SUM(P18:P20)</f>
        <v>0</v>
      </c>
      <c r="Q21" s="101">
        <f>SUM(L21:P21)</f>
        <v>46511.669098638537</v>
      </c>
    </row>
    <row r="22" spans="2:17">
      <c r="B22" s="33" t="s">
        <v>10</v>
      </c>
      <c r="C22" s="98"/>
      <c r="D22" s="98"/>
      <c r="E22" s="98"/>
      <c r="F22" s="98"/>
      <c r="G22" s="98"/>
      <c r="H22" s="99"/>
      <c r="K22" s="33" t="s">
        <v>10</v>
      </c>
      <c r="L22" s="98"/>
      <c r="M22" s="98"/>
      <c r="N22" s="98"/>
      <c r="O22" s="98"/>
      <c r="P22" s="98"/>
      <c r="Q22" s="99"/>
    </row>
    <row r="23" spans="2:17">
      <c r="B23" s="36" t="s">
        <v>104</v>
      </c>
      <c r="C23" s="96">
        <f t="shared" ref="C23:G26" si="0">C18-C13</f>
        <v>-1564.4416306451621</v>
      </c>
      <c r="D23" s="96">
        <f t="shared" si="0"/>
        <v>-3854.4427309677394</v>
      </c>
      <c r="E23" s="96">
        <f t="shared" si="0"/>
        <v>-1158.7060638709736</v>
      </c>
      <c r="F23" s="96">
        <f t="shared" si="0"/>
        <v>-953.41540838709807</v>
      </c>
      <c r="G23" s="96">
        <f t="shared" si="0"/>
        <v>-12281.008606350808</v>
      </c>
      <c r="H23" s="96">
        <f>SUM(C23:G23)</f>
        <v>-19812.014440221781</v>
      </c>
      <c r="K23" s="36" t="s">
        <v>104</v>
      </c>
      <c r="L23" s="96">
        <f t="shared" ref="L23:P26" si="1">L18-L13</f>
        <v>-1846.8260162940696</v>
      </c>
      <c r="M23" s="96">
        <f t="shared" si="1"/>
        <v>-4212.7256456979749</v>
      </c>
      <c r="N23" s="96">
        <f t="shared" si="1"/>
        <v>-1218.442172597337</v>
      </c>
      <c r="O23" s="96">
        <f t="shared" si="1"/>
        <v>-856.98297140459908</v>
      </c>
      <c r="P23" s="96">
        <f t="shared" si="1"/>
        <v>-11968.306752331282</v>
      </c>
      <c r="Q23" s="96">
        <f>SUM(L23:P23)</f>
        <v>-20103.283558325264</v>
      </c>
    </row>
    <row r="24" spans="2:17">
      <c r="B24" s="36" t="s">
        <v>54</v>
      </c>
      <c r="C24" s="96">
        <f t="shared" si="0"/>
        <v>-754.36289354838664</v>
      </c>
      <c r="D24" s="96">
        <f t="shared" si="0"/>
        <v>-1577.570470967742</v>
      </c>
      <c r="E24" s="96">
        <f t="shared" si="0"/>
        <v>-1856.6025519354839</v>
      </c>
      <c r="F24" s="96">
        <f t="shared" si="0"/>
        <v>-2885.8203490322585</v>
      </c>
      <c r="G24" s="96">
        <f t="shared" si="0"/>
        <v>-5045.3152721774195</v>
      </c>
      <c r="H24" s="96">
        <f>SUM(C24:G24)</f>
        <v>-12119.67153766129</v>
      </c>
      <c r="K24" s="36" t="s">
        <v>54</v>
      </c>
      <c r="L24" s="96">
        <f t="shared" si="1"/>
        <v>-922.60401592392236</v>
      </c>
      <c r="M24" s="96">
        <f t="shared" si="1"/>
        <v>-1749.6933864373873</v>
      </c>
      <c r="N24" s="96">
        <f t="shared" si="1"/>
        <v>-1941.1715544743452</v>
      </c>
      <c r="O24" s="96">
        <f t="shared" si="1"/>
        <v>-2857.5194550429392</v>
      </c>
      <c r="P24" s="96">
        <f t="shared" si="1"/>
        <v>-4817.2519868354893</v>
      </c>
      <c r="Q24" s="96">
        <f>SUM(L24:P24)</f>
        <v>-12288.240398714082</v>
      </c>
    </row>
    <row r="25" spans="2:17">
      <c r="B25" s="36" t="s">
        <v>37</v>
      </c>
      <c r="C25" s="96">
        <f t="shared" si="0"/>
        <v>-22.890860000000004</v>
      </c>
      <c r="D25" s="96">
        <f t="shared" si="0"/>
        <v>-30.135539999999985</v>
      </c>
      <c r="E25" s="96">
        <f t="shared" si="0"/>
        <v>-41.892499999999998</v>
      </c>
      <c r="F25" s="96">
        <f t="shared" si="0"/>
        <v>-58.038319999999999</v>
      </c>
      <c r="G25" s="96">
        <f t="shared" si="0"/>
        <v>-68.900781250000009</v>
      </c>
      <c r="H25" s="96">
        <f>SUM(C25:G25)</f>
        <v>-221.85800124999997</v>
      </c>
      <c r="K25" s="36" t="s">
        <v>37</v>
      </c>
      <c r="L25" s="96">
        <f t="shared" si="1"/>
        <v>-25.134631673057783</v>
      </c>
      <c r="M25" s="96">
        <f t="shared" si="1"/>
        <v>-32.316922169503897</v>
      </c>
      <c r="N25" s="96">
        <f t="shared" si="1"/>
        <v>-43.60983536945232</v>
      </c>
      <c r="O25" s="96">
        <f t="shared" si="1"/>
        <v>-59.51829716000001</v>
      </c>
      <c r="P25" s="96">
        <f t="shared" si="1"/>
        <v>-68.900781250000009</v>
      </c>
      <c r="Q25" s="96">
        <f>SUM(L25:P25)</f>
        <v>-229.48046762201403</v>
      </c>
    </row>
    <row r="26" spans="2:17">
      <c r="B26" s="7" t="s">
        <v>12</v>
      </c>
      <c r="C26" s="96">
        <f t="shared" si="0"/>
        <v>-2341.6953841935501</v>
      </c>
      <c r="D26" s="96">
        <f t="shared" si="0"/>
        <v>-5462.1487419354817</v>
      </c>
      <c r="E26" s="96">
        <f t="shared" si="0"/>
        <v>-3057.2011158064561</v>
      </c>
      <c r="F26" s="96">
        <f t="shared" si="0"/>
        <v>-3897.2740774193571</v>
      </c>
      <c r="G26" s="96">
        <f t="shared" si="0"/>
        <v>-17395.224659778225</v>
      </c>
      <c r="H26" s="96">
        <f>SUM(C26:G26)</f>
        <v>-32153.543979133072</v>
      </c>
      <c r="K26" s="7" t="s">
        <v>12</v>
      </c>
      <c r="L26" s="96">
        <f t="shared" si="1"/>
        <v>-2794.5646638910493</v>
      </c>
      <c r="M26" s="96">
        <f t="shared" si="1"/>
        <v>-5994.735954304866</v>
      </c>
      <c r="N26" s="96">
        <f t="shared" si="1"/>
        <v>-3203.2235624411351</v>
      </c>
      <c r="O26" s="96">
        <f t="shared" si="1"/>
        <v>-3774.0207236075385</v>
      </c>
      <c r="P26" s="96">
        <f t="shared" si="1"/>
        <v>-16854.459520416771</v>
      </c>
      <c r="Q26" s="96">
        <f>SUM(L26:P26)</f>
        <v>-32621.004424661362</v>
      </c>
    </row>
    <row r="27" spans="2:17">
      <c r="C27" s="103" t="str">
        <f>IF(C21='[7]Actual Reg Opex'!C11,"Ok","Check")</f>
        <v>Ok</v>
      </c>
      <c r="D27" s="103" t="str">
        <f>IF(D21='[7]Actual Reg Opex'!D11,"Ok","Check")</f>
        <v>Ok</v>
      </c>
      <c r="E27" s="103" t="str">
        <f>IF(E21='[7]Actual Reg Opex'!E11,"Ok","Check")</f>
        <v>Ok</v>
      </c>
      <c r="F27" s="103" t="str">
        <f>IF(F21='[7]Actual Reg Opex'!F11,"Ok","Check")</f>
        <v>Ok</v>
      </c>
    </row>
    <row r="29" spans="2:17">
      <c r="J29" s="105"/>
    </row>
    <row r="30" spans="2:17">
      <c r="O30" s="105"/>
    </row>
    <row r="32" spans="2:17">
      <c r="B32" s="1" t="s">
        <v>112</v>
      </c>
      <c r="H32" s="1" t="s">
        <v>99</v>
      </c>
      <c r="I32" s="1"/>
    </row>
    <row r="33" spans="2:18" ht="13.5" thickBot="1"/>
    <row r="34" spans="2:18" ht="38.25">
      <c r="B34" s="5" t="s">
        <v>6</v>
      </c>
      <c r="C34" s="3"/>
      <c r="D34" s="3"/>
      <c r="E34" s="3"/>
      <c r="F34" s="3"/>
      <c r="H34" s="5" t="s">
        <v>92</v>
      </c>
      <c r="I34" s="5"/>
      <c r="J34" s="116" t="s">
        <v>117</v>
      </c>
      <c r="K34" s="2" t="s">
        <v>106</v>
      </c>
      <c r="L34" s="2" t="s">
        <v>4</v>
      </c>
      <c r="M34" s="3" t="s">
        <v>17</v>
      </c>
      <c r="N34" s="4" t="s">
        <v>18</v>
      </c>
      <c r="O34" s="4" t="s">
        <v>19</v>
      </c>
      <c r="P34" s="4" t="s">
        <v>20</v>
      </c>
      <c r="Q34" s="6" t="s">
        <v>118</v>
      </c>
    </row>
    <row r="35" spans="2:18" ht="25.5">
      <c r="B35" s="33" t="s">
        <v>100</v>
      </c>
      <c r="C35" s="112" t="s">
        <v>110</v>
      </c>
      <c r="D35" s="33" t="s">
        <v>102</v>
      </c>
      <c r="E35" s="107" t="s">
        <v>119</v>
      </c>
      <c r="F35" s="107" t="s">
        <v>116</v>
      </c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2:18">
      <c r="B36" s="1" t="s">
        <v>101</v>
      </c>
      <c r="C36" s="1" t="s">
        <v>5</v>
      </c>
      <c r="D36" s="117">
        <f>SUM(D37:D39)</f>
        <v>8774.6843899999985</v>
      </c>
      <c r="E36" s="117">
        <f>SUM(E37:E39)</f>
        <v>-365.97026</v>
      </c>
      <c r="F36" s="117">
        <f>SUM(D36:E36)</f>
        <v>8408.7141299999985</v>
      </c>
      <c r="H36" s="106" t="str">
        <f>B36</f>
        <v>Operations and maintenance</v>
      </c>
      <c r="I36" s="9"/>
      <c r="J36" s="120">
        <f t="shared" ref="J36" si="2">SUM(J37:J39)</f>
        <v>8623.136340314999</v>
      </c>
      <c r="K36" s="120"/>
      <c r="L36" s="120"/>
      <c r="M36" s="120"/>
      <c r="N36" s="120"/>
      <c r="O36" s="120"/>
      <c r="P36" s="120"/>
      <c r="Q36" s="120">
        <f t="shared" ref="Q36:Q53" si="3">SUM(L36:P36)</f>
        <v>0</v>
      </c>
    </row>
    <row r="37" spans="2:18">
      <c r="C37" t="s">
        <v>107</v>
      </c>
      <c r="D37" s="113">
        <v>5446.4692499999983</v>
      </c>
      <c r="E37" s="113">
        <f>'Opex MEJ adjustment APTNT'!D8</f>
        <v>-93.392499999999998</v>
      </c>
      <c r="F37" s="118">
        <f>SUM(D37:E37)</f>
        <v>5353.0767499999984</v>
      </c>
      <c r="H37" s="106"/>
      <c r="I37" s="9" t="s">
        <v>107</v>
      </c>
      <c r="J37" s="121">
        <f>F37*CPI!$D$46/CPI!$D$45</f>
        <v>5489.5802071249991</v>
      </c>
      <c r="K37" s="122"/>
      <c r="L37" s="122"/>
      <c r="M37" s="122"/>
      <c r="N37" s="122"/>
      <c r="O37" s="122"/>
      <c r="P37" s="122"/>
      <c r="Q37" s="121">
        <f t="shared" si="3"/>
        <v>0</v>
      </c>
    </row>
    <row r="38" spans="2:18">
      <c r="C38" t="s">
        <v>108</v>
      </c>
      <c r="D38" s="113">
        <v>1398.2067999999997</v>
      </c>
      <c r="E38" s="113">
        <f>'Opex MEJ adjustment APTNT'!D9</f>
        <v>-249.65527000000003</v>
      </c>
      <c r="F38" s="118">
        <f>SUM(D38:E38)</f>
        <v>1148.5515299999997</v>
      </c>
      <c r="H38" s="106"/>
      <c r="I38" s="9" t="s">
        <v>108</v>
      </c>
      <c r="J38" s="121">
        <f>F38*CPI!$D$46/CPI!$D$45</f>
        <v>1177.8395940149996</v>
      </c>
      <c r="K38" s="122"/>
      <c r="L38" s="122"/>
      <c r="M38" s="122"/>
      <c r="N38" s="122"/>
      <c r="O38" s="122"/>
      <c r="P38" s="122"/>
      <c r="Q38" s="121">
        <f t="shared" si="3"/>
        <v>0</v>
      </c>
    </row>
    <row r="39" spans="2:18">
      <c r="C39" t="s">
        <v>111</v>
      </c>
      <c r="D39" s="113">
        <v>1930.0083400000001</v>
      </c>
      <c r="E39" s="113">
        <f>'Opex MEJ adjustment APTNT'!D10</f>
        <v>-22.922490000000007</v>
      </c>
      <c r="F39" s="118">
        <f>SUM(D39:E39)</f>
        <v>1907.0858500000002</v>
      </c>
      <c r="H39" s="106"/>
      <c r="I39" s="9" t="s">
        <v>111</v>
      </c>
      <c r="J39" s="121">
        <f>F39*CPI!$D$46/CPI!$D$45</f>
        <v>1955.7165391750002</v>
      </c>
      <c r="K39" s="122"/>
      <c r="L39" s="122"/>
      <c r="M39" s="122"/>
      <c r="N39" s="122"/>
      <c r="O39" s="122"/>
      <c r="P39" s="122"/>
      <c r="Q39" s="121">
        <f t="shared" si="3"/>
        <v>0</v>
      </c>
      <c r="R39" s="126"/>
    </row>
    <row r="40" spans="2:18">
      <c r="B40" s="1" t="s">
        <v>54</v>
      </c>
      <c r="C40" s="1" t="s">
        <v>5</v>
      </c>
      <c r="D40" s="117">
        <f>SUM(D41:D43)</f>
        <v>2709.1645300000005</v>
      </c>
      <c r="E40" s="117">
        <f>SUM(E41:E43)</f>
        <v>0</v>
      </c>
      <c r="F40" s="117">
        <f>SUM(D40:E40)</f>
        <v>2709.1645300000005</v>
      </c>
      <c r="H40" s="106" t="str">
        <f t="shared" ref="H40:H44" si="4">B40</f>
        <v>Corporate</v>
      </c>
      <c r="I40" s="9"/>
      <c r="J40" s="120">
        <f t="shared" ref="J40" si="5">SUM(J41:J43)</f>
        <v>2778.2482255150007</v>
      </c>
      <c r="K40" s="120"/>
      <c r="L40" s="120"/>
      <c r="M40" s="120"/>
      <c r="N40" s="120"/>
      <c r="O40" s="120"/>
      <c r="P40" s="120"/>
      <c r="Q40" s="120">
        <f t="shared" si="3"/>
        <v>0</v>
      </c>
    </row>
    <row r="41" spans="2:18">
      <c r="C41" t="s">
        <v>107</v>
      </c>
      <c r="D41" s="113">
        <v>1820.8767800000003</v>
      </c>
      <c r="E41" s="113"/>
      <c r="F41" s="118">
        <f>D41-E41</f>
        <v>1820.8767800000003</v>
      </c>
      <c r="H41" s="106"/>
      <c r="I41" s="9" t="s">
        <v>107</v>
      </c>
      <c r="J41" s="122">
        <f>F41*CPI!$D$46/CPI!$D$45</f>
        <v>1867.3091378900003</v>
      </c>
      <c r="K41" s="122"/>
      <c r="L41" s="122"/>
      <c r="M41" s="122"/>
      <c r="N41" s="122"/>
      <c r="O41" s="122"/>
      <c r="P41" s="122"/>
      <c r="Q41" s="121">
        <f t="shared" si="3"/>
        <v>0</v>
      </c>
    </row>
    <row r="42" spans="2:18">
      <c r="C42" t="s">
        <v>108</v>
      </c>
      <c r="D42" s="113">
        <v>0</v>
      </c>
      <c r="E42" s="113"/>
      <c r="F42" s="118">
        <f t="shared" ref="F42:F43" si="6">D42-E42</f>
        <v>0</v>
      </c>
      <c r="H42" s="106"/>
      <c r="I42" s="9" t="s">
        <v>108</v>
      </c>
      <c r="J42" s="122">
        <f>F42*CPI!$D$46/CPI!$D$45</f>
        <v>0</v>
      </c>
      <c r="K42" s="122"/>
      <c r="L42" s="122"/>
      <c r="M42" s="122"/>
      <c r="N42" s="122"/>
      <c r="O42" s="122"/>
      <c r="P42" s="122"/>
      <c r="Q42" s="121">
        <f t="shared" si="3"/>
        <v>0</v>
      </c>
    </row>
    <row r="43" spans="2:18">
      <c r="C43" t="s">
        <v>111</v>
      </c>
      <c r="D43" s="113">
        <v>888.28775000000007</v>
      </c>
      <c r="E43" s="113"/>
      <c r="F43" s="118">
        <f t="shared" si="6"/>
        <v>888.28775000000007</v>
      </c>
      <c r="H43" s="106"/>
      <c r="I43" s="9" t="s">
        <v>111</v>
      </c>
      <c r="J43" s="122">
        <f>F43*CPI!$D$46/CPI!$D$45</f>
        <v>910.93908762500018</v>
      </c>
      <c r="K43" s="122"/>
      <c r="L43" s="122"/>
      <c r="M43" s="122"/>
      <c r="N43" s="122"/>
      <c r="O43" s="122"/>
      <c r="P43" s="122"/>
      <c r="Q43" s="121">
        <f t="shared" si="3"/>
        <v>0</v>
      </c>
      <c r="R43" s="126"/>
    </row>
    <row r="44" spans="2:18">
      <c r="B44" s="1" t="s">
        <v>57</v>
      </c>
      <c r="C44" s="1" t="s">
        <v>5</v>
      </c>
      <c r="D44" s="117">
        <f>SUM(D45:D47)</f>
        <v>9.1491799999999994</v>
      </c>
      <c r="E44" s="117">
        <f>SUM(E45:E47)</f>
        <v>0</v>
      </c>
      <c r="F44" s="117">
        <f>SUM(D44:E44)</f>
        <v>9.1491799999999994</v>
      </c>
      <c r="H44" s="106" t="str">
        <f t="shared" si="4"/>
        <v>Sales and marketing</v>
      </c>
      <c r="I44" s="9"/>
      <c r="J44" s="120">
        <f t="shared" ref="J44" si="7">SUM(J45:J47)</f>
        <v>9.3824840900000002</v>
      </c>
      <c r="K44" s="120"/>
      <c r="L44" s="120"/>
      <c r="M44" s="120"/>
      <c r="N44" s="120"/>
      <c r="O44" s="120"/>
      <c r="P44" s="120"/>
      <c r="Q44" s="120">
        <f t="shared" si="3"/>
        <v>0</v>
      </c>
    </row>
    <row r="45" spans="2:18">
      <c r="C45" t="s">
        <v>107</v>
      </c>
      <c r="D45" s="113">
        <v>0</v>
      </c>
      <c r="E45" s="113"/>
      <c r="F45" s="118">
        <f>D45-E45</f>
        <v>0</v>
      </c>
      <c r="H45" s="106"/>
      <c r="I45" s="9" t="s">
        <v>107</v>
      </c>
      <c r="J45" s="122">
        <f>F45*CPI!$D$46/CPI!$D$45</f>
        <v>0</v>
      </c>
      <c r="K45" s="122"/>
      <c r="L45" s="122"/>
      <c r="M45" s="122"/>
      <c r="N45" s="122"/>
      <c r="O45" s="122"/>
      <c r="P45" s="122"/>
      <c r="Q45" s="121">
        <f t="shared" si="3"/>
        <v>0</v>
      </c>
    </row>
    <row r="46" spans="2:18">
      <c r="C46" t="s">
        <v>108</v>
      </c>
      <c r="D46" s="113">
        <v>0</v>
      </c>
      <c r="E46" s="113"/>
      <c r="F46" s="118">
        <f t="shared" ref="F46:F47" si="8">D46-E46</f>
        <v>0</v>
      </c>
      <c r="H46" s="106"/>
      <c r="I46" s="9" t="s">
        <v>108</v>
      </c>
      <c r="J46" s="122">
        <f>F46*CPI!$D$46/CPI!$D$45</f>
        <v>0</v>
      </c>
      <c r="K46" s="122"/>
      <c r="L46" s="122"/>
      <c r="M46" s="122"/>
      <c r="N46" s="122"/>
      <c r="O46" s="122"/>
      <c r="P46" s="122"/>
      <c r="Q46" s="121">
        <f t="shared" si="3"/>
        <v>0</v>
      </c>
    </row>
    <row r="47" spans="2:18">
      <c r="C47" t="s">
        <v>111</v>
      </c>
      <c r="D47" s="113">
        <v>9.1491799999999994</v>
      </c>
      <c r="E47" s="113"/>
      <c r="F47" s="118">
        <f t="shared" si="8"/>
        <v>9.1491799999999994</v>
      </c>
      <c r="H47" s="106"/>
      <c r="I47" s="9" t="s">
        <v>111</v>
      </c>
      <c r="J47" s="122">
        <f>F47*CPI!$D$46/CPI!$D$45</f>
        <v>9.3824840900000002</v>
      </c>
      <c r="K47" s="122"/>
      <c r="L47" s="122"/>
      <c r="M47" s="122"/>
      <c r="N47" s="122"/>
      <c r="O47" s="122"/>
      <c r="P47" s="122"/>
      <c r="Q47" s="121">
        <f t="shared" si="3"/>
        <v>0</v>
      </c>
      <c r="R47" s="126"/>
    </row>
    <row r="48" spans="2:18" ht="15.75" thickBot="1">
      <c r="B48" s="1" t="s">
        <v>5</v>
      </c>
      <c r="D48" s="117">
        <f>SUM(D36,D40,D44)</f>
        <v>11492.998099999999</v>
      </c>
      <c r="E48" s="117">
        <f>SUM(E36,E40,E44)</f>
        <v>-365.97026</v>
      </c>
      <c r="F48" s="117">
        <f>SUM(F36,F40,F44)</f>
        <v>11127.027839999999</v>
      </c>
      <c r="H48" s="213" t="s">
        <v>135</v>
      </c>
      <c r="I48" s="213"/>
      <c r="J48" s="214">
        <f>J36+J40+J44</f>
        <v>11410.767049919999</v>
      </c>
      <c r="K48" s="214">
        <f>J48*(1+K66)</f>
        <v>11474.439130058552</v>
      </c>
      <c r="L48" s="214">
        <f t="shared" ref="L48:P48" si="9">K48*(1+L66)</f>
        <v>11474.439130058552</v>
      </c>
      <c r="M48" s="214">
        <f t="shared" si="9"/>
        <v>11531.352348143644</v>
      </c>
      <c r="N48" s="214">
        <f t="shared" si="9"/>
        <v>11581.398417334587</v>
      </c>
      <c r="O48" s="214">
        <f t="shared" si="9"/>
        <v>11653.203087522061</v>
      </c>
      <c r="P48" s="214">
        <f t="shared" si="9"/>
        <v>11725.452946664698</v>
      </c>
      <c r="Q48" s="214">
        <f t="shared" si="3"/>
        <v>57965.845929723546</v>
      </c>
    </row>
    <row r="49" spans="3:17" ht="13.5" thickTop="1">
      <c r="H49" s="211" t="s">
        <v>113</v>
      </c>
      <c r="I49" s="222"/>
      <c r="J49" s="223"/>
      <c r="K49" s="223">
        <f t="shared" ref="K49:P49" si="10">SUM(K50:K52)</f>
        <v>0</v>
      </c>
      <c r="L49" s="223">
        <f>SUM(L50:L52)</f>
        <v>361.92920224999995</v>
      </c>
      <c r="M49" s="223">
        <f t="shared" si="10"/>
        <v>1250.1381869759998</v>
      </c>
      <c r="N49" s="223">
        <f>SUM(N50:N52)</f>
        <v>2097.1436004747202</v>
      </c>
      <c r="O49" s="223">
        <f t="shared" si="10"/>
        <v>0</v>
      </c>
      <c r="P49" s="223">
        <f t="shared" si="10"/>
        <v>410.50228226914726</v>
      </c>
      <c r="Q49" s="223">
        <f t="shared" si="3"/>
        <v>4119.7132719698675</v>
      </c>
    </row>
    <row r="50" spans="3:17">
      <c r="H50" s="222"/>
      <c r="I50" s="222" t="s">
        <v>107</v>
      </c>
      <c r="J50" s="224"/>
      <c r="K50" s="224">
        <f>'Opex MEJ adjustment APTNT'!E8*(1+'Opex input AER Draft dec (ROC)'!K60)</f>
        <v>0</v>
      </c>
      <c r="L50" s="224">
        <f>'Opex MEJ adjustment APTNT'!F8*CPI!D46/CPI!D45*(1+'Opex input AER Draft dec (ROC)'!K60)*(1+'Opex input AER Draft dec (ROC)'!L60)</f>
        <v>3.6215532499999998</v>
      </c>
      <c r="M50" s="224">
        <f>'Opex MEJ adjustment APTNT'!G8*CPI!D46/CPI!D45*(1+'Opex input AER Draft dec (ROC)'!K60)*(1+'Opex input AER Draft dec (ROC)'!L60)*(1+'Opex input AER Draft dec (ROC)'!M60)</f>
        <v>12.516088031999997</v>
      </c>
      <c r="N50" s="224">
        <f>'Opex MEJ adjustment APTNT'!H8*CPI!D46/CPI!D45*(1+'Opex input AER Draft dec (ROC)'!K60)*(1+'Opex input AER Draft dec (ROC)'!L60)*(1+'Opex input AER Draft dec (ROC)'!M60)*(1+'Opex input AER Draft dec (ROC)'!N60)</f>
        <v>21.006167747039996</v>
      </c>
      <c r="O50" s="224">
        <f>'Opex MEJ adjustment APTNT'!I8*CPI!D46/CPI!D45*(1+'Opex input AER Draft dec (ROC)'!K60)*(1+'Opex input AER Draft dec (ROC)'!L60)*(1+'Opex input AER Draft dec (ROC)'!M60)*(1+'Opex input AER Draft dec (ROC)'!N60)*(1+'Opex input AER Draft dec (ROC)'!O60)</f>
        <v>0</v>
      </c>
      <c r="P50" s="224">
        <f>'Opex MEJ adjustment APTNT'!J8*CPI!D46/CPI!D45*CPI!$D$46/CPI!$D$45*(1+'Opex input AER Draft dec (ROC)'!K60)*(1+'Opex input AER Draft dec (ROC)'!L60)*(1+'Opex input AER Draft dec (ROC)'!M60)*(1+'Opex input AER Draft dec (ROC)'!N60)*(1+'Opex input AER Draft dec (ROC)'!O60)*(1+'Opex input AER Draft dec (ROC)'!P60)</f>
        <v>4.3949631415167536</v>
      </c>
      <c r="Q50" s="225">
        <f t="shared" si="3"/>
        <v>41.538772170556747</v>
      </c>
    </row>
    <row r="51" spans="3:17">
      <c r="H51" s="222"/>
      <c r="I51" s="222" t="s">
        <v>108</v>
      </c>
      <c r="J51" s="224"/>
      <c r="K51" s="224">
        <f>'Opex MEJ adjustment APTNT'!E29*(1+'Opex input AER Draft dec (ROC)'!K61)</f>
        <v>0</v>
      </c>
      <c r="L51" s="224">
        <f>'Opex MEJ adjustment APTNT'!F9*CPI!D46/CPI!D45*(1+'Opex input AER Draft dec (ROC)'!K61)*(1+'Opex input AER Draft dec (ROC)'!L61)</f>
        <v>333.18289899999996</v>
      </c>
      <c r="M51" s="224">
        <f>'Opex MEJ adjustment APTNT'!G9*CPI!D46/CPI!D45*(1+'Opex input AER Draft dec (ROC)'!K61)*(1+'Opex input AER Draft dec (ROC)'!L61)*(1+'Opex input AER Draft dec (ROC)'!M61)</f>
        <v>1151.4800989439998</v>
      </c>
      <c r="N51" s="224">
        <f>'Opex MEJ adjustment APTNT'!H9*CPI!D46/CPI!D45*(1+'Opex input AER Draft dec (ROC)'!K61)*(1+'Opex input AER Draft dec (ROC)'!L61)*(1+'Opex input AER Draft dec (ROC)'!M61)*(1+'Opex input AER Draft dec (ROC)'!N61)</f>
        <v>1932.5674327276799</v>
      </c>
      <c r="O51" s="224">
        <f>'Opex MEJ adjustment APTNT'!I9*CPI!D46/CPI!D45*(1+'Opex input AER Draft dec (ROC)'!K61)*(1+'Opex input AER Draft dec (ROC)'!L61)*(1+'Opex input AER Draft dec (ROC)'!M61)*(1+'Opex input AER Draft dec (ROC)'!N61)*(1+'Opex input AER Draft dec (ROC)'!O61)</f>
        <v>0</v>
      </c>
      <c r="P51" s="224">
        <f>'Opex MEJ adjustment APTNT'!J9*CPI!$D$46/CPI!$D$45*1+'Opex input AER Draft dec (ROC)'!K61*(1+'Opex input AER Draft dec (ROC)'!L61)*(1+'Opex input AER Draft dec (ROC)'!M61)*(1+'Opex input AER Draft dec (ROC)'!N61)*(1+'Opex input AER Draft dec (ROC)'!O61)*(1+'Opex input AER Draft dec (ROC)'!P61)</f>
        <v>377.39331912763049</v>
      </c>
      <c r="Q51" s="225">
        <f t="shared" si="3"/>
        <v>3794.6237497993102</v>
      </c>
    </row>
    <row r="52" spans="3:17">
      <c r="H52" s="222"/>
      <c r="I52" s="222" t="s">
        <v>111</v>
      </c>
      <c r="J52" s="224"/>
      <c r="K52" s="224">
        <f>'Opex MEJ adjustment APTNT'!E10*(1+'Opex input AER Draft dec (ROC)'!K62)</f>
        <v>0</v>
      </c>
      <c r="L52" s="224">
        <f>'Opex MEJ adjustment APTNT'!F10*CPI!D46/CPI!D45*(1+'Opex input AER Draft dec (ROC)'!K62)*(1+'Opex input AER Draft dec (ROC)'!L62)</f>
        <v>25.124750000000002</v>
      </c>
      <c r="M52" s="224">
        <f>'Opex MEJ adjustment APTNT'!G10*CPI!D46/CPI!D45*(1+'Opex input AER Draft dec (ROC)'!K62)*(1+'Opex input AER Draft dec (ROC)'!L62)*(1+'Opex input AER Draft dec (ROC)'!M62)</f>
        <v>86.142000000000024</v>
      </c>
      <c r="N52" s="224">
        <f>'Opex MEJ adjustment APTNT'!H10*CPI!D46/CPI!D45*(1+'Opex input AER Draft dec (ROC)'!K62)*(1+'Opex input AER Draft dec (ROC)'!L62)*(1+'Opex input AER Draft dec (ROC)'!M62)*(1+'Opex input AER Draft dec (ROC)'!N62)</f>
        <v>143.57000000000002</v>
      </c>
      <c r="O52" s="224">
        <f>'Opex MEJ adjustment APTNT'!I10*CPI!D46/CPI!D45*(1+'Opex input AER Draft dec (ROC)'!K62)*(1+'Opex input AER Draft dec (ROC)'!L62)*(1+'Opex input AER Draft dec (ROC)'!M62)*(1+'Opex input AER Draft dec (ROC)'!N62)*(1+'Opex input AER Draft dec (ROC)'!O62)</f>
        <v>0</v>
      </c>
      <c r="P52" s="224">
        <f>'Opex MEJ adjustment APTNT'!J10*CPI!$D$46/CPI!$D$45*(1+'Opex input AER Draft dec (ROC)'!K62)*(1+'Opex input AER Draft dec (ROC)'!L62)*(1+'Opex input AER Draft dec (ROC)'!M62)*(1+'Opex input AER Draft dec (ROC)'!N62)*(1+'Opex input AER Draft dec (ROC)'!O62)*(1+'Opex input AER Draft dec (ROC)'!P62)</f>
        <v>28.714000000000006</v>
      </c>
      <c r="Q52" s="225">
        <f t="shared" si="3"/>
        <v>283.55075000000005</v>
      </c>
    </row>
    <row r="53" spans="3:17" ht="15.75" thickBot="1">
      <c r="H53" s="213" t="s">
        <v>132</v>
      </c>
      <c r="I53" s="215"/>
      <c r="J53" s="214">
        <f>J48+J49</f>
        <v>11410.767049919999</v>
      </c>
      <c r="K53" s="214">
        <f t="shared" ref="K53:P53" si="11">K48+K49</f>
        <v>11474.439130058552</v>
      </c>
      <c r="L53" s="214">
        <f t="shared" si="11"/>
        <v>11836.368332308552</v>
      </c>
      <c r="M53" s="214">
        <f t="shared" si="11"/>
        <v>12781.490535119643</v>
      </c>
      <c r="N53" s="214">
        <f t="shared" si="11"/>
        <v>13678.542017809308</v>
      </c>
      <c r="O53" s="214">
        <f t="shared" si="11"/>
        <v>11653.203087522061</v>
      </c>
      <c r="P53" s="214">
        <f t="shared" si="11"/>
        <v>12135.955228933846</v>
      </c>
      <c r="Q53" s="214">
        <f t="shared" si="3"/>
        <v>62085.559201693402</v>
      </c>
    </row>
    <row r="54" spans="3:17" ht="13.5" thickTop="1">
      <c r="J54" s="125"/>
    </row>
    <row r="55" spans="3:17">
      <c r="L55" s="105"/>
      <c r="M55" s="105"/>
      <c r="N55" s="105"/>
      <c r="O55" s="105"/>
      <c r="P55" s="105"/>
    </row>
    <row r="56" spans="3:17">
      <c r="I56" s="1"/>
    </row>
    <row r="57" spans="3:17" ht="13.5" thickBot="1">
      <c r="H57" s="1" t="s">
        <v>115</v>
      </c>
    </row>
    <row r="58" spans="3:17">
      <c r="H58" s="5" t="s">
        <v>92</v>
      </c>
      <c r="I58" s="5"/>
      <c r="J58" s="2" t="s">
        <v>3</v>
      </c>
      <c r="K58" s="2" t="s">
        <v>106</v>
      </c>
      <c r="L58" s="2" t="s">
        <v>4</v>
      </c>
      <c r="M58" s="3" t="s">
        <v>17</v>
      </c>
      <c r="N58" s="4" t="s">
        <v>18</v>
      </c>
      <c r="O58" s="4" t="s">
        <v>19</v>
      </c>
      <c r="P58" s="4" t="s">
        <v>20</v>
      </c>
    </row>
    <row r="59" spans="3:17">
      <c r="H59" s="8"/>
      <c r="I59" s="8"/>
      <c r="J59" s="8"/>
      <c r="K59" s="8"/>
      <c r="L59" s="8"/>
      <c r="M59" s="8"/>
      <c r="N59" s="8"/>
      <c r="O59" s="8"/>
      <c r="P59" s="8"/>
    </row>
    <row r="60" spans="3:17">
      <c r="C60" s="37"/>
      <c r="D60" s="37"/>
      <c r="E60" s="37"/>
      <c r="F60" s="37"/>
      <c r="G60" s="37"/>
      <c r="H60" t="s">
        <v>107</v>
      </c>
      <c r="I60" s="136"/>
      <c r="J60" s="136"/>
      <c r="K60" s="139">
        <v>8.9999999999999993E-3</v>
      </c>
      <c r="L60" s="140">
        <v>0</v>
      </c>
      <c r="M60" s="140">
        <v>8.0000000000000002E-3</v>
      </c>
      <c r="N60" s="140">
        <v>7.0000000000000001E-3</v>
      </c>
      <c r="O60" s="140">
        <v>0.01</v>
      </c>
      <c r="P60" s="140">
        <v>0.01</v>
      </c>
    </row>
    <row r="61" spans="3:17">
      <c r="C61" s="37"/>
      <c r="D61" s="37"/>
      <c r="E61" s="37"/>
      <c r="F61" s="37"/>
      <c r="G61" s="37"/>
      <c r="H61" t="s">
        <v>108</v>
      </c>
      <c r="I61" s="136"/>
      <c r="J61" s="136"/>
      <c r="K61" s="139">
        <v>8.9999999999999993E-3</v>
      </c>
      <c r="L61" s="140">
        <v>0</v>
      </c>
      <c r="M61" s="140">
        <v>8.0000000000000002E-3</v>
      </c>
      <c r="N61" s="140">
        <v>7.0000000000000001E-3</v>
      </c>
      <c r="O61" s="140">
        <v>0.01</v>
      </c>
      <c r="P61" s="140">
        <v>0.01</v>
      </c>
    </row>
    <row r="62" spans="3:17">
      <c r="C62" s="37"/>
      <c r="D62" s="37"/>
      <c r="E62" s="37"/>
      <c r="F62" s="37"/>
      <c r="G62" s="37"/>
      <c r="H62" t="s">
        <v>109</v>
      </c>
      <c r="K62" s="110">
        <v>0</v>
      </c>
      <c r="L62" s="111">
        <v>0</v>
      </c>
      <c r="M62" s="111">
        <v>0</v>
      </c>
      <c r="N62" s="111">
        <v>0</v>
      </c>
      <c r="O62" s="111">
        <v>0</v>
      </c>
      <c r="P62" s="111">
        <v>0</v>
      </c>
    </row>
    <row r="63" spans="3:17">
      <c r="H63" t="s">
        <v>133</v>
      </c>
      <c r="K63" s="110">
        <v>0</v>
      </c>
      <c r="L63" s="111">
        <v>0</v>
      </c>
      <c r="M63" s="111">
        <v>0</v>
      </c>
      <c r="N63" s="111">
        <v>0</v>
      </c>
      <c r="O63" s="111">
        <v>0</v>
      </c>
      <c r="P63" s="111">
        <v>0</v>
      </c>
    </row>
    <row r="64" spans="3:17">
      <c r="H64" t="s">
        <v>134</v>
      </c>
      <c r="K64" s="110">
        <v>0</v>
      </c>
      <c r="L64" s="111">
        <v>0</v>
      </c>
      <c r="M64" s="111">
        <v>0</v>
      </c>
      <c r="N64" s="111">
        <v>0</v>
      </c>
      <c r="O64" s="111">
        <v>0</v>
      </c>
      <c r="P64" s="111">
        <v>0</v>
      </c>
    </row>
    <row r="66" spans="8:19" ht="15">
      <c r="H66" s="212" t="s">
        <v>131</v>
      </c>
      <c r="I66" s="212"/>
      <c r="J66" s="212"/>
      <c r="K66" s="221">
        <f>K60*0.62+K62*0.38+K63-K64</f>
        <v>5.5799999999999999E-3</v>
      </c>
      <c r="L66" s="221">
        <f t="shared" ref="L66:P66" si="12">L60*0.62+L62*0.38+L63-L64</f>
        <v>0</v>
      </c>
      <c r="M66" s="221">
        <f t="shared" si="12"/>
        <v>4.96E-3</v>
      </c>
      <c r="N66" s="221">
        <f t="shared" si="12"/>
        <v>4.3400000000000001E-3</v>
      </c>
      <c r="O66" s="221">
        <f t="shared" si="12"/>
        <v>6.1999999999999998E-3</v>
      </c>
      <c r="P66" s="221">
        <f t="shared" si="12"/>
        <v>6.1999999999999998E-3</v>
      </c>
    </row>
    <row r="69" spans="8:19" ht="15">
      <c r="H69" s="217" t="s">
        <v>139</v>
      </c>
      <c r="I69" s="217"/>
      <c r="J69" s="217" t="str">
        <f>J58</f>
        <v>2014/15</v>
      </c>
      <c r="K69" s="217" t="str">
        <f t="shared" ref="K69:P69" si="13">K58</f>
        <v>2015/16</v>
      </c>
      <c r="L69" s="217" t="str">
        <f t="shared" si="13"/>
        <v>2016/17</v>
      </c>
      <c r="M69" s="217" t="str">
        <f t="shared" si="13"/>
        <v>2017/18</v>
      </c>
      <c r="N69" s="217" t="str">
        <f t="shared" si="13"/>
        <v>2018/19</v>
      </c>
      <c r="O69" s="217" t="str">
        <f t="shared" si="13"/>
        <v>2019/20</v>
      </c>
      <c r="P69" s="217" t="str">
        <f t="shared" si="13"/>
        <v>2020/21</v>
      </c>
      <c r="Q69" s="217" t="s">
        <v>136</v>
      </c>
    </row>
    <row r="70" spans="8:19">
      <c r="H70" s="216" t="s">
        <v>140</v>
      </c>
      <c r="I70" s="216"/>
      <c r="J70" s="218">
        <f>'Opex input APTNT'!J52</f>
        <v>11410.767049919999</v>
      </c>
      <c r="K70" s="218">
        <f>'Opex input APTNT'!K52</f>
        <v>11497.292178904314</v>
      </c>
      <c r="L70" s="218">
        <f>'Opex input APTNT'!L52</f>
        <v>11918.211645045047</v>
      </c>
      <c r="M70" s="218">
        <f>'Opex input APTNT'!M52</f>
        <v>12897.09695095998</v>
      </c>
      <c r="N70" s="218">
        <f>'Opex input APTNT'!N52</f>
        <v>13850.940464447211</v>
      </c>
      <c r="O70" s="218">
        <f>'Opex input APTNT'!O52</f>
        <v>11800.2561105861</v>
      </c>
      <c r="P70" s="218">
        <f>'Opex input APTNT'!P52</f>
        <v>12291.118119872957</v>
      </c>
      <c r="Q70" s="219">
        <f>SUM(L70:P70)</f>
        <v>62757.623290911302</v>
      </c>
    </row>
    <row r="71" spans="8:19">
      <c r="H71" s="216" t="s">
        <v>141</v>
      </c>
      <c r="I71" s="216"/>
      <c r="J71" s="218">
        <f>J53</f>
        <v>11410.767049919999</v>
      </c>
      <c r="K71" s="218">
        <f t="shared" ref="K71:P71" si="14">K53</f>
        <v>11474.439130058552</v>
      </c>
      <c r="L71" s="218">
        <f t="shared" si="14"/>
        <v>11836.368332308552</v>
      </c>
      <c r="M71" s="218">
        <f t="shared" si="14"/>
        <v>12781.490535119643</v>
      </c>
      <c r="N71" s="218">
        <f t="shared" si="14"/>
        <v>13678.542017809308</v>
      </c>
      <c r="O71" s="218">
        <f t="shared" si="14"/>
        <v>11653.203087522061</v>
      </c>
      <c r="P71" s="218">
        <f t="shared" si="14"/>
        <v>12135.955228933846</v>
      </c>
      <c r="Q71" s="219">
        <f>SUM(L71:P71)</f>
        <v>62085.559201693402</v>
      </c>
    </row>
    <row r="72" spans="8:19">
      <c r="H72" s="216" t="s">
        <v>128</v>
      </c>
      <c r="I72" s="216"/>
      <c r="J72" s="218">
        <f>J71-J70</f>
        <v>0</v>
      </c>
      <c r="K72" s="218">
        <f t="shared" ref="K72:Q72" si="15">K71-K70</f>
        <v>-22.853048845761805</v>
      </c>
      <c r="L72" s="218">
        <f t="shared" si="15"/>
        <v>-81.843312736495136</v>
      </c>
      <c r="M72" s="218">
        <f t="shared" si="15"/>
        <v>-115.60641584033692</v>
      </c>
      <c r="N72" s="218">
        <f t="shared" si="15"/>
        <v>-172.39844663790245</v>
      </c>
      <c r="O72" s="218">
        <f t="shared" si="15"/>
        <v>-147.05302306403973</v>
      </c>
      <c r="P72" s="218">
        <f t="shared" si="15"/>
        <v>-155.16289093911109</v>
      </c>
      <c r="Q72" s="218">
        <f t="shared" si="15"/>
        <v>-672.06408921789989</v>
      </c>
    </row>
    <row r="73" spans="8:19">
      <c r="H73" s="216" t="s">
        <v>137</v>
      </c>
      <c r="I73" s="216" t="s">
        <v>138</v>
      </c>
      <c r="J73" s="216"/>
      <c r="K73" s="216"/>
      <c r="L73" s="216"/>
      <c r="M73" s="216"/>
      <c r="N73" s="216"/>
      <c r="O73" s="216"/>
      <c r="P73" s="216"/>
      <c r="Q73" s="220">
        <f>Q72/Q70</f>
        <v>-1.0708883701706876E-2</v>
      </c>
    </row>
    <row r="76" spans="8:19">
      <c r="H76" s="1" t="s">
        <v>127</v>
      </c>
      <c r="I76" s="1"/>
    </row>
    <row r="77" spans="8:19" ht="13.5" thickBot="1"/>
    <row r="78" spans="8:19" ht="38.25">
      <c r="H78" s="5" t="s">
        <v>92</v>
      </c>
      <c r="I78" s="5"/>
      <c r="J78" s="116" t="s">
        <v>117</v>
      </c>
      <c r="K78" s="2" t="s">
        <v>106</v>
      </c>
      <c r="L78" s="2" t="s">
        <v>4</v>
      </c>
      <c r="M78" s="3" t="s">
        <v>17</v>
      </c>
      <c r="N78" s="4" t="s">
        <v>18</v>
      </c>
      <c r="O78" s="4" t="s">
        <v>19</v>
      </c>
      <c r="P78" s="4" t="s">
        <v>20</v>
      </c>
      <c r="Q78" s="6" t="s">
        <v>118</v>
      </c>
    </row>
    <row r="79" spans="8:19"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8:19">
      <c r="H80" s="106" t="str">
        <f>H36</f>
        <v>Operations and maintenance</v>
      </c>
      <c r="I80" s="9"/>
      <c r="J80" s="120">
        <f>J36*CPI!$D$45/CPI!$D$46</f>
        <v>8408.7141299999985</v>
      </c>
      <c r="K80" s="120">
        <f t="shared" ref="K80:K91" si="16">K36</f>
        <v>0</v>
      </c>
      <c r="L80" s="117">
        <f>L36*(CPI!$D$47/CPI!$D$46)</f>
        <v>0</v>
      </c>
      <c r="M80" s="117">
        <f>M36*(CPI!$D$48/CPI!$D$46)</f>
        <v>0</v>
      </c>
      <c r="N80" s="117">
        <f>N36*(CPI!$D$49/CPI!$D$46)</f>
        <v>0</v>
      </c>
      <c r="O80" s="117">
        <f>O36*(CPI!$D$50/CPI!$D$46)</f>
        <v>0</v>
      </c>
      <c r="P80" s="117">
        <f>P36*(CPI!$D$51/CPI!$D$46)</f>
        <v>0</v>
      </c>
      <c r="Q80" s="120">
        <f>SUM(L80:P80)</f>
        <v>0</v>
      </c>
      <c r="R80" s="135"/>
      <c r="S80" s="135"/>
    </row>
    <row r="81" spans="8:19">
      <c r="H81" s="106"/>
      <c r="I81" s="119" t="s">
        <v>107</v>
      </c>
      <c r="J81" s="121">
        <f>J37*CPI!$D$45/CPI!$D$46</f>
        <v>5353.0767499999984</v>
      </c>
      <c r="K81" s="121">
        <f t="shared" si="16"/>
        <v>0</v>
      </c>
      <c r="L81" s="134">
        <f>L37*(CPI!$D$47/CPI!$D$46)</f>
        <v>0</v>
      </c>
      <c r="M81" s="134">
        <f>M37*(CPI!$D$48/CPI!$D$46)</f>
        <v>0</v>
      </c>
      <c r="N81" s="134">
        <f>N37*(CPI!$D$49/CPI!$D$46)</f>
        <v>0</v>
      </c>
      <c r="O81" s="134">
        <f>O37*(CPI!$D$50/CPI!$D$46)</f>
        <v>0</v>
      </c>
      <c r="P81" s="134">
        <f>P37*(CPI!$D$51/CPI!$D$46)</f>
        <v>0</v>
      </c>
      <c r="Q81" s="121">
        <f t="shared" ref="Q81:Q96" si="17">SUM(L81:P81)</f>
        <v>0</v>
      </c>
      <c r="R81" s="135"/>
      <c r="S81" s="135"/>
    </row>
    <row r="82" spans="8:19">
      <c r="H82" s="106"/>
      <c r="I82" s="119" t="s">
        <v>108</v>
      </c>
      <c r="J82" s="121">
        <f>J38*CPI!$D$45/CPI!$D$46</f>
        <v>1148.5515299999995</v>
      </c>
      <c r="K82" s="121">
        <f t="shared" si="16"/>
        <v>0</v>
      </c>
      <c r="L82" s="134">
        <f>L38*(CPI!$D$47/CPI!$D$46)</f>
        <v>0</v>
      </c>
      <c r="M82" s="134">
        <f>M38*(CPI!$D$48/CPI!$D$46)</f>
        <v>0</v>
      </c>
      <c r="N82" s="134">
        <f>N38*(CPI!$D$49/CPI!$D$46)</f>
        <v>0</v>
      </c>
      <c r="O82" s="134">
        <f>O38*(CPI!$D$50/CPI!$D$46)</f>
        <v>0</v>
      </c>
      <c r="P82" s="134">
        <f>P38*(CPI!$D$51/CPI!$D$46)</f>
        <v>0</v>
      </c>
      <c r="Q82" s="121">
        <f t="shared" si="17"/>
        <v>0</v>
      </c>
      <c r="R82" s="135"/>
      <c r="S82" s="135"/>
    </row>
    <row r="83" spans="8:19">
      <c r="H83" s="106"/>
      <c r="I83" s="119" t="s">
        <v>111</v>
      </c>
      <c r="J83" s="121">
        <f>J39*CPI!$D$45/CPI!$D$46</f>
        <v>1907.0858500000002</v>
      </c>
      <c r="K83" s="121">
        <f t="shared" si="16"/>
        <v>0</v>
      </c>
      <c r="L83" s="134">
        <f>L39*(CPI!$D$47/CPI!$D$46)</f>
        <v>0</v>
      </c>
      <c r="M83" s="134">
        <f>M39*(CPI!$D$48/CPI!$D$46)</f>
        <v>0</v>
      </c>
      <c r="N83" s="134">
        <f>N39*(CPI!$D$49/CPI!$D$46)</f>
        <v>0</v>
      </c>
      <c r="O83" s="134">
        <f>O39*(CPI!$D$50/CPI!$D$46)</f>
        <v>0</v>
      </c>
      <c r="P83" s="134">
        <f>P39*(CPI!$D$51/CPI!$D$46)</f>
        <v>0</v>
      </c>
      <c r="Q83" s="121">
        <f t="shared" si="17"/>
        <v>0</v>
      </c>
    </row>
    <row r="84" spans="8:19">
      <c r="H84" s="106" t="str">
        <f>H40</f>
        <v>Corporate</v>
      </c>
      <c r="I84" s="9"/>
      <c r="J84" s="120">
        <f>J40*CPI!$D$45/CPI!$D$46</f>
        <v>2709.1645300000005</v>
      </c>
      <c r="K84" s="120">
        <f t="shared" si="16"/>
        <v>0</v>
      </c>
      <c r="L84" s="117">
        <f>L40*(CPI!$D$47/CPI!$D$46)</f>
        <v>0</v>
      </c>
      <c r="M84" s="117">
        <f>M40*(CPI!$D$48/CPI!$D$46)</f>
        <v>0</v>
      </c>
      <c r="N84" s="117">
        <f>N40*(CPI!$D$49/CPI!$D$46)</f>
        <v>0</v>
      </c>
      <c r="O84" s="117">
        <f>O40*(CPI!$D$50/CPI!$D$46)</f>
        <v>0</v>
      </c>
      <c r="P84" s="117">
        <f>P40*(CPI!$D$51/CPI!$D$46)</f>
        <v>0</v>
      </c>
      <c r="Q84" s="120">
        <f t="shared" si="17"/>
        <v>0</v>
      </c>
      <c r="R84" s="135"/>
      <c r="S84" s="135"/>
    </row>
    <row r="85" spans="8:19">
      <c r="H85" s="106"/>
      <c r="I85" s="119" t="s">
        <v>107</v>
      </c>
      <c r="J85" s="121">
        <f>J41*CPI!$D$45/CPI!$D$46</f>
        <v>1820.8767800000003</v>
      </c>
      <c r="K85" s="121">
        <f t="shared" si="16"/>
        <v>0</v>
      </c>
      <c r="L85" s="134">
        <f>L41*(CPI!$D$47/CPI!$D$46)</f>
        <v>0</v>
      </c>
      <c r="M85" s="134">
        <f>M41*(CPI!$D$48/CPI!$D$46)</f>
        <v>0</v>
      </c>
      <c r="N85" s="134">
        <f>N41*(CPI!$D$49/CPI!$D$46)</f>
        <v>0</v>
      </c>
      <c r="O85" s="134">
        <f>O41*(CPI!$D$50/CPI!$D$46)</f>
        <v>0</v>
      </c>
      <c r="P85" s="134">
        <f>P41*(CPI!$D$51/CPI!$D$46)</f>
        <v>0</v>
      </c>
      <c r="Q85" s="121">
        <f t="shared" si="17"/>
        <v>0</v>
      </c>
      <c r="R85" s="135"/>
      <c r="S85" s="135"/>
    </row>
    <row r="86" spans="8:19">
      <c r="H86" s="106"/>
      <c r="I86" s="119" t="s">
        <v>108</v>
      </c>
      <c r="J86" s="121">
        <f>J42*CPI!$D$45/CPI!$D$46</f>
        <v>0</v>
      </c>
      <c r="K86" s="121">
        <f t="shared" si="16"/>
        <v>0</v>
      </c>
      <c r="L86" s="134">
        <f>L42*(CPI!$D$47/CPI!$D$46)</f>
        <v>0</v>
      </c>
      <c r="M86" s="134">
        <f>M42*(CPI!$D$48/CPI!$D$46)</f>
        <v>0</v>
      </c>
      <c r="N86" s="134">
        <f>N42*(CPI!$D$49/CPI!$D$46)</f>
        <v>0</v>
      </c>
      <c r="O86" s="134">
        <f>O42*(CPI!$D$50/CPI!$D$46)</f>
        <v>0</v>
      </c>
      <c r="P86" s="134">
        <f>P42*(CPI!$D$51/CPI!$D$46)</f>
        <v>0</v>
      </c>
      <c r="Q86" s="121">
        <f t="shared" si="17"/>
        <v>0</v>
      </c>
      <c r="R86" s="135"/>
      <c r="S86" s="135"/>
    </row>
    <row r="87" spans="8:19">
      <c r="H87" s="106"/>
      <c r="I87" s="119" t="s">
        <v>111</v>
      </c>
      <c r="J87" s="121">
        <f>J43*CPI!$D$45/CPI!$D$46</f>
        <v>888.28775000000007</v>
      </c>
      <c r="K87" s="121">
        <f t="shared" si="16"/>
        <v>0</v>
      </c>
      <c r="L87" s="134">
        <f>L43*(CPI!$D$47/CPI!$D$46)</f>
        <v>0</v>
      </c>
      <c r="M87" s="134">
        <f>M43*(CPI!$D$48/CPI!$D$46)</f>
        <v>0</v>
      </c>
      <c r="N87" s="134">
        <f>N43*(CPI!$D$49/CPI!$D$46)</f>
        <v>0</v>
      </c>
      <c r="O87" s="134">
        <f>O43*(CPI!$D$50/CPI!$D$46)</f>
        <v>0</v>
      </c>
      <c r="P87" s="134">
        <f>P43*(CPI!$D$51/CPI!$D$46)</f>
        <v>0</v>
      </c>
      <c r="Q87" s="121">
        <f t="shared" si="17"/>
        <v>0</v>
      </c>
    </row>
    <row r="88" spans="8:19">
      <c r="H88" s="106" t="str">
        <f>H44</f>
        <v>Sales and marketing</v>
      </c>
      <c r="I88" s="9"/>
      <c r="J88" s="120">
        <f>J44*CPI!$D$45/CPI!$D$46</f>
        <v>9.1491799999999994</v>
      </c>
      <c r="K88" s="120">
        <f t="shared" si="16"/>
        <v>0</v>
      </c>
      <c r="L88" s="117">
        <f>L44*(CPI!$D$47/CPI!$D$46)</f>
        <v>0</v>
      </c>
      <c r="M88" s="117">
        <f>M44*(CPI!$D$48/CPI!$D$46)</f>
        <v>0</v>
      </c>
      <c r="N88" s="117">
        <f>N44*(CPI!$D$49/CPI!$D$46)</f>
        <v>0</v>
      </c>
      <c r="O88" s="117">
        <f>O44*(CPI!$D$50/CPI!$D$46)</f>
        <v>0</v>
      </c>
      <c r="P88" s="117">
        <f>P44*(CPI!$D$51/CPI!$D$46)</f>
        <v>0</v>
      </c>
      <c r="Q88" s="120">
        <f t="shared" si="17"/>
        <v>0</v>
      </c>
    </row>
    <row r="89" spans="8:19">
      <c r="H89" s="106"/>
      <c r="I89" s="119" t="s">
        <v>107</v>
      </c>
      <c r="J89" s="121">
        <f>J45*CPI!$D$45/CPI!$D$46</f>
        <v>0</v>
      </c>
      <c r="K89" s="121">
        <f t="shared" si="16"/>
        <v>0</v>
      </c>
      <c r="L89" s="134">
        <f>L45*(CPI!$D$47/CPI!$D$46)</f>
        <v>0</v>
      </c>
      <c r="M89" s="134">
        <f>M45*(CPI!$D$48/CPI!$D$46)</f>
        <v>0</v>
      </c>
      <c r="N89" s="134">
        <f>N45*(CPI!$D$49/CPI!$D$46)</f>
        <v>0</v>
      </c>
      <c r="O89" s="134">
        <f>O45*(CPI!$D$50/CPI!$D$46)</f>
        <v>0</v>
      </c>
      <c r="P89" s="134">
        <f>P45*(CPI!$D$51/CPI!$D$46)</f>
        <v>0</v>
      </c>
      <c r="Q89" s="121">
        <f t="shared" si="17"/>
        <v>0</v>
      </c>
    </row>
    <row r="90" spans="8:19">
      <c r="H90" s="106"/>
      <c r="I90" s="119" t="s">
        <v>108</v>
      </c>
      <c r="J90" s="121">
        <f>J46*CPI!$D$45/CPI!$D$46</f>
        <v>0</v>
      </c>
      <c r="K90" s="121">
        <f t="shared" si="16"/>
        <v>0</v>
      </c>
      <c r="L90" s="134">
        <f>L46*(CPI!$D$47/CPI!$D$46)</f>
        <v>0</v>
      </c>
      <c r="M90" s="134">
        <f>M46*(CPI!$D$48/CPI!$D$46)</f>
        <v>0</v>
      </c>
      <c r="N90" s="134">
        <f>N46*(CPI!$D$49/CPI!$D$46)</f>
        <v>0</v>
      </c>
      <c r="O90" s="134">
        <f>O46*(CPI!$D$50/CPI!$D$46)</f>
        <v>0</v>
      </c>
      <c r="P90" s="134">
        <f>P46*(CPI!$D$51/CPI!$D$46)</f>
        <v>0</v>
      </c>
      <c r="Q90" s="121">
        <f t="shared" si="17"/>
        <v>0</v>
      </c>
    </row>
    <row r="91" spans="8:19">
      <c r="H91" s="106"/>
      <c r="I91" s="119" t="s">
        <v>111</v>
      </c>
      <c r="J91" s="121">
        <f>J47*CPI!$D$45/CPI!$D$46</f>
        <v>9.1491799999999994</v>
      </c>
      <c r="K91" s="121">
        <f t="shared" si="16"/>
        <v>0</v>
      </c>
      <c r="L91" s="134">
        <f>L47*(CPI!$D$47/CPI!$D$46)</f>
        <v>0</v>
      </c>
      <c r="M91" s="134">
        <f>M47*(CPI!$D$48/CPI!$D$46)</f>
        <v>0</v>
      </c>
      <c r="N91" s="134">
        <f>N47*(CPI!$D$49/CPI!$D$46)</f>
        <v>0</v>
      </c>
      <c r="O91" s="134">
        <f>O47*(CPI!$D$50/CPI!$D$46)</f>
        <v>0</v>
      </c>
      <c r="P91" s="134">
        <f>P47*(CPI!$D$51/CPI!$D$46)</f>
        <v>0</v>
      </c>
      <c r="Q91" s="121">
        <f t="shared" si="17"/>
        <v>0</v>
      </c>
    </row>
    <row r="92" spans="8:19">
      <c r="H92" s="106" t="str">
        <f t="shared" ref="H92" si="18">H49</f>
        <v>Intelligent Pigging</v>
      </c>
      <c r="I92" s="9"/>
      <c r="J92" s="120">
        <f>J49*CPI!$D$45/CPI!$D$46</f>
        <v>0</v>
      </c>
      <c r="K92" s="120">
        <f>K49</f>
        <v>0</v>
      </c>
      <c r="L92" s="117">
        <f>L49*(CPI!$D$47/CPI!$D$46)</f>
        <v>370.97743230624991</v>
      </c>
      <c r="M92" s="117">
        <f>M49*(CPI!$D$48/CPI!$D$46)</f>
        <v>1313.4264326916593</v>
      </c>
      <c r="N92" s="117">
        <f>N49*(CPI!$D$49/CPI!$D$46)</f>
        <v>2258.3942826299708</v>
      </c>
      <c r="O92" s="117">
        <f>O49*(CPI!$D$50/CPI!$D$46)</f>
        <v>0</v>
      </c>
      <c r="P92" s="117">
        <f>P49*(CPI!$D$51/CPI!$D$46)</f>
        <v>464.44565356965865</v>
      </c>
      <c r="Q92" s="120">
        <f t="shared" si="17"/>
        <v>4407.2438011975391</v>
      </c>
      <c r="R92" s="135"/>
    </row>
    <row r="93" spans="8:19">
      <c r="H93" s="106"/>
      <c r="I93" s="119" t="s">
        <v>107</v>
      </c>
      <c r="J93" s="121">
        <f>J50*CPI!$D$45/CPI!$D$46</f>
        <v>0</v>
      </c>
      <c r="K93" s="121">
        <f>K50</f>
        <v>0</v>
      </c>
      <c r="L93" s="134">
        <f>L50*(CPI!$D$47/CPI!$D$46)</f>
        <v>3.7120920812499993</v>
      </c>
      <c r="M93" s="134">
        <f>M50*(CPI!$D$48/CPI!$D$46)</f>
        <v>13.149714988619992</v>
      </c>
      <c r="N93" s="134">
        <f>N50*(CPI!$D$49/CPI!$D$46)</f>
        <v>22.621345113964736</v>
      </c>
      <c r="O93" s="134">
        <f>O50*(CPI!$D$50/CPI!$D$46)</f>
        <v>0</v>
      </c>
      <c r="P93" s="134">
        <f>P50*(CPI!$D$51/CPI!$D$46)</f>
        <v>4.9724973936636356</v>
      </c>
      <c r="Q93" s="121">
        <f t="shared" si="17"/>
        <v>44.45564957749837</v>
      </c>
      <c r="R93" s="135"/>
    </row>
    <row r="94" spans="8:19">
      <c r="H94" s="106"/>
      <c r="I94" s="119" t="s">
        <v>108</v>
      </c>
      <c r="J94" s="121">
        <f>J51*CPI!$D$45/CPI!$D$46</f>
        <v>0</v>
      </c>
      <c r="K94" s="121">
        <f>K51</f>
        <v>0</v>
      </c>
      <c r="L94" s="134">
        <f>L51*(CPI!$D$47/CPI!$D$46)</f>
        <v>341.51247147499993</v>
      </c>
      <c r="M94" s="134">
        <f>M51*(CPI!$D$48/CPI!$D$46)</f>
        <v>1209.7737789530395</v>
      </c>
      <c r="N94" s="134">
        <f>N51*(CPI!$D$49/CPI!$D$46)</f>
        <v>2081.1637504847558</v>
      </c>
      <c r="O94" s="134">
        <f>O51*(CPI!$D$50/CPI!$D$46)</f>
        <v>0</v>
      </c>
      <c r="P94" s="134">
        <f>P51*(CPI!$D$51/CPI!$D$46)</f>
        <v>426.98590075105363</v>
      </c>
      <c r="Q94" s="121">
        <f t="shared" si="17"/>
        <v>4059.4359016638487</v>
      </c>
      <c r="R94" s="135"/>
    </row>
    <row r="95" spans="8:19">
      <c r="H95" s="106"/>
      <c r="I95" s="119" t="s">
        <v>111</v>
      </c>
      <c r="J95" s="121">
        <f>J52*CPI!$D$45/CPI!$D$46</f>
        <v>0</v>
      </c>
      <c r="K95" s="121">
        <f>K52</f>
        <v>0</v>
      </c>
      <c r="L95" s="134">
        <f>L52*(CPI!$D$47/CPI!$D$46)</f>
        <v>25.752868750000001</v>
      </c>
      <c r="M95" s="134">
        <f>M52*(CPI!$D$48/CPI!$D$46)</f>
        <v>90.502938749999998</v>
      </c>
      <c r="N95" s="134">
        <f>N52*(CPI!$D$49/CPI!$D$46)</f>
        <v>154.60918703124997</v>
      </c>
      <c r="O95" s="134">
        <f>O52*(CPI!$D$50/CPI!$D$46)</f>
        <v>0</v>
      </c>
      <c r="P95" s="134">
        <f>P52*(CPI!$D$51/CPI!$D$46)</f>
        <v>32.487255424941402</v>
      </c>
      <c r="Q95" s="121">
        <f t="shared" si="17"/>
        <v>303.35224995619137</v>
      </c>
    </row>
    <row r="96" spans="8:19">
      <c r="H96" s="106" t="str">
        <f>H48</f>
        <v>Total opex excl pigging</v>
      </c>
      <c r="I96" s="9"/>
      <c r="J96" s="120">
        <f>J53*CPI!$D$45/CPI!$D$46</f>
        <v>11127.027839999999</v>
      </c>
      <c r="K96" s="120">
        <f>K53</f>
        <v>11474.439130058552</v>
      </c>
      <c r="L96" s="117">
        <f>L53*(CPI!$D$47/CPI!$D$46)</f>
        <v>12132.277540616264</v>
      </c>
      <c r="M96" s="117">
        <f>M53*(CPI!$D$48/CPI!$D$46)</f>
        <v>13428.553493460071</v>
      </c>
      <c r="N96" s="117">
        <f>N53*(CPI!$D$49/CPI!$D$46)</f>
        <v>14730.293662647422</v>
      </c>
      <c r="O96" s="117">
        <f>O53*(CPI!$D$50/CPI!$D$46)</f>
        <v>12862.955785077895</v>
      </c>
      <c r="P96" s="117">
        <f>P53*(CPI!$D$51/CPI!$D$46)</f>
        <v>13730.719417288674</v>
      </c>
      <c r="Q96" s="120">
        <f t="shared" si="17"/>
        <v>66884.799899090314</v>
      </c>
    </row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X89"/>
  <sheetViews>
    <sheetView topLeftCell="C19" zoomScale="85" zoomScaleNormal="85" workbookViewId="0">
      <selection activeCell="I64" sqref="I64"/>
    </sheetView>
  </sheetViews>
  <sheetFormatPr defaultRowHeight="12.75"/>
  <cols>
    <col min="1" max="1" width="9.140625" style="143"/>
    <col min="2" max="2" width="28.42578125" style="143" customWidth="1"/>
    <col min="3" max="3" width="13" style="143" customWidth="1"/>
    <col min="4" max="4" width="12.7109375" style="143" customWidth="1"/>
    <col min="5" max="5" width="12.28515625" style="143" customWidth="1"/>
    <col min="6" max="6" width="13.140625" style="143" customWidth="1"/>
    <col min="7" max="7" width="12.28515625" style="143" customWidth="1"/>
    <col min="8" max="8" width="25.85546875" style="143" customWidth="1"/>
    <col min="9" max="9" width="18.28515625" style="143" customWidth="1"/>
    <col min="10" max="10" width="12.42578125" style="143" customWidth="1"/>
    <col min="11" max="11" width="23.28515625" style="143" customWidth="1"/>
    <col min="12" max="12" width="14.28515625" style="143" customWidth="1"/>
    <col min="13" max="13" width="15.140625" style="143" customWidth="1"/>
    <col min="14" max="14" width="12.28515625" style="143" customWidth="1"/>
    <col min="15" max="15" width="14.140625" style="143" customWidth="1"/>
    <col min="16" max="16" width="14.5703125" style="143" customWidth="1"/>
    <col min="17" max="17" width="14.28515625" style="143" customWidth="1"/>
    <col min="18" max="18" width="11.7109375" style="143" customWidth="1"/>
    <col min="19" max="19" width="14.7109375" style="143" customWidth="1"/>
    <col min="20" max="20" width="14" style="143" customWidth="1"/>
    <col min="21" max="21" width="13.7109375" style="143" customWidth="1"/>
    <col min="22" max="22" width="13.85546875" style="143" customWidth="1"/>
    <col min="23" max="16384" width="9.140625" style="143"/>
  </cols>
  <sheetData>
    <row r="2" spans="2:18">
      <c r="B2" s="141"/>
      <c r="C2" s="141"/>
      <c r="D2" s="142"/>
      <c r="E2" s="142"/>
      <c r="F2" s="142"/>
      <c r="G2" s="142"/>
      <c r="H2" s="142"/>
    </row>
    <row r="3" spans="2:18" ht="43.5" customHeight="1">
      <c r="B3" s="235" t="s">
        <v>103</v>
      </c>
      <c r="C3" s="236"/>
      <c r="D3" s="144" t="s">
        <v>91</v>
      </c>
      <c r="E3" s="142"/>
      <c r="F3" s="145" t="s">
        <v>21</v>
      </c>
      <c r="G3" s="146" t="s">
        <v>22</v>
      </c>
      <c r="H3" s="147"/>
      <c r="K3" s="148" t="s">
        <v>129</v>
      </c>
      <c r="L3" s="149"/>
      <c r="M3" s="149"/>
      <c r="N3" s="149"/>
      <c r="O3" s="149"/>
      <c r="P3" s="149"/>
      <c r="Q3" s="149"/>
      <c r="R3" s="149"/>
    </row>
    <row r="4" spans="2:18" ht="15.75">
      <c r="B4" s="141"/>
      <c r="C4" s="150"/>
      <c r="D4" s="151"/>
      <c r="E4" s="152"/>
      <c r="F4" s="152"/>
      <c r="G4" s="152"/>
      <c r="H4" s="147"/>
      <c r="K4" s="148" t="s">
        <v>130</v>
      </c>
      <c r="L4" s="149"/>
      <c r="M4" s="149"/>
      <c r="N4" s="149"/>
      <c r="O4" s="149"/>
      <c r="P4" s="149"/>
      <c r="Q4" s="149"/>
      <c r="R4" s="149"/>
    </row>
    <row r="7" spans="2:18">
      <c r="B7" s="153" t="s">
        <v>13</v>
      </c>
      <c r="M7" s="154"/>
      <c r="N7" s="154"/>
      <c r="O7" s="154"/>
      <c r="P7" s="154"/>
    </row>
    <row r="8" spans="2:18">
      <c r="B8" s="153"/>
      <c r="H8" s="153"/>
      <c r="K8" s="153"/>
      <c r="L8" s="154"/>
      <c r="M8" s="154"/>
      <c r="N8" s="154"/>
      <c r="O8" s="154"/>
      <c r="P8" s="154"/>
      <c r="Q8" s="153"/>
    </row>
    <row r="9" spans="2:18">
      <c r="B9" s="153" t="s">
        <v>98</v>
      </c>
      <c r="H9" s="153"/>
      <c r="K9" s="153" t="s">
        <v>90</v>
      </c>
      <c r="Q9" s="153"/>
    </row>
    <row r="10" spans="2:18">
      <c r="H10" s="153"/>
      <c r="Q10" s="153"/>
    </row>
    <row r="11" spans="2:18">
      <c r="B11" s="155" t="s">
        <v>6</v>
      </c>
      <c r="C11" s="155" t="s">
        <v>0</v>
      </c>
      <c r="D11" s="155" t="s">
        <v>1</v>
      </c>
      <c r="E11" s="155" t="s">
        <v>2</v>
      </c>
      <c r="F11" s="155" t="s">
        <v>3</v>
      </c>
      <c r="G11" s="155" t="s">
        <v>16</v>
      </c>
      <c r="H11" s="155" t="s">
        <v>5</v>
      </c>
      <c r="K11" s="155" t="s">
        <v>92</v>
      </c>
      <c r="L11" s="155" t="s">
        <v>0</v>
      </c>
      <c r="M11" s="155" t="s">
        <v>1</v>
      </c>
      <c r="N11" s="155" t="s">
        <v>2</v>
      </c>
      <c r="O11" s="155" t="s">
        <v>3</v>
      </c>
      <c r="P11" s="155" t="s">
        <v>106</v>
      </c>
      <c r="Q11" s="155" t="s">
        <v>5</v>
      </c>
    </row>
    <row r="12" spans="2:18">
      <c r="B12" s="156" t="s">
        <v>7</v>
      </c>
      <c r="C12" s="157"/>
      <c r="D12" s="157"/>
      <c r="E12" s="157"/>
      <c r="F12" s="157"/>
      <c r="G12" s="157"/>
      <c r="H12" s="158"/>
      <c r="K12" s="156" t="s">
        <v>7</v>
      </c>
      <c r="L12" s="157"/>
      <c r="M12" s="157"/>
      <c r="N12" s="157"/>
      <c r="O12" s="157"/>
      <c r="P12" s="157"/>
      <c r="Q12" s="158"/>
    </row>
    <row r="13" spans="2:18">
      <c r="B13" s="159" t="s">
        <v>104</v>
      </c>
      <c r="C13" s="162">
        <f>SUM('AER opex sheet APTNT'!C25:C26)*CPI!$D$42/CPI!$D$41</f>
        <v>9034.0905797749219</v>
      </c>
      <c r="D13" s="162">
        <f>SUM('AER opex sheet APTNT'!D25:D26)*CPI!$D$42/CPI!$D$41</f>
        <v>10679.985656305458</v>
      </c>
      <c r="E13" s="162">
        <f>SUM('AER opex sheet APTNT'!E25:E26)*CPI!$D$42/CPI!$D$41</f>
        <v>9059.2890998600178</v>
      </c>
      <c r="F13" s="162">
        <f>SUM('AER opex sheet APTNT'!F25:F26)*CPI!$D$42/CPI!$D$41</f>
        <v>8975.6270911323991</v>
      </c>
      <c r="G13" s="162">
        <f>SUM('AER opex sheet APTNT'!G25:G26)*CPI!$D$42/CPI!$D$41</f>
        <v>10899.894530713873</v>
      </c>
      <c r="H13" s="161">
        <f>SUM(C13:G13)</f>
        <v>48648.886957786664</v>
      </c>
      <c r="K13" s="149" t="s">
        <v>104</v>
      </c>
      <c r="L13" s="162">
        <f>SUM('AER opex sheet APTNT'!C25:C26)*CPI!$D$46/CPI!$D$41</f>
        <v>9919.6159176056972</v>
      </c>
      <c r="M13" s="162">
        <f>SUM('AER opex sheet APTNT'!D25:D26)*CPI!$D$46/CPI!$D$41</f>
        <v>11726.842318059604</v>
      </c>
      <c r="N13" s="162">
        <f>SUM('AER opex sheet APTNT'!E25:E26)*CPI!$D$46/CPI!$D$41</f>
        <v>9947.2844071707495</v>
      </c>
      <c r="O13" s="162">
        <f>SUM('AER opex sheet APTNT'!F25:F26)*CPI!$D$46/CPI!$D$41</f>
        <v>9855.4218133495979</v>
      </c>
      <c r="P13" s="162">
        <f>SUM('AER opex sheet APTNT'!G25:G26)*CPI!$D$46/CPI!$D$41</f>
        <v>11968.306752331282</v>
      </c>
      <c r="Q13" s="161">
        <f>SUM(L13:P13)</f>
        <v>53417.47120851693</v>
      </c>
    </row>
    <row r="14" spans="2:18">
      <c r="B14" s="159" t="s">
        <v>54</v>
      </c>
      <c r="C14" s="162">
        <f>'AER opex sheet APTNT'!C27*CPI!$D$42/CPI!$D$41</f>
        <v>4511.7793414999996</v>
      </c>
      <c r="D14" s="162">
        <f>'AER opex sheet APTNT'!D27*CPI!$D$42/CPI!$D$41</f>
        <v>4542.4193001451622</v>
      </c>
      <c r="E14" s="162">
        <f>'AER opex sheet APTNT'!E27*CPI!$D$42/CPI!$D$41</f>
        <v>4531.7770762499995</v>
      </c>
      <c r="F14" s="162">
        <f>'AER opex sheet APTNT'!F27*CPI!$D$42/CPI!$D$41</f>
        <v>5132.6620038145156</v>
      </c>
      <c r="G14" s="162">
        <f>'AER opex sheet APTNT'!G27*CPI!$D$42/CPI!$D$41</f>
        <v>4387.2153071403227</v>
      </c>
      <c r="H14" s="161">
        <f>SUM(C14:G14)</f>
        <v>23105.853028850001</v>
      </c>
      <c r="K14" s="149" t="s">
        <v>54</v>
      </c>
      <c r="L14" s="162">
        <f>'AER opex sheet APTNT'!C27*CPI!$D$46/CPI!$D$41</f>
        <v>4954.0258399515624</v>
      </c>
      <c r="M14" s="162">
        <f>'AER opex sheet APTNT'!D27*CPI!$D$46/CPI!$D$41</f>
        <v>4987.6691401606358</v>
      </c>
      <c r="N14" s="162">
        <f>'AER opex sheet APTNT'!E27*CPI!$D$46/CPI!$D$41</f>
        <v>4975.9837610273435</v>
      </c>
      <c r="O14" s="162">
        <f>'AER opex sheet APTNT'!F27*CPI!$D$46/CPI!$D$41</f>
        <v>5635.7676805579385</v>
      </c>
      <c r="P14" s="162">
        <f>'AER opex sheet APTNT'!G27*CPI!$D$46/CPI!$D$41</f>
        <v>4817.2519868354893</v>
      </c>
      <c r="Q14" s="161">
        <f>SUM(L14:P14)</f>
        <v>25370.698408532971</v>
      </c>
    </row>
    <row r="15" spans="2:18">
      <c r="B15" s="159" t="s">
        <v>37</v>
      </c>
      <c r="C15" s="162">
        <f>'AER opex sheet APTNT'!C28*CPI!$D$42/CPI!$D$41</f>
        <v>62.75</v>
      </c>
      <c r="D15" s="162">
        <f>'AER opex sheet APTNT'!D28*CPI!$D$42/CPI!$D$41</f>
        <v>62.75</v>
      </c>
      <c r="E15" s="162">
        <f>'AER opex sheet APTNT'!E28*CPI!$D$42/CPI!$D$41</f>
        <v>62.75</v>
      </c>
      <c r="F15" s="162">
        <f>'AER opex sheet APTNT'!F28*CPI!$D$42/CPI!$D$41</f>
        <v>62.75</v>
      </c>
      <c r="G15" s="162">
        <f>'AER opex sheet APTNT'!G28*CPI!$D$42/CPI!$D$41</f>
        <v>62.75</v>
      </c>
      <c r="H15" s="161">
        <f>SUM(C15:G15)</f>
        <v>313.75</v>
      </c>
      <c r="K15" s="149" t="s">
        <v>37</v>
      </c>
      <c r="L15" s="162">
        <f>'AER opex sheet APTNT'!C28*CPI!$D$46/CPI!$D$41</f>
        <v>68.900781250000009</v>
      </c>
      <c r="M15" s="162">
        <f>'AER opex sheet APTNT'!D28*CPI!$D$46/CPI!$D$41</f>
        <v>68.900781250000009</v>
      </c>
      <c r="N15" s="162">
        <f>'AER opex sheet APTNT'!E28*CPI!$D$46/CPI!$D$41</f>
        <v>68.900781250000009</v>
      </c>
      <c r="O15" s="162">
        <f>'AER opex sheet APTNT'!F28*CPI!$D$46/CPI!$D$41</f>
        <v>68.900781250000009</v>
      </c>
      <c r="P15" s="162">
        <f>'AER opex sheet APTNT'!G28*CPI!$D$46/CPI!$D$41</f>
        <v>68.900781250000009</v>
      </c>
      <c r="Q15" s="161">
        <f>SUM(L15:P15)</f>
        <v>344.50390625000006</v>
      </c>
    </row>
    <row r="16" spans="2:18">
      <c r="B16" s="163" t="s">
        <v>9</v>
      </c>
      <c r="C16" s="161">
        <f>SUM(C13:C15)</f>
        <v>13608.619921274922</v>
      </c>
      <c r="D16" s="161">
        <f>SUM(D13:D15)</f>
        <v>15285.15495645062</v>
      </c>
      <c r="E16" s="161">
        <f>SUM(E13:E15)</f>
        <v>13653.816176110016</v>
      </c>
      <c r="F16" s="161">
        <f>SUM(F13:F15)</f>
        <v>14171.039094946915</v>
      </c>
      <c r="G16" s="161">
        <f>SUM(G13:G15)</f>
        <v>15349.859837854196</v>
      </c>
      <c r="H16" s="161">
        <f>SUM(C16:G16)</f>
        <v>72068.489986636661</v>
      </c>
      <c r="K16" s="163" t="s">
        <v>9</v>
      </c>
      <c r="L16" s="161">
        <f>SUM(L13:L15)</f>
        <v>14942.54253880726</v>
      </c>
      <c r="M16" s="161">
        <f>SUM(M13:M15)</f>
        <v>16783.412239470239</v>
      </c>
      <c r="N16" s="161">
        <f>SUM(N13:N15)</f>
        <v>14992.168949448094</v>
      </c>
      <c r="O16" s="161">
        <f>SUM(O13:O15)</f>
        <v>15560.090275157536</v>
      </c>
      <c r="P16" s="161">
        <f>SUM(P13:P15)</f>
        <v>16854.459520416771</v>
      </c>
      <c r="Q16" s="161">
        <f>SUM(L16:P16)</f>
        <v>79132.673523299891</v>
      </c>
    </row>
    <row r="17" spans="2:17">
      <c r="B17" s="156" t="s">
        <v>15</v>
      </c>
      <c r="C17" s="164"/>
      <c r="D17" s="164"/>
      <c r="E17" s="164"/>
      <c r="F17" s="164"/>
      <c r="G17" s="164"/>
      <c r="H17" s="165"/>
      <c r="K17" s="156" t="s">
        <v>15</v>
      </c>
      <c r="L17" s="164"/>
      <c r="M17" s="164"/>
      <c r="N17" s="164"/>
      <c r="O17" s="164"/>
      <c r="P17" s="164"/>
      <c r="Q17" s="165"/>
    </row>
    <row r="18" spans="2:17">
      <c r="B18" s="159" t="s">
        <v>104</v>
      </c>
      <c r="C18" s="166">
        <v>7352.1309499999988</v>
      </c>
      <c r="D18" s="166">
        <v>7006.916140000003</v>
      </c>
      <c r="E18" s="166">
        <v>8385.1044199999942</v>
      </c>
      <c r="F18" s="166">
        <v>8774.6843899999985</v>
      </c>
      <c r="G18" s="166">
        <f>K36</f>
        <v>8690.9883779204138</v>
      </c>
      <c r="H18" s="167">
        <f>SUM(C18:G18)</f>
        <v>40209.824277920408</v>
      </c>
      <c r="K18" s="159" t="s">
        <v>104</v>
      </c>
      <c r="L18" s="168">
        <f>C18*CPI!$D$46/CPI!$D$42</f>
        <v>8072.7899013116275</v>
      </c>
      <c r="M18" s="168">
        <f>D18*CPI!$D$46/CPI!$D$43</f>
        <v>7514.1166723616288</v>
      </c>
      <c r="N18" s="168">
        <f>E18*CPI!$D$46/CPI!$D$44</f>
        <v>8728.8422345734125</v>
      </c>
      <c r="O18" s="168">
        <f>F18*CPI!$D$46/CPI!$D$45</f>
        <v>8998.4388419449988</v>
      </c>
      <c r="P18" s="168">
        <f>K36</f>
        <v>8690.9883779204138</v>
      </c>
      <c r="Q18" s="167">
        <f>SUM(L18:P18)</f>
        <v>42005.176028112081</v>
      </c>
    </row>
    <row r="19" spans="2:17">
      <c r="B19" s="159" t="s">
        <v>54</v>
      </c>
      <c r="C19" s="166">
        <v>3671.5363000000007</v>
      </c>
      <c r="D19" s="166">
        <v>3019.4133999999995</v>
      </c>
      <c r="E19" s="166">
        <v>2915.30269</v>
      </c>
      <c r="F19" s="166">
        <v>2709.1645299999991</v>
      </c>
      <c r="G19" s="166">
        <f>K40</f>
        <v>2796.9213168939004</v>
      </c>
      <c r="H19" s="167">
        <f>SUM(C19:G19)</f>
        <v>15112.3382368939</v>
      </c>
      <c r="K19" s="159" t="s">
        <v>54</v>
      </c>
      <c r="L19" s="168">
        <f>C19*CPI!$D$46/CPI!$D$42</f>
        <v>4031.42182402764</v>
      </c>
      <c r="M19" s="168">
        <f>D19*CPI!$D$46/CPI!$D$43</f>
        <v>3237.9757537232485</v>
      </c>
      <c r="N19" s="168">
        <f>E19*CPI!$D$46/CPI!$D$44</f>
        <v>3034.8122065529983</v>
      </c>
      <c r="O19" s="168">
        <f>F19*CPI!$D$46/CPI!$D$45</f>
        <v>2778.2482255149994</v>
      </c>
      <c r="P19" s="168">
        <f>K40</f>
        <v>2796.9213168939004</v>
      </c>
      <c r="Q19" s="167">
        <f>SUM(L19:P19)</f>
        <v>15879.379326712786</v>
      </c>
    </row>
    <row r="20" spans="2:17">
      <c r="B20" s="159" t="s">
        <v>37</v>
      </c>
      <c r="C20" s="166">
        <v>39.859139999999996</v>
      </c>
      <c r="D20" s="166">
        <v>34.114460000000001</v>
      </c>
      <c r="E20" s="166">
        <v>24.295000000000002</v>
      </c>
      <c r="F20" s="166">
        <v>9.1491799999999994</v>
      </c>
      <c r="G20" s="166">
        <f>K44</f>
        <v>9.3824840900000002</v>
      </c>
      <c r="H20" s="167">
        <f>SUM(C20:G20)</f>
        <v>116.80026409000001</v>
      </c>
      <c r="K20" s="159" t="s">
        <v>37</v>
      </c>
      <c r="L20" s="168">
        <f>C20*CPI!$D$46/CPI!$D$42</f>
        <v>43.766149576942226</v>
      </c>
      <c r="M20" s="168">
        <f>D20*CPI!$D$46/CPI!$D$43</f>
        <v>36.583859080496111</v>
      </c>
      <c r="N20" s="168">
        <f>E20*CPI!$D$46/CPI!$D$44</f>
        <v>25.290945880547689</v>
      </c>
      <c r="O20" s="168">
        <f>F20*CPI!$D$46/CPI!$D$45</f>
        <v>9.3824840900000002</v>
      </c>
      <c r="P20" s="168">
        <f>K44</f>
        <v>9.3824840900000002</v>
      </c>
      <c r="Q20" s="167">
        <f>SUM(L20:P20)</f>
        <v>124.40592271798604</v>
      </c>
    </row>
    <row r="21" spans="2:17">
      <c r="B21" s="163" t="s">
        <v>11</v>
      </c>
      <c r="C21" s="167">
        <f>SUM(C18:C20)</f>
        <v>11063.526389999999</v>
      </c>
      <c r="D21" s="167">
        <f>SUM(D18:D20)</f>
        <v>10060.444000000003</v>
      </c>
      <c r="E21" s="167">
        <f>SUM(E18:E20)</f>
        <v>11324.702109999995</v>
      </c>
      <c r="F21" s="167">
        <f>SUM(F18:F20)</f>
        <v>11492.998099999997</v>
      </c>
      <c r="G21" s="167">
        <f>SUM(G18:G20)</f>
        <v>11497.292178904314</v>
      </c>
      <c r="H21" s="167">
        <f>SUM(C21:G21)</f>
        <v>55438.962778904315</v>
      </c>
      <c r="K21" s="163" t="s">
        <v>11</v>
      </c>
      <c r="L21" s="167">
        <f>SUM(L18:L20)</f>
        <v>12147.977874916211</v>
      </c>
      <c r="M21" s="167">
        <f>SUM(M18:M20)</f>
        <v>10788.676285165373</v>
      </c>
      <c r="N21" s="167">
        <f>SUM(N18:N20)</f>
        <v>11788.945387006959</v>
      </c>
      <c r="O21" s="167">
        <f>SUM(O18:O20)</f>
        <v>11786.069551549997</v>
      </c>
      <c r="P21" s="167">
        <f>SUM(P18:P20)</f>
        <v>11497.292178904314</v>
      </c>
      <c r="Q21" s="167">
        <f>SUM(L21:P21)</f>
        <v>58008.961277542854</v>
      </c>
    </row>
    <row r="22" spans="2:17">
      <c r="B22" s="156" t="s">
        <v>10</v>
      </c>
      <c r="C22" s="164"/>
      <c r="D22" s="164"/>
      <c r="E22" s="164"/>
      <c r="F22" s="164"/>
      <c r="G22" s="164"/>
      <c r="H22" s="165"/>
      <c r="K22" s="156" t="s">
        <v>10</v>
      </c>
      <c r="L22" s="164"/>
      <c r="M22" s="164"/>
      <c r="N22" s="164"/>
      <c r="O22" s="164"/>
      <c r="P22" s="164"/>
      <c r="Q22" s="165"/>
    </row>
    <row r="23" spans="2:17">
      <c r="B23" s="159" t="s">
        <v>104</v>
      </c>
      <c r="C23" s="160">
        <f t="shared" ref="C23:G26" si="0">C18-C13</f>
        <v>-1681.9596297749231</v>
      </c>
      <c r="D23" s="160">
        <f t="shared" si="0"/>
        <v>-3673.0695163054552</v>
      </c>
      <c r="E23" s="160">
        <f t="shared" si="0"/>
        <v>-674.18467986002361</v>
      </c>
      <c r="F23" s="160">
        <f t="shared" si="0"/>
        <v>-200.94270113240054</v>
      </c>
      <c r="G23" s="160">
        <f t="shared" si="0"/>
        <v>-2208.9061527934591</v>
      </c>
      <c r="H23" s="160">
        <f>SUM(C23:G23)</f>
        <v>-8439.0626798662615</v>
      </c>
      <c r="K23" s="159" t="s">
        <v>104</v>
      </c>
      <c r="L23" s="160">
        <f t="shared" ref="L23:P26" si="1">L18-L13</f>
        <v>-1846.8260162940696</v>
      </c>
      <c r="M23" s="160">
        <f t="shared" si="1"/>
        <v>-4212.7256456979749</v>
      </c>
      <c r="N23" s="160">
        <f t="shared" si="1"/>
        <v>-1218.442172597337</v>
      </c>
      <c r="O23" s="160">
        <f t="shared" si="1"/>
        <v>-856.98297140459908</v>
      </c>
      <c r="P23" s="160">
        <f t="shared" si="1"/>
        <v>-3277.3183744108683</v>
      </c>
      <c r="Q23" s="160">
        <f>SUM(L23:P23)</f>
        <v>-11412.29518040485</v>
      </c>
    </row>
    <row r="24" spans="2:17">
      <c r="B24" s="159" t="s">
        <v>54</v>
      </c>
      <c r="C24" s="160">
        <f t="shared" si="0"/>
        <v>-840.24304149999898</v>
      </c>
      <c r="D24" s="160">
        <f t="shared" si="0"/>
        <v>-1523.0059001451627</v>
      </c>
      <c r="E24" s="160">
        <f t="shared" si="0"/>
        <v>-1616.4743862499995</v>
      </c>
      <c r="F24" s="160">
        <f t="shared" si="0"/>
        <v>-2423.4974738145165</v>
      </c>
      <c r="G24" s="160">
        <f t="shared" si="0"/>
        <v>-1590.2939902464223</v>
      </c>
      <c r="H24" s="160">
        <f>SUM(C24:G24)</f>
        <v>-7993.5147919561005</v>
      </c>
      <c r="K24" s="159" t="s">
        <v>54</v>
      </c>
      <c r="L24" s="160">
        <f t="shared" si="1"/>
        <v>-922.60401592392236</v>
      </c>
      <c r="M24" s="160">
        <f t="shared" si="1"/>
        <v>-1749.6933864373873</v>
      </c>
      <c r="N24" s="160">
        <f t="shared" si="1"/>
        <v>-1941.1715544743452</v>
      </c>
      <c r="O24" s="160">
        <f t="shared" si="1"/>
        <v>-2857.5194550429392</v>
      </c>
      <c r="P24" s="160">
        <f t="shared" si="1"/>
        <v>-2020.3306699415889</v>
      </c>
      <c r="Q24" s="160">
        <f>SUM(L24:P24)</f>
        <v>-9491.3190818201838</v>
      </c>
    </row>
    <row r="25" spans="2:17">
      <c r="B25" s="159" t="s">
        <v>37</v>
      </c>
      <c r="C25" s="160">
        <f t="shared" si="0"/>
        <v>-22.890860000000004</v>
      </c>
      <c r="D25" s="160">
        <f t="shared" si="0"/>
        <v>-28.635539999999999</v>
      </c>
      <c r="E25" s="160">
        <f t="shared" si="0"/>
        <v>-38.454999999999998</v>
      </c>
      <c r="F25" s="160">
        <f t="shared" si="0"/>
        <v>-53.600819999999999</v>
      </c>
      <c r="G25" s="160">
        <f t="shared" si="0"/>
        <v>-53.367515910000002</v>
      </c>
      <c r="H25" s="160">
        <f>SUM(C25:G25)</f>
        <v>-196.94973591000002</v>
      </c>
      <c r="K25" s="159" t="s">
        <v>37</v>
      </c>
      <c r="L25" s="160">
        <f t="shared" si="1"/>
        <v>-25.134631673057783</v>
      </c>
      <c r="M25" s="160">
        <f t="shared" si="1"/>
        <v>-32.316922169503897</v>
      </c>
      <c r="N25" s="160">
        <f t="shared" si="1"/>
        <v>-43.60983536945232</v>
      </c>
      <c r="O25" s="160">
        <f t="shared" si="1"/>
        <v>-59.51829716000001</v>
      </c>
      <c r="P25" s="160">
        <f t="shared" si="1"/>
        <v>-59.51829716000001</v>
      </c>
      <c r="Q25" s="160">
        <f>SUM(L25:P25)</f>
        <v>-220.09798353201401</v>
      </c>
    </row>
    <row r="26" spans="2:17">
      <c r="B26" s="163" t="s">
        <v>12</v>
      </c>
      <c r="C26" s="160">
        <f t="shared" si="0"/>
        <v>-2545.0935312749225</v>
      </c>
      <c r="D26" s="160">
        <f t="shared" si="0"/>
        <v>-5224.7109564506172</v>
      </c>
      <c r="E26" s="160">
        <f t="shared" si="0"/>
        <v>-2329.1140661100217</v>
      </c>
      <c r="F26" s="160">
        <f t="shared" si="0"/>
        <v>-2678.0409949469176</v>
      </c>
      <c r="G26" s="160">
        <f t="shared" si="0"/>
        <v>-3852.5676589498817</v>
      </c>
      <c r="H26" s="160">
        <f>SUM(C26:G26)</f>
        <v>-16629.527207732361</v>
      </c>
      <c r="K26" s="163" t="s">
        <v>12</v>
      </c>
      <c r="L26" s="160">
        <f t="shared" si="1"/>
        <v>-2794.5646638910493</v>
      </c>
      <c r="M26" s="160">
        <f t="shared" si="1"/>
        <v>-5994.735954304866</v>
      </c>
      <c r="N26" s="160">
        <f t="shared" si="1"/>
        <v>-3203.2235624411351</v>
      </c>
      <c r="O26" s="160">
        <f t="shared" si="1"/>
        <v>-3774.0207236075385</v>
      </c>
      <c r="P26" s="160">
        <f t="shared" si="1"/>
        <v>-5357.1673415124569</v>
      </c>
      <c r="Q26" s="160">
        <f>SUM(L26:P26)</f>
        <v>-21123.712245757044</v>
      </c>
    </row>
    <row r="27" spans="2:17">
      <c r="C27" s="169" t="str">
        <f>IF(C21='[7]Actual Reg Opex'!C11,"Ok","Check")</f>
        <v>Ok</v>
      </c>
      <c r="D27" s="169" t="str">
        <f>IF(D21='[7]Actual Reg Opex'!D11,"Ok","Check")</f>
        <v>Ok</v>
      </c>
      <c r="E27" s="169" t="str">
        <f>IF(E21='[7]Actual Reg Opex'!E11,"Ok","Check")</f>
        <v>Ok</v>
      </c>
      <c r="F27" s="169" t="str">
        <f>IF(F21='[7]Actual Reg Opex'!F11,"Ok","Check")</f>
        <v>Ok</v>
      </c>
    </row>
    <row r="29" spans="2:17">
      <c r="J29" s="170"/>
    </row>
    <row r="30" spans="2:17">
      <c r="O30" s="170"/>
    </row>
    <row r="32" spans="2:17">
      <c r="B32" s="153" t="s">
        <v>112</v>
      </c>
      <c r="H32" s="153" t="s">
        <v>99</v>
      </c>
      <c r="I32" s="153"/>
    </row>
    <row r="34" spans="2:23" ht="38.25">
      <c r="B34" s="155" t="s">
        <v>6</v>
      </c>
      <c r="C34" s="155"/>
      <c r="D34" s="155"/>
      <c r="E34" s="155"/>
      <c r="F34" s="155"/>
      <c r="H34" s="155" t="s">
        <v>92</v>
      </c>
      <c r="I34" s="155"/>
      <c r="J34" s="171" t="s">
        <v>117</v>
      </c>
      <c r="K34" s="155" t="s">
        <v>106</v>
      </c>
      <c r="L34" s="155" t="s">
        <v>4</v>
      </c>
      <c r="M34" s="155" t="s">
        <v>17</v>
      </c>
      <c r="N34" s="155" t="s">
        <v>18</v>
      </c>
      <c r="O34" s="155" t="s">
        <v>19</v>
      </c>
      <c r="P34" s="155" t="s">
        <v>20</v>
      </c>
      <c r="Q34" s="155" t="s">
        <v>93</v>
      </c>
      <c r="R34" s="155" t="s">
        <v>94</v>
      </c>
      <c r="S34" s="155" t="s">
        <v>95</v>
      </c>
      <c r="T34" s="155" t="s">
        <v>96</v>
      </c>
      <c r="U34" s="155" t="s">
        <v>97</v>
      </c>
      <c r="V34" s="155" t="s">
        <v>118</v>
      </c>
    </row>
    <row r="35" spans="2:23" ht="25.5">
      <c r="B35" s="156" t="s">
        <v>100</v>
      </c>
      <c r="C35" s="172" t="s">
        <v>110</v>
      </c>
      <c r="D35" s="156" t="s">
        <v>102</v>
      </c>
      <c r="E35" s="172" t="s">
        <v>119</v>
      </c>
      <c r="F35" s="172" t="s">
        <v>116</v>
      </c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</row>
    <row r="36" spans="2:23">
      <c r="B36" s="153" t="s">
        <v>101</v>
      </c>
      <c r="C36" s="153" t="s">
        <v>5</v>
      </c>
      <c r="D36" s="167">
        <f>SUM(D37:D39)</f>
        <v>8774.6843899999985</v>
      </c>
      <c r="E36" s="167">
        <f>SUM(E37:E39)</f>
        <v>-365.97026</v>
      </c>
      <c r="F36" s="167">
        <f>SUM(D36:E36)</f>
        <v>8408.7141299999985</v>
      </c>
      <c r="H36" s="173" t="str">
        <f>B36</f>
        <v>Operations and maintenance</v>
      </c>
      <c r="I36" s="174"/>
      <c r="J36" s="161">
        <f t="shared" ref="J36:U36" si="2">SUM(J37:J39)</f>
        <v>8623.136340314999</v>
      </c>
      <c r="K36" s="161">
        <f t="shared" si="2"/>
        <v>8690.9883779204138</v>
      </c>
      <c r="L36" s="167">
        <f t="shared" si="2"/>
        <v>9100.5919506855334</v>
      </c>
      <c r="M36" s="167">
        <f t="shared" si="2"/>
        <v>10062.401573496667</v>
      </c>
      <c r="N36" s="167">
        <f t="shared" si="2"/>
        <v>10997.101348926413</v>
      </c>
      <c r="O36" s="167">
        <f t="shared" si="2"/>
        <v>8929.0153371710512</v>
      </c>
      <c r="P36" s="167">
        <f t="shared" si="2"/>
        <v>9402.3190736426077</v>
      </c>
      <c r="Q36" s="167">
        <f t="shared" si="2"/>
        <v>9055.0995527376162</v>
      </c>
      <c r="R36" s="167">
        <f t="shared" si="2"/>
        <v>9118.9939998596801</v>
      </c>
      <c r="S36" s="167">
        <f t="shared" si="2"/>
        <v>10516.250640511922</v>
      </c>
      <c r="T36" s="167">
        <f t="shared" si="2"/>
        <v>9248.5132196263185</v>
      </c>
      <c r="U36" s="167">
        <f t="shared" si="2"/>
        <v>9314.1483897503786</v>
      </c>
      <c r="V36" s="161">
        <f>SUM(L36:P36)</f>
        <v>48491.429283922276</v>
      </c>
    </row>
    <row r="37" spans="2:23">
      <c r="C37" s="143" t="s">
        <v>107</v>
      </c>
      <c r="D37" s="166">
        <v>5446.4692499999983</v>
      </c>
      <c r="E37" s="166">
        <f>'Opex MEJ adjustment APTNT'!D8</f>
        <v>-93.392499999999998</v>
      </c>
      <c r="F37" s="168">
        <f>SUM(D37:E37)</f>
        <v>5353.0767499999984</v>
      </c>
      <c r="H37" s="173"/>
      <c r="I37" s="174" t="s">
        <v>107</v>
      </c>
      <c r="J37" s="175">
        <f>F37*CPI!$D$46/CPI!$D$45</f>
        <v>5489.5802071249991</v>
      </c>
      <c r="K37" s="160">
        <f>J37*(1+K59)</f>
        <v>5544.4760091962489</v>
      </c>
      <c r="L37" s="168">
        <f>(K37-K49)*(1+L59)+L49</f>
        <v>5581.3897586064268</v>
      </c>
      <c r="M37" s="168">
        <f t="shared" ref="M37:U38" si="3">(L37-L49)*(1+M59)+M49</f>
        <v>5640.5587181079281</v>
      </c>
      <c r="N37" s="168">
        <f t="shared" si="3"/>
        <v>5705.4591911156294</v>
      </c>
      <c r="O37" s="168">
        <f t="shared" si="3"/>
        <v>5735.3799743380168</v>
      </c>
      <c r="P37" s="168">
        <f t="shared" si="3"/>
        <v>5791.432903179365</v>
      </c>
      <c r="Q37" s="168">
        <f t="shared" si="3"/>
        <v>5839.0813796540215</v>
      </c>
      <c r="R37" s="168">
        <f t="shared" si="3"/>
        <v>5891.6331120709074</v>
      </c>
      <c r="S37" s="168">
        <f t="shared" si="3"/>
        <v>5957.9839582093946</v>
      </c>
      <c r="T37" s="168">
        <f t="shared" si="3"/>
        <v>5998.1597303702601</v>
      </c>
      <c r="U37" s="168">
        <f t="shared" si="3"/>
        <v>6052.1431679435918</v>
      </c>
      <c r="V37" s="175">
        <f t="shared" ref="V37:V52" si="4">SUM(L37:P37)</f>
        <v>28454.220545347362</v>
      </c>
    </row>
    <row r="38" spans="2:23">
      <c r="C38" s="143" t="s">
        <v>108</v>
      </c>
      <c r="D38" s="166">
        <v>1398.2067999999997</v>
      </c>
      <c r="E38" s="166">
        <f>'Opex MEJ adjustment APTNT'!D9</f>
        <v>-249.65527000000003</v>
      </c>
      <c r="F38" s="168">
        <f>SUM(D38:E38)</f>
        <v>1148.5515299999997</v>
      </c>
      <c r="H38" s="173"/>
      <c r="I38" s="174" t="s">
        <v>108</v>
      </c>
      <c r="J38" s="175">
        <f>F38*CPI!$D$46/CPI!$D$45</f>
        <v>1177.8395940149996</v>
      </c>
      <c r="K38" s="160">
        <f>J38*(1+K60)</f>
        <v>1190.7958295491646</v>
      </c>
      <c r="L38" s="168">
        <f>(K38-K50)*(1+L60)+L50</f>
        <v>1538.3609029041072</v>
      </c>
      <c r="M38" s="168">
        <f>(L38-L50)*(1+M60)+M50</f>
        <v>2379.9843162137381</v>
      </c>
      <c r="N38" s="168">
        <f t="shared" si="3"/>
        <v>3192.3556186357846</v>
      </c>
      <c r="O38" s="168">
        <f t="shared" si="3"/>
        <v>1237.9188236580349</v>
      </c>
      <c r="P38" s="168">
        <f t="shared" si="3"/>
        <v>1626.4556312882423</v>
      </c>
      <c r="Q38" s="168">
        <f t="shared" si="3"/>
        <v>1260.3016339085955</v>
      </c>
      <c r="R38" s="168">
        <f t="shared" si="3"/>
        <v>1271.6443486137728</v>
      </c>
      <c r="S38" s="168">
        <f t="shared" si="3"/>
        <v>2516.4081431275263</v>
      </c>
      <c r="T38" s="168">
        <f t="shared" si="3"/>
        <v>1294.6369500810581</v>
      </c>
      <c r="U38" s="168">
        <f t="shared" si="3"/>
        <v>1306.2886826317874</v>
      </c>
      <c r="V38" s="175">
        <f t="shared" si="4"/>
        <v>9975.0752926999048</v>
      </c>
    </row>
    <row r="39" spans="2:23">
      <c r="C39" s="143" t="s">
        <v>111</v>
      </c>
      <c r="D39" s="166">
        <v>1930.0083400000001</v>
      </c>
      <c r="E39" s="166">
        <f>'Opex MEJ adjustment APTNT'!D10</f>
        <v>-22.922490000000007</v>
      </c>
      <c r="F39" s="168">
        <f>SUM(D39:E39)</f>
        <v>1907.0858500000002</v>
      </c>
      <c r="H39" s="173"/>
      <c r="I39" s="174" t="s">
        <v>111</v>
      </c>
      <c r="J39" s="175">
        <f>F39*CPI!$D$46/CPI!$D$45</f>
        <v>1955.7165391750002</v>
      </c>
      <c r="K39" s="160">
        <f>J39*(1+K61)</f>
        <v>1955.7165391750002</v>
      </c>
      <c r="L39" s="168">
        <f>(K39-K51)*(1+L61)+L51</f>
        <v>1980.8412891750002</v>
      </c>
      <c r="M39" s="168">
        <f t="shared" ref="M39:U39" si="5">(L39-L51)*(1+M61)+M51</f>
        <v>2041.8585391750003</v>
      </c>
      <c r="N39" s="168">
        <f t="shared" si="5"/>
        <v>2099.2865391750001</v>
      </c>
      <c r="O39" s="168">
        <f t="shared" si="5"/>
        <v>1955.7165391750002</v>
      </c>
      <c r="P39" s="168">
        <f t="shared" si="5"/>
        <v>1984.4305391750001</v>
      </c>
      <c r="Q39" s="168">
        <f t="shared" si="5"/>
        <v>1955.7165391750002</v>
      </c>
      <c r="R39" s="168">
        <f t="shared" si="5"/>
        <v>1955.7165391750002</v>
      </c>
      <c r="S39" s="168">
        <f t="shared" si="5"/>
        <v>2041.8585391750003</v>
      </c>
      <c r="T39" s="168">
        <f t="shared" si="5"/>
        <v>1955.7165391750002</v>
      </c>
      <c r="U39" s="168">
        <f t="shared" si="5"/>
        <v>1955.7165391750002</v>
      </c>
      <c r="V39" s="175">
        <f t="shared" si="4"/>
        <v>10062.133445875001</v>
      </c>
      <c r="W39" s="176"/>
    </row>
    <row r="40" spans="2:23">
      <c r="B40" s="153" t="s">
        <v>54</v>
      </c>
      <c r="C40" s="153" t="s">
        <v>5</v>
      </c>
      <c r="D40" s="167">
        <f>SUM(D41:D43)</f>
        <v>2709.1645300000005</v>
      </c>
      <c r="E40" s="167">
        <f>SUM(E41:E43)</f>
        <v>0</v>
      </c>
      <c r="F40" s="167">
        <f>SUM(D40:E40)</f>
        <v>2709.1645300000005</v>
      </c>
      <c r="H40" s="173" t="str">
        <f t="shared" ref="H40:H44" si="6">B40</f>
        <v>Corporate</v>
      </c>
      <c r="I40" s="174"/>
      <c r="J40" s="161">
        <f t="shared" ref="J40:U40" si="7">SUM(J41:J43)</f>
        <v>2778.2482255150007</v>
      </c>
      <c r="K40" s="161">
        <f>SUM(K41:K43)</f>
        <v>2796.9213168939004</v>
      </c>
      <c r="L40" s="167">
        <f t="shared" si="7"/>
        <v>2808.2372102695135</v>
      </c>
      <c r="M40" s="167">
        <f t="shared" si="7"/>
        <v>2825.3128933733142</v>
      </c>
      <c r="N40" s="167">
        <f t="shared" si="7"/>
        <v>2844.4566314307976</v>
      </c>
      <c r="O40" s="167">
        <f t="shared" si="7"/>
        <v>2861.8582893250496</v>
      </c>
      <c r="P40" s="167">
        <f t="shared" si="7"/>
        <v>2879.4165621403495</v>
      </c>
      <c r="Q40" s="167">
        <f t="shared" si="7"/>
        <v>2897.1328594109873</v>
      </c>
      <c r="R40" s="167">
        <f t="shared" si="7"/>
        <v>2915.0086033570615</v>
      </c>
      <c r="S40" s="167">
        <f t="shared" si="7"/>
        <v>2933.0452289986497</v>
      </c>
      <c r="T40" s="167">
        <f t="shared" si="7"/>
        <v>2951.2441842710123</v>
      </c>
      <c r="U40" s="167">
        <f t="shared" si="7"/>
        <v>2969.6069301408261</v>
      </c>
      <c r="V40" s="161">
        <f t="shared" si="4"/>
        <v>14219.281586539024</v>
      </c>
    </row>
    <row r="41" spans="2:23">
      <c r="C41" s="143" t="s">
        <v>107</v>
      </c>
      <c r="D41" s="166">
        <v>1820.8767800000003</v>
      </c>
      <c r="E41" s="166"/>
      <c r="F41" s="168">
        <f>D41-E41</f>
        <v>1820.8767800000003</v>
      </c>
      <c r="H41" s="173"/>
      <c r="I41" s="174" t="s">
        <v>107</v>
      </c>
      <c r="J41" s="160">
        <f>F41*CPI!$D$46/CPI!$D$45</f>
        <v>1867.3091378900003</v>
      </c>
      <c r="K41" s="160">
        <f>J41*(1+K59)</f>
        <v>1885.9822292689003</v>
      </c>
      <c r="L41" s="168">
        <f t="shared" ref="L41:U41" si="8">K41*(1+L59)</f>
        <v>1897.2981226445136</v>
      </c>
      <c r="M41" s="168">
        <f t="shared" si="8"/>
        <v>1914.373805748314</v>
      </c>
      <c r="N41" s="168">
        <f t="shared" si="8"/>
        <v>1933.5175438057972</v>
      </c>
      <c r="O41" s="168">
        <f t="shared" si="8"/>
        <v>1950.9192017000491</v>
      </c>
      <c r="P41" s="168">
        <f t="shared" si="8"/>
        <v>1968.4774745153493</v>
      </c>
      <c r="Q41" s="168">
        <f t="shared" si="8"/>
        <v>1986.1937717859873</v>
      </c>
      <c r="R41" s="168">
        <f t="shared" si="8"/>
        <v>2004.0695157320611</v>
      </c>
      <c r="S41" s="168">
        <f t="shared" si="8"/>
        <v>2022.1061413736495</v>
      </c>
      <c r="T41" s="168">
        <f t="shared" si="8"/>
        <v>2040.3050966460121</v>
      </c>
      <c r="U41" s="168">
        <f t="shared" si="8"/>
        <v>2058.6678425158261</v>
      </c>
      <c r="V41" s="175">
        <f t="shared" si="4"/>
        <v>9664.5861484140241</v>
      </c>
    </row>
    <row r="42" spans="2:23">
      <c r="C42" s="143" t="s">
        <v>108</v>
      </c>
      <c r="D42" s="166">
        <v>0</v>
      </c>
      <c r="E42" s="166"/>
      <c r="F42" s="168">
        <f t="shared" ref="F42:F43" si="9">D42-E42</f>
        <v>0</v>
      </c>
      <c r="H42" s="173"/>
      <c r="I42" s="174" t="s">
        <v>108</v>
      </c>
      <c r="J42" s="160">
        <f>F42*CPI!$D$46/CPI!$D$45</f>
        <v>0</v>
      </c>
      <c r="K42" s="160">
        <f t="shared" ref="K42:U43" si="10">J42*(1+K60)</f>
        <v>0</v>
      </c>
      <c r="L42" s="168">
        <f t="shared" si="10"/>
        <v>0</v>
      </c>
      <c r="M42" s="168">
        <f t="shared" si="10"/>
        <v>0</v>
      </c>
      <c r="N42" s="168">
        <f t="shared" si="10"/>
        <v>0</v>
      </c>
      <c r="O42" s="168">
        <f t="shared" si="10"/>
        <v>0</v>
      </c>
      <c r="P42" s="168">
        <f t="shared" si="10"/>
        <v>0</v>
      </c>
      <c r="Q42" s="168">
        <f t="shared" si="10"/>
        <v>0</v>
      </c>
      <c r="R42" s="168">
        <f t="shared" si="10"/>
        <v>0</v>
      </c>
      <c r="S42" s="168">
        <f t="shared" si="10"/>
        <v>0</v>
      </c>
      <c r="T42" s="168">
        <f t="shared" si="10"/>
        <v>0</v>
      </c>
      <c r="U42" s="168">
        <f t="shared" si="10"/>
        <v>0</v>
      </c>
      <c r="V42" s="175">
        <f t="shared" si="4"/>
        <v>0</v>
      </c>
    </row>
    <row r="43" spans="2:23">
      <c r="C43" s="143" t="s">
        <v>111</v>
      </c>
      <c r="D43" s="166">
        <v>888.28775000000007</v>
      </c>
      <c r="E43" s="166"/>
      <c r="F43" s="168">
        <f t="shared" si="9"/>
        <v>888.28775000000007</v>
      </c>
      <c r="H43" s="173"/>
      <c r="I43" s="174" t="s">
        <v>111</v>
      </c>
      <c r="J43" s="160">
        <f>F43*CPI!$D$46/CPI!$D$45</f>
        <v>910.93908762500018</v>
      </c>
      <c r="K43" s="160">
        <f t="shared" si="10"/>
        <v>910.93908762500018</v>
      </c>
      <c r="L43" s="168">
        <f t="shared" si="10"/>
        <v>910.93908762500018</v>
      </c>
      <c r="M43" s="168">
        <f t="shared" si="10"/>
        <v>910.93908762500018</v>
      </c>
      <c r="N43" s="168">
        <f t="shared" si="10"/>
        <v>910.93908762500018</v>
      </c>
      <c r="O43" s="168">
        <f t="shared" si="10"/>
        <v>910.93908762500018</v>
      </c>
      <c r="P43" s="168">
        <f t="shared" si="10"/>
        <v>910.93908762500018</v>
      </c>
      <c r="Q43" s="168">
        <f t="shared" si="10"/>
        <v>910.93908762500018</v>
      </c>
      <c r="R43" s="168">
        <f t="shared" si="10"/>
        <v>910.93908762500018</v>
      </c>
      <c r="S43" s="168">
        <f t="shared" si="10"/>
        <v>910.93908762500018</v>
      </c>
      <c r="T43" s="168">
        <f t="shared" si="10"/>
        <v>910.93908762500018</v>
      </c>
      <c r="U43" s="168">
        <f t="shared" si="10"/>
        <v>910.93908762500018</v>
      </c>
      <c r="V43" s="175">
        <f t="shared" si="4"/>
        <v>4554.6954381250007</v>
      </c>
      <c r="W43" s="176"/>
    </row>
    <row r="44" spans="2:23">
      <c r="B44" s="153" t="s">
        <v>57</v>
      </c>
      <c r="C44" s="153" t="s">
        <v>5</v>
      </c>
      <c r="D44" s="167">
        <f>SUM(D45:D47)</f>
        <v>9.1491799999999994</v>
      </c>
      <c r="E44" s="167">
        <f>SUM(E45:E47)</f>
        <v>0</v>
      </c>
      <c r="F44" s="167">
        <f>SUM(D44:E44)</f>
        <v>9.1491799999999994</v>
      </c>
      <c r="H44" s="173" t="str">
        <f t="shared" si="6"/>
        <v>Sales and marketing</v>
      </c>
      <c r="I44" s="174"/>
      <c r="J44" s="161">
        <f t="shared" ref="J44:U44" si="11">SUM(J45:J47)</f>
        <v>9.3824840900000002</v>
      </c>
      <c r="K44" s="161">
        <f t="shared" si="11"/>
        <v>9.3824840900000002</v>
      </c>
      <c r="L44" s="167">
        <f t="shared" si="11"/>
        <v>9.3824840900000002</v>
      </c>
      <c r="M44" s="167">
        <f t="shared" si="11"/>
        <v>9.3824840900000002</v>
      </c>
      <c r="N44" s="167">
        <f t="shared" si="11"/>
        <v>9.3824840900000002</v>
      </c>
      <c r="O44" s="167">
        <f t="shared" si="11"/>
        <v>9.3824840900000002</v>
      </c>
      <c r="P44" s="167">
        <f t="shared" si="11"/>
        <v>9.3824840900000002</v>
      </c>
      <c r="Q44" s="167">
        <f t="shared" si="11"/>
        <v>9.3824840900000002</v>
      </c>
      <c r="R44" s="167">
        <f t="shared" si="11"/>
        <v>9.3824840900000002</v>
      </c>
      <c r="S44" s="167">
        <f t="shared" si="11"/>
        <v>9.3824840900000002</v>
      </c>
      <c r="T44" s="167">
        <f t="shared" si="11"/>
        <v>9.3824840900000002</v>
      </c>
      <c r="U44" s="167">
        <f t="shared" si="11"/>
        <v>9.3824840900000002</v>
      </c>
      <c r="V44" s="161">
        <f t="shared" si="4"/>
        <v>46.912420449999999</v>
      </c>
    </row>
    <row r="45" spans="2:23">
      <c r="C45" s="143" t="s">
        <v>107</v>
      </c>
      <c r="D45" s="166">
        <v>0</v>
      </c>
      <c r="E45" s="166"/>
      <c r="F45" s="168">
        <f>D45-E45</f>
        <v>0</v>
      </c>
      <c r="H45" s="173"/>
      <c r="I45" s="174" t="s">
        <v>107</v>
      </c>
      <c r="J45" s="160">
        <f>F45*CPI!$D$46/CPI!$D$45</f>
        <v>0</v>
      </c>
      <c r="K45" s="160">
        <f t="shared" ref="K45:U47" si="12">J45*(1+K59)</f>
        <v>0</v>
      </c>
      <c r="L45" s="168">
        <f t="shared" si="12"/>
        <v>0</v>
      </c>
      <c r="M45" s="168">
        <f t="shared" si="12"/>
        <v>0</v>
      </c>
      <c r="N45" s="168">
        <f t="shared" si="12"/>
        <v>0</v>
      </c>
      <c r="O45" s="168">
        <f t="shared" si="12"/>
        <v>0</v>
      </c>
      <c r="P45" s="168">
        <f t="shared" si="12"/>
        <v>0</v>
      </c>
      <c r="Q45" s="168">
        <f t="shared" si="12"/>
        <v>0</v>
      </c>
      <c r="R45" s="168">
        <f t="shared" si="12"/>
        <v>0</v>
      </c>
      <c r="S45" s="168">
        <f t="shared" si="12"/>
        <v>0</v>
      </c>
      <c r="T45" s="168">
        <f t="shared" si="12"/>
        <v>0</v>
      </c>
      <c r="U45" s="168">
        <f t="shared" si="12"/>
        <v>0</v>
      </c>
      <c r="V45" s="175">
        <f t="shared" si="4"/>
        <v>0</v>
      </c>
    </row>
    <row r="46" spans="2:23">
      <c r="C46" s="143" t="s">
        <v>108</v>
      </c>
      <c r="D46" s="166">
        <v>0</v>
      </c>
      <c r="E46" s="166"/>
      <c r="F46" s="168">
        <f t="shared" ref="F46:F47" si="13">D46-E46</f>
        <v>0</v>
      </c>
      <c r="H46" s="173"/>
      <c r="I46" s="174" t="s">
        <v>108</v>
      </c>
      <c r="J46" s="160">
        <f>F46*CPI!$D$46/CPI!$D$45</f>
        <v>0</v>
      </c>
      <c r="K46" s="160">
        <f t="shared" si="12"/>
        <v>0</v>
      </c>
      <c r="L46" s="168">
        <f>K46*(1+L60)</f>
        <v>0</v>
      </c>
      <c r="M46" s="168">
        <f t="shared" si="12"/>
        <v>0</v>
      </c>
      <c r="N46" s="168">
        <f t="shared" si="12"/>
        <v>0</v>
      </c>
      <c r="O46" s="168">
        <f t="shared" si="12"/>
        <v>0</v>
      </c>
      <c r="P46" s="168">
        <f t="shared" si="12"/>
        <v>0</v>
      </c>
      <c r="Q46" s="168">
        <f t="shared" si="12"/>
        <v>0</v>
      </c>
      <c r="R46" s="168">
        <f t="shared" si="12"/>
        <v>0</v>
      </c>
      <c r="S46" s="168">
        <f t="shared" si="12"/>
        <v>0</v>
      </c>
      <c r="T46" s="168">
        <f t="shared" si="12"/>
        <v>0</v>
      </c>
      <c r="U46" s="168">
        <f t="shared" si="12"/>
        <v>0</v>
      </c>
      <c r="V46" s="175">
        <f t="shared" si="4"/>
        <v>0</v>
      </c>
    </row>
    <row r="47" spans="2:23">
      <c r="C47" s="143" t="s">
        <v>111</v>
      </c>
      <c r="D47" s="166">
        <v>9.1491799999999994</v>
      </c>
      <c r="E47" s="166"/>
      <c r="F47" s="168">
        <f t="shared" si="13"/>
        <v>9.1491799999999994</v>
      </c>
      <c r="H47" s="173"/>
      <c r="I47" s="174" t="s">
        <v>111</v>
      </c>
      <c r="J47" s="160">
        <f>F47*CPI!$D$46/CPI!$D$45</f>
        <v>9.3824840900000002</v>
      </c>
      <c r="K47" s="160">
        <f t="shared" si="12"/>
        <v>9.3824840900000002</v>
      </c>
      <c r="L47" s="168">
        <f t="shared" si="12"/>
        <v>9.3824840900000002</v>
      </c>
      <c r="M47" s="168">
        <f t="shared" si="12"/>
        <v>9.3824840900000002</v>
      </c>
      <c r="N47" s="168">
        <f t="shared" si="12"/>
        <v>9.3824840900000002</v>
      </c>
      <c r="O47" s="168">
        <f t="shared" si="12"/>
        <v>9.3824840900000002</v>
      </c>
      <c r="P47" s="168">
        <f t="shared" si="12"/>
        <v>9.3824840900000002</v>
      </c>
      <c r="Q47" s="168">
        <f t="shared" si="12"/>
        <v>9.3824840900000002</v>
      </c>
      <c r="R47" s="168">
        <f t="shared" si="12"/>
        <v>9.3824840900000002</v>
      </c>
      <c r="S47" s="168">
        <f t="shared" si="12"/>
        <v>9.3824840900000002</v>
      </c>
      <c r="T47" s="168">
        <f t="shared" si="12"/>
        <v>9.3824840900000002</v>
      </c>
      <c r="U47" s="168">
        <f t="shared" si="12"/>
        <v>9.3824840900000002</v>
      </c>
      <c r="V47" s="175">
        <f t="shared" si="4"/>
        <v>46.912420449999999</v>
      </c>
      <c r="W47" s="176"/>
    </row>
    <row r="48" spans="2:23">
      <c r="B48" s="153" t="s">
        <v>5</v>
      </c>
      <c r="D48" s="167">
        <f>SUM(D36,D40,D44)</f>
        <v>11492.998099999999</v>
      </c>
      <c r="E48" s="167">
        <f>SUM(E36,E40,E44)</f>
        <v>-365.97026</v>
      </c>
      <c r="F48" s="167">
        <f>SUM(F36,F40,F44)</f>
        <v>11127.027839999999</v>
      </c>
      <c r="H48" s="177" t="s">
        <v>113</v>
      </c>
      <c r="I48" s="178"/>
      <c r="J48" s="179"/>
      <c r="K48" s="179">
        <f t="shared" ref="K48:U48" si="14">SUM(K49:K51)</f>
        <v>0</v>
      </c>
      <c r="L48" s="179">
        <f>SUM(L49:L51)</f>
        <v>365.61955424399997</v>
      </c>
      <c r="M48" s="179">
        <f t="shared" si="14"/>
        <v>1265.2143613477199</v>
      </c>
      <c r="N48" s="179">
        <f>SUM(N49:N51)</f>
        <v>2130.2859019257926</v>
      </c>
      <c r="O48" s="179">
        <f t="shared" si="14"/>
        <v>0</v>
      </c>
      <c r="P48" s="179">
        <f t="shared" si="14"/>
        <v>410.54404728959173</v>
      </c>
      <c r="Q48" s="179">
        <f t="shared" si="14"/>
        <v>0</v>
      </c>
      <c r="R48" s="179">
        <f t="shared" si="14"/>
        <v>0</v>
      </c>
      <c r="S48" s="179">
        <f t="shared" si="14"/>
        <v>1332.7871435060795</v>
      </c>
      <c r="T48" s="179">
        <f t="shared" si="14"/>
        <v>0</v>
      </c>
      <c r="U48" s="179">
        <f t="shared" si="14"/>
        <v>0</v>
      </c>
      <c r="V48" s="179">
        <f>SUM(L48:P48)</f>
        <v>4171.6638648071039</v>
      </c>
    </row>
    <row r="49" spans="3:22">
      <c r="H49" s="178"/>
      <c r="I49" s="178" t="s">
        <v>107</v>
      </c>
      <c r="J49" s="180"/>
      <c r="K49" s="180">
        <f>'Opex MEJ adjustment APTNT'!E8*(1+'Opex input corrected (AER) '!K59)</f>
        <v>0</v>
      </c>
      <c r="L49" s="180">
        <f>'Opex MEJ adjustment APTNT'!F8*CPI!D46/CPI!D45*(1+'Opex input corrected (AER) '!K59)*(1+'Opex input corrected (AER) '!L59)</f>
        <v>3.6468933550000004</v>
      </c>
      <c r="M49" s="180">
        <f>'Opex MEJ adjustment APTNT'!G8*CPI!D46/CPI!D45*(1+'Opex input corrected (AER) '!K59)*(1+'Opex input corrected (AER) '!L59)*(1+'Opex input corrected (AER) '!M59)</f>
        <v>12.616167069239998</v>
      </c>
      <c r="N49" s="180">
        <f>'Opex MEJ adjustment APTNT'!H8*CPI!D46/CPI!D45*(1+'Opex input corrected (AER) '!K59)*(1+'Opex input corrected (AER) '!L59)*(1+'Opex input corrected (AER) '!M59)*(1+'Opex input corrected (AER) '!N59)</f>
        <v>21.237214566554002</v>
      </c>
      <c r="O49" s="180">
        <f>'Opex MEJ adjustment APTNT'!I8*CPI!D46/CPI!D45*(1+'Opex input corrected (AER) '!K59)*(1+'Opex input corrected (AER) '!L59)*(1+'Opex input corrected (AER) '!M59)*(1+'Opex input corrected (AER) '!N59)*(1+'Opex input corrected (AER) '!O59)</f>
        <v>0</v>
      </c>
      <c r="P49" s="180">
        <f>'Opex MEJ adjustment APTNT'!J8*CPI!D46/CPI!D45*CPI!$D$46/CPI!$D$45*(1+'Opex input corrected (AER) '!K59)*(1+'Opex input corrected (AER) '!L59)*(1+'Opex input corrected (AER) '!M59)*(1+'Opex input corrected (AER) '!N59)*(1+'Opex input corrected (AER) '!O59)*(1+'Opex input corrected (AER) '!P59)</f>
        <v>4.4345090723063452</v>
      </c>
      <c r="Q49" s="180">
        <f>'Opex MEJ adjustment APTNT'!K8*CPI!$D$46/CPI!$D$45*(1+'Opex input corrected (AER) '!K59)*(1+'Opex input corrected (AER) '!L59)*(1+'Opex input corrected (AER) '!M59)*(1+'Opex input corrected (AER) '!N59)*(1+'Opex input corrected (AER) '!O59)*(1+'Opex input corrected (AER) '!P59)*(1+'Opex input corrected (AER) '!Q59)</f>
        <v>0</v>
      </c>
      <c r="R49" s="180">
        <f>'Opex MEJ adjustment APTNT'!L8*CPI!$D$46/CPI!$D$45*(1+'Opex input corrected (AER) '!K59)*(1+'Opex input corrected (AER) '!L59)*(1+'Opex input corrected (AER) '!M59)*(1+'Opex input corrected (AER) '!N59)*(1+'Opex input corrected (AER) '!O59)*(1+'Opex input corrected (AER) '!P59)*(1+'Opex input corrected (AER) '!Q59)*(1+'Opex input corrected (AER) '!R59)</f>
        <v>0</v>
      </c>
      <c r="S49" s="180">
        <f>'Opex MEJ adjustment APTNT'!M8*CPI!$D$46/CPI!$D$45*(1+'Opex input corrected (AER) '!K59)*(1+'Opex input corrected (AER) '!L59)*(1+'Opex input corrected (AER) '!M59)*(1+'Opex input corrected (AER) '!N59)*(1+'Opex input corrected (AER) '!O59)*(1+'Opex input corrected (AER) '!P59)*(1+'Opex input corrected (AER) '!Q59)*(1+'Opex input corrected (AER) '!R59)*(1+'Opex input corrected (AER) '!S59)</f>
        <v>13.326148129849724</v>
      </c>
      <c r="T49" s="180">
        <f>'Opex MEJ adjustment APTNT'!N8*CPI!$D$46/CPI!$D$45*(1+'Opex input corrected (AER) '!K59)*(1+'Opex input corrected (AER) '!L59)*(1+'Opex input corrected (AER) '!M59)*(1+'Opex input corrected (AER) '!N59)*(1+'Opex input corrected (AER) '!O59)*(1+'Opex input corrected (AER) '!P59)*(1+'Opex input corrected (AER) '!Q59)*(1+'Opex input corrected (AER) '!R59)*(1+'Opex input corrected (AER) '!S59)*(1+'Opex input corrected (AER) '!T59)</f>
        <v>0</v>
      </c>
      <c r="U49" s="180">
        <f>'Opex MEJ adjustment APTNT'!O8*CPI!$D$46/CPI!$D$45*(1+'Opex input corrected (AER) '!K59)*(1+'Opex input corrected (AER) '!L59)*(1+'Opex input corrected (AER) '!M59)*(1+'Opex input corrected (AER) '!N59)*(1+'Opex input corrected (AER) '!O59)*(1+'Opex input corrected (AER) '!P59)*(1+'Opex input corrected (AER) '!Q59)*(1+'Opex input corrected (AER) '!R59)*(1+'Opex input corrected (AER) '!S59)*(1+'Opex input corrected (AER) '!T59)*(1+'Opex input corrected (AER) '!U59)</f>
        <v>0</v>
      </c>
      <c r="V49" s="181">
        <f t="shared" si="4"/>
        <v>41.934784063100345</v>
      </c>
    </row>
    <row r="50" spans="3:22">
      <c r="H50" s="178"/>
      <c r="I50" s="178" t="s">
        <v>108</v>
      </c>
      <c r="J50" s="180"/>
      <c r="K50" s="180">
        <f>'Opex MEJ adjustment APTNT'!E29*(1+'Opex input corrected (AER) '!K60)</f>
        <v>0</v>
      </c>
      <c r="L50" s="180">
        <f>'Opex MEJ adjustment APTNT'!F9*CPI!D46/CPI!D45*(1+'Opex input corrected (AER) '!K60)*(1+'Opex input corrected (AER) '!L60)</f>
        <v>336.84791088899999</v>
      </c>
      <c r="M50" s="180">
        <f>'Opex MEJ adjustment APTNT'!G9*CPI!D46/CPI!D45*(1+'Opex input corrected (AER) '!K60)*(1+'Opex input corrected (AER) '!L60)*(1+'Opex input corrected (AER) '!M60)</f>
        <v>1166.4561942784799</v>
      </c>
      <c r="N50" s="180">
        <f>'Opex MEJ adjustment APTNT'!H9*CPI!D46/CPI!D45*(1+'Opex input corrected (AER) '!K60)*(1+'Opex input corrected (AER) '!L60)*(1+'Opex input corrected (AER) '!M60)*(1+'Opex input corrected (AER) '!N60)</f>
        <v>1965.4786873592386</v>
      </c>
      <c r="O50" s="180">
        <f>'Opex MEJ adjustment APTNT'!I9*CPI!D46/CPI!D45*(1+'Opex input corrected (AER) '!K60)*(1+'Opex input corrected (AER) '!L60)*(1+'Opex input corrected (AER) '!M60)*(1+'Opex input corrected (AER) '!N60)*(1+'Opex input corrected (AER) '!O60)</f>
        <v>0</v>
      </c>
      <c r="P50" s="180">
        <f>'Opex MEJ adjustment APTNT'!J9*CPI!$D$46/CPI!$D$45*1+'Opex input corrected (AER) '!K60*(1+'Opex input corrected (AER) '!L60)*(1+'Opex input corrected (AER) '!M60)*(1+'Opex input corrected (AER) '!N60)*(1+'Opex input corrected (AER) '!O60)*(1+'Opex input corrected (AER) '!P60)</f>
        <v>377.39553821728538</v>
      </c>
      <c r="Q50" s="180">
        <f>'Opex MEJ adjustment APTNT'!K9*CPI!$D$46/CPI!$D$45*(1+'Opex input corrected (AER) '!K60)*(1+'Opex input corrected (AER) '!L60)*(1+'Opex input corrected (AER) '!M60)*(1+'Opex input corrected (AER) '!N60)*(1+'Opex input corrected (AER) '!O60)*(1+'Opex input corrected (AER) '!P60)*(1+'Opex input corrected (AER) '!Q60)</f>
        <v>0</v>
      </c>
      <c r="R50" s="180">
        <f>'Opex MEJ adjustment APTNT'!L9*CPI!$D$46/CPI!$D$45*(1+'Opex input corrected (AER) '!K60)*(1+'Opex input corrected (AER) '!L60)*(1+'Opex input corrected (AER) '!M60)*(1+'Opex input corrected (AER) '!N60)*(1+'Opex input corrected (AER) '!O60)*(1+'Opex input corrected (AER) '!P60)*(1+'Opex input corrected (AER) '!Q60)*(1+'Opex input corrected (AER) '!R60)</f>
        <v>0</v>
      </c>
      <c r="S50" s="180">
        <f>'Opex MEJ adjustment APTNT'!M9*CPI!$D$46/CPI!$D$45*(1+'Opex input corrected (AER) '!K60)*(1+'Opex input corrected (AER) '!L60)*(1+'Opex input corrected (AER) '!M60)*(1+'Opex input corrected (AER) '!N60)*(1+'Opex input corrected (AER) '!O60)*(1+'Opex input corrected (AER) '!P60)*(1+'Opex input corrected (AER) '!Q60)*(1+'Opex input corrected (AER) '!R60)*(1+'Opex input corrected (AER) '!S60)</f>
        <v>1233.3189953762296</v>
      </c>
      <c r="T50" s="180">
        <f>'Opex MEJ adjustment APTNT'!N9*CPI!$D$46/CPI!$D$45*(1+'Opex input corrected (AER) '!K60)*(1+'Opex input corrected (AER) '!L60)*(1+'Opex input corrected (AER) '!M60)*(1+'Opex input corrected (AER) '!N60)*(1+'Opex input corrected (AER) '!O60)*(1+'Opex input corrected (AER) '!P60)*(1+'Opex input corrected (AER) '!Q60)*(1+'Opex input corrected (AER) '!R60)*(1+'Opex input corrected (AER) '!S60)*(1+'Opex input corrected (AER) '!T60)</f>
        <v>0</v>
      </c>
      <c r="U50" s="180">
        <f>'Opex MEJ adjustment APTNT'!O9*CPI!$D$46/CPI!$D$45*(1+'Opex input corrected (AER) '!K60)*(1+'Opex input corrected (AER) '!L60)*(1+'Opex input corrected (AER) '!M60)*(1+'Opex input corrected (AER) '!N60)*(1+'Opex input corrected (AER) '!O60)*(1+'Opex input corrected (AER) '!P60)*(1+'Opex input corrected (AER) '!Q60)*(1+'Opex input corrected (AER) '!R60)*(1+'Opex input corrected (AER) '!S60)*(1+'Opex input corrected (AER) '!T60)*(1+'Opex input corrected (AER) '!U60)</f>
        <v>0</v>
      </c>
      <c r="V50" s="181">
        <f t="shared" si="4"/>
        <v>3846.1783307440037</v>
      </c>
    </row>
    <row r="51" spans="3:22">
      <c r="H51" s="178"/>
      <c r="I51" s="178" t="s">
        <v>111</v>
      </c>
      <c r="J51" s="180"/>
      <c r="K51" s="180">
        <f>'Opex MEJ adjustment APTNT'!E10*(1+'Opex input corrected (AER) '!K61)</f>
        <v>0</v>
      </c>
      <c r="L51" s="180">
        <f>'Opex MEJ adjustment APTNT'!F10*CPI!D46/CPI!D45*(1+'Opex input corrected (AER) '!K61)*(1+'Opex input corrected (AER) '!L61)</f>
        <v>25.124750000000002</v>
      </c>
      <c r="M51" s="180">
        <f>'Opex MEJ adjustment APTNT'!G10*CPI!D46/CPI!D45*(1+'Opex input corrected (AER) '!K61)*(1+'Opex input corrected (AER) '!L61)*(1+'Opex input corrected (AER) '!M61)</f>
        <v>86.142000000000024</v>
      </c>
      <c r="N51" s="180">
        <f>'Opex MEJ adjustment APTNT'!H10*CPI!D46/CPI!D45*(1+'Opex input corrected (AER) '!K61)*(1+'Opex input corrected (AER) '!L61)*(1+'Opex input corrected (AER) '!M61)*(1+'Opex input corrected (AER) '!N61)</f>
        <v>143.57000000000002</v>
      </c>
      <c r="O51" s="180">
        <f>'Opex MEJ adjustment APTNT'!I10*CPI!D46/CPI!D45*(1+'Opex input corrected (AER) '!K61)*(1+'Opex input corrected (AER) '!L61)*(1+'Opex input corrected (AER) '!M61)*(1+'Opex input corrected (AER) '!N61)*(1+'Opex input corrected (AER) '!O61)</f>
        <v>0</v>
      </c>
      <c r="P51" s="180">
        <f>'Opex MEJ adjustment APTNT'!J10*CPI!$D$46/CPI!$D$45*(1+'Opex input corrected (AER) '!K61)*(1+'Opex input corrected (AER) '!L61)*(1+'Opex input corrected (AER) '!M61)*(1+'Opex input corrected (AER) '!N61)*(1+'Opex input corrected (AER) '!O61)*(1+'Opex input corrected (AER) '!P61)</f>
        <v>28.714000000000006</v>
      </c>
      <c r="Q51" s="180">
        <f>'Opex MEJ adjustment APTNT'!K10*CPI!$D$46/CPI!$D$45*(1+'Opex input corrected (AER) '!K61)*(1+'Opex input corrected (AER) '!L61)*(1+'Opex input corrected (AER) '!M61)*(1+'Opex input corrected (AER) '!N61)*(1+'Opex input corrected (AER) '!O61)*(1+'Opex input corrected (AER) '!P61)*(1+'Opex input corrected (AER) '!Q61)</f>
        <v>0</v>
      </c>
      <c r="R51" s="180">
        <f>'Opex MEJ adjustment APTNT'!L10*CPI!$D$46/CPI!$D$45*(1+'Opex input corrected (AER) '!K61)*(1+'Opex input corrected (AER) '!L61)*(1+'Opex input corrected (AER) '!M61)*(1+'Opex input corrected (AER) '!N61)*(1+'Opex input corrected (AER) '!O61)*(1+'Opex input corrected (AER) '!P61)*(1+'Opex input corrected (AER) '!Q61)*(1+'Opex input corrected (AER) '!R61)</f>
        <v>0</v>
      </c>
      <c r="S51" s="180">
        <f>'Opex MEJ adjustment APTNT'!M10*CPI!$D$46/CPI!$D$45*(1+'Opex input corrected (AER) '!K61)*(1+'Opex input corrected (AER) '!L61)*(1+'Opex input corrected (AER) '!M61)*(1+'Opex input corrected (AER) '!N61)*(1+'Opex input corrected (AER) '!O61)*(1+'Opex input corrected (AER) '!P61)*(1+'Opex input corrected (AER) '!Q61)*(1+'Opex input corrected (AER) '!R61)*(1+'Opex input corrected (AER) '!S61)</f>
        <v>86.142000000000024</v>
      </c>
      <c r="T51" s="180">
        <f>'Opex MEJ adjustment APTNT'!N10*CPI!$D$46/CPI!$D$45*(1+'Opex input corrected (AER) '!K61)*(1+'Opex input corrected (AER) '!L61)*(1+'Opex input corrected (AER) '!M61)*(1+'Opex input corrected (AER) '!N61)*(1+'Opex input corrected (AER) '!O61)*(1+'Opex input corrected (AER) '!P61)*(1+'Opex input corrected (AER) '!Q61)*(1+'Opex input corrected (AER) '!R61)*(1+'Opex input corrected (AER) '!S61)*(1+'Opex input corrected (AER) '!T61)</f>
        <v>0</v>
      </c>
      <c r="U51" s="180">
        <f>'Opex MEJ adjustment APTNT'!O10*CPI!$D$46/CPI!$D$45*(1+'Opex input corrected (AER) '!K61)*(1+'Opex input corrected (AER) '!L61)*(1+'Opex input corrected (AER) '!M61)*(1+'Opex input corrected (AER) '!N61)*(1+'Opex input corrected (AER) '!O61)*(1+'Opex input corrected (AER) '!P61)*(1+'Opex input corrected (AER) '!Q61)*(1+'Opex input corrected (AER) '!R61)*(1+'Opex input corrected (AER) '!S61)*(1+'Opex input corrected (AER) '!T61)*(1+'Opex input corrected (AER) '!U61)</f>
        <v>0</v>
      </c>
      <c r="V51" s="181">
        <f t="shared" si="4"/>
        <v>283.55075000000005</v>
      </c>
    </row>
    <row r="52" spans="3:22">
      <c r="H52" s="173" t="str">
        <f>B48</f>
        <v>Total</v>
      </c>
      <c r="I52" s="174"/>
      <c r="J52" s="161">
        <f>SUM(J36,J40,J44)</f>
        <v>11410.767049919999</v>
      </c>
      <c r="K52" s="161">
        <f>SUM(K36,K40,K44,K48)</f>
        <v>11497.292178904314</v>
      </c>
      <c r="L52" s="167">
        <f>SUM(L36,L40,L44)</f>
        <v>11918.211645045047</v>
      </c>
      <c r="M52" s="167">
        <f t="shared" ref="M52:U52" si="15">SUM(M36,M40,M44)</f>
        <v>12897.09695095998</v>
      </c>
      <c r="N52" s="167">
        <f t="shared" si="15"/>
        <v>13850.940464447211</v>
      </c>
      <c r="O52" s="167">
        <f t="shared" si="15"/>
        <v>11800.2561105861</v>
      </c>
      <c r="P52" s="167">
        <f t="shared" si="15"/>
        <v>12291.118119872957</v>
      </c>
      <c r="Q52" s="167">
        <f t="shared" si="15"/>
        <v>11961.614896238603</v>
      </c>
      <c r="R52" s="167">
        <f t="shared" si="15"/>
        <v>12043.38508730674</v>
      </c>
      <c r="S52" s="167">
        <f t="shared" si="15"/>
        <v>13458.678353600571</v>
      </c>
      <c r="T52" s="167">
        <f t="shared" si="15"/>
        <v>12209.13988798733</v>
      </c>
      <c r="U52" s="167">
        <f t="shared" si="15"/>
        <v>12293.137803981204</v>
      </c>
      <c r="V52" s="161">
        <f t="shared" si="4"/>
        <v>62757.623290911302</v>
      </c>
    </row>
    <row r="53" spans="3:22">
      <c r="J53" s="182" t="str">
        <f>IF(F48*CPI!D46/CPI!D45=J52,"Ok","Check")</f>
        <v>Ok</v>
      </c>
    </row>
    <row r="54" spans="3:22">
      <c r="H54" s="231" t="s">
        <v>142</v>
      </c>
      <c r="I54" s="231"/>
      <c r="J54" s="232">
        <f>'Opex input APTNT'!J52</f>
        <v>11410.767049919999</v>
      </c>
      <c r="K54" s="232">
        <f>'Opex input APTNT'!K52</f>
        <v>11497.292178904314</v>
      </c>
      <c r="L54" s="232">
        <f>'Opex input APTNT'!L52</f>
        <v>11918.211645045047</v>
      </c>
      <c r="M54" s="232">
        <f>'Opex input APTNT'!M52</f>
        <v>12897.09695095998</v>
      </c>
      <c r="N54" s="232">
        <f>'Opex input APTNT'!N52</f>
        <v>13850.940464447211</v>
      </c>
      <c r="O54" s="232">
        <f>'Opex input APTNT'!O52</f>
        <v>11800.2561105861</v>
      </c>
      <c r="P54" s="232">
        <f>'Opex input APTNT'!P52</f>
        <v>12291.118119872957</v>
      </c>
      <c r="Q54" s="232">
        <f>'Opex input APTNT'!Q52</f>
        <v>11961.614896238603</v>
      </c>
      <c r="R54" s="232">
        <f>'Opex input APTNT'!R52</f>
        <v>12043.38508730674</v>
      </c>
    </row>
    <row r="55" spans="3:22">
      <c r="H55" s="153"/>
      <c r="I55" s="153"/>
    </row>
    <row r="57" spans="3:22">
      <c r="H57" s="155" t="s">
        <v>92</v>
      </c>
      <c r="I57" s="155"/>
      <c r="J57" s="155" t="s">
        <v>3</v>
      </c>
      <c r="K57" s="155" t="s">
        <v>106</v>
      </c>
      <c r="L57" s="155" t="s">
        <v>4</v>
      </c>
      <c r="M57" s="155" t="s">
        <v>17</v>
      </c>
      <c r="N57" s="155" t="s">
        <v>18</v>
      </c>
      <c r="O57" s="155" t="s">
        <v>19</v>
      </c>
      <c r="P57" s="155" t="s">
        <v>20</v>
      </c>
      <c r="Q57" s="155" t="s">
        <v>93</v>
      </c>
      <c r="R57" s="155" t="s">
        <v>94</v>
      </c>
      <c r="S57" s="155" t="s">
        <v>95</v>
      </c>
      <c r="T57" s="155" t="s">
        <v>96</v>
      </c>
      <c r="U57" s="155" t="s">
        <v>97</v>
      </c>
    </row>
    <row r="58" spans="3:22"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</row>
    <row r="59" spans="3:22">
      <c r="H59" s="143" t="s">
        <v>107</v>
      </c>
      <c r="I59" s="183"/>
      <c r="J59" s="183"/>
      <c r="K59" s="184">
        <v>0.01</v>
      </c>
      <c r="L59" s="185">
        <v>6.0000000000000001E-3</v>
      </c>
      <c r="M59" s="185">
        <v>8.9999999999999993E-3</v>
      </c>
      <c r="N59" s="185">
        <v>0.01</v>
      </c>
      <c r="O59" s="185">
        <v>8.9999999999999993E-3</v>
      </c>
      <c r="P59" s="185">
        <v>8.9999999999999993E-3</v>
      </c>
      <c r="Q59" s="185">
        <v>8.9999999999999993E-3</v>
      </c>
      <c r="R59" s="185">
        <v>8.9999999999999993E-3</v>
      </c>
      <c r="S59" s="185">
        <v>8.9999999999999993E-3</v>
      </c>
      <c r="T59" s="185">
        <v>8.9999999999999993E-3</v>
      </c>
      <c r="U59" s="185">
        <v>8.9999999999999993E-3</v>
      </c>
    </row>
    <row r="60" spans="3:22">
      <c r="C60" s="186"/>
      <c r="D60" s="186"/>
      <c r="E60" s="186"/>
      <c r="F60" s="186"/>
      <c r="G60" s="186"/>
      <c r="H60" s="143" t="s">
        <v>108</v>
      </c>
      <c r="I60" s="183"/>
      <c r="J60" s="183"/>
      <c r="K60" s="184">
        <v>1.0999999999999999E-2</v>
      </c>
      <c r="L60" s="185">
        <v>8.9999999999999993E-3</v>
      </c>
      <c r="M60" s="185">
        <v>0.01</v>
      </c>
      <c r="N60" s="185">
        <v>1.0999999999999999E-2</v>
      </c>
      <c r="O60" s="185">
        <v>8.9999999999999993E-3</v>
      </c>
      <c r="P60" s="185">
        <v>8.9999999999999993E-3</v>
      </c>
      <c r="Q60" s="185">
        <v>8.9999999999999993E-3</v>
      </c>
      <c r="R60" s="185">
        <v>8.9999999999999993E-3</v>
      </c>
      <c r="S60" s="185">
        <v>8.9999999999999993E-3</v>
      </c>
      <c r="T60" s="185">
        <v>8.9999999999999993E-3</v>
      </c>
      <c r="U60" s="185">
        <v>8.9999999999999993E-3</v>
      </c>
    </row>
    <row r="61" spans="3:22">
      <c r="C61" s="186"/>
      <c r="D61" s="186"/>
      <c r="E61" s="186"/>
      <c r="F61" s="186"/>
      <c r="G61" s="186"/>
      <c r="H61" s="143" t="s">
        <v>109</v>
      </c>
      <c r="K61" s="184">
        <v>0</v>
      </c>
      <c r="L61" s="185">
        <v>0</v>
      </c>
      <c r="M61" s="185">
        <v>0</v>
      </c>
      <c r="N61" s="185">
        <v>0</v>
      </c>
      <c r="O61" s="185">
        <v>0</v>
      </c>
      <c r="P61" s="185">
        <v>0</v>
      </c>
      <c r="Q61" s="185">
        <v>0</v>
      </c>
      <c r="R61" s="185">
        <v>0</v>
      </c>
      <c r="S61" s="185">
        <v>0</v>
      </c>
      <c r="T61" s="185">
        <v>0</v>
      </c>
      <c r="U61" s="185">
        <v>0</v>
      </c>
    </row>
    <row r="62" spans="3:22">
      <c r="C62" s="186"/>
      <c r="D62" s="186"/>
      <c r="E62" s="186"/>
      <c r="F62" s="186"/>
      <c r="G62" s="186"/>
    </row>
    <row r="69" spans="8:24">
      <c r="H69" s="153" t="s">
        <v>127</v>
      </c>
      <c r="I69" s="153"/>
    </row>
    <row r="71" spans="8:24" ht="38.25">
      <c r="H71" s="155"/>
      <c r="I71" s="155"/>
      <c r="J71" s="171" t="s">
        <v>117</v>
      </c>
      <c r="K71" s="155" t="s">
        <v>106</v>
      </c>
      <c r="L71" s="155" t="s">
        <v>4</v>
      </c>
      <c r="M71" s="155" t="s">
        <v>17</v>
      </c>
      <c r="N71" s="155" t="s">
        <v>18</v>
      </c>
      <c r="O71" s="155" t="s">
        <v>19</v>
      </c>
      <c r="P71" s="155" t="s">
        <v>20</v>
      </c>
      <c r="Q71" s="155" t="s">
        <v>93</v>
      </c>
      <c r="R71" s="155" t="s">
        <v>94</v>
      </c>
      <c r="S71" s="155" t="s">
        <v>95</v>
      </c>
      <c r="T71" s="155" t="s">
        <v>96</v>
      </c>
      <c r="U71" s="155" t="s">
        <v>97</v>
      </c>
      <c r="V71" s="155" t="s">
        <v>118</v>
      </c>
    </row>
    <row r="72" spans="8:24"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</row>
    <row r="73" spans="8:24">
      <c r="H73" s="173" t="str">
        <f>H36</f>
        <v>Operations and maintenance</v>
      </c>
      <c r="I73" s="174"/>
      <c r="J73" s="161">
        <f>J36*CPI!$D$45/CPI!$D$46</f>
        <v>8408.7141299999985</v>
      </c>
      <c r="K73" s="161">
        <f>K36</f>
        <v>8690.9883779204138</v>
      </c>
      <c r="L73" s="167">
        <f>L36*(CPI!$D$47/CPI!$D$46)</f>
        <v>9328.1067494526706</v>
      </c>
      <c r="M73" s="167">
        <f>M36*(CPI!$D$48/CPI!$D$46)</f>
        <v>10571.810653154933</v>
      </c>
      <c r="N73" s="167">
        <f>N36*(CPI!$D$49/CPI!$D$46)</f>
        <v>11842.675344833704</v>
      </c>
      <c r="O73" s="167">
        <f>O36*(CPI!$D$50/CPI!$D$46)</f>
        <v>9855.9622297577334</v>
      </c>
      <c r="P73" s="167">
        <f>P36*(CPI!$D$51/CPI!$D$46)</f>
        <v>10637.861020137416</v>
      </c>
      <c r="Q73" s="167">
        <f>Q36*(CPI!$D$52/CPI!$D$46)</f>
        <v>10501.139352572298</v>
      </c>
      <c r="R73" s="167">
        <f>R36*(CPI!$D$53/CPI!$D$46)</f>
        <v>10839.618255419107</v>
      </c>
      <c r="S73" s="167">
        <f>S36*(CPI!$D$54/CPI!$D$46)</f>
        <v>12813.030251340249</v>
      </c>
      <c r="T73" s="167">
        <f>T36*(CPI!$D$55/CPI!$D$46)</f>
        <v>11550.125687062766</v>
      </c>
      <c r="U73" s="167">
        <f>U36*(CPI!$D$56/CPI!$D$46)</f>
        <v>11922.897396070843</v>
      </c>
      <c r="V73" s="161">
        <f>SUM(L73:P73)</f>
        <v>52236.415997336459</v>
      </c>
    </row>
    <row r="74" spans="8:24">
      <c r="H74" s="173"/>
      <c r="I74" s="187" t="s">
        <v>107</v>
      </c>
      <c r="J74" s="175">
        <f>J37*CPI!$D$45/CPI!$D$46</f>
        <v>5353.0767499999984</v>
      </c>
      <c r="K74" s="175">
        <f t="shared" ref="K74:K89" si="16">K37</f>
        <v>5544.4760091962489</v>
      </c>
      <c r="L74" s="188">
        <f>L37*(CPI!$D$47/CPI!$D$46)</f>
        <v>5720.9245025715873</v>
      </c>
      <c r="M74" s="188">
        <f>M37*(CPI!$D$48/CPI!$D$46)</f>
        <v>5926.1120032121407</v>
      </c>
      <c r="N74" s="188">
        <f>N37*(CPI!$D$49/CPI!$D$46)</f>
        <v>6144.1555142325024</v>
      </c>
      <c r="O74" s="188">
        <f>O37*(CPI!$D$50/CPI!$D$46)</f>
        <v>6330.7863483067822</v>
      </c>
      <c r="P74" s="188">
        <f>P37*(CPI!$D$51/CPI!$D$46)</f>
        <v>6552.4747510621273</v>
      </c>
      <c r="Q74" s="188">
        <f>Q37*(CPI!$D$52/CPI!$D$46)</f>
        <v>6771.5442443942093</v>
      </c>
      <c r="R74" s="188">
        <f>R37*(CPI!$D$53/CPI!$D$46)</f>
        <v>7003.3003461586004</v>
      </c>
      <c r="S74" s="188">
        <f>S37*(CPI!$D$54/CPI!$D$46)</f>
        <v>7259.2249179999326</v>
      </c>
      <c r="T74" s="188">
        <f>T37*(CPI!$D$55/CPI!$D$46)</f>
        <v>7490.8795750906884</v>
      </c>
      <c r="U74" s="188">
        <f>U37*(CPI!$D$56/CPI!$D$46)</f>
        <v>7747.2549285481664</v>
      </c>
      <c r="V74" s="175">
        <f t="shared" ref="V74:V89" si="17">SUM(L74:P74)</f>
        <v>30674.45311938514</v>
      </c>
      <c r="W74" s="189"/>
      <c r="X74" s="189"/>
    </row>
    <row r="75" spans="8:24">
      <c r="H75" s="173"/>
      <c r="I75" s="187" t="s">
        <v>108</v>
      </c>
      <c r="J75" s="175">
        <f>J38*CPI!$D$45/CPI!$D$46</f>
        <v>1148.5515299999995</v>
      </c>
      <c r="K75" s="175">
        <f t="shared" si="16"/>
        <v>1190.7958295491646</v>
      </c>
      <c r="L75" s="188">
        <f>L38*(CPI!$D$47/CPI!$D$46)</f>
        <v>1576.8199254767098</v>
      </c>
      <c r="M75" s="188">
        <f>M38*(CPI!$D$48/CPI!$D$46)</f>
        <v>2500.4710222220579</v>
      </c>
      <c r="N75" s="188">
        <f>N38*(CPI!$D$49/CPI!$D$46)</f>
        <v>3437.8178373749506</v>
      </c>
      <c r="O75" s="188">
        <f>O38*(CPI!$D$50/CPI!$D$46)</f>
        <v>1366.4307551010745</v>
      </c>
      <c r="P75" s="188">
        <f>P38*(CPI!$D$51/CPI!$D$46)</f>
        <v>1840.185259141723</v>
      </c>
      <c r="Q75" s="188">
        <f>Q38*(CPI!$D$52/CPI!$D$46)</f>
        <v>1461.5635098067494</v>
      </c>
      <c r="R75" s="188">
        <f>R38*(CPI!$D$53/CPI!$D$46)</f>
        <v>1511.585520929885</v>
      </c>
      <c r="S75" s="188">
        <f>S38*(CPI!$D$54/CPI!$D$46)</f>
        <v>3065.9989729041285</v>
      </c>
      <c r="T75" s="188">
        <f>T38*(CPI!$D$55/CPI!$D$46)</f>
        <v>1616.8241464822172</v>
      </c>
      <c r="U75" s="188">
        <f>U38*(CPI!$D$56/CPI!$D$46)</f>
        <v>1672.1599528955708</v>
      </c>
      <c r="V75" s="175">
        <f t="shared" si="17"/>
        <v>10721.724799316517</v>
      </c>
      <c r="W75" s="189"/>
      <c r="X75" s="189"/>
    </row>
    <row r="76" spans="8:24">
      <c r="H76" s="173"/>
      <c r="I76" s="187" t="s">
        <v>111</v>
      </c>
      <c r="J76" s="175">
        <f>J39*CPI!$D$45/CPI!$D$46</f>
        <v>1907.0858500000002</v>
      </c>
      <c r="K76" s="175">
        <f t="shared" si="16"/>
        <v>1955.7165391750002</v>
      </c>
      <c r="L76" s="188">
        <f>L39*(CPI!$D$47/CPI!$D$46)</f>
        <v>2030.3623214043751</v>
      </c>
      <c r="M76" s="188">
        <f>M39*(CPI!$D$48/CPI!$D$46)</f>
        <v>2145.2276277207338</v>
      </c>
      <c r="N76" s="188">
        <f>N39*(CPI!$D$49/CPI!$D$46)</f>
        <v>2260.7019932262519</v>
      </c>
      <c r="O76" s="188">
        <f>O39*(CPI!$D$50/CPI!$D$46)</f>
        <v>2158.745126349877</v>
      </c>
      <c r="P76" s="188">
        <f>P39*(CPI!$D$51/CPI!$D$46)</f>
        <v>2245.2010099335657</v>
      </c>
      <c r="Q76" s="188">
        <f>Q39*(CPI!$D$52/CPI!$D$46)</f>
        <v>2268.0315983713394</v>
      </c>
      <c r="R76" s="188">
        <f>R39*(CPI!$D$53/CPI!$D$46)</f>
        <v>2324.7323883306226</v>
      </c>
      <c r="S76" s="188">
        <f>S39*(CPI!$D$54/CPI!$D$46)</f>
        <v>2487.8063604361873</v>
      </c>
      <c r="T76" s="188">
        <f>T39*(CPI!$D$55/CPI!$D$46)</f>
        <v>2442.4219654898598</v>
      </c>
      <c r="U76" s="188">
        <f>U39*(CPI!$D$56/CPI!$D$46)</f>
        <v>2503.4825146271064</v>
      </c>
      <c r="V76" s="175">
        <f t="shared" si="17"/>
        <v>10840.238078634804</v>
      </c>
      <c r="W76" s="189"/>
      <c r="X76" s="189"/>
    </row>
    <row r="77" spans="8:24">
      <c r="H77" s="173" t="str">
        <f t="shared" ref="H77:H89" si="18">H40</f>
        <v>Corporate</v>
      </c>
      <c r="I77" s="174"/>
      <c r="J77" s="161">
        <f>J40*CPI!$D$45/CPI!$D$46</f>
        <v>2709.1645300000005</v>
      </c>
      <c r="K77" s="161">
        <f t="shared" si="16"/>
        <v>2796.9213168939004</v>
      </c>
      <c r="L77" s="167">
        <f>L40*(CPI!$D$47/CPI!$D$46)</f>
        <v>2878.4431405262512</v>
      </c>
      <c r="M77" s="167">
        <f>M40*(CPI!$D$48/CPI!$D$46)</f>
        <v>2968.3443586003373</v>
      </c>
      <c r="N77" s="167">
        <f>N40*(CPI!$D$49/CPI!$D$46)</f>
        <v>3063.1686796069052</v>
      </c>
      <c r="O77" s="167">
        <f>O40*(CPI!$D$50/CPI!$D$46)</f>
        <v>3158.9560708989993</v>
      </c>
      <c r="P77" s="167">
        <f>P40*(CPI!$D$51/CPI!$D$46)</f>
        <v>3257.7955467388792</v>
      </c>
      <c r="Q77" s="167">
        <f>Q40*(CPI!$D$52/CPI!$D$46)</f>
        <v>3359.785908747212</v>
      </c>
      <c r="R77" s="167">
        <f>R40*(CPI!$D$53/CPI!$D$46)</f>
        <v>3465.0291986308107</v>
      </c>
      <c r="S77" s="167">
        <f>S40*(CPI!$D$54/CPI!$D$46)</f>
        <v>3573.6308055395934</v>
      </c>
      <c r="T77" s="167">
        <f>T40*(CPI!$D$55/CPI!$D$46)</f>
        <v>3685.6995770094704</v>
      </c>
      <c r="U77" s="167">
        <f>U40*(CPI!$D$56/CPI!$D$46)</f>
        <v>3801.3479336116611</v>
      </c>
      <c r="V77" s="161">
        <f t="shared" si="17"/>
        <v>15326.707796371371</v>
      </c>
    </row>
    <row r="78" spans="8:24">
      <c r="H78" s="173"/>
      <c r="I78" s="187" t="s">
        <v>107</v>
      </c>
      <c r="J78" s="175">
        <f>J41*CPI!$D$45/CPI!$D$46</f>
        <v>1820.8767800000003</v>
      </c>
      <c r="K78" s="175">
        <f t="shared" si="16"/>
        <v>1885.9822292689003</v>
      </c>
      <c r="L78" s="188">
        <f>L41*(CPI!$D$47/CPI!$D$46)</f>
        <v>1944.7305757106262</v>
      </c>
      <c r="M78" s="188">
        <f>M41*(CPI!$D$48/CPI!$D$46)</f>
        <v>2011.2889796643219</v>
      </c>
      <c r="N78" s="188">
        <f>N41*(CPI!$D$49/CPI!$D$46)</f>
        <v>2082.1869161974892</v>
      </c>
      <c r="O78" s="188">
        <f>O41*(CPI!$D$50/CPI!$D$46)</f>
        <v>2153.4497634043478</v>
      </c>
      <c r="P78" s="188">
        <f>P41*(CPI!$D$51/CPI!$D$46)</f>
        <v>2227.1515815568614</v>
      </c>
      <c r="Q78" s="188">
        <f>Q41*(CPI!$D$52/CPI!$D$46)</f>
        <v>2303.3758444356445</v>
      </c>
      <c r="R78" s="188">
        <f>R41*(CPI!$D$53/CPI!$D$46)</f>
        <v>2382.208882711454</v>
      </c>
      <c r="S78" s="188">
        <f>S41*(CPI!$D$54/CPI!$D$46)</f>
        <v>2463.7399817222531</v>
      </c>
      <c r="T78" s="188">
        <f>T41*(CPI!$D$55/CPI!$D$46)</f>
        <v>2548.0614825966964</v>
      </c>
      <c r="U78" s="188">
        <f>U41*(CPI!$D$56/CPI!$D$46)</f>
        <v>2635.2688868385681</v>
      </c>
      <c r="V78" s="175">
        <f t="shared" si="17"/>
        <v>10418.807816533646</v>
      </c>
      <c r="W78" s="189"/>
      <c r="X78" s="189"/>
    </row>
    <row r="79" spans="8:24">
      <c r="H79" s="173"/>
      <c r="I79" s="187" t="s">
        <v>108</v>
      </c>
      <c r="J79" s="175">
        <f>J42*CPI!$D$45/CPI!$D$46</f>
        <v>0</v>
      </c>
      <c r="K79" s="175">
        <f t="shared" si="16"/>
        <v>0</v>
      </c>
      <c r="L79" s="188">
        <f>L42*(CPI!$D$47/CPI!$D$46)</f>
        <v>0</v>
      </c>
      <c r="M79" s="188">
        <f>M42*(CPI!$D$48/CPI!$D$46)</f>
        <v>0</v>
      </c>
      <c r="N79" s="188">
        <f>N42*(CPI!$D$49/CPI!$D$46)</f>
        <v>0</v>
      </c>
      <c r="O79" s="188">
        <f>O42*(CPI!$D$50/CPI!$D$46)</f>
        <v>0</v>
      </c>
      <c r="P79" s="188">
        <f>P42*(CPI!$D$51/CPI!$D$46)</f>
        <v>0</v>
      </c>
      <c r="Q79" s="188">
        <f>Q42*(CPI!$D$52/CPI!$D$46)</f>
        <v>0</v>
      </c>
      <c r="R79" s="188">
        <f>R42*(CPI!$D$53/CPI!$D$46)</f>
        <v>0</v>
      </c>
      <c r="S79" s="188">
        <f>S42*(CPI!$D$54/CPI!$D$46)</f>
        <v>0</v>
      </c>
      <c r="T79" s="188">
        <f>T42*(CPI!$D$55/CPI!$D$46)</f>
        <v>0</v>
      </c>
      <c r="U79" s="188">
        <f>U42*(CPI!$D$56/CPI!$D$46)</f>
        <v>0</v>
      </c>
      <c r="V79" s="175">
        <f t="shared" si="17"/>
        <v>0</v>
      </c>
      <c r="W79" s="189"/>
      <c r="X79" s="189"/>
    </row>
    <row r="80" spans="8:24">
      <c r="H80" s="173"/>
      <c r="I80" s="187" t="s">
        <v>111</v>
      </c>
      <c r="J80" s="175">
        <f>J43*CPI!$D$45/CPI!$D$46</f>
        <v>888.28775000000007</v>
      </c>
      <c r="K80" s="175">
        <f t="shared" si="16"/>
        <v>910.93908762500018</v>
      </c>
      <c r="L80" s="188">
        <f>L43*(CPI!$D$47/CPI!$D$46)</f>
        <v>933.71256481562511</v>
      </c>
      <c r="M80" s="188">
        <f>M43*(CPI!$D$48/CPI!$D$46)</f>
        <v>957.05537893601559</v>
      </c>
      <c r="N80" s="188">
        <f>N43*(CPI!$D$49/CPI!$D$46)</f>
        <v>980.98176340941586</v>
      </c>
      <c r="O80" s="188">
        <f>O43*(CPI!$D$50/CPI!$D$46)</f>
        <v>1005.5063074946512</v>
      </c>
      <c r="P80" s="188">
        <f>P43*(CPI!$D$51/CPI!$D$46)</f>
        <v>1030.6439651820176</v>
      </c>
      <c r="Q80" s="188">
        <f>Q43*(CPI!$D$52/CPI!$D$46)</f>
        <v>1056.4100643115678</v>
      </c>
      <c r="R80" s="188">
        <f>R43*(CPI!$D$53/CPI!$D$46)</f>
        <v>1082.8203159193567</v>
      </c>
      <c r="S80" s="188">
        <f>S43*(CPI!$D$54/CPI!$D$46)</f>
        <v>1109.8908238173406</v>
      </c>
      <c r="T80" s="188">
        <f>T43*(CPI!$D$55/CPI!$D$46)</f>
        <v>1137.6380944127741</v>
      </c>
      <c r="U80" s="188">
        <f>U43*(CPI!$D$56/CPI!$D$46)</f>
        <v>1166.0790467730933</v>
      </c>
      <c r="V80" s="175">
        <f t="shared" si="17"/>
        <v>4907.8999798377254</v>
      </c>
      <c r="W80" s="189"/>
      <c r="X80" s="189"/>
    </row>
    <row r="81" spans="8:23">
      <c r="H81" s="173" t="str">
        <f t="shared" si="18"/>
        <v>Sales and marketing</v>
      </c>
      <c r="I81" s="174"/>
      <c r="J81" s="161">
        <f>J44*CPI!$D$45/CPI!$D$46</f>
        <v>9.1491799999999994</v>
      </c>
      <c r="K81" s="161">
        <f t="shared" si="16"/>
        <v>9.3824840900000002</v>
      </c>
      <c r="L81" s="167">
        <f>L44*(CPI!$D$47/CPI!$D$46)</f>
        <v>9.6170461922499992</v>
      </c>
      <c r="M81" s="167">
        <f>M44*(CPI!$D$48/CPI!$D$46)</f>
        <v>9.8574723470562482</v>
      </c>
      <c r="N81" s="167">
        <f>N44*(CPI!$D$49/CPI!$D$46)</f>
        <v>10.103909155732653</v>
      </c>
      <c r="O81" s="167">
        <f>O44*(CPI!$D$50/CPI!$D$46)</f>
        <v>10.356506884625968</v>
      </c>
      <c r="P81" s="167">
        <f>P44*(CPI!$D$51/CPI!$D$46)</f>
        <v>10.615419556741619</v>
      </c>
      <c r="Q81" s="167">
        <f>Q44*(CPI!$D$52/CPI!$D$46)</f>
        <v>10.880805045660157</v>
      </c>
      <c r="R81" s="167">
        <f>R44*(CPI!$D$53/CPI!$D$46)</f>
        <v>11.152825171801659</v>
      </c>
      <c r="S81" s="167">
        <f>S44*(CPI!$D$54/CPI!$D$46)</f>
        <v>11.4316458010967</v>
      </c>
      <c r="T81" s="167">
        <f>T44*(CPI!$D$55/CPI!$D$46)</f>
        <v>11.717436946124115</v>
      </c>
      <c r="U81" s="167">
        <f>U44*(CPI!$D$56/CPI!$D$46)</f>
        <v>12.010372869777218</v>
      </c>
      <c r="V81" s="161">
        <f t="shared" si="17"/>
        <v>50.55035413640649</v>
      </c>
    </row>
    <row r="82" spans="8:23">
      <c r="H82" s="173"/>
      <c r="I82" s="187" t="s">
        <v>107</v>
      </c>
      <c r="J82" s="175">
        <f>J45*CPI!$D$45/CPI!$D$46</f>
        <v>0</v>
      </c>
      <c r="K82" s="175">
        <f t="shared" si="16"/>
        <v>0</v>
      </c>
      <c r="L82" s="188">
        <f>L45*(CPI!$D$47/CPI!$D$46)</f>
        <v>0</v>
      </c>
      <c r="M82" s="188">
        <f>M45*(CPI!$D$48/CPI!$D$46)</f>
        <v>0</v>
      </c>
      <c r="N82" s="188">
        <f>N45*(CPI!$D$49/CPI!$D$46)</f>
        <v>0</v>
      </c>
      <c r="O82" s="188">
        <f>O45*(CPI!$D$50/CPI!$D$46)</f>
        <v>0</v>
      </c>
      <c r="P82" s="188">
        <f>P45*(CPI!$D$51/CPI!$D$46)</f>
        <v>0</v>
      </c>
      <c r="Q82" s="188">
        <f>Q45*(CPI!$D$52/CPI!$D$46)</f>
        <v>0</v>
      </c>
      <c r="R82" s="188">
        <f>R45*(CPI!$D$53/CPI!$D$46)</f>
        <v>0</v>
      </c>
      <c r="S82" s="188">
        <f>S45*(CPI!$D$54/CPI!$D$46)</f>
        <v>0</v>
      </c>
      <c r="T82" s="188">
        <f>T45*(CPI!$D$55/CPI!$D$46)</f>
        <v>0</v>
      </c>
      <c r="U82" s="188">
        <f>U45*(CPI!$D$56/CPI!$D$46)</f>
        <v>0</v>
      </c>
      <c r="V82" s="175">
        <f t="shared" si="17"/>
        <v>0</v>
      </c>
    </row>
    <row r="83" spans="8:23">
      <c r="H83" s="173"/>
      <c r="I83" s="187" t="s">
        <v>108</v>
      </c>
      <c r="J83" s="175">
        <f>J46*CPI!$D$45/CPI!$D$46</f>
        <v>0</v>
      </c>
      <c r="K83" s="175">
        <f t="shared" si="16"/>
        <v>0</v>
      </c>
      <c r="L83" s="188">
        <f>L46*(CPI!$D$47/CPI!$D$46)</f>
        <v>0</v>
      </c>
      <c r="M83" s="188">
        <f>M46*(CPI!$D$48/CPI!$D$46)</f>
        <v>0</v>
      </c>
      <c r="N83" s="188">
        <f>N46*(CPI!$D$49/CPI!$D$46)</f>
        <v>0</v>
      </c>
      <c r="O83" s="188">
        <f>O46*(CPI!$D$50/CPI!$D$46)</f>
        <v>0</v>
      </c>
      <c r="P83" s="188">
        <f>P46*(CPI!$D$51/CPI!$D$46)</f>
        <v>0</v>
      </c>
      <c r="Q83" s="188">
        <f>Q46*(CPI!$D$52/CPI!$D$46)</f>
        <v>0</v>
      </c>
      <c r="R83" s="188">
        <f>R46*(CPI!$D$53/CPI!$D$46)</f>
        <v>0</v>
      </c>
      <c r="S83" s="188">
        <f>S46*(CPI!$D$54/CPI!$D$46)</f>
        <v>0</v>
      </c>
      <c r="T83" s="188">
        <f>T46*(CPI!$D$55/CPI!$D$46)</f>
        <v>0</v>
      </c>
      <c r="U83" s="188">
        <f>U46*(CPI!$D$56/CPI!$D$46)</f>
        <v>0</v>
      </c>
      <c r="V83" s="175">
        <f t="shared" si="17"/>
        <v>0</v>
      </c>
    </row>
    <row r="84" spans="8:23">
      <c r="H84" s="173"/>
      <c r="I84" s="187" t="s">
        <v>111</v>
      </c>
      <c r="J84" s="175">
        <f>J47*CPI!$D$45/CPI!$D$46</f>
        <v>9.1491799999999994</v>
      </c>
      <c r="K84" s="175">
        <f t="shared" si="16"/>
        <v>9.3824840900000002</v>
      </c>
      <c r="L84" s="188">
        <f>L47*(CPI!$D$47/CPI!$D$46)</f>
        <v>9.6170461922499992</v>
      </c>
      <c r="M84" s="188">
        <f>M47*(CPI!$D$48/CPI!$D$46)</f>
        <v>9.8574723470562482</v>
      </c>
      <c r="N84" s="188">
        <f>N47*(CPI!$D$49/CPI!$D$46)</f>
        <v>10.103909155732653</v>
      </c>
      <c r="O84" s="188">
        <f>O47*(CPI!$D$50/CPI!$D$46)</f>
        <v>10.356506884625968</v>
      </c>
      <c r="P84" s="188">
        <f>P47*(CPI!$D$51/CPI!$D$46)</f>
        <v>10.615419556741619</v>
      </c>
      <c r="Q84" s="188">
        <f>Q47*(CPI!$D$52/CPI!$D$46)</f>
        <v>10.880805045660157</v>
      </c>
      <c r="R84" s="188">
        <f>R47*(CPI!$D$53/CPI!$D$46)</f>
        <v>11.152825171801659</v>
      </c>
      <c r="S84" s="188">
        <f>S47*(CPI!$D$54/CPI!$D$46)</f>
        <v>11.4316458010967</v>
      </c>
      <c r="T84" s="188">
        <f>T47*(CPI!$D$55/CPI!$D$46)</f>
        <v>11.717436946124115</v>
      </c>
      <c r="U84" s="188">
        <f>U47*(CPI!$D$56/CPI!$D$46)</f>
        <v>12.010372869777218</v>
      </c>
      <c r="V84" s="175">
        <f t="shared" si="17"/>
        <v>50.55035413640649</v>
      </c>
    </row>
    <row r="85" spans="8:23">
      <c r="H85" s="173" t="str">
        <f t="shared" si="18"/>
        <v>Intelligent Pigging</v>
      </c>
      <c r="I85" s="174"/>
      <c r="J85" s="161">
        <f>J48*CPI!$D$45/CPI!$D$46</f>
        <v>0</v>
      </c>
      <c r="K85" s="161">
        <f t="shared" si="16"/>
        <v>0</v>
      </c>
      <c r="L85" s="167">
        <f>L48*(CPI!$D$47/CPI!$D$46)</f>
        <v>374.76004310009995</v>
      </c>
      <c r="M85" s="167">
        <f>M48*(CPI!$D$48/CPI!$D$46)</f>
        <v>1329.2658383909479</v>
      </c>
      <c r="N85" s="167">
        <f>N48*(CPI!$D$49/CPI!$D$46)</f>
        <v>2294.0849163535549</v>
      </c>
      <c r="O85" s="167">
        <f>O48*(CPI!$D$50/CPI!$D$46)</f>
        <v>0</v>
      </c>
      <c r="P85" s="167">
        <f>P48*(CPI!$D$51/CPI!$D$46)</f>
        <v>464.49290685680108</v>
      </c>
      <c r="Q85" s="167">
        <f>Q48*(CPI!$D$52/CPI!$D$46)</f>
        <v>0</v>
      </c>
      <c r="R85" s="167">
        <f>R48*(CPI!$D$53/CPI!$D$46)</f>
        <v>0</v>
      </c>
      <c r="S85" s="167">
        <f>S48*(CPI!$D$54/CPI!$D$46)</f>
        <v>1623.871717411773</v>
      </c>
      <c r="T85" s="167">
        <f>T48*(CPI!$D$55/CPI!$D$46)</f>
        <v>0</v>
      </c>
      <c r="U85" s="167">
        <f>U48*(CPI!$D$56/CPI!$D$46)</f>
        <v>0</v>
      </c>
      <c r="V85" s="161">
        <f t="shared" si="17"/>
        <v>4462.6037047014033</v>
      </c>
    </row>
    <row r="86" spans="8:23">
      <c r="H86" s="173"/>
      <c r="I86" s="187" t="s">
        <v>107</v>
      </c>
      <c r="J86" s="175">
        <f>J49*CPI!$D$45/CPI!$D$46</f>
        <v>0</v>
      </c>
      <c r="K86" s="175">
        <f t="shared" si="16"/>
        <v>0</v>
      </c>
      <c r="L86" s="188">
        <f>L49*(CPI!$D$47/CPI!$D$46)</f>
        <v>3.7380656888750003</v>
      </c>
      <c r="M86" s="188">
        <f>M49*(CPI!$D$48/CPI!$D$46)</f>
        <v>13.254860527120268</v>
      </c>
      <c r="N86" s="188">
        <f>N49*(CPI!$D$49/CPI!$D$46)</f>
        <v>22.870157267835435</v>
      </c>
      <c r="O86" s="188">
        <f>O49*(CPI!$D$50/CPI!$D$46)</f>
        <v>0</v>
      </c>
      <c r="P86" s="188">
        <f>P49*(CPI!$D$51/CPI!$D$46)</f>
        <v>5.0172399845453839</v>
      </c>
      <c r="Q86" s="188">
        <f>Q49*(CPI!$D$52/CPI!$D$46)</f>
        <v>0</v>
      </c>
      <c r="R86" s="188">
        <f>R49*(CPI!$D$53/CPI!$D$46)</f>
        <v>0</v>
      </c>
      <c r="S86" s="188">
        <f>S49*(CPI!$D$54/CPI!$D$46)</f>
        <v>16.236617494055267</v>
      </c>
      <c r="T86" s="188">
        <f>T49*(CPI!$D$55/CPI!$D$46)</f>
        <v>0</v>
      </c>
      <c r="U86" s="188">
        <f>U49*(CPI!$D$56/CPI!$D$46)</f>
        <v>0</v>
      </c>
      <c r="V86" s="175">
        <f t="shared" si="17"/>
        <v>44.880323468376091</v>
      </c>
      <c r="W86" s="189"/>
    </row>
    <row r="87" spans="8:23">
      <c r="H87" s="173"/>
      <c r="I87" s="187" t="s">
        <v>108</v>
      </c>
      <c r="J87" s="175">
        <f>J50*CPI!$D$45/CPI!$D$46</f>
        <v>0</v>
      </c>
      <c r="K87" s="175">
        <f t="shared" si="16"/>
        <v>0</v>
      </c>
      <c r="L87" s="188">
        <f>L50*(CPI!$D$47/CPI!$D$46)</f>
        <v>345.26910866122495</v>
      </c>
      <c r="M87" s="188">
        <f>M50*(CPI!$D$48/CPI!$D$46)</f>
        <v>1225.5080391138276</v>
      </c>
      <c r="N87" s="188">
        <f>N50*(CPI!$D$49/CPI!$D$46)</f>
        <v>2116.6055720544696</v>
      </c>
      <c r="O87" s="188">
        <f>O50*(CPI!$D$50/CPI!$D$46)</f>
        <v>0</v>
      </c>
      <c r="P87" s="188">
        <f>P50*(CPI!$D$51/CPI!$D$46)</f>
        <v>426.98841144731426</v>
      </c>
      <c r="Q87" s="188">
        <f>Q50*(CPI!$D$52/CPI!$D$46)</f>
        <v>0</v>
      </c>
      <c r="R87" s="188">
        <f>R50*(CPI!$D$53/CPI!$D$46)</f>
        <v>0</v>
      </c>
      <c r="S87" s="188">
        <f>S50*(CPI!$D$54/CPI!$D$46)</f>
        <v>1502.6794375204183</v>
      </c>
      <c r="T87" s="188">
        <f>T50*(CPI!$D$55/CPI!$D$46)</f>
        <v>0</v>
      </c>
      <c r="U87" s="188">
        <f>U50*(CPI!$D$56/CPI!$D$46)</f>
        <v>0</v>
      </c>
      <c r="V87" s="175">
        <f t="shared" si="17"/>
        <v>4114.3711312768364</v>
      </c>
      <c r="W87" s="189"/>
    </row>
    <row r="88" spans="8:23">
      <c r="H88" s="173"/>
      <c r="I88" s="187" t="s">
        <v>111</v>
      </c>
      <c r="J88" s="175">
        <f>J51*CPI!$D$45/CPI!$D$46</f>
        <v>0</v>
      </c>
      <c r="K88" s="175">
        <f t="shared" si="16"/>
        <v>0</v>
      </c>
      <c r="L88" s="188">
        <f>L51*(CPI!$D$47/CPI!$D$46)</f>
        <v>25.752868750000001</v>
      </c>
      <c r="M88" s="188">
        <f>M51*(CPI!$D$48/CPI!$D$46)</f>
        <v>90.502938749999998</v>
      </c>
      <c r="N88" s="188">
        <f>N51*(CPI!$D$49/CPI!$D$46)</f>
        <v>154.60918703124997</v>
      </c>
      <c r="O88" s="188">
        <f>O51*(CPI!$D$50/CPI!$D$46)</f>
        <v>0</v>
      </c>
      <c r="P88" s="188">
        <f>P51*(CPI!$D$51/CPI!$D$46)</f>
        <v>32.487255424941402</v>
      </c>
      <c r="Q88" s="188">
        <f>Q51*(CPI!$D$52/CPI!$D$46)</f>
        <v>0</v>
      </c>
      <c r="R88" s="188">
        <f>R51*(CPI!$D$53/CPI!$D$46)</f>
        <v>0</v>
      </c>
      <c r="S88" s="188">
        <f>S51*(CPI!$D$54/CPI!$D$46)</f>
        <v>104.95566239729932</v>
      </c>
      <c r="T88" s="188">
        <f>T51*(CPI!$D$55/CPI!$D$46)</f>
        <v>0</v>
      </c>
      <c r="U88" s="188">
        <f>U51*(CPI!$D$56/CPI!$D$46)</f>
        <v>0</v>
      </c>
      <c r="V88" s="175">
        <f t="shared" si="17"/>
        <v>303.35224995619137</v>
      </c>
      <c r="W88" s="189"/>
    </row>
    <row r="89" spans="8:23">
      <c r="H89" s="173" t="str">
        <f t="shared" si="18"/>
        <v>Total</v>
      </c>
      <c r="I89" s="174"/>
      <c r="J89" s="161">
        <f>J52*CPI!$D$45/CPI!$D$46</f>
        <v>11127.027839999999</v>
      </c>
      <c r="K89" s="161">
        <f t="shared" si="16"/>
        <v>11497.292178904314</v>
      </c>
      <c r="L89" s="167">
        <f>L52*(CPI!$D$47/CPI!$D$46)</f>
        <v>12216.166936171172</v>
      </c>
      <c r="M89" s="167">
        <f>M52*(CPI!$D$48/CPI!$D$46)</f>
        <v>13550.012484102324</v>
      </c>
      <c r="N89" s="167">
        <f>N52*(CPI!$D$49/CPI!$D$46)</f>
        <v>14915.947933596342</v>
      </c>
      <c r="O89" s="167">
        <f>O52*(CPI!$D$50/CPI!$D$46)</f>
        <v>13025.274807541358</v>
      </c>
      <c r="P89" s="167">
        <f>P52*(CPI!$D$51/CPI!$D$46)</f>
        <v>13906.271986433037</v>
      </c>
      <c r="Q89" s="167">
        <f>Q52*(CPI!$D$52/CPI!$D$46)</f>
        <v>13871.806066365169</v>
      </c>
      <c r="R89" s="167">
        <f>R52*(CPI!$D$53/CPI!$D$46)</f>
        <v>14315.800279221719</v>
      </c>
      <c r="S89" s="167">
        <f>S52*(CPI!$D$54/CPI!$D$46)</f>
        <v>16398.09270268094</v>
      </c>
      <c r="T89" s="167">
        <f>T52*(CPI!$D$55/CPI!$D$46)</f>
        <v>15247.542701018359</v>
      </c>
      <c r="U89" s="167">
        <f>U52*(CPI!$D$56/CPI!$D$46)</f>
        <v>15736.25570255228</v>
      </c>
      <c r="V89" s="161">
        <f t="shared" si="17"/>
        <v>67613.674147844242</v>
      </c>
    </row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89"/>
  <sheetViews>
    <sheetView showGridLines="0" zoomScale="70" zoomScaleNormal="70" workbookViewId="0">
      <selection activeCell="I11" sqref="I11"/>
    </sheetView>
  </sheetViews>
  <sheetFormatPr defaultRowHeight="12.75"/>
  <cols>
    <col min="1" max="1" width="9.140625" style="192"/>
    <col min="2" max="2" width="28.42578125" style="192" customWidth="1"/>
    <col min="3" max="3" width="13" style="192" customWidth="1"/>
    <col min="4" max="4" width="12.7109375" style="192" customWidth="1"/>
    <col min="5" max="5" width="12.28515625" style="192" customWidth="1"/>
    <col min="6" max="6" width="13.140625" style="192" customWidth="1"/>
    <col min="7" max="7" width="12.28515625" style="192" customWidth="1"/>
    <col min="8" max="8" width="25.85546875" style="192" customWidth="1"/>
    <col min="9" max="9" width="18.28515625" style="192" customWidth="1"/>
    <col min="10" max="10" width="12.42578125" style="192" customWidth="1"/>
    <col min="11" max="11" width="23.28515625" style="192" customWidth="1"/>
    <col min="12" max="12" width="14.28515625" style="192" customWidth="1"/>
    <col min="13" max="13" width="15.140625" style="192" customWidth="1"/>
    <col min="14" max="14" width="12.28515625" style="192" customWidth="1"/>
    <col min="15" max="15" width="14.140625" style="192" customWidth="1"/>
    <col min="16" max="16" width="14.5703125" style="192" customWidth="1"/>
    <col min="17" max="17" width="14.28515625" style="192" customWidth="1"/>
    <col min="18" max="18" width="11.7109375" style="192" customWidth="1"/>
    <col min="19" max="19" width="14.7109375" style="192" customWidth="1"/>
    <col min="20" max="20" width="14" style="192" customWidth="1"/>
    <col min="21" max="21" width="13.7109375" style="192" customWidth="1"/>
    <col min="22" max="22" width="13.85546875" style="192" customWidth="1"/>
    <col min="23" max="16384" width="9.140625" style="192"/>
  </cols>
  <sheetData>
    <row r="2" spans="2:17">
      <c r="B2" s="191"/>
      <c r="C2" s="191"/>
      <c r="D2" s="81"/>
      <c r="E2" s="81"/>
      <c r="F2" s="81"/>
      <c r="G2" s="81"/>
      <c r="H2" s="81"/>
    </row>
    <row r="3" spans="2:17" ht="43.5" customHeight="1">
      <c r="B3" s="237" t="s">
        <v>103</v>
      </c>
      <c r="C3" s="234"/>
      <c r="D3" s="82" t="s">
        <v>91</v>
      </c>
      <c r="E3" s="81"/>
      <c r="F3" s="83" t="s">
        <v>21</v>
      </c>
      <c r="G3" s="84" t="s">
        <v>22</v>
      </c>
      <c r="H3" s="193"/>
    </row>
    <row r="4" spans="2:17" ht="15.75">
      <c r="B4" s="191"/>
      <c r="C4" s="194"/>
      <c r="D4" s="195"/>
      <c r="E4" s="196"/>
      <c r="F4" s="196"/>
      <c r="G4" s="196"/>
      <c r="H4" s="193"/>
    </row>
    <row r="7" spans="2:17">
      <c r="B7" s="197" t="s">
        <v>13</v>
      </c>
      <c r="K7" s="197" t="s">
        <v>14</v>
      </c>
    </row>
    <row r="8" spans="2:17">
      <c r="B8" s="197"/>
      <c r="H8" s="197"/>
      <c r="K8" s="197"/>
      <c r="Q8" s="197"/>
    </row>
    <row r="9" spans="2:17">
      <c r="B9" s="197" t="s">
        <v>98</v>
      </c>
      <c r="H9" s="197"/>
      <c r="K9" s="197" t="s">
        <v>90</v>
      </c>
      <c r="Q9" s="197"/>
    </row>
    <row r="10" spans="2:17">
      <c r="H10" s="197"/>
      <c r="Q10" s="197"/>
    </row>
    <row r="11" spans="2:17">
      <c r="B11" s="8" t="s">
        <v>6</v>
      </c>
      <c r="C11" s="8" t="s">
        <v>0</v>
      </c>
      <c r="D11" s="8" t="s">
        <v>1</v>
      </c>
      <c r="E11" s="8" t="s">
        <v>2</v>
      </c>
      <c r="F11" s="8" t="s">
        <v>3</v>
      </c>
      <c r="G11" s="8" t="s">
        <v>16</v>
      </c>
      <c r="H11" s="8" t="s">
        <v>5</v>
      </c>
      <c r="K11" s="8" t="s">
        <v>92</v>
      </c>
      <c r="L11" s="8" t="s">
        <v>0</v>
      </c>
      <c r="M11" s="8" t="s">
        <v>1</v>
      </c>
      <c r="N11" s="8" t="s">
        <v>2</v>
      </c>
      <c r="O11" s="8" t="s">
        <v>3</v>
      </c>
      <c r="P11" s="8" t="s">
        <v>106</v>
      </c>
      <c r="Q11" s="8" t="s">
        <v>5</v>
      </c>
    </row>
    <row r="12" spans="2:17">
      <c r="B12" s="33" t="s">
        <v>7</v>
      </c>
      <c r="C12" s="34"/>
      <c r="D12" s="34"/>
      <c r="E12" s="34"/>
      <c r="F12" s="34"/>
      <c r="G12" s="34"/>
      <c r="H12" s="35"/>
      <c r="K12" s="33" t="s">
        <v>7</v>
      </c>
      <c r="L12" s="34"/>
      <c r="M12" s="34"/>
      <c r="N12" s="34"/>
      <c r="O12" s="34"/>
      <c r="P12" s="34"/>
      <c r="Q12" s="35"/>
    </row>
    <row r="13" spans="2:17">
      <c r="B13" s="36" t="s">
        <v>104</v>
      </c>
      <c r="C13" s="96">
        <f>SUM('AER opex sheet APTNT'!C9:C10)*CPI!$D$42/CPI!$D$41</f>
        <v>8916.572580645161</v>
      </c>
      <c r="D13" s="96">
        <f>SUM('AER opex sheet APTNT'!D9:D10)*CPI!$D$43/CPI!$D$41</f>
        <v>10861.358870967742</v>
      </c>
      <c r="E13" s="96">
        <f>SUM('AER opex sheet APTNT'!E9:E10)*CPI!$D$44/CPI!$D$41</f>
        <v>9543.8104838709678</v>
      </c>
      <c r="F13" s="96">
        <f>SUM('AER opex sheet APTNT'!F9:F10)*CPI!$D$45/CPI!$D$41</f>
        <v>9728.0997983870966</v>
      </c>
      <c r="G13" s="96">
        <f>SUM('AER opex sheet APTNT'!G9:G10)*CPI!$D$46/CPI!$D$41</f>
        <v>12281.008606350808</v>
      </c>
      <c r="H13" s="97">
        <f>SUM(C13:G13)</f>
        <v>51330.850340221776</v>
      </c>
      <c r="K13" s="36" t="s">
        <v>104</v>
      </c>
      <c r="L13" s="96">
        <f>SUM('AER opex sheet APTNT'!C9:C10)*CPI!$D$46/CPI!$D$41</f>
        <v>9790.5787550403238</v>
      </c>
      <c r="M13" s="96">
        <f>SUM('AER opex sheet APTNT'!D9:D10)*CPI!$D$46/CPI!$D$41</f>
        <v>11647.56594002016</v>
      </c>
      <c r="N13" s="96">
        <f>SUM('AER opex sheet APTNT'!E9:E10)*CPI!$D$46/CPI!$D$41</f>
        <v>9935.0481350806458</v>
      </c>
      <c r="O13" s="96">
        <f>SUM('AER opex sheet APTNT'!F9:F10)*CPI!$D$46/CPI!$D$41</f>
        <v>9976.1663432459682</v>
      </c>
      <c r="P13" s="96">
        <f>SUM('AER opex sheet APTNT'!G9:G10)*CPI!$D$46/CPI!$D$41</f>
        <v>12281.008606350808</v>
      </c>
      <c r="Q13" s="97">
        <f>SUM(L13:P13)</f>
        <v>53630.367779737906</v>
      </c>
    </row>
    <row r="14" spans="2:17">
      <c r="B14" s="36" t="s">
        <v>54</v>
      </c>
      <c r="C14" s="96">
        <f>'AER opex sheet APTNT'!C11*CPI!$D$42/CPI!$D$41</f>
        <v>4425.8991935483873</v>
      </c>
      <c r="D14" s="96">
        <f>'AER opex sheet APTNT'!D11*CPI!$D$43/CPI!$D$41</f>
        <v>4596.9838709677415</v>
      </c>
      <c r="E14" s="96">
        <f>'AER opex sheet APTNT'!E11*CPI!$D$44/CPI!$D$41</f>
        <v>4771.9052419354839</v>
      </c>
      <c r="F14" s="96">
        <f>'AER opex sheet APTNT'!F11*CPI!$D$45/CPI!$D$41</f>
        <v>5594.9848790322576</v>
      </c>
      <c r="G14" s="96">
        <f>'AER opex sheet APTNT'!G11*CPI!$D$46/CPI!$D$41</f>
        <v>5045.3152721774195</v>
      </c>
      <c r="H14" s="97">
        <f>SUM(C14:G14)</f>
        <v>24435.088457661292</v>
      </c>
      <c r="K14" s="36" t="s">
        <v>54</v>
      </c>
      <c r="L14" s="96">
        <f>'AER opex sheet APTNT'!C11*CPI!$D$46/CPI!$D$41</f>
        <v>4859.7276839717742</v>
      </c>
      <c r="M14" s="96">
        <f>'AER opex sheet APTNT'!D11*CPI!$D$46/CPI!$D$41</f>
        <v>4929.7397681451621</v>
      </c>
      <c r="N14" s="96">
        <f>'AER opex sheet APTNT'!E11*CPI!$D$46/CPI!$D$41</f>
        <v>4967.5240675403229</v>
      </c>
      <c r="O14" s="96">
        <f>'AER opex sheet APTNT'!F11*CPI!$D$46/CPI!$D$41</f>
        <v>5737.656993447581</v>
      </c>
      <c r="P14" s="96">
        <f>'AER opex sheet APTNT'!G11*CPI!$D$46/CPI!$D$41</f>
        <v>5045.3152721774195</v>
      </c>
      <c r="Q14" s="97">
        <f>SUM(L14:P14)</f>
        <v>25539.96378528226</v>
      </c>
    </row>
    <row r="15" spans="2:17">
      <c r="B15" s="36" t="s">
        <v>37</v>
      </c>
      <c r="C15" s="96">
        <f>'AER opex sheet APTNT'!C12*CPI!$D$42/CPI!$D$41</f>
        <v>62.75</v>
      </c>
      <c r="D15" s="96">
        <f>'AER opex sheet APTNT'!D12*CPI!$D$43/CPI!$D$41</f>
        <v>64.249999999999986</v>
      </c>
      <c r="E15" s="96">
        <f>'AER opex sheet APTNT'!E12*CPI!$D$44/CPI!$D$41</f>
        <v>66.1875</v>
      </c>
      <c r="F15" s="96">
        <f>'AER opex sheet APTNT'!F12*CPI!$D$45/CPI!$D$41</f>
        <v>67.1875</v>
      </c>
      <c r="G15" s="96">
        <f>'AER opex sheet APTNT'!G12*CPI!$D$46/CPI!$D$41</f>
        <v>68.900781250000009</v>
      </c>
      <c r="H15" s="97">
        <f>SUM(C15:G15)</f>
        <v>329.27578125000002</v>
      </c>
      <c r="K15" s="36" t="s">
        <v>37</v>
      </c>
      <c r="L15" s="96">
        <f>'AER opex sheet APTNT'!C12*CPI!$D$46/CPI!$D$41</f>
        <v>68.900781250000009</v>
      </c>
      <c r="M15" s="96">
        <f>'AER opex sheet APTNT'!D12*CPI!$D$46/CPI!$D$41</f>
        <v>68.900781250000009</v>
      </c>
      <c r="N15" s="96">
        <f>'AER opex sheet APTNT'!E12*CPI!$D$46/CPI!$D$41</f>
        <v>68.900781250000009</v>
      </c>
      <c r="O15" s="96">
        <f>'AER opex sheet APTNT'!F12*CPI!$D$46/CPI!$D$41</f>
        <v>68.900781250000009</v>
      </c>
      <c r="P15" s="96">
        <f>'AER opex sheet APTNT'!G12*CPI!$D$46/CPI!$D$41</f>
        <v>68.900781250000009</v>
      </c>
      <c r="Q15" s="97">
        <f>SUM(L15:P15)</f>
        <v>344.50390625000006</v>
      </c>
    </row>
    <row r="16" spans="2:17">
      <c r="B16" s="7" t="s">
        <v>9</v>
      </c>
      <c r="C16" s="97">
        <f>SUM(C13:C15)</f>
        <v>13405.221774193549</v>
      </c>
      <c r="D16" s="97">
        <f>SUM(D13:D15)</f>
        <v>15522.592741935485</v>
      </c>
      <c r="E16" s="97">
        <f>SUM(E13:E15)</f>
        <v>14381.903225806451</v>
      </c>
      <c r="F16" s="97">
        <f>SUM(F13:F15)</f>
        <v>15390.272177419354</v>
      </c>
      <c r="G16" s="97">
        <f>SUM(G13:G15)</f>
        <v>17395.224659778225</v>
      </c>
      <c r="H16" s="97">
        <f>SUM(C16:G16)</f>
        <v>76095.214579133069</v>
      </c>
      <c r="K16" s="7" t="s">
        <v>9</v>
      </c>
      <c r="L16" s="97">
        <f>SUM(L13:L15)</f>
        <v>14719.207220262098</v>
      </c>
      <c r="M16" s="97">
        <f>SUM(M13:M15)</f>
        <v>16646.206489415323</v>
      </c>
      <c r="N16" s="97">
        <f>SUM(N13:N15)</f>
        <v>14971.47298387097</v>
      </c>
      <c r="O16" s="97">
        <f>SUM(O13:O15)</f>
        <v>15782.72411794355</v>
      </c>
      <c r="P16" s="97">
        <f>SUM(P13:P15)</f>
        <v>17395.224659778225</v>
      </c>
      <c r="Q16" s="97">
        <f>SUM(L16:P16)</f>
        <v>79514.835471270169</v>
      </c>
    </row>
    <row r="17" spans="2:17">
      <c r="B17" s="33" t="s">
        <v>15</v>
      </c>
      <c r="C17" s="98"/>
      <c r="D17" s="98"/>
      <c r="E17" s="98"/>
      <c r="F17" s="98"/>
      <c r="G17" s="98"/>
      <c r="H17" s="99"/>
      <c r="K17" s="33" t="s">
        <v>15</v>
      </c>
      <c r="L17" s="98"/>
      <c r="M17" s="98"/>
      <c r="N17" s="98"/>
      <c r="O17" s="98"/>
      <c r="P17" s="98"/>
      <c r="Q17" s="99"/>
    </row>
    <row r="18" spans="2:17">
      <c r="B18" s="36" t="s">
        <v>104</v>
      </c>
      <c r="C18" s="102">
        <v>7352.1309499999988</v>
      </c>
      <c r="D18" s="102">
        <v>7006.916140000003</v>
      </c>
      <c r="E18" s="102">
        <v>8385.1044199999942</v>
      </c>
      <c r="F18" s="102">
        <v>8774.6843899999985</v>
      </c>
      <c r="G18" s="102">
        <f>K36</f>
        <v>8690.9883779204138</v>
      </c>
      <c r="H18" s="101">
        <f>SUM(C18:G18)</f>
        <v>40209.824277920408</v>
      </c>
      <c r="K18" s="36" t="s">
        <v>104</v>
      </c>
      <c r="L18" s="100">
        <f>C18*CPI!$D$46/CPI!$D$42</f>
        <v>8072.7899013116275</v>
      </c>
      <c r="M18" s="100">
        <f>D18*CPI!$D$46/CPI!$D$43</f>
        <v>7514.1166723616288</v>
      </c>
      <c r="N18" s="100">
        <f>E18*CPI!$D$46/CPI!$D$44</f>
        <v>8728.8422345734125</v>
      </c>
      <c r="O18" s="100">
        <f>F18*CPI!$D$46/CPI!$D$45</f>
        <v>8998.4388419449988</v>
      </c>
      <c r="P18" s="100">
        <f>K36</f>
        <v>8690.9883779204138</v>
      </c>
      <c r="Q18" s="101">
        <f>SUM(L18:P18)</f>
        <v>42005.176028112081</v>
      </c>
    </row>
    <row r="19" spans="2:17">
      <c r="B19" s="36" t="s">
        <v>54</v>
      </c>
      <c r="C19" s="102">
        <v>3671.5363000000007</v>
      </c>
      <c r="D19" s="102">
        <v>3019.4133999999995</v>
      </c>
      <c r="E19" s="102">
        <v>2915.30269</v>
      </c>
      <c r="F19" s="102">
        <v>2709.1645299999991</v>
      </c>
      <c r="G19" s="102">
        <f>K40</f>
        <v>2796.9213168939004</v>
      </c>
      <c r="H19" s="101">
        <f>SUM(C19:G19)</f>
        <v>15112.3382368939</v>
      </c>
      <c r="K19" s="36" t="s">
        <v>54</v>
      </c>
      <c r="L19" s="100">
        <f>C19*CPI!$D$46/CPI!$D$42</f>
        <v>4031.42182402764</v>
      </c>
      <c r="M19" s="100">
        <f>D19*CPI!$D$46/CPI!$D$43</f>
        <v>3237.9757537232485</v>
      </c>
      <c r="N19" s="100">
        <f>E19*CPI!$D$46/CPI!$D$44</f>
        <v>3034.8122065529983</v>
      </c>
      <c r="O19" s="100">
        <f>F19*CPI!$D$46/CPI!$D$45</f>
        <v>2778.2482255149994</v>
      </c>
      <c r="P19" s="100">
        <f>K40</f>
        <v>2796.9213168939004</v>
      </c>
      <c r="Q19" s="101">
        <f>SUM(L19:P19)</f>
        <v>15879.379326712786</v>
      </c>
    </row>
    <row r="20" spans="2:17">
      <c r="B20" s="36" t="s">
        <v>37</v>
      </c>
      <c r="C20" s="102">
        <v>39.859139999999996</v>
      </c>
      <c r="D20" s="102">
        <v>34.114460000000001</v>
      </c>
      <c r="E20" s="102">
        <v>24.295000000000002</v>
      </c>
      <c r="F20" s="102">
        <v>9.1491799999999994</v>
      </c>
      <c r="G20" s="102">
        <f>K44</f>
        <v>9.3824840900000002</v>
      </c>
      <c r="H20" s="101">
        <f>SUM(C20:G20)</f>
        <v>116.80026409000001</v>
      </c>
      <c r="K20" s="36" t="s">
        <v>37</v>
      </c>
      <c r="L20" s="100">
        <f>C20*CPI!$D$46/CPI!$D$42</f>
        <v>43.766149576942226</v>
      </c>
      <c r="M20" s="100">
        <f>D20*CPI!$D$46/CPI!$D$43</f>
        <v>36.583859080496111</v>
      </c>
      <c r="N20" s="100">
        <f>E20*CPI!$D$46/CPI!$D$44</f>
        <v>25.290945880547689</v>
      </c>
      <c r="O20" s="100">
        <f>F20*CPI!$D$46/CPI!$D$45</f>
        <v>9.3824840900000002</v>
      </c>
      <c r="P20" s="100">
        <f>K44</f>
        <v>9.3824840900000002</v>
      </c>
      <c r="Q20" s="101">
        <f>SUM(L20:P20)</f>
        <v>124.40592271798604</v>
      </c>
    </row>
    <row r="21" spans="2:17">
      <c r="B21" s="7" t="s">
        <v>11</v>
      </c>
      <c r="C21" s="101">
        <f>SUM(C18:C20)</f>
        <v>11063.526389999999</v>
      </c>
      <c r="D21" s="101">
        <f>SUM(D18:D20)</f>
        <v>10060.444000000003</v>
      </c>
      <c r="E21" s="101">
        <f>SUM(E18:E20)</f>
        <v>11324.702109999995</v>
      </c>
      <c r="F21" s="101">
        <f>SUM(F18:F20)</f>
        <v>11492.998099999997</v>
      </c>
      <c r="G21" s="101">
        <f>SUM(G18:G20)</f>
        <v>11497.292178904314</v>
      </c>
      <c r="H21" s="101">
        <f>SUM(C21:G21)</f>
        <v>55438.962778904315</v>
      </c>
      <c r="K21" s="7" t="s">
        <v>11</v>
      </c>
      <c r="L21" s="101">
        <f>SUM(L18:L20)</f>
        <v>12147.977874916211</v>
      </c>
      <c r="M21" s="101">
        <f>SUM(M18:M20)</f>
        <v>10788.676285165373</v>
      </c>
      <c r="N21" s="101">
        <f>SUM(N18:N20)</f>
        <v>11788.945387006959</v>
      </c>
      <c r="O21" s="101">
        <f>SUM(O18:O20)</f>
        <v>11786.069551549997</v>
      </c>
      <c r="P21" s="101">
        <f>SUM(P18:P20)</f>
        <v>11497.292178904314</v>
      </c>
      <c r="Q21" s="101">
        <f>SUM(L21:P21)</f>
        <v>58008.961277542854</v>
      </c>
    </row>
    <row r="22" spans="2:17">
      <c r="B22" s="33" t="s">
        <v>10</v>
      </c>
      <c r="C22" s="98"/>
      <c r="D22" s="98"/>
      <c r="E22" s="98"/>
      <c r="F22" s="98"/>
      <c r="G22" s="98"/>
      <c r="H22" s="99"/>
      <c r="K22" s="33" t="s">
        <v>10</v>
      </c>
      <c r="L22" s="98"/>
      <c r="M22" s="98"/>
      <c r="N22" s="98"/>
      <c r="O22" s="98"/>
      <c r="P22" s="98"/>
      <c r="Q22" s="99"/>
    </row>
    <row r="23" spans="2:17">
      <c r="B23" s="36" t="s">
        <v>104</v>
      </c>
      <c r="C23" s="96">
        <f t="shared" ref="C23:G26" si="0">C18-C13</f>
        <v>-1564.4416306451621</v>
      </c>
      <c r="D23" s="96">
        <f t="shared" si="0"/>
        <v>-3854.4427309677394</v>
      </c>
      <c r="E23" s="96">
        <f t="shared" si="0"/>
        <v>-1158.7060638709736</v>
      </c>
      <c r="F23" s="96">
        <f t="shared" si="0"/>
        <v>-953.41540838709807</v>
      </c>
      <c r="G23" s="96">
        <f t="shared" si="0"/>
        <v>-3590.0202284303941</v>
      </c>
      <c r="H23" s="96">
        <f>SUM(C23:G23)</f>
        <v>-11121.026062301367</v>
      </c>
      <c r="K23" s="36" t="s">
        <v>104</v>
      </c>
      <c r="L23" s="96">
        <f t="shared" ref="L23:P26" si="1">L18-L13</f>
        <v>-1717.7888537286963</v>
      </c>
      <c r="M23" s="96">
        <f t="shared" si="1"/>
        <v>-4133.4492676585314</v>
      </c>
      <c r="N23" s="96">
        <f t="shared" si="1"/>
        <v>-1206.2059005072333</v>
      </c>
      <c r="O23" s="96">
        <f t="shared" si="1"/>
        <v>-977.72750130096938</v>
      </c>
      <c r="P23" s="96">
        <f t="shared" si="1"/>
        <v>-3590.0202284303941</v>
      </c>
      <c r="Q23" s="96">
        <f>SUM(L23:P23)</f>
        <v>-11625.191751625825</v>
      </c>
    </row>
    <row r="24" spans="2:17">
      <c r="B24" s="36" t="s">
        <v>54</v>
      </c>
      <c r="C24" s="96">
        <f t="shared" si="0"/>
        <v>-754.36289354838664</v>
      </c>
      <c r="D24" s="96">
        <f t="shared" si="0"/>
        <v>-1577.570470967742</v>
      </c>
      <c r="E24" s="96">
        <f t="shared" si="0"/>
        <v>-1856.6025519354839</v>
      </c>
      <c r="F24" s="96">
        <f t="shared" si="0"/>
        <v>-2885.8203490322585</v>
      </c>
      <c r="G24" s="96">
        <f t="shared" si="0"/>
        <v>-2248.3939552835191</v>
      </c>
      <c r="H24" s="96">
        <f>SUM(C24:G24)</f>
        <v>-9322.7502207673897</v>
      </c>
      <c r="K24" s="36" t="s">
        <v>54</v>
      </c>
      <c r="L24" s="96">
        <f t="shared" si="1"/>
        <v>-828.30585994413423</v>
      </c>
      <c r="M24" s="96">
        <f t="shared" si="1"/>
        <v>-1691.7640144219135</v>
      </c>
      <c r="N24" s="96">
        <f t="shared" si="1"/>
        <v>-1932.7118609873246</v>
      </c>
      <c r="O24" s="96">
        <f t="shared" si="1"/>
        <v>-2959.4087679325817</v>
      </c>
      <c r="P24" s="96">
        <f t="shared" si="1"/>
        <v>-2248.3939552835191</v>
      </c>
      <c r="Q24" s="96">
        <f>SUM(L24:P24)</f>
        <v>-9660.5844585694722</v>
      </c>
    </row>
    <row r="25" spans="2:17">
      <c r="B25" s="36" t="s">
        <v>37</v>
      </c>
      <c r="C25" s="96">
        <f t="shared" si="0"/>
        <v>-22.890860000000004</v>
      </c>
      <c r="D25" s="96">
        <f t="shared" si="0"/>
        <v>-30.135539999999985</v>
      </c>
      <c r="E25" s="96">
        <f t="shared" si="0"/>
        <v>-41.892499999999998</v>
      </c>
      <c r="F25" s="96">
        <f t="shared" si="0"/>
        <v>-58.038319999999999</v>
      </c>
      <c r="G25" s="96">
        <f t="shared" si="0"/>
        <v>-59.51829716000001</v>
      </c>
      <c r="H25" s="96">
        <f>SUM(C25:G25)</f>
        <v>-212.47551715999998</v>
      </c>
      <c r="K25" s="36" t="s">
        <v>37</v>
      </c>
      <c r="L25" s="96">
        <f t="shared" si="1"/>
        <v>-25.134631673057783</v>
      </c>
      <c r="M25" s="96">
        <f t="shared" si="1"/>
        <v>-32.316922169503897</v>
      </c>
      <c r="N25" s="96">
        <f t="shared" si="1"/>
        <v>-43.60983536945232</v>
      </c>
      <c r="O25" s="96">
        <f t="shared" si="1"/>
        <v>-59.51829716000001</v>
      </c>
      <c r="P25" s="96">
        <f t="shared" si="1"/>
        <v>-59.51829716000001</v>
      </c>
      <c r="Q25" s="96">
        <f>SUM(L25:P25)</f>
        <v>-220.09798353201401</v>
      </c>
    </row>
    <row r="26" spans="2:17">
      <c r="B26" s="7" t="s">
        <v>12</v>
      </c>
      <c r="C26" s="96">
        <f t="shared" si="0"/>
        <v>-2341.6953841935501</v>
      </c>
      <c r="D26" s="96">
        <f t="shared" si="0"/>
        <v>-5462.1487419354817</v>
      </c>
      <c r="E26" s="96">
        <f t="shared" si="0"/>
        <v>-3057.2011158064561</v>
      </c>
      <c r="F26" s="96">
        <f t="shared" si="0"/>
        <v>-3897.2740774193571</v>
      </c>
      <c r="G26" s="96">
        <f t="shared" si="0"/>
        <v>-5897.9324808739111</v>
      </c>
      <c r="H26" s="96">
        <f>SUM(C26:G26)</f>
        <v>-20656.251800228754</v>
      </c>
      <c r="K26" s="7" t="s">
        <v>12</v>
      </c>
      <c r="L26" s="96">
        <f t="shared" si="1"/>
        <v>-2571.2293453458879</v>
      </c>
      <c r="M26" s="96">
        <f t="shared" si="1"/>
        <v>-5857.5302042499497</v>
      </c>
      <c r="N26" s="96">
        <f t="shared" si="1"/>
        <v>-3182.5275968640108</v>
      </c>
      <c r="O26" s="96">
        <f t="shared" si="1"/>
        <v>-3996.6545663935522</v>
      </c>
      <c r="P26" s="96">
        <f t="shared" si="1"/>
        <v>-5897.9324808739111</v>
      </c>
      <c r="Q26" s="96">
        <f>SUM(L26:P26)</f>
        <v>-21505.874193727312</v>
      </c>
    </row>
    <row r="27" spans="2:17">
      <c r="C27" s="198" t="str">
        <f>IF(C21='[7]Actual Reg Opex'!C11,"Ok","Check")</f>
        <v>Ok</v>
      </c>
      <c r="D27" s="198" t="str">
        <f>IF(D21='[7]Actual Reg Opex'!D11,"Ok","Check")</f>
        <v>Ok</v>
      </c>
      <c r="E27" s="198" t="str">
        <f>IF(E21='[7]Actual Reg Opex'!E11,"Ok","Check")</f>
        <v>Ok</v>
      </c>
      <c r="F27" s="198" t="str">
        <f>IF(F21='[7]Actual Reg Opex'!F11,"Ok","Check")</f>
        <v>Ok</v>
      </c>
    </row>
    <row r="29" spans="2:17">
      <c r="J29" s="199"/>
    </row>
    <row r="30" spans="2:17">
      <c r="O30" s="199"/>
    </row>
    <row r="32" spans="2:17">
      <c r="B32" s="197" t="s">
        <v>112</v>
      </c>
      <c r="H32" s="197" t="s">
        <v>99</v>
      </c>
      <c r="I32" s="197"/>
    </row>
    <row r="34" spans="2:23" ht="38.25">
      <c r="B34" s="8" t="s">
        <v>6</v>
      </c>
      <c r="C34" s="8"/>
      <c r="D34" s="8"/>
      <c r="E34" s="8"/>
      <c r="F34" s="8"/>
      <c r="H34" s="8" t="s">
        <v>92</v>
      </c>
      <c r="I34" s="8"/>
      <c r="J34" s="226" t="s">
        <v>117</v>
      </c>
      <c r="K34" s="8" t="s">
        <v>106</v>
      </c>
      <c r="L34" s="8" t="s">
        <v>4</v>
      </c>
      <c r="M34" s="8" t="s">
        <v>17</v>
      </c>
      <c r="N34" s="8" t="s">
        <v>18</v>
      </c>
      <c r="O34" s="8" t="s">
        <v>19</v>
      </c>
      <c r="P34" s="8" t="s">
        <v>20</v>
      </c>
      <c r="Q34" s="8" t="s">
        <v>93</v>
      </c>
      <c r="R34" s="8" t="s">
        <v>94</v>
      </c>
      <c r="S34" s="8" t="s">
        <v>95</v>
      </c>
      <c r="T34" s="8" t="s">
        <v>96</v>
      </c>
      <c r="U34" s="8" t="s">
        <v>97</v>
      </c>
      <c r="V34" s="8" t="s">
        <v>118</v>
      </c>
    </row>
    <row r="35" spans="2:23" ht="25.5">
      <c r="B35" s="33" t="s">
        <v>100</v>
      </c>
      <c r="C35" s="112" t="s">
        <v>110</v>
      </c>
      <c r="D35" s="33" t="s">
        <v>102</v>
      </c>
      <c r="E35" s="112" t="s">
        <v>119</v>
      </c>
      <c r="F35" s="112" t="s">
        <v>116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2:23">
      <c r="B36" s="197" t="s">
        <v>101</v>
      </c>
      <c r="C36" s="197" t="s">
        <v>5</v>
      </c>
      <c r="D36" s="101">
        <f>SUM(D37:D39)</f>
        <v>8774.6843899999985</v>
      </c>
      <c r="E36" s="101">
        <f>SUM(E37:E39)</f>
        <v>-365.97026</v>
      </c>
      <c r="F36" s="101">
        <f>SUM(D36:E36)</f>
        <v>8408.7141299999985</v>
      </c>
      <c r="H36" s="200" t="str">
        <f>B36</f>
        <v>Operations and maintenance</v>
      </c>
      <c r="I36" s="201"/>
      <c r="J36" s="97">
        <f t="shared" ref="J36:U36" si="2">SUM(J37:J39)</f>
        <v>8623.136340314999</v>
      </c>
      <c r="K36" s="97">
        <f t="shared" si="2"/>
        <v>8690.9883779204138</v>
      </c>
      <c r="L36" s="101">
        <f t="shared" si="2"/>
        <v>9100.5919506855334</v>
      </c>
      <c r="M36" s="101">
        <f t="shared" si="2"/>
        <v>10062.401573496667</v>
      </c>
      <c r="N36" s="101">
        <f t="shared" si="2"/>
        <v>10997.101348926413</v>
      </c>
      <c r="O36" s="101">
        <f t="shared" si="2"/>
        <v>8929.0153371710512</v>
      </c>
      <c r="P36" s="101">
        <f t="shared" si="2"/>
        <v>9402.3190736426077</v>
      </c>
      <c r="Q36" s="101">
        <f t="shared" si="2"/>
        <v>9055.0995527376162</v>
      </c>
      <c r="R36" s="101">
        <f t="shared" si="2"/>
        <v>9118.9939998596801</v>
      </c>
      <c r="S36" s="101">
        <f t="shared" si="2"/>
        <v>10516.250640511922</v>
      </c>
      <c r="T36" s="101">
        <f t="shared" si="2"/>
        <v>9248.5132196263185</v>
      </c>
      <c r="U36" s="101">
        <f t="shared" si="2"/>
        <v>9314.1483897503786</v>
      </c>
      <c r="V36" s="97">
        <f>SUM(L36:P36)</f>
        <v>48491.429283922276</v>
      </c>
    </row>
    <row r="37" spans="2:23">
      <c r="C37" s="192" t="s">
        <v>107</v>
      </c>
      <c r="D37" s="102">
        <v>5446.4692499999983</v>
      </c>
      <c r="E37" s="102">
        <f>'Opex MEJ adjustment APTNT'!D8</f>
        <v>-93.392499999999998</v>
      </c>
      <c r="F37" s="100">
        <f>SUM(D37:E37)</f>
        <v>5353.0767499999984</v>
      </c>
      <c r="H37" s="200"/>
      <c r="I37" s="201" t="s">
        <v>107</v>
      </c>
      <c r="J37" s="202">
        <f>F37*CPI!$D$46/CPI!$D$45</f>
        <v>5489.5802071249991</v>
      </c>
      <c r="K37" s="96">
        <f>J37*(1+K59)</f>
        <v>5544.4760091962489</v>
      </c>
      <c r="L37" s="100">
        <f>(K37-K49)*(1+L59)+L49</f>
        <v>5581.3897586064268</v>
      </c>
      <c r="M37" s="100">
        <f t="shared" ref="M37:U38" si="3">(L37-L49)*(1+M59)+M49</f>
        <v>5640.5587181079281</v>
      </c>
      <c r="N37" s="100">
        <f t="shared" si="3"/>
        <v>5705.4591911156294</v>
      </c>
      <c r="O37" s="100">
        <f t="shared" si="3"/>
        <v>5735.3799743380168</v>
      </c>
      <c r="P37" s="100">
        <f t="shared" si="3"/>
        <v>5791.432903179365</v>
      </c>
      <c r="Q37" s="100">
        <f t="shared" si="3"/>
        <v>5839.0813796540215</v>
      </c>
      <c r="R37" s="100">
        <f t="shared" si="3"/>
        <v>5891.6331120709074</v>
      </c>
      <c r="S37" s="100">
        <f t="shared" si="3"/>
        <v>5957.9839582093946</v>
      </c>
      <c r="T37" s="100">
        <f t="shared" si="3"/>
        <v>5998.1597303702601</v>
      </c>
      <c r="U37" s="100">
        <f t="shared" si="3"/>
        <v>6052.1431679435918</v>
      </c>
      <c r="V37" s="202">
        <f t="shared" ref="V37:V52" si="4">SUM(L37:P37)</f>
        <v>28454.220545347362</v>
      </c>
    </row>
    <row r="38" spans="2:23">
      <c r="C38" s="192" t="s">
        <v>108</v>
      </c>
      <c r="D38" s="102">
        <v>1398.2067999999997</v>
      </c>
      <c r="E38" s="102">
        <f>'Opex MEJ adjustment APTNT'!D9</f>
        <v>-249.65527000000003</v>
      </c>
      <c r="F38" s="100">
        <f>SUM(D38:E38)</f>
        <v>1148.5515299999997</v>
      </c>
      <c r="H38" s="200"/>
      <c r="I38" s="201" t="s">
        <v>108</v>
      </c>
      <c r="J38" s="202">
        <f>F38*CPI!$D$46/CPI!$D$45</f>
        <v>1177.8395940149996</v>
      </c>
      <c r="K38" s="96">
        <f>J38*(1+K60)</f>
        <v>1190.7958295491646</v>
      </c>
      <c r="L38" s="100">
        <f>(K38-K50)*(1+L60)+L50</f>
        <v>1538.3609029041072</v>
      </c>
      <c r="M38" s="100">
        <f>(L38-L50)*(1+M60)+M50</f>
        <v>2379.9843162137381</v>
      </c>
      <c r="N38" s="100">
        <f t="shared" si="3"/>
        <v>3192.3556186357846</v>
      </c>
      <c r="O38" s="100">
        <f t="shared" si="3"/>
        <v>1237.9188236580349</v>
      </c>
      <c r="P38" s="100">
        <f t="shared" si="3"/>
        <v>1626.4556312882423</v>
      </c>
      <c r="Q38" s="100">
        <f t="shared" si="3"/>
        <v>1260.3016339085955</v>
      </c>
      <c r="R38" s="100">
        <f t="shared" si="3"/>
        <v>1271.6443486137728</v>
      </c>
      <c r="S38" s="100">
        <f t="shared" si="3"/>
        <v>2516.4081431275263</v>
      </c>
      <c r="T38" s="100">
        <f t="shared" si="3"/>
        <v>1294.6369500810581</v>
      </c>
      <c r="U38" s="100">
        <f t="shared" si="3"/>
        <v>1306.2886826317874</v>
      </c>
      <c r="V38" s="202">
        <f t="shared" si="4"/>
        <v>9975.0752926999048</v>
      </c>
    </row>
    <row r="39" spans="2:23">
      <c r="C39" s="192" t="s">
        <v>111</v>
      </c>
      <c r="D39" s="102">
        <v>1930.0083400000001</v>
      </c>
      <c r="E39" s="102">
        <f>'Opex MEJ adjustment APTNT'!D10</f>
        <v>-22.922490000000007</v>
      </c>
      <c r="F39" s="100">
        <f>SUM(D39:E39)</f>
        <v>1907.0858500000002</v>
      </c>
      <c r="H39" s="200"/>
      <c r="I39" s="201" t="s">
        <v>111</v>
      </c>
      <c r="J39" s="202">
        <f>F39*CPI!$D$46/CPI!$D$45</f>
        <v>1955.7165391750002</v>
      </c>
      <c r="K39" s="96">
        <f>J39*(1+K61)</f>
        <v>1955.7165391750002</v>
      </c>
      <c r="L39" s="100">
        <f>(K39-K51)*(1+L61)+L51</f>
        <v>1980.8412891750002</v>
      </c>
      <c r="M39" s="100">
        <f t="shared" ref="M39:U39" si="5">(L39-L51)*(1+M61)+M51</f>
        <v>2041.8585391750003</v>
      </c>
      <c r="N39" s="100">
        <f t="shared" si="5"/>
        <v>2099.2865391750001</v>
      </c>
      <c r="O39" s="100">
        <f t="shared" si="5"/>
        <v>1955.7165391750002</v>
      </c>
      <c r="P39" s="100">
        <f t="shared" si="5"/>
        <v>1984.4305391750001</v>
      </c>
      <c r="Q39" s="100">
        <f t="shared" si="5"/>
        <v>1955.7165391750002</v>
      </c>
      <c r="R39" s="100">
        <f t="shared" si="5"/>
        <v>1955.7165391750002</v>
      </c>
      <c r="S39" s="100">
        <f t="shared" si="5"/>
        <v>2041.8585391750003</v>
      </c>
      <c r="T39" s="100">
        <f t="shared" si="5"/>
        <v>1955.7165391750002</v>
      </c>
      <c r="U39" s="100">
        <f t="shared" si="5"/>
        <v>1955.7165391750002</v>
      </c>
      <c r="V39" s="202">
        <f t="shared" si="4"/>
        <v>10062.133445875001</v>
      </c>
      <c r="W39" s="203"/>
    </row>
    <row r="40" spans="2:23">
      <c r="B40" s="197" t="s">
        <v>54</v>
      </c>
      <c r="C40" s="197" t="s">
        <v>5</v>
      </c>
      <c r="D40" s="101">
        <f>SUM(D41:D43)</f>
        <v>2709.1645300000005</v>
      </c>
      <c r="E40" s="101">
        <f>SUM(E41:E43)</f>
        <v>0</v>
      </c>
      <c r="F40" s="101">
        <f>SUM(D40:E40)</f>
        <v>2709.1645300000005</v>
      </c>
      <c r="H40" s="200" t="str">
        <f t="shared" ref="H40:H44" si="6">B40</f>
        <v>Corporate</v>
      </c>
      <c r="I40" s="201"/>
      <c r="J40" s="97">
        <f t="shared" ref="J40:U40" si="7">SUM(J41:J43)</f>
        <v>2778.2482255150007</v>
      </c>
      <c r="K40" s="97">
        <f>SUM(K41:K43)</f>
        <v>2796.9213168939004</v>
      </c>
      <c r="L40" s="101">
        <f t="shared" si="7"/>
        <v>2808.2372102695135</v>
      </c>
      <c r="M40" s="101">
        <f t="shared" si="7"/>
        <v>2825.3128933733142</v>
      </c>
      <c r="N40" s="101">
        <f t="shared" si="7"/>
        <v>2844.4566314307976</v>
      </c>
      <c r="O40" s="101">
        <f t="shared" si="7"/>
        <v>2861.8582893250496</v>
      </c>
      <c r="P40" s="101">
        <f t="shared" si="7"/>
        <v>2879.4165621403495</v>
      </c>
      <c r="Q40" s="101">
        <f t="shared" si="7"/>
        <v>2897.1328594109873</v>
      </c>
      <c r="R40" s="101">
        <f t="shared" si="7"/>
        <v>2915.0086033570615</v>
      </c>
      <c r="S40" s="101">
        <f t="shared" si="7"/>
        <v>2933.0452289986497</v>
      </c>
      <c r="T40" s="101">
        <f t="shared" si="7"/>
        <v>2951.2441842710123</v>
      </c>
      <c r="U40" s="101">
        <f t="shared" si="7"/>
        <v>2969.6069301408261</v>
      </c>
      <c r="V40" s="97">
        <f t="shared" si="4"/>
        <v>14219.281586539024</v>
      </c>
    </row>
    <row r="41" spans="2:23">
      <c r="C41" s="192" t="s">
        <v>107</v>
      </c>
      <c r="D41" s="102">
        <v>1820.8767800000003</v>
      </c>
      <c r="E41" s="102"/>
      <c r="F41" s="100">
        <f>D41-E41</f>
        <v>1820.8767800000003</v>
      </c>
      <c r="H41" s="200"/>
      <c r="I41" s="201" t="s">
        <v>107</v>
      </c>
      <c r="J41" s="96">
        <f>F41*CPI!$D$46/CPI!$D$45</f>
        <v>1867.3091378900003</v>
      </c>
      <c r="K41" s="96">
        <f>J41*(1+K59)</f>
        <v>1885.9822292689003</v>
      </c>
      <c r="L41" s="100">
        <f t="shared" ref="L41:U41" si="8">K41*(1+L59)</f>
        <v>1897.2981226445136</v>
      </c>
      <c r="M41" s="100">
        <f t="shared" si="8"/>
        <v>1914.373805748314</v>
      </c>
      <c r="N41" s="100">
        <f t="shared" si="8"/>
        <v>1933.5175438057972</v>
      </c>
      <c r="O41" s="100">
        <f t="shared" si="8"/>
        <v>1950.9192017000491</v>
      </c>
      <c r="P41" s="100">
        <f t="shared" si="8"/>
        <v>1968.4774745153493</v>
      </c>
      <c r="Q41" s="100">
        <f t="shared" si="8"/>
        <v>1986.1937717859873</v>
      </c>
      <c r="R41" s="100">
        <f t="shared" si="8"/>
        <v>2004.0695157320611</v>
      </c>
      <c r="S41" s="100">
        <f t="shared" si="8"/>
        <v>2022.1061413736495</v>
      </c>
      <c r="T41" s="100">
        <f t="shared" si="8"/>
        <v>2040.3050966460121</v>
      </c>
      <c r="U41" s="100">
        <f t="shared" si="8"/>
        <v>2058.6678425158261</v>
      </c>
      <c r="V41" s="202">
        <f t="shared" si="4"/>
        <v>9664.5861484140241</v>
      </c>
    </row>
    <row r="42" spans="2:23">
      <c r="C42" s="192" t="s">
        <v>108</v>
      </c>
      <c r="D42" s="102">
        <v>0</v>
      </c>
      <c r="E42" s="102"/>
      <c r="F42" s="100">
        <f t="shared" ref="F42:F43" si="9">D42-E42</f>
        <v>0</v>
      </c>
      <c r="H42" s="200"/>
      <c r="I42" s="201" t="s">
        <v>108</v>
      </c>
      <c r="J42" s="96">
        <f>F42*CPI!$D$46/CPI!$D$45</f>
        <v>0</v>
      </c>
      <c r="K42" s="96">
        <f t="shared" ref="K42:U43" si="10">J42*(1+K60)</f>
        <v>0</v>
      </c>
      <c r="L42" s="100">
        <f t="shared" si="10"/>
        <v>0</v>
      </c>
      <c r="M42" s="100">
        <f t="shared" si="10"/>
        <v>0</v>
      </c>
      <c r="N42" s="100">
        <f t="shared" si="10"/>
        <v>0</v>
      </c>
      <c r="O42" s="100">
        <f t="shared" si="10"/>
        <v>0</v>
      </c>
      <c r="P42" s="100">
        <f t="shared" si="10"/>
        <v>0</v>
      </c>
      <c r="Q42" s="100">
        <f t="shared" si="10"/>
        <v>0</v>
      </c>
      <c r="R42" s="100">
        <f t="shared" si="10"/>
        <v>0</v>
      </c>
      <c r="S42" s="100">
        <f t="shared" si="10"/>
        <v>0</v>
      </c>
      <c r="T42" s="100">
        <f t="shared" si="10"/>
        <v>0</v>
      </c>
      <c r="U42" s="100">
        <f t="shared" si="10"/>
        <v>0</v>
      </c>
      <c r="V42" s="202">
        <f t="shared" si="4"/>
        <v>0</v>
      </c>
    </row>
    <row r="43" spans="2:23">
      <c r="C43" s="192" t="s">
        <v>111</v>
      </c>
      <c r="D43" s="102">
        <v>888.28775000000007</v>
      </c>
      <c r="E43" s="102"/>
      <c r="F43" s="100">
        <f t="shared" si="9"/>
        <v>888.28775000000007</v>
      </c>
      <c r="H43" s="200"/>
      <c r="I43" s="201" t="s">
        <v>111</v>
      </c>
      <c r="J43" s="96">
        <f>F43*CPI!$D$46/CPI!$D$45</f>
        <v>910.93908762500018</v>
      </c>
      <c r="K43" s="96">
        <f t="shared" si="10"/>
        <v>910.93908762500018</v>
      </c>
      <c r="L43" s="100">
        <f t="shared" si="10"/>
        <v>910.93908762500018</v>
      </c>
      <c r="M43" s="100">
        <f t="shared" si="10"/>
        <v>910.93908762500018</v>
      </c>
      <c r="N43" s="100">
        <f t="shared" si="10"/>
        <v>910.93908762500018</v>
      </c>
      <c r="O43" s="100">
        <f t="shared" si="10"/>
        <v>910.93908762500018</v>
      </c>
      <c r="P43" s="100">
        <f t="shared" si="10"/>
        <v>910.93908762500018</v>
      </c>
      <c r="Q43" s="100">
        <f t="shared" si="10"/>
        <v>910.93908762500018</v>
      </c>
      <c r="R43" s="100">
        <f t="shared" si="10"/>
        <v>910.93908762500018</v>
      </c>
      <c r="S43" s="100">
        <f t="shared" si="10"/>
        <v>910.93908762500018</v>
      </c>
      <c r="T43" s="100">
        <f t="shared" si="10"/>
        <v>910.93908762500018</v>
      </c>
      <c r="U43" s="100">
        <f t="shared" si="10"/>
        <v>910.93908762500018</v>
      </c>
      <c r="V43" s="202">
        <f t="shared" si="4"/>
        <v>4554.6954381250007</v>
      </c>
      <c r="W43" s="203"/>
    </row>
    <row r="44" spans="2:23">
      <c r="B44" s="197" t="s">
        <v>57</v>
      </c>
      <c r="C44" s="197" t="s">
        <v>5</v>
      </c>
      <c r="D44" s="101">
        <f>SUM(D45:D47)</f>
        <v>9.1491799999999994</v>
      </c>
      <c r="E44" s="101">
        <f>SUM(E45:E47)</f>
        <v>0</v>
      </c>
      <c r="F44" s="101">
        <f>SUM(D44:E44)</f>
        <v>9.1491799999999994</v>
      </c>
      <c r="H44" s="200" t="str">
        <f t="shared" si="6"/>
        <v>Sales and marketing</v>
      </c>
      <c r="I44" s="201"/>
      <c r="J44" s="97">
        <f t="shared" ref="J44:U44" si="11">SUM(J45:J47)</f>
        <v>9.3824840900000002</v>
      </c>
      <c r="K44" s="97">
        <f t="shared" si="11"/>
        <v>9.3824840900000002</v>
      </c>
      <c r="L44" s="101">
        <f t="shared" si="11"/>
        <v>9.3824840900000002</v>
      </c>
      <c r="M44" s="101">
        <f t="shared" si="11"/>
        <v>9.3824840900000002</v>
      </c>
      <c r="N44" s="101">
        <f t="shared" si="11"/>
        <v>9.3824840900000002</v>
      </c>
      <c r="O44" s="101">
        <f t="shared" si="11"/>
        <v>9.3824840900000002</v>
      </c>
      <c r="P44" s="101">
        <f t="shared" si="11"/>
        <v>9.3824840900000002</v>
      </c>
      <c r="Q44" s="101">
        <f t="shared" si="11"/>
        <v>9.3824840900000002</v>
      </c>
      <c r="R44" s="101">
        <f t="shared" si="11"/>
        <v>9.3824840900000002</v>
      </c>
      <c r="S44" s="101">
        <f t="shared" si="11"/>
        <v>9.3824840900000002</v>
      </c>
      <c r="T44" s="101">
        <f t="shared" si="11"/>
        <v>9.3824840900000002</v>
      </c>
      <c r="U44" s="101">
        <f t="shared" si="11"/>
        <v>9.3824840900000002</v>
      </c>
      <c r="V44" s="97">
        <f t="shared" si="4"/>
        <v>46.912420449999999</v>
      </c>
    </row>
    <row r="45" spans="2:23">
      <c r="C45" s="192" t="s">
        <v>107</v>
      </c>
      <c r="D45" s="102">
        <v>0</v>
      </c>
      <c r="E45" s="102"/>
      <c r="F45" s="100">
        <f>D45-E45</f>
        <v>0</v>
      </c>
      <c r="H45" s="200"/>
      <c r="I45" s="201" t="s">
        <v>107</v>
      </c>
      <c r="J45" s="96">
        <f>F45*CPI!$D$46/CPI!$D$45</f>
        <v>0</v>
      </c>
      <c r="K45" s="96">
        <f t="shared" ref="K45:U47" si="12">J45*(1+K59)</f>
        <v>0</v>
      </c>
      <c r="L45" s="100">
        <f t="shared" si="12"/>
        <v>0</v>
      </c>
      <c r="M45" s="100">
        <f t="shared" si="12"/>
        <v>0</v>
      </c>
      <c r="N45" s="100">
        <f t="shared" si="12"/>
        <v>0</v>
      </c>
      <c r="O45" s="100">
        <f t="shared" si="12"/>
        <v>0</v>
      </c>
      <c r="P45" s="100">
        <f t="shared" si="12"/>
        <v>0</v>
      </c>
      <c r="Q45" s="100">
        <f t="shared" si="12"/>
        <v>0</v>
      </c>
      <c r="R45" s="100">
        <f t="shared" si="12"/>
        <v>0</v>
      </c>
      <c r="S45" s="100">
        <f t="shared" si="12"/>
        <v>0</v>
      </c>
      <c r="T45" s="100">
        <f t="shared" si="12"/>
        <v>0</v>
      </c>
      <c r="U45" s="100">
        <f t="shared" si="12"/>
        <v>0</v>
      </c>
      <c r="V45" s="202">
        <f t="shared" si="4"/>
        <v>0</v>
      </c>
    </row>
    <row r="46" spans="2:23">
      <c r="C46" s="192" t="s">
        <v>108</v>
      </c>
      <c r="D46" s="102">
        <v>0</v>
      </c>
      <c r="E46" s="102"/>
      <c r="F46" s="100">
        <f t="shared" ref="F46:F47" si="13">D46-E46</f>
        <v>0</v>
      </c>
      <c r="H46" s="200"/>
      <c r="I46" s="201" t="s">
        <v>108</v>
      </c>
      <c r="J46" s="96">
        <f>F46*CPI!$D$46/CPI!$D$45</f>
        <v>0</v>
      </c>
      <c r="K46" s="96">
        <f t="shared" si="12"/>
        <v>0</v>
      </c>
      <c r="L46" s="100">
        <f>K46*(1+L60)</f>
        <v>0</v>
      </c>
      <c r="M46" s="100">
        <f t="shared" si="12"/>
        <v>0</v>
      </c>
      <c r="N46" s="100">
        <f t="shared" si="12"/>
        <v>0</v>
      </c>
      <c r="O46" s="100">
        <f t="shared" si="12"/>
        <v>0</v>
      </c>
      <c r="P46" s="100">
        <f t="shared" si="12"/>
        <v>0</v>
      </c>
      <c r="Q46" s="100">
        <f t="shared" si="12"/>
        <v>0</v>
      </c>
      <c r="R46" s="100">
        <f t="shared" si="12"/>
        <v>0</v>
      </c>
      <c r="S46" s="100">
        <f t="shared" si="12"/>
        <v>0</v>
      </c>
      <c r="T46" s="100">
        <f t="shared" si="12"/>
        <v>0</v>
      </c>
      <c r="U46" s="100">
        <f t="shared" si="12"/>
        <v>0</v>
      </c>
      <c r="V46" s="202">
        <f t="shared" si="4"/>
        <v>0</v>
      </c>
    </row>
    <row r="47" spans="2:23">
      <c r="C47" s="192" t="s">
        <v>111</v>
      </c>
      <c r="D47" s="102">
        <v>9.1491799999999994</v>
      </c>
      <c r="E47" s="102"/>
      <c r="F47" s="100">
        <f t="shared" si="13"/>
        <v>9.1491799999999994</v>
      </c>
      <c r="H47" s="200"/>
      <c r="I47" s="201" t="s">
        <v>111</v>
      </c>
      <c r="J47" s="96">
        <f>F47*CPI!$D$46/CPI!$D$45</f>
        <v>9.3824840900000002</v>
      </c>
      <c r="K47" s="96">
        <f t="shared" si="12"/>
        <v>9.3824840900000002</v>
      </c>
      <c r="L47" s="100">
        <f t="shared" si="12"/>
        <v>9.3824840900000002</v>
      </c>
      <c r="M47" s="100">
        <f t="shared" si="12"/>
        <v>9.3824840900000002</v>
      </c>
      <c r="N47" s="100">
        <f t="shared" si="12"/>
        <v>9.3824840900000002</v>
      </c>
      <c r="O47" s="100">
        <f t="shared" si="12"/>
        <v>9.3824840900000002</v>
      </c>
      <c r="P47" s="100">
        <f t="shared" si="12"/>
        <v>9.3824840900000002</v>
      </c>
      <c r="Q47" s="100">
        <f t="shared" si="12"/>
        <v>9.3824840900000002</v>
      </c>
      <c r="R47" s="100">
        <f t="shared" si="12"/>
        <v>9.3824840900000002</v>
      </c>
      <c r="S47" s="100">
        <f t="shared" si="12"/>
        <v>9.3824840900000002</v>
      </c>
      <c r="T47" s="100">
        <f t="shared" si="12"/>
        <v>9.3824840900000002</v>
      </c>
      <c r="U47" s="100">
        <f t="shared" si="12"/>
        <v>9.3824840900000002</v>
      </c>
      <c r="V47" s="202">
        <f t="shared" si="4"/>
        <v>46.912420449999999</v>
      </c>
      <c r="W47" s="203"/>
    </row>
    <row r="48" spans="2:23">
      <c r="B48" s="197" t="s">
        <v>5</v>
      </c>
      <c r="D48" s="101">
        <f>SUM(D36,D40,D44)</f>
        <v>11492.998099999999</v>
      </c>
      <c r="E48" s="101">
        <f>SUM(E36,E40,E44)</f>
        <v>-365.97026</v>
      </c>
      <c r="F48" s="101">
        <f>SUM(F36,F40,F44)</f>
        <v>11127.027839999999</v>
      </c>
      <c r="H48" s="227" t="s">
        <v>113</v>
      </c>
      <c r="I48" s="228"/>
      <c r="J48" s="204"/>
      <c r="K48" s="204">
        <f t="shared" ref="K48:U48" si="14">SUM(K49:K51)</f>
        <v>0</v>
      </c>
      <c r="L48" s="204">
        <f>SUM(L49:L51)</f>
        <v>365.61955424399997</v>
      </c>
      <c r="M48" s="204">
        <f t="shared" si="14"/>
        <v>1265.2143613477199</v>
      </c>
      <c r="N48" s="204">
        <f>SUM(N49:N51)</f>
        <v>2130.2859019257926</v>
      </c>
      <c r="O48" s="204">
        <f t="shared" si="14"/>
        <v>0</v>
      </c>
      <c r="P48" s="204">
        <f t="shared" si="14"/>
        <v>410.54404728959173</v>
      </c>
      <c r="Q48" s="204">
        <f t="shared" si="14"/>
        <v>0</v>
      </c>
      <c r="R48" s="204">
        <f t="shared" si="14"/>
        <v>0</v>
      </c>
      <c r="S48" s="204">
        <f t="shared" si="14"/>
        <v>1332.7871435060795</v>
      </c>
      <c r="T48" s="204">
        <f t="shared" si="14"/>
        <v>0</v>
      </c>
      <c r="U48" s="204">
        <f t="shared" si="14"/>
        <v>0</v>
      </c>
      <c r="V48" s="204">
        <f>SUM(L48:P48)</f>
        <v>4171.6638648071039</v>
      </c>
    </row>
    <row r="49" spans="3:22">
      <c r="H49" s="228"/>
      <c r="I49" s="228" t="s">
        <v>107</v>
      </c>
      <c r="J49" s="229"/>
      <c r="K49" s="229">
        <f>'Opex MEJ adjustment APTNT'!E8*(1+'Opex input APTNT'!K59)</f>
        <v>0</v>
      </c>
      <c r="L49" s="229">
        <f>'Opex MEJ adjustment APTNT'!F8*CPI!D46/CPI!D45*(1+'Opex input APTNT'!K59)*(1+'Opex input APTNT'!L59)</f>
        <v>3.6468933550000004</v>
      </c>
      <c r="M49" s="229">
        <f>'Opex MEJ adjustment APTNT'!G8*CPI!D46/CPI!D45*(1+'Opex input APTNT'!K59)*(1+'Opex input APTNT'!L59)*(1+'Opex input APTNT'!M59)</f>
        <v>12.616167069239998</v>
      </c>
      <c r="N49" s="229">
        <f>'Opex MEJ adjustment APTNT'!H8*CPI!D46/CPI!D45*(1+'Opex input APTNT'!K59)*(1+'Opex input APTNT'!L59)*(1+'Opex input APTNT'!M59)*(1+'Opex input APTNT'!N59)</f>
        <v>21.237214566554002</v>
      </c>
      <c r="O49" s="229">
        <f>'Opex MEJ adjustment APTNT'!I8*CPI!D46/CPI!D45*(1+'Opex input APTNT'!K59)*(1+'Opex input APTNT'!L59)*(1+'Opex input APTNT'!M59)*(1+'Opex input APTNT'!N59)*(1+'Opex input APTNT'!O59)</f>
        <v>0</v>
      </c>
      <c r="P49" s="229">
        <f>'Opex MEJ adjustment APTNT'!J8*CPI!D46/CPI!D45*CPI!$D$46/CPI!$D$45*(1+'Opex input APTNT'!K59)*(1+'Opex input APTNT'!L59)*(1+'Opex input APTNT'!M59)*(1+'Opex input APTNT'!N59)*(1+'Opex input APTNT'!O59)*(1+'Opex input APTNT'!P59)</f>
        <v>4.4345090723063452</v>
      </c>
      <c r="Q49" s="229">
        <f>'Opex MEJ adjustment APTNT'!K8*CPI!$D$46/CPI!$D$45*(1+'Opex input APTNT'!K59)*(1+'Opex input APTNT'!L59)*(1+'Opex input APTNT'!M59)*(1+'Opex input APTNT'!N59)*(1+'Opex input APTNT'!O59)*(1+'Opex input APTNT'!P59)*(1+'Opex input APTNT'!Q59)</f>
        <v>0</v>
      </c>
      <c r="R49" s="229">
        <f>'Opex MEJ adjustment APTNT'!L8*CPI!$D$46/CPI!$D$45*(1+'Opex input APTNT'!K59)*(1+'Opex input APTNT'!L59)*(1+'Opex input APTNT'!M59)*(1+'Opex input APTNT'!N59)*(1+'Opex input APTNT'!O59)*(1+'Opex input APTNT'!P59)*(1+'Opex input APTNT'!Q59)*(1+'Opex input APTNT'!R59)</f>
        <v>0</v>
      </c>
      <c r="S49" s="229">
        <f>'Opex MEJ adjustment APTNT'!M8*CPI!$D$46/CPI!$D$45*(1+'Opex input APTNT'!K59)*(1+'Opex input APTNT'!L59)*(1+'Opex input APTNT'!M59)*(1+'Opex input APTNT'!N59)*(1+'Opex input APTNT'!O59)*(1+'Opex input APTNT'!P59)*(1+'Opex input APTNT'!Q59)*(1+'Opex input APTNT'!R59)*(1+'Opex input APTNT'!S59)</f>
        <v>13.326148129849724</v>
      </c>
      <c r="T49" s="229">
        <f>'Opex MEJ adjustment APTNT'!N8*CPI!$D$46/CPI!$D$45*(1+'Opex input APTNT'!K59)*(1+'Opex input APTNT'!L59)*(1+'Opex input APTNT'!M59)*(1+'Opex input APTNT'!N59)*(1+'Opex input APTNT'!O59)*(1+'Opex input APTNT'!P59)*(1+'Opex input APTNT'!Q59)*(1+'Opex input APTNT'!R59)*(1+'Opex input APTNT'!S59)*(1+'Opex input APTNT'!T59)</f>
        <v>0</v>
      </c>
      <c r="U49" s="229">
        <f>'Opex MEJ adjustment APTNT'!O8*CPI!$D$46/CPI!$D$45*(1+'Opex input APTNT'!K59)*(1+'Opex input APTNT'!L59)*(1+'Opex input APTNT'!M59)*(1+'Opex input APTNT'!N59)*(1+'Opex input APTNT'!O59)*(1+'Opex input APTNT'!P59)*(1+'Opex input APTNT'!Q59)*(1+'Opex input APTNT'!R59)*(1+'Opex input APTNT'!S59)*(1+'Opex input APTNT'!T59)*(1+'Opex input APTNT'!U59)</f>
        <v>0</v>
      </c>
      <c r="V49" s="205">
        <f t="shared" si="4"/>
        <v>41.934784063100345</v>
      </c>
    </row>
    <row r="50" spans="3:22">
      <c r="H50" s="228"/>
      <c r="I50" s="228" t="s">
        <v>108</v>
      </c>
      <c r="J50" s="229"/>
      <c r="K50" s="229">
        <f>'Opex MEJ adjustment APTNT'!E29*(1+'Opex input APTNT'!K60)</f>
        <v>0</v>
      </c>
      <c r="L50" s="229">
        <f>'Opex MEJ adjustment APTNT'!F9*CPI!D46/CPI!D45*(1+'Opex input APTNT'!K60)*(1+'Opex input APTNT'!L60)</f>
        <v>336.84791088899999</v>
      </c>
      <c r="M50" s="229">
        <f>'Opex MEJ adjustment APTNT'!G9*CPI!D46/CPI!D45*(1+'Opex input APTNT'!K60)*(1+'Opex input APTNT'!L60)*(1+'Opex input APTNT'!M60)</f>
        <v>1166.4561942784799</v>
      </c>
      <c r="N50" s="229">
        <f>'Opex MEJ adjustment APTNT'!H9*CPI!D46/CPI!D45*(1+'Opex input APTNT'!K60)*(1+'Opex input APTNT'!L60)*(1+'Opex input APTNT'!M60)*(1+'Opex input APTNT'!N60)</f>
        <v>1965.4786873592386</v>
      </c>
      <c r="O50" s="229">
        <f>'Opex MEJ adjustment APTNT'!I9*CPI!D46/CPI!D45*(1+'Opex input APTNT'!K60)*(1+'Opex input APTNT'!L60)*(1+'Opex input APTNT'!M60)*(1+'Opex input APTNT'!N60)*(1+'Opex input APTNT'!O60)</f>
        <v>0</v>
      </c>
      <c r="P50" s="229">
        <f>'Opex MEJ adjustment APTNT'!J9*CPI!$D$46/CPI!$D$45*1+'Opex input APTNT'!K60*(1+'Opex input APTNT'!L60)*(1+'Opex input APTNT'!M60)*(1+'Opex input APTNT'!N60)*(1+'Opex input APTNT'!O60)*(1+'Opex input APTNT'!P60)</f>
        <v>377.39553821728538</v>
      </c>
      <c r="Q50" s="229">
        <f>'Opex MEJ adjustment APTNT'!K9*CPI!$D$46/CPI!$D$45*(1+'Opex input APTNT'!K60)*(1+'Opex input APTNT'!L60)*(1+'Opex input APTNT'!M60)*(1+'Opex input APTNT'!N60)*(1+'Opex input APTNT'!O60)*(1+'Opex input APTNT'!P60)*(1+'Opex input APTNT'!Q60)</f>
        <v>0</v>
      </c>
      <c r="R50" s="229">
        <f>'Opex MEJ adjustment APTNT'!L9*CPI!$D$46/CPI!$D$45*(1+'Opex input APTNT'!K60)*(1+'Opex input APTNT'!L60)*(1+'Opex input APTNT'!M60)*(1+'Opex input APTNT'!N60)*(1+'Opex input APTNT'!O60)*(1+'Opex input APTNT'!P60)*(1+'Opex input APTNT'!Q60)*(1+'Opex input APTNT'!R60)</f>
        <v>0</v>
      </c>
      <c r="S50" s="229">
        <f>'Opex MEJ adjustment APTNT'!M9*CPI!$D$46/CPI!$D$45*(1+'Opex input APTNT'!K60)*(1+'Opex input APTNT'!L60)*(1+'Opex input APTNT'!M60)*(1+'Opex input APTNT'!N60)*(1+'Opex input APTNT'!O60)*(1+'Opex input APTNT'!P60)*(1+'Opex input APTNT'!Q60)*(1+'Opex input APTNT'!R60)*(1+'Opex input APTNT'!S60)</f>
        <v>1233.3189953762296</v>
      </c>
      <c r="T50" s="229">
        <f>'Opex MEJ adjustment APTNT'!N9*CPI!$D$46/CPI!$D$45*(1+'Opex input APTNT'!K60)*(1+'Opex input APTNT'!L60)*(1+'Opex input APTNT'!M60)*(1+'Opex input APTNT'!N60)*(1+'Opex input APTNT'!O60)*(1+'Opex input APTNT'!P60)*(1+'Opex input APTNT'!Q60)*(1+'Opex input APTNT'!R60)*(1+'Opex input APTNT'!S60)*(1+'Opex input APTNT'!T60)</f>
        <v>0</v>
      </c>
      <c r="U50" s="229">
        <f>'Opex MEJ adjustment APTNT'!O9*CPI!$D$46/CPI!$D$45*(1+'Opex input APTNT'!K60)*(1+'Opex input APTNT'!L60)*(1+'Opex input APTNT'!M60)*(1+'Opex input APTNT'!N60)*(1+'Opex input APTNT'!O60)*(1+'Opex input APTNT'!P60)*(1+'Opex input APTNT'!Q60)*(1+'Opex input APTNT'!R60)*(1+'Opex input APTNT'!S60)*(1+'Opex input APTNT'!T60)*(1+'Opex input APTNT'!U60)</f>
        <v>0</v>
      </c>
      <c r="V50" s="205">
        <f t="shared" si="4"/>
        <v>3846.1783307440037</v>
      </c>
    </row>
    <row r="51" spans="3:22">
      <c r="H51" s="228"/>
      <c r="I51" s="228" t="s">
        <v>111</v>
      </c>
      <c r="J51" s="229"/>
      <c r="K51" s="229">
        <f>'Opex MEJ adjustment APTNT'!E10*(1+'Opex input APTNT'!K61)</f>
        <v>0</v>
      </c>
      <c r="L51" s="229">
        <f>'Opex MEJ adjustment APTNT'!F10*CPI!D46/CPI!D45*(1+'Opex input APTNT'!K61)*(1+'Opex input APTNT'!L61)</f>
        <v>25.124750000000002</v>
      </c>
      <c r="M51" s="229">
        <f>'Opex MEJ adjustment APTNT'!G10*CPI!D46/CPI!D45*(1+'Opex input APTNT'!K61)*(1+'Opex input APTNT'!L61)*(1+'Opex input APTNT'!M61)</f>
        <v>86.142000000000024</v>
      </c>
      <c r="N51" s="229">
        <f>'Opex MEJ adjustment APTNT'!H10*CPI!D46/CPI!D45*(1+'Opex input APTNT'!K61)*(1+'Opex input APTNT'!L61)*(1+'Opex input APTNT'!M61)*(1+'Opex input APTNT'!N61)</f>
        <v>143.57000000000002</v>
      </c>
      <c r="O51" s="229">
        <f>'Opex MEJ adjustment APTNT'!I10*CPI!D46/CPI!D45*(1+'Opex input APTNT'!K61)*(1+'Opex input APTNT'!L61)*(1+'Opex input APTNT'!M61)*(1+'Opex input APTNT'!N61)*(1+'Opex input APTNT'!O61)</f>
        <v>0</v>
      </c>
      <c r="P51" s="229">
        <f>'Opex MEJ adjustment APTNT'!J10*CPI!$D$46/CPI!$D$45*(1+'Opex input APTNT'!K61)*(1+'Opex input APTNT'!L61)*(1+'Opex input APTNT'!M61)*(1+'Opex input APTNT'!N61)*(1+'Opex input APTNT'!O61)*(1+'Opex input APTNT'!P61)</f>
        <v>28.714000000000006</v>
      </c>
      <c r="Q51" s="229">
        <f>'Opex MEJ adjustment APTNT'!K10*CPI!$D$46/CPI!$D$45*(1+'Opex input APTNT'!K61)*(1+'Opex input APTNT'!L61)*(1+'Opex input APTNT'!M61)*(1+'Opex input APTNT'!N61)*(1+'Opex input APTNT'!O61)*(1+'Opex input APTNT'!P61)*(1+'Opex input APTNT'!Q61)</f>
        <v>0</v>
      </c>
      <c r="R51" s="229">
        <f>'Opex MEJ adjustment APTNT'!L10*CPI!$D$46/CPI!$D$45*(1+'Opex input APTNT'!K61)*(1+'Opex input APTNT'!L61)*(1+'Opex input APTNT'!M61)*(1+'Opex input APTNT'!N61)*(1+'Opex input APTNT'!O61)*(1+'Opex input APTNT'!P61)*(1+'Opex input APTNT'!Q61)*(1+'Opex input APTNT'!R61)</f>
        <v>0</v>
      </c>
      <c r="S51" s="229">
        <f>'Opex MEJ adjustment APTNT'!M10*CPI!$D$46/CPI!$D$45*(1+'Opex input APTNT'!K61)*(1+'Opex input APTNT'!L61)*(1+'Opex input APTNT'!M61)*(1+'Opex input APTNT'!N61)*(1+'Opex input APTNT'!O61)*(1+'Opex input APTNT'!P61)*(1+'Opex input APTNT'!Q61)*(1+'Opex input APTNT'!R61)*(1+'Opex input APTNT'!S61)</f>
        <v>86.142000000000024</v>
      </c>
      <c r="T51" s="229">
        <f>'Opex MEJ adjustment APTNT'!N10*CPI!$D$46/CPI!$D$45*(1+'Opex input APTNT'!K61)*(1+'Opex input APTNT'!L61)*(1+'Opex input APTNT'!M61)*(1+'Opex input APTNT'!N61)*(1+'Opex input APTNT'!O61)*(1+'Opex input APTNT'!P61)*(1+'Opex input APTNT'!Q61)*(1+'Opex input APTNT'!R61)*(1+'Opex input APTNT'!S61)*(1+'Opex input APTNT'!T61)</f>
        <v>0</v>
      </c>
      <c r="U51" s="229">
        <f>'Opex MEJ adjustment APTNT'!O10*CPI!$D$46/CPI!$D$45*(1+'Opex input APTNT'!K61)*(1+'Opex input APTNT'!L61)*(1+'Opex input APTNT'!M61)*(1+'Opex input APTNT'!N61)*(1+'Opex input APTNT'!O61)*(1+'Opex input APTNT'!P61)*(1+'Opex input APTNT'!Q61)*(1+'Opex input APTNT'!R61)*(1+'Opex input APTNT'!S61)*(1+'Opex input APTNT'!T61)*(1+'Opex input APTNT'!U61)</f>
        <v>0</v>
      </c>
      <c r="V51" s="205">
        <f t="shared" si="4"/>
        <v>283.55075000000005</v>
      </c>
    </row>
    <row r="52" spans="3:22">
      <c r="H52" s="200" t="str">
        <f>B48</f>
        <v>Total</v>
      </c>
      <c r="I52" s="201"/>
      <c r="J52" s="97">
        <f>SUM(J36,J40,J44)</f>
        <v>11410.767049919999</v>
      </c>
      <c r="K52" s="97">
        <f>SUM(K36,K40,K44,K48)</f>
        <v>11497.292178904314</v>
      </c>
      <c r="L52" s="101">
        <f>SUM(L36,L40,L44)</f>
        <v>11918.211645045047</v>
      </c>
      <c r="M52" s="101">
        <f t="shared" ref="M52:U52" si="15">SUM(M36,M40,M44)</f>
        <v>12897.09695095998</v>
      </c>
      <c r="N52" s="101">
        <f t="shared" si="15"/>
        <v>13850.940464447211</v>
      </c>
      <c r="O52" s="101">
        <f t="shared" si="15"/>
        <v>11800.2561105861</v>
      </c>
      <c r="P52" s="101">
        <f t="shared" si="15"/>
        <v>12291.118119872957</v>
      </c>
      <c r="Q52" s="101">
        <f t="shared" si="15"/>
        <v>11961.614896238603</v>
      </c>
      <c r="R52" s="101">
        <f t="shared" si="15"/>
        <v>12043.38508730674</v>
      </c>
      <c r="S52" s="101">
        <f t="shared" si="15"/>
        <v>13458.678353600571</v>
      </c>
      <c r="T52" s="101">
        <f t="shared" si="15"/>
        <v>12209.13988798733</v>
      </c>
      <c r="U52" s="101">
        <f t="shared" si="15"/>
        <v>12293.137803981204</v>
      </c>
      <c r="V52" s="97">
        <f t="shared" si="4"/>
        <v>62757.623290911302</v>
      </c>
    </row>
    <row r="53" spans="3:22">
      <c r="J53" s="206" t="str">
        <f>IF(F48*CPI!D46/CPI!D45=J52,"Ok","Check")</f>
        <v>Ok</v>
      </c>
    </row>
    <row r="54" spans="3:22">
      <c r="L54" s="199">
        <f t="shared" ref="L54:R54" si="16">L52-L48</f>
        <v>11552.592090801047</v>
      </c>
      <c r="M54" s="199">
        <f t="shared" si="16"/>
        <v>11631.88258961226</v>
      </c>
      <c r="N54" s="199">
        <f t="shared" si="16"/>
        <v>11720.654562521418</v>
      </c>
      <c r="O54" s="199">
        <f t="shared" si="16"/>
        <v>11800.2561105861</v>
      </c>
      <c r="P54" s="199">
        <f t="shared" si="16"/>
        <v>11880.574072583366</v>
      </c>
      <c r="Q54" s="199">
        <f t="shared" si="16"/>
        <v>11961.614896238603</v>
      </c>
      <c r="R54" s="199">
        <f t="shared" si="16"/>
        <v>12043.38508730674</v>
      </c>
    </row>
    <row r="55" spans="3:22">
      <c r="H55" s="197" t="s">
        <v>115</v>
      </c>
      <c r="I55" s="197"/>
    </row>
    <row r="57" spans="3:22">
      <c r="H57" s="8" t="s">
        <v>92</v>
      </c>
      <c r="I57" s="8"/>
      <c r="J57" s="8" t="s">
        <v>3</v>
      </c>
      <c r="K57" s="8" t="s">
        <v>106</v>
      </c>
      <c r="L57" s="8" t="s">
        <v>4</v>
      </c>
      <c r="M57" s="8" t="s">
        <v>17</v>
      </c>
      <c r="N57" s="8" t="s">
        <v>18</v>
      </c>
      <c r="O57" s="8" t="s">
        <v>19</v>
      </c>
      <c r="P57" s="8" t="s">
        <v>20</v>
      </c>
      <c r="Q57" s="8" t="s">
        <v>93</v>
      </c>
      <c r="R57" s="8" t="s">
        <v>94</v>
      </c>
      <c r="S57" s="8" t="s">
        <v>95</v>
      </c>
      <c r="T57" s="8" t="s">
        <v>96</v>
      </c>
      <c r="U57" s="8" t="s">
        <v>97</v>
      </c>
    </row>
    <row r="58" spans="3:22"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3:22">
      <c r="H59" s="192" t="s">
        <v>107</v>
      </c>
      <c r="I59" s="230"/>
      <c r="J59" s="230"/>
      <c r="K59" s="139">
        <v>0.01</v>
      </c>
      <c r="L59" s="140">
        <v>6.0000000000000001E-3</v>
      </c>
      <c r="M59" s="140">
        <v>8.9999999999999993E-3</v>
      </c>
      <c r="N59" s="140">
        <v>0.01</v>
      </c>
      <c r="O59" s="140">
        <v>8.9999999999999993E-3</v>
      </c>
      <c r="P59" s="140">
        <v>8.9999999999999993E-3</v>
      </c>
      <c r="Q59" s="140">
        <v>8.9999999999999993E-3</v>
      </c>
      <c r="R59" s="140">
        <v>8.9999999999999993E-3</v>
      </c>
      <c r="S59" s="140">
        <v>8.9999999999999993E-3</v>
      </c>
      <c r="T59" s="140">
        <v>8.9999999999999993E-3</v>
      </c>
      <c r="U59" s="140">
        <v>8.9999999999999993E-3</v>
      </c>
    </row>
    <row r="60" spans="3:22">
      <c r="C60" s="207"/>
      <c r="D60" s="207"/>
      <c r="E60" s="207"/>
      <c r="F60" s="207"/>
      <c r="G60" s="207"/>
      <c r="H60" s="192" t="s">
        <v>108</v>
      </c>
      <c r="I60" s="230"/>
      <c r="J60" s="230"/>
      <c r="K60" s="139">
        <v>1.0999999999999999E-2</v>
      </c>
      <c r="L60" s="140">
        <v>8.9999999999999993E-3</v>
      </c>
      <c r="M60" s="140">
        <v>0.01</v>
      </c>
      <c r="N60" s="140">
        <v>1.0999999999999999E-2</v>
      </c>
      <c r="O60" s="140">
        <v>8.9999999999999993E-3</v>
      </c>
      <c r="P60" s="140">
        <v>8.9999999999999993E-3</v>
      </c>
      <c r="Q60" s="140">
        <v>8.9999999999999993E-3</v>
      </c>
      <c r="R60" s="140">
        <v>8.9999999999999993E-3</v>
      </c>
      <c r="S60" s="140">
        <v>8.9999999999999993E-3</v>
      </c>
      <c r="T60" s="140">
        <v>8.9999999999999993E-3</v>
      </c>
      <c r="U60" s="140">
        <v>8.9999999999999993E-3</v>
      </c>
    </row>
    <row r="61" spans="3:22">
      <c r="C61" s="207"/>
      <c r="D61" s="207"/>
      <c r="E61" s="207"/>
      <c r="F61" s="207"/>
      <c r="G61" s="207"/>
      <c r="H61" s="192" t="s">
        <v>109</v>
      </c>
      <c r="K61" s="139">
        <v>0</v>
      </c>
      <c r="L61" s="140">
        <v>0</v>
      </c>
      <c r="M61" s="140">
        <v>0</v>
      </c>
      <c r="N61" s="140">
        <v>0</v>
      </c>
      <c r="O61" s="140">
        <v>0</v>
      </c>
      <c r="P61" s="140">
        <v>0</v>
      </c>
      <c r="Q61" s="140">
        <v>0</v>
      </c>
      <c r="R61" s="140">
        <v>0</v>
      </c>
      <c r="S61" s="140">
        <v>0</v>
      </c>
      <c r="T61" s="140">
        <v>0</v>
      </c>
      <c r="U61" s="140">
        <v>0</v>
      </c>
    </row>
    <row r="62" spans="3:22">
      <c r="C62" s="207"/>
      <c r="D62" s="207"/>
      <c r="E62" s="207"/>
      <c r="F62" s="207"/>
      <c r="G62" s="207"/>
    </row>
    <row r="69" spans="8:24">
      <c r="H69" s="197" t="s">
        <v>127</v>
      </c>
      <c r="I69" s="197"/>
    </row>
    <row r="71" spans="8:24" ht="38.25">
      <c r="H71" s="8" t="s">
        <v>92</v>
      </c>
      <c r="I71" s="8"/>
      <c r="J71" s="226" t="s">
        <v>117</v>
      </c>
      <c r="K71" s="8" t="s">
        <v>106</v>
      </c>
      <c r="L71" s="8" t="s">
        <v>4</v>
      </c>
      <c r="M71" s="8" t="s">
        <v>17</v>
      </c>
      <c r="N71" s="8" t="s">
        <v>18</v>
      </c>
      <c r="O71" s="8" t="s">
        <v>19</v>
      </c>
      <c r="P71" s="8" t="s">
        <v>20</v>
      </c>
      <c r="Q71" s="8" t="s">
        <v>93</v>
      </c>
      <c r="R71" s="8" t="s">
        <v>94</v>
      </c>
      <c r="S71" s="8" t="s">
        <v>95</v>
      </c>
      <c r="T71" s="8" t="s">
        <v>96</v>
      </c>
      <c r="U71" s="8" t="s">
        <v>97</v>
      </c>
      <c r="V71" s="8" t="s">
        <v>118</v>
      </c>
    </row>
    <row r="72" spans="8:24"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8:24">
      <c r="H73" s="200" t="str">
        <f>H36</f>
        <v>Operations and maintenance</v>
      </c>
      <c r="I73" s="201"/>
      <c r="J73" s="97">
        <f>J36*CPI!$D$45/CPI!$D$46</f>
        <v>8408.7141299999985</v>
      </c>
      <c r="K73" s="97">
        <f>K36</f>
        <v>8690.9883779204138</v>
      </c>
      <c r="L73" s="101">
        <f>L36*(CPI!$D$47/CPI!$D$46)</f>
        <v>9328.1067494526706</v>
      </c>
      <c r="M73" s="101">
        <f>M36*(CPI!$D$48/CPI!$D$46)</f>
        <v>10571.810653154933</v>
      </c>
      <c r="N73" s="101">
        <f>N36*(CPI!$D$49/CPI!$D$46)</f>
        <v>11842.675344833704</v>
      </c>
      <c r="O73" s="101">
        <f>O36*(CPI!$D$50/CPI!$D$46)</f>
        <v>9855.9622297577334</v>
      </c>
      <c r="P73" s="101">
        <f>P36*(CPI!$D$51/CPI!$D$46)</f>
        <v>10637.861020137416</v>
      </c>
      <c r="Q73" s="101">
        <f>Q36*(CPI!$D$52/CPI!$D$46)</f>
        <v>10501.139352572298</v>
      </c>
      <c r="R73" s="101">
        <f>R36*(CPI!$D$53/CPI!$D$46)</f>
        <v>10839.618255419107</v>
      </c>
      <c r="S73" s="101">
        <f>S36*(CPI!$D$54/CPI!$D$46)</f>
        <v>12813.030251340249</v>
      </c>
      <c r="T73" s="101">
        <f>T36*(CPI!$D$55/CPI!$D$46)</f>
        <v>11550.125687062766</v>
      </c>
      <c r="U73" s="101">
        <f>U36*(CPI!$D$56/CPI!$D$46)</f>
        <v>11922.897396070843</v>
      </c>
      <c r="V73" s="97">
        <f>SUM(L73:P73)</f>
        <v>52236.415997336459</v>
      </c>
    </row>
    <row r="74" spans="8:24">
      <c r="H74" s="200"/>
      <c r="I74" s="208" t="s">
        <v>107</v>
      </c>
      <c r="J74" s="202">
        <f>J37*CPI!$D$45/CPI!$D$46</f>
        <v>5353.0767499999984</v>
      </c>
      <c r="K74" s="202">
        <f t="shared" ref="K74:K89" si="17">K37</f>
        <v>5544.4760091962489</v>
      </c>
      <c r="L74" s="209">
        <f>L37*(CPI!$D$47/CPI!$D$46)</f>
        <v>5720.9245025715873</v>
      </c>
      <c r="M74" s="209">
        <f>M37*(CPI!$D$48/CPI!$D$46)</f>
        <v>5926.1120032121407</v>
      </c>
      <c r="N74" s="209">
        <f>N37*(CPI!$D$49/CPI!$D$46)</f>
        <v>6144.1555142325024</v>
      </c>
      <c r="O74" s="209">
        <f>O37*(CPI!$D$50/CPI!$D$46)</f>
        <v>6330.7863483067822</v>
      </c>
      <c r="P74" s="209">
        <f>P37*(CPI!$D$51/CPI!$D$46)</f>
        <v>6552.4747510621273</v>
      </c>
      <c r="Q74" s="209">
        <f>Q37*(CPI!$D$52/CPI!$D$46)</f>
        <v>6771.5442443942093</v>
      </c>
      <c r="R74" s="209">
        <f>R37*(CPI!$D$53/CPI!$D$46)</f>
        <v>7003.3003461586004</v>
      </c>
      <c r="S74" s="209">
        <f>S37*(CPI!$D$54/CPI!$D$46)</f>
        <v>7259.2249179999326</v>
      </c>
      <c r="T74" s="209">
        <f>T37*(CPI!$D$55/CPI!$D$46)</f>
        <v>7490.8795750906884</v>
      </c>
      <c r="U74" s="209">
        <f>U37*(CPI!$D$56/CPI!$D$46)</f>
        <v>7747.2549285481664</v>
      </c>
      <c r="V74" s="202">
        <f t="shared" ref="V74:V89" si="18">SUM(L74:P74)</f>
        <v>30674.45311938514</v>
      </c>
      <c r="W74" s="210"/>
      <c r="X74" s="210"/>
    </row>
    <row r="75" spans="8:24">
      <c r="H75" s="200"/>
      <c r="I75" s="208" t="s">
        <v>108</v>
      </c>
      <c r="J75" s="202">
        <f>J38*CPI!$D$45/CPI!$D$46</f>
        <v>1148.5515299999995</v>
      </c>
      <c r="K75" s="202">
        <f t="shared" si="17"/>
        <v>1190.7958295491646</v>
      </c>
      <c r="L75" s="209">
        <f>L38*(CPI!$D$47/CPI!$D$46)</f>
        <v>1576.8199254767098</v>
      </c>
      <c r="M75" s="209">
        <f>M38*(CPI!$D$48/CPI!$D$46)</f>
        <v>2500.4710222220579</v>
      </c>
      <c r="N75" s="209">
        <f>N38*(CPI!$D$49/CPI!$D$46)</f>
        <v>3437.8178373749506</v>
      </c>
      <c r="O75" s="209">
        <f>O38*(CPI!$D$50/CPI!$D$46)</f>
        <v>1366.4307551010745</v>
      </c>
      <c r="P75" s="209">
        <f>P38*(CPI!$D$51/CPI!$D$46)</f>
        <v>1840.185259141723</v>
      </c>
      <c r="Q75" s="209">
        <f>Q38*(CPI!$D$52/CPI!$D$46)</f>
        <v>1461.5635098067494</v>
      </c>
      <c r="R75" s="209">
        <f>R38*(CPI!$D$53/CPI!$D$46)</f>
        <v>1511.585520929885</v>
      </c>
      <c r="S75" s="209">
        <f>S38*(CPI!$D$54/CPI!$D$46)</f>
        <v>3065.9989729041285</v>
      </c>
      <c r="T75" s="209">
        <f>T38*(CPI!$D$55/CPI!$D$46)</f>
        <v>1616.8241464822172</v>
      </c>
      <c r="U75" s="209">
        <f>U38*(CPI!$D$56/CPI!$D$46)</f>
        <v>1672.1599528955708</v>
      </c>
      <c r="V75" s="202">
        <f t="shared" si="18"/>
        <v>10721.724799316517</v>
      </c>
      <c r="W75" s="210"/>
      <c r="X75" s="210"/>
    </row>
    <row r="76" spans="8:24">
      <c r="H76" s="200"/>
      <c r="I76" s="208" t="s">
        <v>111</v>
      </c>
      <c r="J76" s="202">
        <f>J39*CPI!$D$45/CPI!$D$46</f>
        <v>1907.0858500000002</v>
      </c>
      <c r="K76" s="202">
        <f t="shared" si="17"/>
        <v>1955.7165391750002</v>
      </c>
      <c r="L76" s="209">
        <f>L39*(CPI!$D$47/CPI!$D$46)</f>
        <v>2030.3623214043751</v>
      </c>
      <c r="M76" s="209">
        <f>M39*(CPI!$D$48/CPI!$D$46)</f>
        <v>2145.2276277207338</v>
      </c>
      <c r="N76" s="209">
        <f>N39*(CPI!$D$49/CPI!$D$46)</f>
        <v>2260.7019932262519</v>
      </c>
      <c r="O76" s="209">
        <f>O39*(CPI!$D$50/CPI!$D$46)</f>
        <v>2158.745126349877</v>
      </c>
      <c r="P76" s="209">
        <f>P39*(CPI!$D$51/CPI!$D$46)</f>
        <v>2245.2010099335657</v>
      </c>
      <c r="Q76" s="209">
        <f>Q39*(CPI!$D$52/CPI!$D$46)</f>
        <v>2268.0315983713394</v>
      </c>
      <c r="R76" s="209">
        <f>R39*(CPI!$D$53/CPI!$D$46)</f>
        <v>2324.7323883306226</v>
      </c>
      <c r="S76" s="209">
        <f>S39*(CPI!$D$54/CPI!$D$46)</f>
        <v>2487.8063604361873</v>
      </c>
      <c r="T76" s="209">
        <f>T39*(CPI!$D$55/CPI!$D$46)</f>
        <v>2442.4219654898598</v>
      </c>
      <c r="U76" s="209">
        <f>U39*(CPI!$D$56/CPI!$D$46)</f>
        <v>2503.4825146271064</v>
      </c>
      <c r="V76" s="202">
        <f t="shared" si="18"/>
        <v>10840.238078634804</v>
      </c>
      <c r="W76" s="210"/>
      <c r="X76" s="210"/>
    </row>
    <row r="77" spans="8:24">
      <c r="H77" s="200" t="str">
        <f t="shared" ref="H77:H89" si="19">H40</f>
        <v>Corporate</v>
      </c>
      <c r="I77" s="201"/>
      <c r="J77" s="97">
        <f>J40*CPI!$D$45/CPI!$D$46</f>
        <v>2709.1645300000005</v>
      </c>
      <c r="K77" s="97">
        <f t="shared" si="17"/>
        <v>2796.9213168939004</v>
      </c>
      <c r="L77" s="101">
        <f>L40*(CPI!$D$47/CPI!$D$46)</f>
        <v>2878.4431405262512</v>
      </c>
      <c r="M77" s="101">
        <f>M40*(CPI!$D$48/CPI!$D$46)</f>
        <v>2968.3443586003373</v>
      </c>
      <c r="N77" s="101">
        <f>N40*(CPI!$D$49/CPI!$D$46)</f>
        <v>3063.1686796069052</v>
      </c>
      <c r="O77" s="101">
        <f>O40*(CPI!$D$50/CPI!$D$46)</f>
        <v>3158.9560708989993</v>
      </c>
      <c r="P77" s="101">
        <f>P40*(CPI!$D$51/CPI!$D$46)</f>
        <v>3257.7955467388792</v>
      </c>
      <c r="Q77" s="101">
        <f>Q40*(CPI!$D$52/CPI!$D$46)</f>
        <v>3359.785908747212</v>
      </c>
      <c r="R77" s="101">
        <f>R40*(CPI!$D$53/CPI!$D$46)</f>
        <v>3465.0291986308107</v>
      </c>
      <c r="S77" s="101">
        <f>S40*(CPI!$D$54/CPI!$D$46)</f>
        <v>3573.6308055395934</v>
      </c>
      <c r="T77" s="101">
        <f>T40*(CPI!$D$55/CPI!$D$46)</f>
        <v>3685.6995770094704</v>
      </c>
      <c r="U77" s="101">
        <f>U40*(CPI!$D$56/CPI!$D$46)</f>
        <v>3801.3479336116611</v>
      </c>
      <c r="V77" s="97">
        <f t="shared" si="18"/>
        <v>15326.707796371371</v>
      </c>
    </row>
    <row r="78" spans="8:24">
      <c r="H78" s="200"/>
      <c r="I78" s="208" t="s">
        <v>107</v>
      </c>
      <c r="J78" s="202">
        <f>J41*CPI!$D$45/CPI!$D$46</f>
        <v>1820.8767800000003</v>
      </c>
      <c r="K78" s="202">
        <f t="shared" si="17"/>
        <v>1885.9822292689003</v>
      </c>
      <c r="L78" s="209">
        <f>L41*(CPI!$D$47/CPI!$D$46)</f>
        <v>1944.7305757106262</v>
      </c>
      <c r="M78" s="209">
        <f>M41*(CPI!$D$48/CPI!$D$46)</f>
        <v>2011.2889796643219</v>
      </c>
      <c r="N78" s="209">
        <f>N41*(CPI!$D$49/CPI!$D$46)</f>
        <v>2082.1869161974892</v>
      </c>
      <c r="O78" s="209">
        <f>O41*(CPI!$D$50/CPI!$D$46)</f>
        <v>2153.4497634043478</v>
      </c>
      <c r="P78" s="209">
        <f>P41*(CPI!$D$51/CPI!$D$46)</f>
        <v>2227.1515815568614</v>
      </c>
      <c r="Q78" s="209">
        <f>Q41*(CPI!$D$52/CPI!$D$46)</f>
        <v>2303.3758444356445</v>
      </c>
      <c r="R78" s="209">
        <f>R41*(CPI!$D$53/CPI!$D$46)</f>
        <v>2382.208882711454</v>
      </c>
      <c r="S78" s="209">
        <f>S41*(CPI!$D$54/CPI!$D$46)</f>
        <v>2463.7399817222531</v>
      </c>
      <c r="T78" s="209">
        <f>T41*(CPI!$D$55/CPI!$D$46)</f>
        <v>2548.0614825966964</v>
      </c>
      <c r="U78" s="209">
        <f>U41*(CPI!$D$56/CPI!$D$46)</f>
        <v>2635.2688868385681</v>
      </c>
      <c r="V78" s="202">
        <f t="shared" si="18"/>
        <v>10418.807816533646</v>
      </c>
      <c r="W78" s="210"/>
      <c r="X78" s="210"/>
    </row>
    <row r="79" spans="8:24">
      <c r="H79" s="200"/>
      <c r="I79" s="208" t="s">
        <v>108</v>
      </c>
      <c r="J79" s="202">
        <f>J42*CPI!$D$45/CPI!$D$46</f>
        <v>0</v>
      </c>
      <c r="K79" s="202">
        <f t="shared" si="17"/>
        <v>0</v>
      </c>
      <c r="L79" s="209">
        <f>L42*(CPI!$D$47/CPI!$D$46)</f>
        <v>0</v>
      </c>
      <c r="M79" s="209">
        <f>M42*(CPI!$D$48/CPI!$D$46)</f>
        <v>0</v>
      </c>
      <c r="N79" s="209">
        <f>N42*(CPI!$D$49/CPI!$D$46)</f>
        <v>0</v>
      </c>
      <c r="O79" s="209">
        <f>O42*(CPI!$D$50/CPI!$D$46)</f>
        <v>0</v>
      </c>
      <c r="P79" s="209">
        <f>P42*(CPI!$D$51/CPI!$D$46)</f>
        <v>0</v>
      </c>
      <c r="Q79" s="209">
        <f>Q42*(CPI!$D$52/CPI!$D$46)</f>
        <v>0</v>
      </c>
      <c r="R79" s="209">
        <f>R42*(CPI!$D$53/CPI!$D$46)</f>
        <v>0</v>
      </c>
      <c r="S79" s="209">
        <f>S42*(CPI!$D$54/CPI!$D$46)</f>
        <v>0</v>
      </c>
      <c r="T79" s="209">
        <f>T42*(CPI!$D$55/CPI!$D$46)</f>
        <v>0</v>
      </c>
      <c r="U79" s="209">
        <f>U42*(CPI!$D$56/CPI!$D$46)</f>
        <v>0</v>
      </c>
      <c r="V79" s="202">
        <f t="shared" si="18"/>
        <v>0</v>
      </c>
      <c r="W79" s="210"/>
      <c r="X79" s="210"/>
    </row>
    <row r="80" spans="8:24">
      <c r="H80" s="200"/>
      <c r="I80" s="208" t="s">
        <v>111</v>
      </c>
      <c r="J80" s="202">
        <f>J43*CPI!$D$45/CPI!$D$46</f>
        <v>888.28775000000007</v>
      </c>
      <c r="K80" s="202">
        <f t="shared" si="17"/>
        <v>910.93908762500018</v>
      </c>
      <c r="L80" s="209">
        <f>L43*(CPI!$D$47/CPI!$D$46)</f>
        <v>933.71256481562511</v>
      </c>
      <c r="M80" s="209">
        <f>M43*(CPI!$D$48/CPI!$D$46)</f>
        <v>957.05537893601559</v>
      </c>
      <c r="N80" s="209">
        <f>N43*(CPI!$D$49/CPI!$D$46)</f>
        <v>980.98176340941586</v>
      </c>
      <c r="O80" s="209">
        <f>O43*(CPI!$D$50/CPI!$D$46)</f>
        <v>1005.5063074946512</v>
      </c>
      <c r="P80" s="209">
        <f>P43*(CPI!$D$51/CPI!$D$46)</f>
        <v>1030.6439651820176</v>
      </c>
      <c r="Q80" s="209">
        <f>Q43*(CPI!$D$52/CPI!$D$46)</f>
        <v>1056.4100643115678</v>
      </c>
      <c r="R80" s="209">
        <f>R43*(CPI!$D$53/CPI!$D$46)</f>
        <v>1082.8203159193567</v>
      </c>
      <c r="S80" s="209">
        <f>S43*(CPI!$D$54/CPI!$D$46)</f>
        <v>1109.8908238173406</v>
      </c>
      <c r="T80" s="209">
        <f>T43*(CPI!$D$55/CPI!$D$46)</f>
        <v>1137.6380944127741</v>
      </c>
      <c r="U80" s="209">
        <f>U43*(CPI!$D$56/CPI!$D$46)</f>
        <v>1166.0790467730933</v>
      </c>
      <c r="V80" s="202">
        <f t="shared" si="18"/>
        <v>4907.8999798377254</v>
      </c>
      <c r="W80" s="210"/>
      <c r="X80" s="210"/>
    </row>
    <row r="81" spans="8:23">
      <c r="H81" s="200" t="str">
        <f t="shared" si="19"/>
        <v>Sales and marketing</v>
      </c>
      <c r="I81" s="201"/>
      <c r="J81" s="97">
        <f>J44*CPI!$D$45/CPI!$D$46</f>
        <v>9.1491799999999994</v>
      </c>
      <c r="K81" s="97">
        <f t="shared" si="17"/>
        <v>9.3824840900000002</v>
      </c>
      <c r="L81" s="101">
        <f>L44*(CPI!$D$47/CPI!$D$46)</f>
        <v>9.6170461922499992</v>
      </c>
      <c r="M81" s="101">
        <f>M44*(CPI!$D$48/CPI!$D$46)</f>
        <v>9.8574723470562482</v>
      </c>
      <c r="N81" s="101">
        <f>N44*(CPI!$D$49/CPI!$D$46)</f>
        <v>10.103909155732653</v>
      </c>
      <c r="O81" s="101">
        <f>O44*(CPI!$D$50/CPI!$D$46)</f>
        <v>10.356506884625968</v>
      </c>
      <c r="P81" s="101">
        <f>P44*(CPI!$D$51/CPI!$D$46)</f>
        <v>10.615419556741619</v>
      </c>
      <c r="Q81" s="101">
        <f>Q44*(CPI!$D$52/CPI!$D$46)</f>
        <v>10.880805045660157</v>
      </c>
      <c r="R81" s="101">
        <f>R44*(CPI!$D$53/CPI!$D$46)</f>
        <v>11.152825171801659</v>
      </c>
      <c r="S81" s="101">
        <f>S44*(CPI!$D$54/CPI!$D$46)</f>
        <v>11.4316458010967</v>
      </c>
      <c r="T81" s="101">
        <f>T44*(CPI!$D$55/CPI!$D$46)</f>
        <v>11.717436946124115</v>
      </c>
      <c r="U81" s="101">
        <f>U44*(CPI!$D$56/CPI!$D$46)</f>
        <v>12.010372869777218</v>
      </c>
      <c r="V81" s="97">
        <f t="shared" si="18"/>
        <v>50.55035413640649</v>
      </c>
    </row>
    <row r="82" spans="8:23">
      <c r="H82" s="200"/>
      <c r="I82" s="208" t="s">
        <v>107</v>
      </c>
      <c r="J82" s="202">
        <f>J45*CPI!$D$45/CPI!$D$46</f>
        <v>0</v>
      </c>
      <c r="K82" s="202">
        <f t="shared" si="17"/>
        <v>0</v>
      </c>
      <c r="L82" s="209">
        <f>L45*(CPI!$D$47/CPI!$D$46)</f>
        <v>0</v>
      </c>
      <c r="M82" s="209">
        <f>M45*(CPI!$D$48/CPI!$D$46)</f>
        <v>0</v>
      </c>
      <c r="N82" s="209">
        <f>N45*(CPI!$D$49/CPI!$D$46)</f>
        <v>0</v>
      </c>
      <c r="O82" s="209">
        <f>O45*(CPI!$D$50/CPI!$D$46)</f>
        <v>0</v>
      </c>
      <c r="P82" s="209">
        <f>P45*(CPI!$D$51/CPI!$D$46)</f>
        <v>0</v>
      </c>
      <c r="Q82" s="209">
        <f>Q45*(CPI!$D$52/CPI!$D$46)</f>
        <v>0</v>
      </c>
      <c r="R82" s="209">
        <f>R45*(CPI!$D$53/CPI!$D$46)</f>
        <v>0</v>
      </c>
      <c r="S82" s="209">
        <f>S45*(CPI!$D$54/CPI!$D$46)</f>
        <v>0</v>
      </c>
      <c r="T82" s="209">
        <f>T45*(CPI!$D$55/CPI!$D$46)</f>
        <v>0</v>
      </c>
      <c r="U82" s="209">
        <f>U45*(CPI!$D$56/CPI!$D$46)</f>
        <v>0</v>
      </c>
      <c r="V82" s="202">
        <f t="shared" si="18"/>
        <v>0</v>
      </c>
    </row>
    <row r="83" spans="8:23">
      <c r="H83" s="200"/>
      <c r="I83" s="208" t="s">
        <v>108</v>
      </c>
      <c r="J83" s="202">
        <f>J46*CPI!$D$45/CPI!$D$46</f>
        <v>0</v>
      </c>
      <c r="K83" s="202">
        <f t="shared" si="17"/>
        <v>0</v>
      </c>
      <c r="L83" s="209">
        <f>L46*(CPI!$D$47/CPI!$D$46)</f>
        <v>0</v>
      </c>
      <c r="M83" s="209">
        <f>M46*(CPI!$D$48/CPI!$D$46)</f>
        <v>0</v>
      </c>
      <c r="N83" s="209">
        <f>N46*(CPI!$D$49/CPI!$D$46)</f>
        <v>0</v>
      </c>
      <c r="O83" s="209">
        <f>O46*(CPI!$D$50/CPI!$D$46)</f>
        <v>0</v>
      </c>
      <c r="P83" s="209">
        <f>P46*(CPI!$D$51/CPI!$D$46)</f>
        <v>0</v>
      </c>
      <c r="Q83" s="209">
        <f>Q46*(CPI!$D$52/CPI!$D$46)</f>
        <v>0</v>
      </c>
      <c r="R83" s="209">
        <f>R46*(CPI!$D$53/CPI!$D$46)</f>
        <v>0</v>
      </c>
      <c r="S83" s="209">
        <f>S46*(CPI!$D$54/CPI!$D$46)</f>
        <v>0</v>
      </c>
      <c r="T83" s="209">
        <f>T46*(CPI!$D$55/CPI!$D$46)</f>
        <v>0</v>
      </c>
      <c r="U83" s="209">
        <f>U46*(CPI!$D$56/CPI!$D$46)</f>
        <v>0</v>
      </c>
      <c r="V83" s="202">
        <f t="shared" si="18"/>
        <v>0</v>
      </c>
    </row>
    <row r="84" spans="8:23">
      <c r="H84" s="200"/>
      <c r="I84" s="208" t="s">
        <v>111</v>
      </c>
      <c r="J84" s="202">
        <f>J47*CPI!$D$45/CPI!$D$46</f>
        <v>9.1491799999999994</v>
      </c>
      <c r="K84" s="202">
        <f t="shared" si="17"/>
        <v>9.3824840900000002</v>
      </c>
      <c r="L84" s="209">
        <f>L47*(CPI!$D$47/CPI!$D$46)</f>
        <v>9.6170461922499992</v>
      </c>
      <c r="M84" s="209">
        <f>M47*(CPI!$D$48/CPI!$D$46)</f>
        <v>9.8574723470562482</v>
      </c>
      <c r="N84" s="209">
        <f>N47*(CPI!$D$49/CPI!$D$46)</f>
        <v>10.103909155732653</v>
      </c>
      <c r="O84" s="209">
        <f>O47*(CPI!$D$50/CPI!$D$46)</f>
        <v>10.356506884625968</v>
      </c>
      <c r="P84" s="209">
        <f>P47*(CPI!$D$51/CPI!$D$46)</f>
        <v>10.615419556741619</v>
      </c>
      <c r="Q84" s="209">
        <f>Q47*(CPI!$D$52/CPI!$D$46)</f>
        <v>10.880805045660157</v>
      </c>
      <c r="R84" s="209">
        <f>R47*(CPI!$D$53/CPI!$D$46)</f>
        <v>11.152825171801659</v>
      </c>
      <c r="S84" s="209">
        <f>S47*(CPI!$D$54/CPI!$D$46)</f>
        <v>11.4316458010967</v>
      </c>
      <c r="T84" s="209">
        <f>T47*(CPI!$D$55/CPI!$D$46)</f>
        <v>11.717436946124115</v>
      </c>
      <c r="U84" s="209">
        <f>U47*(CPI!$D$56/CPI!$D$46)</f>
        <v>12.010372869777218</v>
      </c>
      <c r="V84" s="202">
        <f t="shared" si="18"/>
        <v>50.55035413640649</v>
      </c>
    </row>
    <row r="85" spans="8:23">
      <c r="H85" s="200" t="str">
        <f t="shared" si="19"/>
        <v>Intelligent Pigging</v>
      </c>
      <c r="I85" s="201"/>
      <c r="J85" s="97">
        <f>J48*CPI!$D$45/CPI!$D$46</f>
        <v>0</v>
      </c>
      <c r="K85" s="97">
        <f t="shared" si="17"/>
        <v>0</v>
      </c>
      <c r="L85" s="101">
        <f>L48*(CPI!$D$47/CPI!$D$46)</f>
        <v>374.76004310009995</v>
      </c>
      <c r="M85" s="101">
        <f>M48*(CPI!$D$48/CPI!$D$46)</f>
        <v>1329.2658383909479</v>
      </c>
      <c r="N85" s="101">
        <f>N48*(CPI!$D$49/CPI!$D$46)</f>
        <v>2294.0849163535549</v>
      </c>
      <c r="O85" s="101">
        <f>O48*(CPI!$D$50/CPI!$D$46)</f>
        <v>0</v>
      </c>
      <c r="P85" s="101">
        <f>P48*(CPI!$D$51/CPI!$D$46)</f>
        <v>464.49290685680108</v>
      </c>
      <c r="Q85" s="101">
        <f>Q48*(CPI!$D$52/CPI!$D$46)</f>
        <v>0</v>
      </c>
      <c r="R85" s="101">
        <f>R48*(CPI!$D$53/CPI!$D$46)</f>
        <v>0</v>
      </c>
      <c r="S85" s="101">
        <f>S48*(CPI!$D$54/CPI!$D$46)</f>
        <v>1623.871717411773</v>
      </c>
      <c r="T85" s="101">
        <f>T48*(CPI!$D$55/CPI!$D$46)</f>
        <v>0</v>
      </c>
      <c r="U85" s="101">
        <f>U48*(CPI!$D$56/CPI!$D$46)</f>
        <v>0</v>
      </c>
      <c r="V85" s="97">
        <f t="shared" si="18"/>
        <v>4462.6037047014033</v>
      </c>
    </row>
    <row r="86" spans="8:23">
      <c r="H86" s="200"/>
      <c r="I86" s="208" t="s">
        <v>107</v>
      </c>
      <c r="J86" s="202">
        <f>J49*CPI!$D$45/CPI!$D$46</f>
        <v>0</v>
      </c>
      <c r="K86" s="202">
        <f t="shared" si="17"/>
        <v>0</v>
      </c>
      <c r="L86" s="209">
        <f>L49*(CPI!$D$47/CPI!$D$46)</f>
        <v>3.7380656888750003</v>
      </c>
      <c r="M86" s="209">
        <f>M49*(CPI!$D$48/CPI!$D$46)</f>
        <v>13.254860527120268</v>
      </c>
      <c r="N86" s="209">
        <f>N49*(CPI!$D$49/CPI!$D$46)</f>
        <v>22.870157267835435</v>
      </c>
      <c r="O86" s="209">
        <f>O49*(CPI!$D$50/CPI!$D$46)</f>
        <v>0</v>
      </c>
      <c r="P86" s="209">
        <f>P49*(CPI!$D$51/CPI!$D$46)</f>
        <v>5.0172399845453839</v>
      </c>
      <c r="Q86" s="209">
        <f>Q49*(CPI!$D$52/CPI!$D$46)</f>
        <v>0</v>
      </c>
      <c r="R86" s="209">
        <f>R49*(CPI!$D$53/CPI!$D$46)</f>
        <v>0</v>
      </c>
      <c r="S86" s="209">
        <f>S49*(CPI!$D$54/CPI!$D$46)</f>
        <v>16.236617494055267</v>
      </c>
      <c r="T86" s="209">
        <f>T49*(CPI!$D$55/CPI!$D$46)</f>
        <v>0</v>
      </c>
      <c r="U86" s="209">
        <f>U49*(CPI!$D$56/CPI!$D$46)</f>
        <v>0</v>
      </c>
      <c r="V86" s="202">
        <f t="shared" si="18"/>
        <v>44.880323468376091</v>
      </c>
      <c r="W86" s="210"/>
    </row>
    <row r="87" spans="8:23">
      <c r="H87" s="200"/>
      <c r="I87" s="208" t="s">
        <v>108</v>
      </c>
      <c r="J87" s="202">
        <f>J50*CPI!$D$45/CPI!$D$46</f>
        <v>0</v>
      </c>
      <c r="K87" s="202">
        <f t="shared" si="17"/>
        <v>0</v>
      </c>
      <c r="L87" s="209">
        <f>L50*(CPI!$D$47/CPI!$D$46)</f>
        <v>345.26910866122495</v>
      </c>
      <c r="M87" s="209">
        <f>M50*(CPI!$D$48/CPI!$D$46)</f>
        <v>1225.5080391138276</v>
      </c>
      <c r="N87" s="209">
        <f>N50*(CPI!$D$49/CPI!$D$46)</f>
        <v>2116.6055720544696</v>
      </c>
      <c r="O87" s="209">
        <f>O50*(CPI!$D$50/CPI!$D$46)</f>
        <v>0</v>
      </c>
      <c r="P87" s="209">
        <f>P50*(CPI!$D$51/CPI!$D$46)</f>
        <v>426.98841144731426</v>
      </c>
      <c r="Q87" s="209">
        <f>Q50*(CPI!$D$52/CPI!$D$46)</f>
        <v>0</v>
      </c>
      <c r="R87" s="209">
        <f>R50*(CPI!$D$53/CPI!$D$46)</f>
        <v>0</v>
      </c>
      <c r="S87" s="209">
        <f>S50*(CPI!$D$54/CPI!$D$46)</f>
        <v>1502.6794375204183</v>
      </c>
      <c r="T87" s="209">
        <f>T50*(CPI!$D$55/CPI!$D$46)</f>
        <v>0</v>
      </c>
      <c r="U87" s="209">
        <f>U50*(CPI!$D$56/CPI!$D$46)</f>
        <v>0</v>
      </c>
      <c r="V87" s="202">
        <f t="shared" si="18"/>
        <v>4114.3711312768364</v>
      </c>
      <c r="W87" s="210"/>
    </row>
    <row r="88" spans="8:23">
      <c r="H88" s="200"/>
      <c r="I88" s="208" t="s">
        <v>111</v>
      </c>
      <c r="J88" s="202">
        <f>J51*CPI!$D$45/CPI!$D$46</f>
        <v>0</v>
      </c>
      <c r="K88" s="202">
        <f t="shared" si="17"/>
        <v>0</v>
      </c>
      <c r="L88" s="209">
        <f>L51*(CPI!$D$47/CPI!$D$46)</f>
        <v>25.752868750000001</v>
      </c>
      <c r="M88" s="209">
        <f>M51*(CPI!$D$48/CPI!$D$46)</f>
        <v>90.502938749999998</v>
      </c>
      <c r="N88" s="209">
        <f>N51*(CPI!$D$49/CPI!$D$46)</f>
        <v>154.60918703124997</v>
      </c>
      <c r="O88" s="209">
        <f>O51*(CPI!$D$50/CPI!$D$46)</f>
        <v>0</v>
      </c>
      <c r="P88" s="209">
        <f>P51*(CPI!$D$51/CPI!$D$46)</f>
        <v>32.487255424941402</v>
      </c>
      <c r="Q88" s="209">
        <f>Q51*(CPI!$D$52/CPI!$D$46)</f>
        <v>0</v>
      </c>
      <c r="R88" s="209">
        <f>R51*(CPI!$D$53/CPI!$D$46)</f>
        <v>0</v>
      </c>
      <c r="S88" s="209">
        <f>S51*(CPI!$D$54/CPI!$D$46)</f>
        <v>104.95566239729932</v>
      </c>
      <c r="T88" s="209">
        <f>T51*(CPI!$D$55/CPI!$D$46)</f>
        <v>0</v>
      </c>
      <c r="U88" s="209">
        <f>U51*(CPI!$D$56/CPI!$D$46)</f>
        <v>0</v>
      </c>
      <c r="V88" s="202">
        <f t="shared" si="18"/>
        <v>303.35224995619137</v>
      </c>
      <c r="W88" s="210"/>
    </row>
    <row r="89" spans="8:23">
      <c r="H89" s="200" t="str">
        <f t="shared" si="19"/>
        <v>Total</v>
      </c>
      <c r="I89" s="201"/>
      <c r="J89" s="97">
        <f>J52*CPI!$D$45/CPI!$D$46</f>
        <v>11127.027839999999</v>
      </c>
      <c r="K89" s="97">
        <f t="shared" si="17"/>
        <v>11497.292178904314</v>
      </c>
      <c r="L89" s="101">
        <f>L52*(CPI!$D$47/CPI!$D$46)</f>
        <v>12216.166936171172</v>
      </c>
      <c r="M89" s="101">
        <f>M52*(CPI!$D$48/CPI!$D$46)</f>
        <v>13550.012484102324</v>
      </c>
      <c r="N89" s="101">
        <f>N52*(CPI!$D$49/CPI!$D$46)</f>
        <v>14915.947933596342</v>
      </c>
      <c r="O89" s="101">
        <f>O52*(CPI!$D$50/CPI!$D$46)</f>
        <v>13025.274807541358</v>
      </c>
      <c r="P89" s="101">
        <f>P52*(CPI!$D$51/CPI!$D$46)</f>
        <v>13906.271986433037</v>
      </c>
      <c r="Q89" s="101">
        <f>Q52*(CPI!$D$52/CPI!$D$46)</f>
        <v>13871.806066365169</v>
      </c>
      <c r="R89" s="101">
        <f>R52*(CPI!$D$53/CPI!$D$46)</f>
        <v>14315.800279221719</v>
      </c>
      <c r="S89" s="101">
        <f>S52*(CPI!$D$54/CPI!$D$46)</f>
        <v>16398.09270268094</v>
      </c>
      <c r="T89" s="101">
        <f>T52*(CPI!$D$55/CPI!$D$46)</f>
        <v>15247.542701018359</v>
      </c>
      <c r="U89" s="101">
        <f>U52*(CPI!$D$56/CPI!$D$46)</f>
        <v>15736.25570255228</v>
      </c>
      <c r="V89" s="97">
        <f t="shared" si="18"/>
        <v>67613.674147844242</v>
      </c>
    </row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G25"/>
  <sheetViews>
    <sheetView zoomScale="70" zoomScaleNormal="70" workbookViewId="0">
      <selection activeCell="H48" sqref="H48"/>
    </sheetView>
  </sheetViews>
  <sheetFormatPr defaultRowHeight="12.75"/>
  <sheetData>
    <row r="4" spans="2:33" s="1" customFormat="1" ht="13.5" thickBot="1">
      <c r="B4" s="1" t="s">
        <v>105</v>
      </c>
      <c r="C4" s="114"/>
      <c r="D4" s="114"/>
      <c r="E4" s="114"/>
      <c r="F4" s="114"/>
      <c r="G4" s="11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2:33" ht="13.5" thickBot="1">
      <c r="D5" s="130" t="s">
        <v>125</v>
      </c>
      <c r="E5" s="130" t="s">
        <v>124</v>
      </c>
      <c r="F5" s="130" t="s">
        <v>124</v>
      </c>
      <c r="G5" s="130" t="s">
        <v>124</v>
      </c>
      <c r="H5" s="130" t="s">
        <v>124</v>
      </c>
      <c r="I5" s="130" t="s">
        <v>124</v>
      </c>
      <c r="J5" s="130" t="s">
        <v>124</v>
      </c>
      <c r="K5" s="130" t="s">
        <v>124</v>
      </c>
      <c r="L5" s="130" t="s">
        <v>124</v>
      </c>
      <c r="M5" s="130" t="s">
        <v>124</v>
      </c>
      <c r="N5" s="130" t="s">
        <v>124</v>
      </c>
      <c r="O5" s="130" t="s">
        <v>124</v>
      </c>
    </row>
    <row r="6" spans="2:33">
      <c r="B6" s="5" t="s">
        <v>114</v>
      </c>
      <c r="C6" s="5"/>
      <c r="D6" s="2" t="s">
        <v>3</v>
      </c>
      <c r="E6" s="2" t="s">
        <v>106</v>
      </c>
      <c r="F6" s="2" t="s">
        <v>4</v>
      </c>
      <c r="G6" s="3" t="s">
        <v>17</v>
      </c>
      <c r="H6" s="4" t="s">
        <v>18</v>
      </c>
      <c r="I6" s="4" t="s">
        <v>19</v>
      </c>
      <c r="J6" s="4" t="s">
        <v>20</v>
      </c>
      <c r="K6" s="6" t="s">
        <v>93</v>
      </c>
      <c r="L6" s="6" t="s">
        <v>94</v>
      </c>
      <c r="M6" s="6" t="s">
        <v>95</v>
      </c>
      <c r="N6" s="6" t="s">
        <v>96</v>
      </c>
      <c r="O6" s="6" t="s">
        <v>97</v>
      </c>
      <c r="P6" s="115" t="s">
        <v>5</v>
      </c>
    </row>
    <row r="7" spans="2:33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2:33">
      <c r="B8" t="s">
        <v>107</v>
      </c>
      <c r="D8" s="109">
        <v>-93.392499999999998</v>
      </c>
      <c r="E8" s="113"/>
      <c r="F8" s="104">
        <f>F14*$E$21</f>
        <v>3.5</v>
      </c>
      <c r="G8" s="104">
        <f t="shared" ref="G8:O8" si="0">G14*$E$21</f>
        <v>12</v>
      </c>
      <c r="H8" s="104">
        <f t="shared" si="0"/>
        <v>20</v>
      </c>
      <c r="I8" s="104">
        <f t="shared" si="0"/>
        <v>0</v>
      </c>
      <c r="J8" s="104">
        <f t="shared" si="0"/>
        <v>4</v>
      </c>
      <c r="K8" s="104">
        <f t="shared" si="0"/>
        <v>0</v>
      </c>
      <c r="L8" s="104">
        <f t="shared" si="0"/>
        <v>0</v>
      </c>
      <c r="M8" s="104">
        <f t="shared" si="0"/>
        <v>12</v>
      </c>
      <c r="N8" s="104">
        <f t="shared" si="0"/>
        <v>0</v>
      </c>
      <c r="O8" s="104">
        <f t="shared" si="0"/>
        <v>0</v>
      </c>
      <c r="P8" s="131">
        <f>SUM(F8:O8)</f>
        <v>51.5</v>
      </c>
    </row>
    <row r="9" spans="2:33">
      <c r="B9" t="s">
        <v>108</v>
      </c>
      <c r="D9" s="109">
        <v>-249.65527000000003</v>
      </c>
      <c r="E9" s="123">
        <v>0</v>
      </c>
      <c r="F9" s="104">
        <f t="shared" ref="F9:O9" si="1">F14*$E$22</f>
        <v>322</v>
      </c>
      <c r="G9" s="104">
        <f t="shared" si="1"/>
        <v>1104</v>
      </c>
      <c r="H9" s="104">
        <f t="shared" si="1"/>
        <v>1840</v>
      </c>
      <c r="I9" s="104">
        <f t="shared" si="1"/>
        <v>0</v>
      </c>
      <c r="J9" s="104">
        <f t="shared" si="1"/>
        <v>368</v>
      </c>
      <c r="K9" s="104">
        <f t="shared" si="1"/>
        <v>0</v>
      </c>
      <c r="L9" s="104">
        <f t="shared" si="1"/>
        <v>0</v>
      </c>
      <c r="M9" s="104">
        <f t="shared" si="1"/>
        <v>1104</v>
      </c>
      <c r="N9" s="104">
        <f t="shared" si="1"/>
        <v>0</v>
      </c>
      <c r="O9" s="104">
        <f t="shared" si="1"/>
        <v>0</v>
      </c>
      <c r="P9" s="131">
        <f>SUM(F9:O9)</f>
        <v>4738</v>
      </c>
    </row>
    <row r="10" spans="2:33">
      <c r="B10" t="s">
        <v>109</v>
      </c>
      <c r="D10" s="109">
        <v>-22.922490000000007</v>
      </c>
      <c r="E10" s="113"/>
      <c r="F10" s="104">
        <f t="shared" ref="F10:O10" si="2">F14*$E$23</f>
        <v>24.500000000000004</v>
      </c>
      <c r="G10" s="104">
        <f t="shared" si="2"/>
        <v>84.000000000000014</v>
      </c>
      <c r="H10" s="104">
        <f t="shared" si="2"/>
        <v>140</v>
      </c>
      <c r="I10" s="104">
        <f t="shared" si="2"/>
        <v>0</v>
      </c>
      <c r="J10" s="104">
        <f t="shared" si="2"/>
        <v>28.000000000000004</v>
      </c>
      <c r="K10" s="104">
        <f t="shared" si="2"/>
        <v>0</v>
      </c>
      <c r="L10" s="104">
        <f t="shared" si="2"/>
        <v>0</v>
      </c>
      <c r="M10" s="104">
        <f t="shared" si="2"/>
        <v>84.000000000000014</v>
      </c>
      <c r="N10" s="104">
        <f t="shared" si="2"/>
        <v>0</v>
      </c>
      <c r="O10" s="104">
        <f t="shared" si="2"/>
        <v>0</v>
      </c>
      <c r="P10" s="131">
        <f>SUM(F10:O10)</f>
        <v>360.5</v>
      </c>
    </row>
    <row r="11" spans="2:33" s="1" customFormat="1">
      <c r="B11" s="106" t="s">
        <v>5</v>
      </c>
      <c r="C11" s="106"/>
      <c r="D11" s="108">
        <f>SUM(D8:D10)</f>
        <v>-365.97026</v>
      </c>
      <c r="E11" s="108">
        <f t="shared" ref="E11:P11" si="3">SUM(E8:E10)</f>
        <v>0</v>
      </c>
      <c r="F11" s="108">
        <f t="shared" si="3"/>
        <v>350</v>
      </c>
      <c r="G11" s="108">
        <f t="shared" si="3"/>
        <v>1200</v>
      </c>
      <c r="H11" s="108">
        <f t="shared" si="3"/>
        <v>2000</v>
      </c>
      <c r="I11" s="108">
        <f t="shared" si="3"/>
        <v>0</v>
      </c>
      <c r="J11" s="108">
        <f t="shared" si="3"/>
        <v>400</v>
      </c>
      <c r="K11" s="108">
        <f t="shared" si="3"/>
        <v>0</v>
      </c>
      <c r="L11" s="108">
        <f t="shared" si="3"/>
        <v>0</v>
      </c>
      <c r="M11" s="108">
        <f t="shared" si="3"/>
        <v>1200</v>
      </c>
      <c r="N11" s="108">
        <f t="shared" si="3"/>
        <v>0</v>
      </c>
      <c r="O11" s="108">
        <f t="shared" si="3"/>
        <v>0</v>
      </c>
      <c r="P11" s="108">
        <f t="shared" si="3"/>
        <v>5150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4" spans="2:33">
      <c r="B14" t="s">
        <v>126</v>
      </c>
      <c r="F14" s="124">
        <v>350</v>
      </c>
      <c r="G14" s="124">
        <v>1200</v>
      </c>
      <c r="H14" s="124">
        <v>2000</v>
      </c>
      <c r="I14" s="124">
        <v>0</v>
      </c>
      <c r="J14" s="124">
        <v>400</v>
      </c>
      <c r="K14" s="124">
        <v>0</v>
      </c>
      <c r="L14" s="124">
        <v>0</v>
      </c>
      <c r="M14" s="124">
        <v>1200</v>
      </c>
      <c r="N14" s="124">
        <v>0</v>
      </c>
      <c r="O14" s="124">
        <v>0</v>
      </c>
      <c r="P14" s="124">
        <f>SUM(F14:O14)</f>
        <v>5150</v>
      </c>
    </row>
    <row r="15" spans="2:33">
      <c r="F15" s="132" t="str">
        <f t="shared" ref="F15:P15" si="4">IF(F11=F14,"Ok","Check")</f>
        <v>Ok</v>
      </c>
      <c r="G15" s="132" t="str">
        <f t="shared" si="4"/>
        <v>Ok</v>
      </c>
      <c r="H15" s="132" t="str">
        <f t="shared" si="4"/>
        <v>Ok</v>
      </c>
      <c r="I15" s="132" t="str">
        <f t="shared" si="4"/>
        <v>Ok</v>
      </c>
      <c r="J15" s="132" t="str">
        <f t="shared" si="4"/>
        <v>Ok</v>
      </c>
      <c r="K15" s="132" t="str">
        <f t="shared" si="4"/>
        <v>Ok</v>
      </c>
      <c r="L15" s="132" t="str">
        <f t="shared" si="4"/>
        <v>Ok</v>
      </c>
      <c r="M15" s="132" t="str">
        <f t="shared" si="4"/>
        <v>Ok</v>
      </c>
      <c r="N15" s="132" t="str">
        <f t="shared" si="4"/>
        <v>Ok</v>
      </c>
      <c r="O15" s="132" t="str">
        <f t="shared" si="4"/>
        <v>Ok</v>
      </c>
      <c r="P15" s="132" t="str">
        <f t="shared" si="4"/>
        <v>Ok</v>
      </c>
    </row>
    <row r="20" spans="2:5">
      <c r="B20" s="1" t="s">
        <v>123</v>
      </c>
      <c r="D20" s="128"/>
    </row>
    <row r="21" spans="2:5">
      <c r="B21" t="s">
        <v>120</v>
      </c>
      <c r="E21" s="127">
        <v>0.01</v>
      </c>
    </row>
    <row r="22" spans="2:5">
      <c r="B22" t="s">
        <v>122</v>
      </c>
      <c r="E22" s="127">
        <v>0.92</v>
      </c>
    </row>
    <row r="23" spans="2:5">
      <c r="B23" t="s">
        <v>121</v>
      </c>
      <c r="E23" s="127">
        <v>7.0000000000000007E-2</v>
      </c>
    </row>
    <row r="24" spans="2:5" ht="13.5" thickBot="1">
      <c r="E24" s="129">
        <f>SUM(E21:E23)</f>
        <v>1</v>
      </c>
    </row>
    <row r="25" spans="2:5" ht="13.5" thickTop="1"/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R43"/>
  <sheetViews>
    <sheetView topLeftCell="A13" zoomScale="115" zoomScaleNormal="115" workbookViewId="0">
      <selection activeCell="E28" sqref="E28"/>
    </sheetView>
  </sheetViews>
  <sheetFormatPr defaultRowHeight="12.75"/>
  <cols>
    <col min="1" max="1" width="9.140625" style="11"/>
    <col min="2" max="2" width="23.42578125" style="11" customWidth="1"/>
    <col min="3" max="10" width="9.140625" style="11"/>
    <col min="11" max="11" width="20.5703125" style="11" customWidth="1"/>
    <col min="12" max="257" width="9.140625" style="11"/>
    <col min="258" max="258" width="23.42578125" style="11" customWidth="1"/>
    <col min="259" max="266" width="9.140625" style="11"/>
    <col min="267" max="267" width="20.5703125" style="11" customWidth="1"/>
    <col min="268" max="513" width="9.140625" style="11"/>
    <col min="514" max="514" width="23.42578125" style="11" customWidth="1"/>
    <col min="515" max="522" width="9.140625" style="11"/>
    <col min="523" max="523" width="20.5703125" style="11" customWidth="1"/>
    <col min="524" max="769" width="9.140625" style="11"/>
    <col min="770" max="770" width="23.42578125" style="11" customWidth="1"/>
    <col min="771" max="778" width="9.140625" style="11"/>
    <col min="779" max="779" width="20.5703125" style="11" customWidth="1"/>
    <col min="780" max="1025" width="9.140625" style="11"/>
    <col min="1026" max="1026" width="23.42578125" style="11" customWidth="1"/>
    <col min="1027" max="1034" width="9.140625" style="11"/>
    <col min="1035" max="1035" width="20.5703125" style="11" customWidth="1"/>
    <col min="1036" max="1281" width="9.140625" style="11"/>
    <col min="1282" max="1282" width="23.42578125" style="11" customWidth="1"/>
    <col min="1283" max="1290" width="9.140625" style="11"/>
    <col min="1291" max="1291" width="20.5703125" style="11" customWidth="1"/>
    <col min="1292" max="1537" width="9.140625" style="11"/>
    <col min="1538" max="1538" width="23.42578125" style="11" customWidth="1"/>
    <col min="1539" max="1546" width="9.140625" style="11"/>
    <col min="1547" max="1547" width="20.5703125" style="11" customWidth="1"/>
    <col min="1548" max="1793" width="9.140625" style="11"/>
    <col min="1794" max="1794" width="23.42578125" style="11" customWidth="1"/>
    <col min="1795" max="1802" width="9.140625" style="11"/>
    <col min="1803" max="1803" width="20.5703125" style="11" customWidth="1"/>
    <col min="1804" max="2049" width="9.140625" style="11"/>
    <col min="2050" max="2050" width="23.42578125" style="11" customWidth="1"/>
    <col min="2051" max="2058" width="9.140625" style="11"/>
    <col min="2059" max="2059" width="20.5703125" style="11" customWidth="1"/>
    <col min="2060" max="2305" width="9.140625" style="11"/>
    <col min="2306" max="2306" width="23.42578125" style="11" customWidth="1"/>
    <col min="2307" max="2314" width="9.140625" style="11"/>
    <col min="2315" max="2315" width="20.5703125" style="11" customWidth="1"/>
    <col min="2316" max="2561" width="9.140625" style="11"/>
    <col min="2562" max="2562" width="23.42578125" style="11" customWidth="1"/>
    <col min="2563" max="2570" width="9.140625" style="11"/>
    <col min="2571" max="2571" width="20.5703125" style="11" customWidth="1"/>
    <col min="2572" max="2817" width="9.140625" style="11"/>
    <col min="2818" max="2818" width="23.42578125" style="11" customWidth="1"/>
    <col min="2819" max="2826" width="9.140625" style="11"/>
    <col min="2827" max="2827" width="20.5703125" style="11" customWidth="1"/>
    <col min="2828" max="3073" width="9.140625" style="11"/>
    <col min="3074" max="3074" width="23.42578125" style="11" customWidth="1"/>
    <col min="3075" max="3082" width="9.140625" style="11"/>
    <col min="3083" max="3083" width="20.5703125" style="11" customWidth="1"/>
    <col min="3084" max="3329" width="9.140625" style="11"/>
    <col min="3330" max="3330" width="23.42578125" style="11" customWidth="1"/>
    <col min="3331" max="3338" width="9.140625" style="11"/>
    <col min="3339" max="3339" width="20.5703125" style="11" customWidth="1"/>
    <col min="3340" max="3585" width="9.140625" style="11"/>
    <col min="3586" max="3586" width="23.42578125" style="11" customWidth="1"/>
    <col min="3587" max="3594" width="9.140625" style="11"/>
    <col min="3595" max="3595" width="20.5703125" style="11" customWidth="1"/>
    <col min="3596" max="3841" width="9.140625" style="11"/>
    <col min="3842" max="3842" width="23.42578125" style="11" customWidth="1"/>
    <col min="3843" max="3850" width="9.140625" style="11"/>
    <col min="3851" max="3851" width="20.5703125" style="11" customWidth="1"/>
    <col min="3852" max="4097" width="9.140625" style="11"/>
    <col min="4098" max="4098" width="23.42578125" style="11" customWidth="1"/>
    <col min="4099" max="4106" width="9.140625" style="11"/>
    <col min="4107" max="4107" width="20.5703125" style="11" customWidth="1"/>
    <col min="4108" max="4353" width="9.140625" style="11"/>
    <col min="4354" max="4354" width="23.42578125" style="11" customWidth="1"/>
    <col min="4355" max="4362" width="9.140625" style="11"/>
    <col min="4363" max="4363" width="20.5703125" style="11" customWidth="1"/>
    <col min="4364" max="4609" width="9.140625" style="11"/>
    <col min="4610" max="4610" width="23.42578125" style="11" customWidth="1"/>
    <col min="4611" max="4618" width="9.140625" style="11"/>
    <col min="4619" max="4619" width="20.5703125" style="11" customWidth="1"/>
    <col min="4620" max="4865" width="9.140625" style="11"/>
    <col min="4866" max="4866" width="23.42578125" style="11" customWidth="1"/>
    <col min="4867" max="4874" width="9.140625" style="11"/>
    <col min="4875" max="4875" width="20.5703125" style="11" customWidth="1"/>
    <col min="4876" max="5121" width="9.140625" style="11"/>
    <col min="5122" max="5122" width="23.42578125" style="11" customWidth="1"/>
    <col min="5123" max="5130" width="9.140625" style="11"/>
    <col min="5131" max="5131" width="20.5703125" style="11" customWidth="1"/>
    <col min="5132" max="5377" width="9.140625" style="11"/>
    <col min="5378" max="5378" width="23.42578125" style="11" customWidth="1"/>
    <col min="5379" max="5386" width="9.140625" style="11"/>
    <col min="5387" max="5387" width="20.5703125" style="11" customWidth="1"/>
    <col min="5388" max="5633" width="9.140625" style="11"/>
    <col min="5634" max="5634" width="23.42578125" style="11" customWidth="1"/>
    <col min="5635" max="5642" width="9.140625" style="11"/>
    <col min="5643" max="5643" width="20.5703125" style="11" customWidth="1"/>
    <col min="5644" max="5889" width="9.140625" style="11"/>
    <col min="5890" max="5890" width="23.42578125" style="11" customWidth="1"/>
    <col min="5891" max="5898" width="9.140625" style="11"/>
    <col min="5899" max="5899" width="20.5703125" style="11" customWidth="1"/>
    <col min="5900" max="6145" width="9.140625" style="11"/>
    <col min="6146" max="6146" width="23.42578125" style="11" customWidth="1"/>
    <col min="6147" max="6154" width="9.140625" style="11"/>
    <col min="6155" max="6155" width="20.5703125" style="11" customWidth="1"/>
    <col min="6156" max="6401" width="9.140625" style="11"/>
    <col min="6402" max="6402" width="23.42578125" style="11" customWidth="1"/>
    <col min="6403" max="6410" width="9.140625" style="11"/>
    <col min="6411" max="6411" width="20.5703125" style="11" customWidth="1"/>
    <col min="6412" max="6657" width="9.140625" style="11"/>
    <col min="6658" max="6658" width="23.42578125" style="11" customWidth="1"/>
    <col min="6659" max="6666" width="9.140625" style="11"/>
    <col min="6667" max="6667" width="20.5703125" style="11" customWidth="1"/>
    <col min="6668" max="6913" width="9.140625" style="11"/>
    <col min="6914" max="6914" width="23.42578125" style="11" customWidth="1"/>
    <col min="6915" max="6922" width="9.140625" style="11"/>
    <col min="6923" max="6923" width="20.5703125" style="11" customWidth="1"/>
    <col min="6924" max="7169" width="9.140625" style="11"/>
    <col min="7170" max="7170" width="23.42578125" style="11" customWidth="1"/>
    <col min="7171" max="7178" width="9.140625" style="11"/>
    <col min="7179" max="7179" width="20.5703125" style="11" customWidth="1"/>
    <col min="7180" max="7425" width="9.140625" style="11"/>
    <col min="7426" max="7426" width="23.42578125" style="11" customWidth="1"/>
    <col min="7427" max="7434" width="9.140625" style="11"/>
    <col min="7435" max="7435" width="20.5703125" style="11" customWidth="1"/>
    <col min="7436" max="7681" width="9.140625" style="11"/>
    <col min="7682" max="7682" width="23.42578125" style="11" customWidth="1"/>
    <col min="7683" max="7690" width="9.140625" style="11"/>
    <col min="7691" max="7691" width="20.5703125" style="11" customWidth="1"/>
    <col min="7692" max="7937" width="9.140625" style="11"/>
    <col min="7938" max="7938" width="23.42578125" style="11" customWidth="1"/>
    <col min="7939" max="7946" width="9.140625" style="11"/>
    <col min="7947" max="7947" width="20.5703125" style="11" customWidth="1"/>
    <col min="7948" max="8193" width="9.140625" style="11"/>
    <col min="8194" max="8194" width="23.42578125" style="11" customWidth="1"/>
    <col min="8195" max="8202" width="9.140625" style="11"/>
    <col min="8203" max="8203" width="20.5703125" style="11" customWidth="1"/>
    <col min="8204" max="8449" width="9.140625" style="11"/>
    <col min="8450" max="8450" width="23.42578125" style="11" customWidth="1"/>
    <col min="8451" max="8458" width="9.140625" style="11"/>
    <col min="8459" max="8459" width="20.5703125" style="11" customWidth="1"/>
    <col min="8460" max="8705" width="9.140625" style="11"/>
    <col min="8706" max="8706" width="23.42578125" style="11" customWidth="1"/>
    <col min="8707" max="8714" width="9.140625" style="11"/>
    <col min="8715" max="8715" width="20.5703125" style="11" customWidth="1"/>
    <col min="8716" max="8961" width="9.140625" style="11"/>
    <col min="8962" max="8962" width="23.42578125" style="11" customWidth="1"/>
    <col min="8963" max="8970" width="9.140625" style="11"/>
    <col min="8971" max="8971" width="20.5703125" style="11" customWidth="1"/>
    <col min="8972" max="9217" width="9.140625" style="11"/>
    <col min="9218" max="9218" width="23.42578125" style="11" customWidth="1"/>
    <col min="9219" max="9226" width="9.140625" style="11"/>
    <col min="9227" max="9227" width="20.5703125" style="11" customWidth="1"/>
    <col min="9228" max="9473" width="9.140625" style="11"/>
    <col min="9474" max="9474" width="23.42578125" style="11" customWidth="1"/>
    <col min="9475" max="9482" width="9.140625" style="11"/>
    <col min="9483" max="9483" width="20.5703125" style="11" customWidth="1"/>
    <col min="9484" max="9729" width="9.140625" style="11"/>
    <col min="9730" max="9730" width="23.42578125" style="11" customWidth="1"/>
    <col min="9731" max="9738" width="9.140625" style="11"/>
    <col min="9739" max="9739" width="20.5703125" style="11" customWidth="1"/>
    <col min="9740" max="9985" width="9.140625" style="11"/>
    <col min="9986" max="9986" width="23.42578125" style="11" customWidth="1"/>
    <col min="9987" max="9994" width="9.140625" style="11"/>
    <col min="9995" max="9995" width="20.5703125" style="11" customWidth="1"/>
    <col min="9996" max="10241" width="9.140625" style="11"/>
    <col min="10242" max="10242" width="23.42578125" style="11" customWidth="1"/>
    <col min="10243" max="10250" width="9.140625" style="11"/>
    <col min="10251" max="10251" width="20.5703125" style="11" customWidth="1"/>
    <col min="10252" max="10497" width="9.140625" style="11"/>
    <col min="10498" max="10498" width="23.42578125" style="11" customWidth="1"/>
    <col min="10499" max="10506" width="9.140625" style="11"/>
    <col min="10507" max="10507" width="20.5703125" style="11" customWidth="1"/>
    <col min="10508" max="10753" width="9.140625" style="11"/>
    <col min="10754" max="10754" width="23.42578125" style="11" customWidth="1"/>
    <col min="10755" max="10762" width="9.140625" style="11"/>
    <col min="10763" max="10763" width="20.5703125" style="11" customWidth="1"/>
    <col min="10764" max="11009" width="9.140625" style="11"/>
    <col min="11010" max="11010" width="23.42578125" style="11" customWidth="1"/>
    <col min="11011" max="11018" width="9.140625" style="11"/>
    <col min="11019" max="11019" width="20.5703125" style="11" customWidth="1"/>
    <col min="11020" max="11265" width="9.140625" style="11"/>
    <col min="11266" max="11266" width="23.42578125" style="11" customWidth="1"/>
    <col min="11267" max="11274" width="9.140625" style="11"/>
    <col min="11275" max="11275" width="20.5703125" style="11" customWidth="1"/>
    <col min="11276" max="11521" width="9.140625" style="11"/>
    <col min="11522" max="11522" width="23.42578125" style="11" customWidth="1"/>
    <col min="11523" max="11530" width="9.140625" style="11"/>
    <col min="11531" max="11531" width="20.5703125" style="11" customWidth="1"/>
    <col min="11532" max="11777" width="9.140625" style="11"/>
    <col min="11778" max="11778" width="23.42578125" style="11" customWidth="1"/>
    <col min="11779" max="11786" width="9.140625" style="11"/>
    <col min="11787" max="11787" width="20.5703125" style="11" customWidth="1"/>
    <col min="11788" max="12033" width="9.140625" style="11"/>
    <col min="12034" max="12034" width="23.42578125" style="11" customWidth="1"/>
    <col min="12035" max="12042" width="9.140625" style="11"/>
    <col min="12043" max="12043" width="20.5703125" style="11" customWidth="1"/>
    <col min="12044" max="12289" width="9.140625" style="11"/>
    <col min="12290" max="12290" width="23.42578125" style="11" customWidth="1"/>
    <col min="12291" max="12298" width="9.140625" style="11"/>
    <col min="12299" max="12299" width="20.5703125" style="11" customWidth="1"/>
    <col min="12300" max="12545" width="9.140625" style="11"/>
    <col min="12546" max="12546" width="23.42578125" style="11" customWidth="1"/>
    <col min="12547" max="12554" width="9.140625" style="11"/>
    <col min="12555" max="12555" width="20.5703125" style="11" customWidth="1"/>
    <col min="12556" max="12801" width="9.140625" style="11"/>
    <col min="12802" max="12802" width="23.42578125" style="11" customWidth="1"/>
    <col min="12803" max="12810" width="9.140625" style="11"/>
    <col min="12811" max="12811" width="20.5703125" style="11" customWidth="1"/>
    <col min="12812" max="13057" width="9.140625" style="11"/>
    <col min="13058" max="13058" width="23.42578125" style="11" customWidth="1"/>
    <col min="13059" max="13066" width="9.140625" style="11"/>
    <col min="13067" max="13067" width="20.5703125" style="11" customWidth="1"/>
    <col min="13068" max="13313" width="9.140625" style="11"/>
    <col min="13314" max="13314" width="23.42578125" style="11" customWidth="1"/>
    <col min="13315" max="13322" width="9.140625" style="11"/>
    <col min="13323" max="13323" width="20.5703125" style="11" customWidth="1"/>
    <col min="13324" max="13569" width="9.140625" style="11"/>
    <col min="13570" max="13570" width="23.42578125" style="11" customWidth="1"/>
    <col min="13571" max="13578" width="9.140625" style="11"/>
    <col min="13579" max="13579" width="20.5703125" style="11" customWidth="1"/>
    <col min="13580" max="13825" width="9.140625" style="11"/>
    <col min="13826" max="13826" width="23.42578125" style="11" customWidth="1"/>
    <col min="13827" max="13834" width="9.140625" style="11"/>
    <col min="13835" max="13835" width="20.5703125" style="11" customWidth="1"/>
    <col min="13836" max="14081" width="9.140625" style="11"/>
    <col min="14082" max="14082" width="23.42578125" style="11" customWidth="1"/>
    <col min="14083" max="14090" width="9.140625" style="11"/>
    <col min="14091" max="14091" width="20.5703125" style="11" customWidth="1"/>
    <col min="14092" max="14337" width="9.140625" style="11"/>
    <col min="14338" max="14338" width="23.42578125" style="11" customWidth="1"/>
    <col min="14339" max="14346" width="9.140625" style="11"/>
    <col min="14347" max="14347" width="20.5703125" style="11" customWidth="1"/>
    <col min="14348" max="14593" width="9.140625" style="11"/>
    <col min="14594" max="14594" width="23.42578125" style="11" customWidth="1"/>
    <col min="14595" max="14602" width="9.140625" style="11"/>
    <col min="14603" max="14603" width="20.5703125" style="11" customWidth="1"/>
    <col min="14604" max="14849" width="9.140625" style="11"/>
    <col min="14850" max="14850" width="23.42578125" style="11" customWidth="1"/>
    <col min="14851" max="14858" width="9.140625" style="11"/>
    <col min="14859" max="14859" width="20.5703125" style="11" customWidth="1"/>
    <col min="14860" max="15105" width="9.140625" style="11"/>
    <col min="15106" max="15106" width="23.42578125" style="11" customWidth="1"/>
    <col min="15107" max="15114" width="9.140625" style="11"/>
    <col min="15115" max="15115" width="20.5703125" style="11" customWidth="1"/>
    <col min="15116" max="15361" width="9.140625" style="11"/>
    <col min="15362" max="15362" width="23.42578125" style="11" customWidth="1"/>
    <col min="15363" max="15370" width="9.140625" style="11"/>
    <col min="15371" max="15371" width="20.5703125" style="11" customWidth="1"/>
    <col min="15372" max="15617" width="9.140625" style="11"/>
    <col min="15618" max="15618" width="23.42578125" style="11" customWidth="1"/>
    <col min="15619" max="15626" width="9.140625" style="11"/>
    <col min="15627" max="15627" width="20.5703125" style="11" customWidth="1"/>
    <col min="15628" max="15873" width="9.140625" style="11"/>
    <col min="15874" max="15874" width="23.42578125" style="11" customWidth="1"/>
    <col min="15875" max="15882" width="9.140625" style="11"/>
    <col min="15883" max="15883" width="20.5703125" style="11" customWidth="1"/>
    <col min="15884" max="16129" width="9.140625" style="11"/>
    <col min="16130" max="16130" width="23.42578125" style="11" customWidth="1"/>
    <col min="16131" max="16138" width="9.140625" style="11"/>
    <col min="16139" max="16139" width="20.5703125" style="11" customWidth="1"/>
    <col min="16140" max="16384" width="9.140625" style="11"/>
  </cols>
  <sheetData>
    <row r="2" spans="2:17">
      <c r="B2" s="238" t="s">
        <v>56</v>
      </c>
      <c r="C2" s="239"/>
      <c r="D2" s="239"/>
      <c r="E2" s="239"/>
      <c r="F2" s="239"/>
    </row>
    <row r="3" spans="2:17">
      <c r="B3" s="240"/>
      <c r="C3" s="239"/>
      <c r="D3" s="239"/>
      <c r="E3" s="239"/>
      <c r="F3" s="239"/>
    </row>
    <row r="6" spans="2:17">
      <c r="B6" s="10" t="s">
        <v>23</v>
      </c>
      <c r="K6" s="11" t="s">
        <v>24</v>
      </c>
    </row>
    <row r="7" spans="2:17">
      <c r="C7" s="12" t="s">
        <v>25</v>
      </c>
      <c r="D7" s="12" t="s">
        <v>26</v>
      </c>
      <c r="E7" s="12" t="s">
        <v>27</v>
      </c>
      <c r="F7" s="12" t="s">
        <v>28</v>
      </c>
      <c r="G7" s="12" t="s">
        <v>29</v>
      </c>
      <c r="H7" s="12" t="s">
        <v>5</v>
      </c>
      <c r="L7" s="13"/>
      <c r="M7" s="13">
        <v>2012</v>
      </c>
      <c r="N7" s="13">
        <v>2013</v>
      </c>
      <c r="O7" s="13">
        <v>2014</v>
      </c>
      <c r="P7" s="13">
        <v>2015</v>
      </c>
      <c r="Q7" s="13">
        <v>2016</v>
      </c>
    </row>
    <row r="8" spans="2:17">
      <c r="B8" s="14" t="s">
        <v>30</v>
      </c>
      <c r="C8" s="14"/>
      <c r="D8" s="14"/>
      <c r="E8" s="14"/>
      <c r="F8" s="14"/>
      <c r="G8" s="14"/>
      <c r="H8" s="12"/>
      <c r="K8" s="11" t="s">
        <v>31</v>
      </c>
      <c r="M8" s="11">
        <v>10</v>
      </c>
      <c r="N8" s="11">
        <v>10</v>
      </c>
      <c r="O8" s="11">
        <v>10</v>
      </c>
      <c r="P8" s="11">
        <v>10</v>
      </c>
      <c r="Q8" s="11">
        <v>10</v>
      </c>
    </row>
    <row r="9" spans="2:17">
      <c r="B9" s="14" t="s">
        <v>32</v>
      </c>
      <c r="C9" s="15">
        <f>M20</f>
        <v>60.591400000000021</v>
      </c>
      <c r="D9" s="15">
        <f>N20</f>
        <v>1645.6736000000001</v>
      </c>
      <c r="E9" s="15">
        <f>O20</f>
        <v>17.192800000000034</v>
      </c>
      <c r="F9" s="15">
        <f>P20</f>
        <v>-34.472199999999987</v>
      </c>
      <c r="G9" s="15">
        <f>Q20</f>
        <v>1949.4638000000004</v>
      </c>
      <c r="H9" s="16">
        <f>SUM(C9:G9)</f>
        <v>3638.4494000000004</v>
      </c>
      <c r="K9" s="11" t="s">
        <v>33</v>
      </c>
      <c r="M9" s="11">
        <v>29</v>
      </c>
      <c r="N9" s="11">
        <v>29</v>
      </c>
      <c r="O9" s="11">
        <v>29</v>
      </c>
      <c r="P9" s="11">
        <v>29</v>
      </c>
      <c r="Q9" s="11">
        <v>29</v>
      </c>
    </row>
    <row r="10" spans="2:17">
      <c r="B10" s="14" t="s">
        <v>34</v>
      </c>
      <c r="C10" s="15">
        <f>M24-C9</f>
        <v>8749.4086000000007</v>
      </c>
      <c r="D10" s="15">
        <f>N24-D9</f>
        <v>8835.3263999999999</v>
      </c>
      <c r="E10" s="15">
        <f>O24-E9</f>
        <v>8922.8071999999993</v>
      </c>
      <c r="F10" s="15">
        <f>P24-F9</f>
        <v>9011.4722000000002</v>
      </c>
      <c r="G10" s="15">
        <f>Q24-G9</f>
        <v>9101.5361999999986</v>
      </c>
      <c r="H10" s="16">
        <f>SUM(C10:G10)</f>
        <v>44620.550600000002</v>
      </c>
      <c r="K10" s="11" t="s">
        <v>35</v>
      </c>
      <c r="M10" s="11">
        <v>112</v>
      </c>
      <c r="N10" s="11">
        <v>112</v>
      </c>
      <c r="O10" s="11">
        <v>112</v>
      </c>
      <c r="P10" s="11">
        <v>112</v>
      </c>
      <c r="Q10" s="11">
        <v>0</v>
      </c>
    </row>
    <row r="11" spans="2:17">
      <c r="B11" s="14" t="s">
        <v>8</v>
      </c>
      <c r="C11" s="15">
        <v>4373</v>
      </c>
      <c r="D11" s="15">
        <v>4436</v>
      </c>
      <c r="E11" s="15">
        <v>4470</v>
      </c>
      <c r="F11" s="15">
        <v>5163</v>
      </c>
      <c r="G11" s="15">
        <v>4540</v>
      </c>
      <c r="H11" s="16">
        <v>22982</v>
      </c>
      <c r="K11" s="11" t="s">
        <v>36</v>
      </c>
      <c r="M11" s="11">
        <v>42</v>
      </c>
      <c r="N11" s="11">
        <v>42</v>
      </c>
      <c r="O11" s="11">
        <v>42</v>
      </c>
      <c r="P11" s="11">
        <v>42</v>
      </c>
      <c r="Q11" s="11">
        <v>42</v>
      </c>
    </row>
    <row r="12" spans="2:17">
      <c r="B12" s="14" t="s">
        <v>37</v>
      </c>
      <c r="C12" s="15">
        <v>62</v>
      </c>
      <c r="D12" s="15">
        <v>62</v>
      </c>
      <c r="E12" s="15">
        <v>62</v>
      </c>
      <c r="F12" s="15">
        <v>62</v>
      </c>
      <c r="G12" s="15">
        <v>62</v>
      </c>
      <c r="H12" s="16">
        <v>309</v>
      </c>
      <c r="K12" s="11" t="s">
        <v>38</v>
      </c>
      <c r="M12" s="11">
        <v>0</v>
      </c>
      <c r="N12" s="11">
        <v>0</v>
      </c>
      <c r="O12" s="11">
        <v>-42</v>
      </c>
      <c r="P12" s="11">
        <v>-42</v>
      </c>
      <c r="Q12" s="11">
        <v>-42</v>
      </c>
    </row>
    <row r="13" spans="2:17">
      <c r="B13" s="14"/>
      <c r="C13" s="16">
        <f t="shared" ref="C13:H13" si="0">SUM(C8:C12)</f>
        <v>13245</v>
      </c>
      <c r="D13" s="16">
        <f t="shared" si="0"/>
        <v>14979</v>
      </c>
      <c r="E13" s="16">
        <f t="shared" si="0"/>
        <v>13472</v>
      </c>
      <c r="F13" s="16">
        <f t="shared" si="0"/>
        <v>14202</v>
      </c>
      <c r="G13" s="16">
        <f t="shared" si="0"/>
        <v>15653</v>
      </c>
      <c r="H13" s="16">
        <f t="shared" si="0"/>
        <v>71550</v>
      </c>
      <c r="K13" s="11" t="s">
        <v>39</v>
      </c>
      <c r="M13" s="11">
        <v>15</v>
      </c>
      <c r="N13" s="11">
        <v>15</v>
      </c>
      <c r="O13" s="11">
        <v>15</v>
      </c>
      <c r="P13" s="11">
        <v>15</v>
      </c>
      <c r="Q13" s="11">
        <v>15</v>
      </c>
    </row>
    <row r="14" spans="2:17">
      <c r="B14" s="14" t="s">
        <v>40</v>
      </c>
      <c r="C14" s="15">
        <v>65</v>
      </c>
      <c r="D14" s="15">
        <v>72</v>
      </c>
      <c r="E14" s="15">
        <v>77</v>
      </c>
      <c r="F14" s="15">
        <v>76</v>
      </c>
      <c r="G14" s="15">
        <v>74</v>
      </c>
      <c r="H14" s="16">
        <v>365</v>
      </c>
      <c r="K14" s="11" t="s">
        <v>41</v>
      </c>
      <c r="M14" s="11">
        <v>50</v>
      </c>
      <c r="N14" s="11">
        <v>0</v>
      </c>
      <c r="O14" s="11">
        <v>50</v>
      </c>
      <c r="P14" s="11">
        <v>0</v>
      </c>
      <c r="Q14" s="11">
        <v>50</v>
      </c>
    </row>
    <row r="15" spans="2:17">
      <c r="B15" s="14"/>
      <c r="C15" s="16">
        <f t="shared" ref="C15:H15" si="1">SUM(C13:C14)</f>
        <v>13310</v>
      </c>
      <c r="D15" s="16">
        <f t="shared" si="1"/>
        <v>15051</v>
      </c>
      <c r="E15" s="16">
        <f t="shared" si="1"/>
        <v>13549</v>
      </c>
      <c r="F15" s="16">
        <f t="shared" si="1"/>
        <v>14278</v>
      </c>
      <c r="G15" s="16">
        <f t="shared" si="1"/>
        <v>15727</v>
      </c>
      <c r="H15" s="16">
        <f t="shared" si="1"/>
        <v>71915</v>
      </c>
      <c r="K15" s="11" t="s">
        <v>42</v>
      </c>
      <c r="M15" s="11">
        <v>0</v>
      </c>
      <c r="N15" s="11">
        <v>1584</v>
      </c>
      <c r="O15" s="11">
        <v>0</v>
      </c>
      <c r="P15" s="11">
        <v>0</v>
      </c>
      <c r="Q15" s="11">
        <v>1982</v>
      </c>
    </row>
    <row r="16" spans="2:17">
      <c r="M16" s="11">
        <f>SUM(M8:M15)</f>
        <v>258</v>
      </c>
      <c r="N16" s="11">
        <f>SUM(N8:N15)</f>
        <v>1792</v>
      </c>
      <c r="O16" s="11">
        <f>SUM(O8:O15)</f>
        <v>216</v>
      </c>
      <c r="P16" s="11">
        <f>SUM(P8:P15)</f>
        <v>166</v>
      </c>
      <c r="Q16" s="11">
        <f>SUM(Q8:Q15)</f>
        <v>2086</v>
      </c>
    </row>
    <row r="17" spans="2:18">
      <c r="B17" s="10" t="s">
        <v>43</v>
      </c>
    </row>
    <row r="18" spans="2:18">
      <c r="C18" s="12" t="s">
        <v>25</v>
      </c>
      <c r="D18" s="12" t="s">
        <v>26</v>
      </c>
      <c r="E18" s="12" t="s">
        <v>27</v>
      </c>
      <c r="F18" s="12" t="s">
        <v>28</v>
      </c>
      <c r="G18" s="12" t="s">
        <v>29</v>
      </c>
      <c r="H18" s="13"/>
      <c r="K18" s="11" t="s">
        <v>44</v>
      </c>
      <c r="M18" s="11">
        <f>M16*1.0333</f>
        <v>266.59140000000002</v>
      </c>
      <c r="N18" s="11">
        <f>N16*1.0333</f>
        <v>1851.6736000000001</v>
      </c>
      <c r="O18" s="11">
        <f>O16*1.0333</f>
        <v>223.19280000000003</v>
      </c>
      <c r="P18" s="11">
        <f>P16*1.0333</f>
        <v>171.52780000000001</v>
      </c>
      <c r="Q18" s="11">
        <f>Q16*1.0333</f>
        <v>2155.4638000000004</v>
      </c>
    </row>
    <row r="19" spans="2:18">
      <c r="B19" s="17" t="s">
        <v>8</v>
      </c>
      <c r="C19" s="18">
        <v>1.019404</v>
      </c>
      <c r="D19" s="18">
        <v>1.0117510000000001</v>
      </c>
      <c r="E19" s="18">
        <v>1.001703</v>
      </c>
      <c r="F19" s="18">
        <v>0.98224199999999995</v>
      </c>
      <c r="G19" s="18">
        <v>0.95479702</v>
      </c>
      <c r="K19" s="11" t="s">
        <v>45</v>
      </c>
      <c r="M19" s="11">
        <v>-206</v>
      </c>
      <c r="N19" s="11">
        <v>-206</v>
      </c>
      <c r="O19" s="11">
        <v>-206</v>
      </c>
      <c r="P19" s="11">
        <v>-206</v>
      </c>
      <c r="Q19" s="11">
        <v>-206</v>
      </c>
    </row>
    <row r="20" spans="2:18">
      <c r="B20" s="17" t="s">
        <v>46</v>
      </c>
      <c r="C20" s="18">
        <v>1.013271</v>
      </c>
      <c r="D20" s="18">
        <v>1.0080739999999999</v>
      </c>
      <c r="E20" s="18">
        <v>1.001234</v>
      </c>
      <c r="F20" s="18">
        <v>0.98794300000000002</v>
      </c>
      <c r="G20" s="18">
        <v>0.96908399999999995</v>
      </c>
      <c r="K20" s="11" t="s">
        <v>47</v>
      </c>
      <c r="M20" s="11">
        <f>SUM(M18:M19)</f>
        <v>60.591400000000021</v>
      </c>
      <c r="N20" s="11">
        <f>SUM(N18:N19)</f>
        <v>1645.6736000000001</v>
      </c>
      <c r="O20" s="11">
        <f>SUM(O18:O19)</f>
        <v>17.192800000000034</v>
      </c>
      <c r="P20" s="11">
        <f>SUM(P18:P19)</f>
        <v>-34.472199999999987</v>
      </c>
      <c r="Q20" s="11">
        <f>SUM(Q18:Q19)</f>
        <v>1949.4638000000004</v>
      </c>
    </row>
    <row r="22" spans="2:18">
      <c r="B22" s="10" t="s">
        <v>48</v>
      </c>
    </row>
    <row r="23" spans="2:18">
      <c r="C23" s="12" t="s">
        <v>25</v>
      </c>
      <c r="D23" s="12" t="s">
        <v>26</v>
      </c>
      <c r="E23" s="12" t="s">
        <v>27</v>
      </c>
      <c r="F23" s="12" t="s">
        <v>28</v>
      </c>
      <c r="G23" s="12" t="s">
        <v>29</v>
      </c>
      <c r="H23" s="12" t="s">
        <v>5</v>
      </c>
      <c r="K23" s="19" t="s">
        <v>23</v>
      </c>
    </row>
    <row r="24" spans="2:18">
      <c r="B24" s="14" t="str">
        <f>B8</f>
        <v>O&amp;M</v>
      </c>
      <c r="C24" s="15"/>
      <c r="D24" s="15"/>
      <c r="E24" s="15"/>
      <c r="F24" s="15"/>
      <c r="G24" s="15"/>
      <c r="H24" s="16"/>
      <c r="K24" s="11" t="s">
        <v>30</v>
      </c>
      <c r="M24" s="14">
        <v>8810</v>
      </c>
      <c r="N24" s="14">
        <v>10481</v>
      </c>
      <c r="O24" s="14">
        <v>8940</v>
      </c>
      <c r="P24" s="14">
        <v>8977</v>
      </c>
      <c r="Q24" s="14">
        <v>11051</v>
      </c>
      <c r="R24" s="12"/>
    </row>
    <row r="25" spans="2:18">
      <c r="B25" s="14" t="s">
        <v>32</v>
      </c>
      <c r="C25" s="15">
        <f>C9</f>
        <v>60.591400000000021</v>
      </c>
      <c r="D25" s="15">
        <f>D9</f>
        <v>1645.6736000000001</v>
      </c>
      <c r="E25" s="15">
        <f>E9</f>
        <v>17.192800000000034</v>
      </c>
      <c r="F25" s="15">
        <f>F9</f>
        <v>-34.472199999999987</v>
      </c>
      <c r="G25" s="15">
        <f>G9</f>
        <v>1949.4638000000004</v>
      </c>
      <c r="H25" s="16">
        <f t="shared" ref="H25:H31" si="2">SUM(C25:G25)</f>
        <v>3638.4494000000004</v>
      </c>
      <c r="M25" s="20"/>
      <c r="N25" s="20"/>
      <c r="O25" s="20"/>
      <c r="P25" s="20"/>
      <c r="Q25" s="20"/>
      <c r="R25" s="10"/>
    </row>
    <row r="26" spans="2:18">
      <c r="B26" s="14" t="s">
        <v>34</v>
      </c>
      <c r="C26" s="15">
        <f>C10*C20</f>
        <v>8865.5220015306004</v>
      </c>
      <c r="D26" s="15">
        <f>D10*D20</f>
        <v>8906.6628253536001</v>
      </c>
      <c r="E26" s="15">
        <f>E10*E20</f>
        <v>8933.817944084798</v>
      </c>
      <c r="F26" s="15">
        <f>F10*F20</f>
        <v>8902.8208796846011</v>
      </c>
      <c r="G26" s="15">
        <f>G10*G20</f>
        <v>8820.1531068407985</v>
      </c>
      <c r="H26" s="16">
        <f>SUM(C26:G26)</f>
        <v>44428.976757494398</v>
      </c>
      <c r="M26" s="20"/>
      <c r="N26" s="20"/>
      <c r="O26" s="20"/>
      <c r="P26" s="20"/>
      <c r="Q26" s="20"/>
      <c r="R26" s="10"/>
    </row>
    <row r="27" spans="2:18">
      <c r="B27" s="14" t="str">
        <f>B11</f>
        <v>Overheads</v>
      </c>
      <c r="C27" s="15">
        <f>C11*C19</f>
        <v>4457.8536919999997</v>
      </c>
      <c r="D27" s="15">
        <f>D11*D19</f>
        <v>4488.1274360000007</v>
      </c>
      <c r="E27" s="15">
        <f>E11*E19</f>
        <v>4477.6124099999997</v>
      </c>
      <c r="F27" s="15">
        <f>F11*F19</f>
        <v>5071.3154459999996</v>
      </c>
      <c r="G27" s="15">
        <f>G11*G19</f>
        <v>4334.7784707999999</v>
      </c>
      <c r="H27" s="16">
        <f t="shared" si="2"/>
        <v>22829.687454799998</v>
      </c>
    </row>
    <row r="28" spans="2:18">
      <c r="B28" s="14" t="str">
        <f>B12</f>
        <v>Sales &amp; marketing</v>
      </c>
      <c r="C28" s="15">
        <f>C12</f>
        <v>62</v>
      </c>
      <c r="D28" s="15">
        <f>D12</f>
        <v>62</v>
      </c>
      <c r="E28" s="15">
        <f>E12</f>
        <v>62</v>
      </c>
      <c r="F28" s="15">
        <f>F12</f>
        <v>62</v>
      </c>
      <c r="G28" s="15">
        <f>G12</f>
        <v>62</v>
      </c>
      <c r="H28" s="16">
        <f t="shared" si="2"/>
        <v>310</v>
      </c>
    </row>
    <row r="29" spans="2:18">
      <c r="B29" s="14"/>
      <c r="C29" s="16">
        <f>SUM(C24:C28)</f>
        <v>13445.967093530599</v>
      </c>
      <c r="D29" s="16">
        <f>SUM(D24:D28)</f>
        <v>15102.463861353601</v>
      </c>
      <c r="E29" s="16">
        <f>SUM(E24:E28)</f>
        <v>13490.623154084798</v>
      </c>
      <c r="F29" s="16">
        <f>SUM(F24:F28)</f>
        <v>14001.664125684601</v>
      </c>
      <c r="G29" s="16">
        <f>SUM(G24:G28)</f>
        <v>15166.395377640798</v>
      </c>
      <c r="H29" s="16">
        <f t="shared" si="2"/>
        <v>71207.113612294401</v>
      </c>
    </row>
    <row r="30" spans="2:18">
      <c r="B30" s="14" t="str">
        <f>B14</f>
        <v>Debt raising costs</v>
      </c>
      <c r="C30" s="21">
        <v>62.492623849957837</v>
      </c>
      <c r="D30" s="21">
        <v>68.807696733646367</v>
      </c>
      <c r="E30" s="21">
        <v>66.403803634012732</v>
      </c>
      <c r="F30" s="21">
        <v>63.99184430395821</v>
      </c>
      <c r="G30" s="21">
        <v>61.31811877213655</v>
      </c>
      <c r="H30" s="22">
        <f t="shared" si="2"/>
        <v>323.01408729371167</v>
      </c>
    </row>
    <row r="31" spans="2:18">
      <c r="B31" s="14"/>
      <c r="C31" s="16">
        <f>SUM(C29:C30)</f>
        <v>13508.459717380556</v>
      </c>
      <c r="D31" s="16">
        <f>SUM(D29:D30)</f>
        <v>15171.271558087246</v>
      </c>
      <c r="E31" s="16">
        <f>SUM(E29:E30)</f>
        <v>13557.026957718812</v>
      </c>
      <c r="F31" s="16">
        <f>SUM(F29:F30)</f>
        <v>14065.65596998856</v>
      </c>
      <c r="G31" s="16">
        <f>SUM(G29:G30)</f>
        <v>15227.713496412935</v>
      </c>
      <c r="H31" s="16">
        <f t="shared" si="2"/>
        <v>71530.127699588105</v>
      </c>
    </row>
    <row r="33" spans="2:8">
      <c r="B33" s="10" t="s">
        <v>49</v>
      </c>
    </row>
    <row r="34" spans="2:8">
      <c r="C34" s="12" t="s">
        <v>25</v>
      </c>
      <c r="D34" s="12" t="s">
        <v>26</v>
      </c>
      <c r="E34" s="12" t="s">
        <v>27</v>
      </c>
      <c r="F34" s="12" t="s">
        <v>28</v>
      </c>
      <c r="G34" s="12" t="s">
        <v>29</v>
      </c>
      <c r="H34" s="12" t="s">
        <v>5</v>
      </c>
    </row>
    <row r="35" spans="2:8">
      <c r="B35" s="14" t="str">
        <f>B6</f>
        <v>NT Gas revised proposal</v>
      </c>
      <c r="C35" s="14">
        <f>C15</f>
        <v>13310</v>
      </c>
      <c r="D35" s="14">
        <f>D15</f>
        <v>15051</v>
      </c>
      <c r="E35" s="14">
        <f>E15</f>
        <v>13549</v>
      </c>
      <c r="F35" s="14">
        <f>F15</f>
        <v>14278</v>
      </c>
      <c r="G35" s="14">
        <f>G15</f>
        <v>15727</v>
      </c>
      <c r="H35" s="16">
        <f>SUM(C35:G35)</f>
        <v>71915</v>
      </c>
    </row>
    <row r="36" spans="2:8">
      <c r="B36" s="14" t="s">
        <v>50</v>
      </c>
      <c r="C36" s="15">
        <f>(C26-C10)+(C27-C11)</f>
        <v>200.96709353059941</v>
      </c>
      <c r="D36" s="15">
        <f>(D26-D10)+(D27-D11)</f>
        <v>123.46386135360081</v>
      </c>
      <c r="E36" s="15">
        <f>(E26-E10)+(E27-E11)</f>
        <v>18.623154084798443</v>
      </c>
      <c r="F36" s="15">
        <f>(F26-F10)+(F27-F11)</f>
        <v>-200.33587431539945</v>
      </c>
      <c r="G36" s="15">
        <f>(G26-G10)+(G27-G11)</f>
        <v>-486.60462235920022</v>
      </c>
      <c r="H36" s="16">
        <f>SUM(C36:G36)</f>
        <v>-343.88638770560101</v>
      </c>
    </row>
    <row r="37" spans="2:8">
      <c r="B37" s="14" t="s">
        <v>51</v>
      </c>
      <c r="C37" s="15">
        <f>C30-C14</f>
        <v>-2.5073761500421625</v>
      </c>
      <c r="D37" s="15">
        <f>D30-D14</f>
        <v>-3.1923032663536333</v>
      </c>
      <c r="E37" s="15">
        <f>E30-E14</f>
        <v>-10.596196365987268</v>
      </c>
      <c r="F37" s="15">
        <f>F30-F14</f>
        <v>-12.00815569604179</v>
      </c>
      <c r="G37" s="15">
        <f>G30-G14</f>
        <v>-12.68188122786345</v>
      </c>
      <c r="H37" s="16">
        <f>SUM(C37:G37)</f>
        <v>-40.985912706288303</v>
      </c>
    </row>
    <row r="38" spans="2:8">
      <c r="B38" s="14" t="str">
        <f>B22</f>
        <v>AER's final decision</v>
      </c>
      <c r="C38" s="15">
        <f>SUM(C35:C37)</f>
        <v>13508.459717380556</v>
      </c>
      <c r="D38" s="15">
        <f>SUM(D35:D37)</f>
        <v>15171.271558087246</v>
      </c>
      <c r="E38" s="15">
        <f>SUM(E35:E37)</f>
        <v>13557.026957718812</v>
      </c>
      <c r="F38" s="15">
        <f>SUM(F35:F37)</f>
        <v>14065.65596998856</v>
      </c>
      <c r="G38" s="15">
        <f>SUM(G35:G37)</f>
        <v>15227.713496412936</v>
      </c>
      <c r="H38" s="16">
        <f>SUM(C38:G38)</f>
        <v>71530.127699588105</v>
      </c>
    </row>
    <row r="40" spans="2:8">
      <c r="B40" s="13" t="s">
        <v>52</v>
      </c>
    </row>
    <row r="41" spans="2:8">
      <c r="B41" s="23" t="s">
        <v>53</v>
      </c>
      <c r="C41" s="24">
        <f>C25+C26</f>
        <v>8926.1134015305997</v>
      </c>
      <c r="D41" s="24">
        <f>D25+D26</f>
        <v>10552.3364253536</v>
      </c>
      <c r="E41" s="24">
        <f>E25+E26</f>
        <v>8951.0107440847987</v>
      </c>
      <c r="F41" s="24">
        <f>F25+F26</f>
        <v>8868.3486796846009</v>
      </c>
      <c r="G41" s="25">
        <f>G25+G26</f>
        <v>10769.616906840798</v>
      </c>
      <c r="H41" s="26"/>
    </row>
    <row r="42" spans="2:8">
      <c r="B42" s="27" t="s">
        <v>54</v>
      </c>
      <c r="C42" s="28">
        <f t="shared" ref="C42:G43" si="3">C27</f>
        <v>4457.8536919999997</v>
      </c>
      <c r="D42" s="28">
        <f t="shared" si="3"/>
        <v>4488.1274360000007</v>
      </c>
      <c r="E42" s="28">
        <f t="shared" si="3"/>
        <v>4477.6124099999997</v>
      </c>
      <c r="F42" s="28">
        <f t="shared" si="3"/>
        <v>5071.3154459999996</v>
      </c>
      <c r="G42" s="29">
        <f t="shared" si="3"/>
        <v>4334.7784707999999</v>
      </c>
      <c r="H42" s="26"/>
    </row>
    <row r="43" spans="2:8">
      <c r="B43" s="30" t="s">
        <v>55</v>
      </c>
      <c r="C43" s="31">
        <f t="shared" si="3"/>
        <v>62</v>
      </c>
      <c r="D43" s="31">
        <f t="shared" si="3"/>
        <v>62</v>
      </c>
      <c r="E43" s="31">
        <f t="shared" si="3"/>
        <v>62</v>
      </c>
      <c r="F43" s="31">
        <f t="shared" si="3"/>
        <v>62</v>
      </c>
      <c r="G43" s="32">
        <f t="shared" si="3"/>
        <v>62</v>
      </c>
    </row>
  </sheetData>
  <sheetProtection algorithmName="SHA-256" hashValue="IAS2TdKzge/CFt9hAqGmerUksLFmxYjzqpXgk1hCVhc=" saltValue="CxIn1CNhdH9aucmdVeTTyg==" spinCount="100000" sheet="1" objects="1" scenarios="1"/>
  <mergeCells count="1">
    <mergeCell ref="B2:F3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66"/>
  <sheetViews>
    <sheetView zoomScale="55" zoomScaleNormal="55" workbookViewId="0">
      <selection activeCell="H65" sqref="H65"/>
    </sheetView>
  </sheetViews>
  <sheetFormatPr defaultColWidth="12.42578125" defaultRowHeight="15.75" outlineLevelCol="1"/>
  <cols>
    <col min="1" max="2" width="9.85546875" style="38" customWidth="1"/>
    <col min="3" max="6" width="17.5703125" style="38" customWidth="1"/>
    <col min="7" max="7" width="7.28515625" style="38" customWidth="1"/>
    <col min="8" max="8" width="14" style="38" customWidth="1"/>
    <col min="9" max="11" width="14" style="38" customWidth="1" outlineLevel="1"/>
    <col min="12" max="12" width="23.5703125" style="38" bestFit="1" customWidth="1"/>
    <col min="13" max="13" width="15" style="38" bestFit="1" customWidth="1"/>
    <col min="14" max="256" width="12.42578125" style="38"/>
    <col min="257" max="258" width="9.85546875" style="38" customWidth="1"/>
    <col min="259" max="262" width="17.5703125" style="38" customWidth="1"/>
    <col min="263" max="263" width="7.28515625" style="38" customWidth="1"/>
    <col min="264" max="267" width="14" style="38" customWidth="1"/>
    <col min="268" max="268" width="23.5703125" style="38" bestFit="1" customWidth="1"/>
    <col min="269" max="512" width="12.42578125" style="38"/>
    <col min="513" max="514" width="9.85546875" style="38" customWidth="1"/>
    <col min="515" max="518" width="17.5703125" style="38" customWidth="1"/>
    <col min="519" max="519" width="7.28515625" style="38" customWidth="1"/>
    <col min="520" max="523" width="14" style="38" customWidth="1"/>
    <col min="524" max="524" width="23.5703125" style="38" bestFit="1" customWidth="1"/>
    <col min="525" max="768" width="12.42578125" style="38"/>
    <col min="769" max="770" width="9.85546875" style="38" customWidth="1"/>
    <col min="771" max="774" width="17.5703125" style="38" customWidth="1"/>
    <col min="775" max="775" width="7.28515625" style="38" customWidth="1"/>
    <col min="776" max="779" width="14" style="38" customWidth="1"/>
    <col min="780" max="780" width="23.5703125" style="38" bestFit="1" customWidth="1"/>
    <col min="781" max="1024" width="12.42578125" style="38"/>
    <col min="1025" max="1026" width="9.85546875" style="38" customWidth="1"/>
    <col min="1027" max="1030" width="17.5703125" style="38" customWidth="1"/>
    <col min="1031" max="1031" width="7.28515625" style="38" customWidth="1"/>
    <col min="1032" max="1035" width="14" style="38" customWidth="1"/>
    <col min="1036" max="1036" width="23.5703125" style="38" bestFit="1" customWidth="1"/>
    <col min="1037" max="1280" width="12.42578125" style="38"/>
    <col min="1281" max="1282" width="9.85546875" style="38" customWidth="1"/>
    <col min="1283" max="1286" width="17.5703125" style="38" customWidth="1"/>
    <col min="1287" max="1287" width="7.28515625" style="38" customWidth="1"/>
    <col min="1288" max="1291" width="14" style="38" customWidth="1"/>
    <col min="1292" max="1292" width="23.5703125" style="38" bestFit="1" customWidth="1"/>
    <col min="1293" max="1536" width="12.42578125" style="38"/>
    <col min="1537" max="1538" width="9.85546875" style="38" customWidth="1"/>
    <col min="1539" max="1542" width="17.5703125" style="38" customWidth="1"/>
    <col min="1543" max="1543" width="7.28515625" style="38" customWidth="1"/>
    <col min="1544" max="1547" width="14" style="38" customWidth="1"/>
    <col min="1548" max="1548" width="23.5703125" style="38" bestFit="1" customWidth="1"/>
    <col min="1549" max="1792" width="12.42578125" style="38"/>
    <col min="1793" max="1794" width="9.85546875" style="38" customWidth="1"/>
    <col min="1795" max="1798" width="17.5703125" style="38" customWidth="1"/>
    <col min="1799" max="1799" width="7.28515625" style="38" customWidth="1"/>
    <col min="1800" max="1803" width="14" style="38" customWidth="1"/>
    <col min="1804" max="1804" width="23.5703125" style="38" bestFit="1" customWidth="1"/>
    <col min="1805" max="2048" width="12.42578125" style="38"/>
    <col min="2049" max="2050" width="9.85546875" style="38" customWidth="1"/>
    <col min="2051" max="2054" width="17.5703125" style="38" customWidth="1"/>
    <col min="2055" max="2055" width="7.28515625" style="38" customWidth="1"/>
    <col min="2056" max="2059" width="14" style="38" customWidth="1"/>
    <col min="2060" max="2060" width="23.5703125" style="38" bestFit="1" customWidth="1"/>
    <col min="2061" max="2304" width="12.42578125" style="38"/>
    <col min="2305" max="2306" width="9.85546875" style="38" customWidth="1"/>
    <col min="2307" max="2310" width="17.5703125" style="38" customWidth="1"/>
    <col min="2311" max="2311" width="7.28515625" style="38" customWidth="1"/>
    <col min="2312" max="2315" width="14" style="38" customWidth="1"/>
    <col min="2316" max="2316" width="23.5703125" style="38" bestFit="1" customWidth="1"/>
    <col min="2317" max="2560" width="12.42578125" style="38"/>
    <col min="2561" max="2562" width="9.85546875" style="38" customWidth="1"/>
    <col min="2563" max="2566" width="17.5703125" style="38" customWidth="1"/>
    <col min="2567" max="2567" width="7.28515625" style="38" customWidth="1"/>
    <col min="2568" max="2571" width="14" style="38" customWidth="1"/>
    <col min="2572" max="2572" width="23.5703125" style="38" bestFit="1" customWidth="1"/>
    <col min="2573" max="2816" width="12.42578125" style="38"/>
    <col min="2817" max="2818" width="9.85546875" style="38" customWidth="1"/>
    <col min="2819" max="2822" width="17.5703125" style="38" customWidth="1"/>
    <col min="2823" max="2823" width="7.28515625" style="38" customWidth="1"/>
    <col min="2824" max="2827" width="14" style="38" customWidth="1"/>
    <col min="2828" max="2828" width="23.5703125" style="38" bestFit="1" customWidth="1"/>
    <col min="2829" max="3072" width="12.42578125" style="38"/>
    <col min="3073" max="3074" width="9.85546875" style="38" customWidth="1"/>
    <col min="3075" max="3078" width="17.5703125" style="38" customWidth="1"/>
    <col min="3079" max="3079" width="7.28515625" style="38" customWidth="1"/>
    <col min="3080" max="3083" width="14" style="38" customWidth="1"/>
    <col min="3084" max="3084" width="23.5703125" style="38" bestFit="1" customWidth="1"/>
    <col min="3085" max="3328" width="12.42578125" style="38"/>
    <col min="3329" max="3330" width="9.85546875" style="38" customWidth="1"/>
    <col min="3331" max="3334" width="17.5703125" style="38" customWidth="1"/>
    <col min="3335" max="3335" width="7.28515625" style="38" customWidth="1"/>
    <col min="3336" max="3339" width="14" style="38" customWidth="1"/>
    <col min="3340" max="3340" width="23.5703125" style="38" bestFit="1" customWidth="1"/>
    <col min="3341" max="3584" width="12.42578125" style="38"/>
    <col min="3585" max="3586" width="9.85546875" style="38" customWidth="1"/>
    <col min="3587" max="3590" width="17.5703125" style="38" customWidth="1"/>
    <col min="3591" max="3591" width="7.28515625" style="38" customWidth="1"/>
    <col min="3592" max="3595" width="14" style="38" customWidth="1"/>
    <col min="3596" max="3596" width="23.5703125" style="38" bestFit="1" customWidth="1"/>
    <col min="3597" max="3840" width="12.42578125" style="38"/>
    <col min="3841" max="3842" width="9.85546875" style="38" customWidth="1"/>
    <col min="3843" max="3846" width="17.5703125" style="38" customWidth="1"/>
    <col min="3847" max="3847" width="7.28515625" style="38" customWidth="1"/>
    <col min="3848" max="3851" width="14" style="38" customWidth="1"/>
    <col min="3852" max="3852" width="23.5703125" style="38" bestFit="1" customWidth="1"/>
    <col min="3853" max="4096" width="12.42578125" style="38"/>
    <col min="4097" max="4098" width="9.85546875" style="38" customWidth="1"/>
    <col min="4099" max="4102" width="17.5703125" style="38" customWidth="1"/>
    <col min="4103" max="4103" width="7.28515625" style="38" customWidth="1"/>
    <col min="4104" max="4107" width="14" style="38" customWidth="1"/>
    <col min="4108" max="4108" width="23.5703125" style="38" bestFit="1" customWidth="1"/>
    <col min="4109" max="4352" width="12.42578125" style="38"/>
    <col min="4353" max="4354" width="9.85546875" style="38" customWidth="1"/>
    <col min="4355" max="4358" width="17.5703125" style="38" customWidth="1"/>
    <col min="4359" max="4359" width="7.28515625" style="38" customWidth="1"/>
    <col min="4360" max="4363" width="14" style="38" customWidth="1"/>
    <col min="4364" max="4364" width="23.5703125" style="38" bestFit="1" customWidth="1"/>
    <col min="4365" max="4608" width="12.42578125" style="38"/>
    <col min="4609" max="4610" width="9.85546875" style="38" customWidth="1"/>
    <col min="4611" max="4614" width="17.5703125" style="38" customWidth="1"/>
    <col min="4615" max="4615" width="7.28515625" style="38" customWidth="1"/>
    <col min="4616" max="4619" width="14" style="38" customWidth="1"/>
    <col min="4620" max="4620" width="23.5703125" style="38" bestFit="1" customWidth="1"/>
    <col min="4621" max="4864" width="12.42578125" style="38"/>
    <col min="4865" max="4866" width="9.85546875" style="38" customWidth="1"/>
    <col min="4867" max="4870" width="17.5703125" style="38" customWidth="1"/>
    <col min="4871" max="4871" width="7.28515625" style="38" customWidth="1"/>
    <col min="4872" max="4875" width="14" style="38" customWidth="1"/>
    <col min="4876" max="4876" width="23.5703125" style="38" bestFit="1" customWidth="1"/>
    <col min="4877" max="5120" width="12.42578125" style="38"/>
    <col min="5121" max="5122" width="9.85546875" style="38" customWidth="1"/>
    <col min="5123" max="5126" width="17.5703125" style="38" customWidth="1"/>
    <col min="5127" max="5127" width="7.28515625" style="38" customWidth="1"/>
    <col min="5128" max="5131" width="14" style="38" customWidth="1"/>
    <col min="5132" max="5132" width="23.5703125" style="38" bestFit="1" customWidth="1"/>
    <col min="5133" max="5376" width="12.42578125" style="38"/>
    <col min="5377" max="5378" width="9.85546875" style="38" customWidth="1"/>
    <col min="5379" max="5382" width="17.5703125" style="38" customWidth="1"/>
    <col min="5383" max="5383" width="7.28515625" style="38" customWidth="1"/>
    <col min="5384" max="5387" width="14" style="38" customWidth="1"/>
    <col min="5388" max="5388" width="23.5703125" style="38" bestFit="1" customWidth="1"/>
    <col min="5389" max="5632" width="12.42578125" style="38"/>
    <col min="5633" max="5634" width="9.85546875" style="38" customWidth="1"/>
    <col min="5635" max="5638" width="17.5703125" style="38" customWidth="1"/>
    <col min="5639" max="5639" width="7.28515625" style="38" customWidth="1"/>
    <col min="5640" max="5643" width="14" style="38" customWidth="1"/>
    <col min="5644" max="5644" width="23.5703125" style="38" bestFit="1" customWidth="1"/>
    <col min="5645" max="5888" width="12.42578125" style="38"/>
    <col min="5889" max="5890" width="9.85546875" style="38" customWidth="1"/>
    <col min="5891" max="5894" width="17.5703125" style="38" customWidth="1"/>
    <col min="5895" max="5895" width="7.28515625" style="38" customWidth="1"/>
    <col min="5896" max="5899" width="14" style="38" customWidth="1"/>
    <col min="5900" max="5900" width="23.5703125" style="38" bestFit="1" customWidth="1"/>
    <col min="5901" max="6144" width="12.42578125" style="38"/>
    <col min="6145" max="6146" width="9.85546875" style="38" customWidth="1"/>
    <col min="6147" max="6150" width="17.5703125" style="38" customWidth="1"/>
    <col min="6151" max="6151" width="7.28515625" style="38" customWidth="1"/>
    <col min="6152" max="6155" width="14" style="38" customWidth="1"/>
    <col min="6156" max="6156" width="23.5703125" style="38" bestFit="1" customWidth="1"/>
    <col min="6157" max="6400" width="12.42578125" style="38"/>
    <col min="6401" max="6402" width="9.85546875" style="38" customWidth="1"/>
    <col min="6403" max="6406" width="17.5703125" style="38" customWidth="1"/>
    <col min="6407" max="6407" width="7.28515625" style="38" customWidth="1"/>
    <col min="6408" max="6411" width="14" style="38" customWidth="1"/>
    <col min="6412" max="6412" width="23.5703125" style="38" bestFit="1" customWidth="1"/>
    <col min="6413" max="6656" width="12.42578125" style="38"/>
    <col min="6657" max="6658" width="9.85546875" style="38" customWidth="1"/>
    <col min="6659" max="6662" width="17.5703125" style="38" customWidth="1"/>
    <col min="6663" max="6663" width="7.28515625" style="38" customWidth="1"/>
    <col min="6664" max="6667" width="14" style="38" customWidth="1"/>
    <col min="6668" max="6668" width="23.5703125" style="38" bestFit="1" customWidth="1"/>
    <col min="6669" max="6912" width="12.42578125" style="38"/>
    <col min="6913" max="6914" width="9.85546875" style="38" customWidth="1"/>
    <col min="6915" max="6918" width="17.5703125" style="38" customWidth="1"/>
    <col min="6919" max="6919" width="7.28515625" style="38" customWidth="1"/>
    <col min="6920" max="6923" width="14" style="38" customWidth="1"/>
    <col min="6924" max="6924" width="23.5703125" style="38" bestFit="1" customWidth="1"/>
    <col min="6925" max="7168" width="12.42578125" style="38"/>
    <col min="7169" max="7170" width="9.85546875" style="38" customWidth="1"/>
    <col min="7171" max="7174" width="17.5703125" style="38" customWidth="1"/>
    <col min="7175" max="7175" width="7.28515625" style="38" customWidth="1"/>
    <col min="7176" max="7179" width="14" style="38" customWidth="1"/>
    <col min="7180" max="7180" width="23.5703125" style="38" bestFit="1" customWidth="1"/>
    <col min="7181" max="7424" width="12.42578125" style="38"/>
    <col min="7425" max="7426" width="9.85546875" style="38" customWidth="1"/>
    <col min="7427" max="7430" width="17.5703125" style="38" customWidth="1"/>
    <col min="7431" max="7431" width="7.28515625" style="38" customWidth="1"/>
    <col min="7432" max="7435" width="14" style="38" customWidth="1"/>
    <col min="7436" max="7436" width="23.5703125" style="38" bestFit="1" customWidth="1"/>
    <col min="7437" max="7680" width="12.42578125" style="38"/>
    <col min="7681" max="7682" width="9.85546875" style="38" customWidth="1"/>
    <col min="7683" max="7686" width="17.5703125" style="38" customWidth="1"/>
    <col min="7687" max="7687" width="7.28515625" style="38" customWidth="1"/>
    <col min="7688" max="7691" width="14" style="38" customWidth="1"/>
    <col min="7692" max="7692" width="23.5703125" style="38" bestFit="1" customWidth="1"/>
    <col min="7693" max="7936" width="12.42578125" style="38"/>
    <col min="7937" max="7938" width="9.85546875" style="38" customWidth="1"/>
    <col min="7939" max="7942" width="17.5703125" style="38" customWidth="1"/>
    <col min="7943" max="7943" width="7.28515625" style="38" customWidth="1"/>
    <col min="7944" max="7947" width="14" style="38" customWidth="1"/>
    <col min="7948" max="7948" width="23.5703125" style="38" bestFit="1" customWidth="1"/>
    <col min="7949" max="8192" width="12.42578125" style="38"/>
    <col min="8193" max="8194" width="9.85546875" style="38" customWidth="1"/>
    <col min="8195" max="8198" width="17.5703125" style="38" customWidth="1"/>
    <col min="8199" max="8199" width="7.28515625" style="38" customWidth="1"/>
    <col min="8200" max="8203" width="14" style="38" customWidth="1"/>
    <col min="8204" max="8204" width="23.5703125" style="38" bestFit="1" customWidth="1"/>
    <col min="8205" max="8448" width="12.42578125" style="38"/>
    <col min="8449" max="8450" width="9.85546875" style="38" customWidth="1"/>
    <col min="8451" max="8454" width="17.5703125" style="38" customWidth="1"/>
    <col min="8455" max="8455" width="7.28515625" style="38" customWidth="1"/>
    <col min="8456" max="8459" width="14" style="38" customWidth="1"/>
    <col min="8460" max="8460" width="23.5703125" style="38" bestFit="1" customWidth="1"/>
    <col min="8461" max="8704" width="12.42578125" style="38"/>
    <col min="8705" max="8706" width="9.85546875" style="38" customWidth="1"/>
    <col min="8707" max="8710" width="17.5703125" style="38" customWidth="1"/>
    <col min="8711" max="8711" width="7.28515625" style="38" customWidth="1"/>
    <col min="8712" max="8715" width="14" style="38" customWidth="1"/>
    <col min="8716" max="8716" width="23.5703125" style="38" bestFit="1" customWidth="1"/>
    <col min="8717" max="8960" width="12.42578125" style="38"/>
    <col min="8961" max="8962" width="9.85546875" style="38" customWidth="1"/>
    <col min="8963" max="8966" width="17.5703125" style="38" customWidth="1"/>
    <col min="8967" max="8967" width="7.28515625" style="38" customWidth="1"/>
    <col min="8968" max="8971" width="14" style="38" customWidth="1"/>
    <col min="8972" max="8972" width="23.5703125" style="38" bestFit="1" customWidth="1"/>
    <col min="8973" max="9216" width="12.42578125" style="38"/>
    <col min="9217" max="9218" width="9.85546875" style="38" customWidth="1"/>
    <col min="9219" max="9222" width="17.5703125" style="38" customWidth="1"/>
    <col min="9223" max="9223" width="7.28515625" style="38" customWidth="1"/>
    <col min="9224" max="9227" width="14" style="38" customWidth="1"/>
    <col min="9228" max="9228" width="23.5703125" style="38" bestFit="1" customWidth="1"/>
    <col min="9229" max="9472" width="12.42578125" style="38"/>
    <col min="9473" max="9474" width="9.85546875" style="38" customWidth="1"/>
    <col min="9475" max="9478" width="17.5703125" style="38" customWidth="1"/>
    <col min="9479" max="9479" width="7.28515625" style="38" customWidth="1"/>
    <col min="9480" max="9483" width="14" style="38" customWidth="1"/>
    <col min="9484" max="9484" width="23.5703125" style="38" bestFit="1" customWidth="1"/>
    <col min="9485" max="9728" width="12.42578125" style="38"/>
    <col min="9729" max="9730" width="9.85546875" style="38" customWidth="1"/>
    <col min="9731" max="9734" width="17.5703125" style="38" customWidth="1"/>
    <col min="9735" max="9735" width="7.28515625" style="38" customWidth="1"/>
    <col min="9736" max="9739" width="14" style="38" customWidth="1"/>
    <col min="9740" max="9740" width="23.5703125" style="38" bestFit="1" customWidth="1"/>
    <col min="9741" max="9984" width="12.42578125" style="38"/>
    <col min="9985" max="9986" width="9.85546875" style="38" customWidth="1"/>
    <col min="9987" max="9990" width="17.5703125" style="38" customWidth="1"/>
    <col min="9991" max="9991" width="7.28515625" style="38" customWidth="1"/>
    <col min="9992" max="9995" width="14" style="38" customWidth="1"/>
    <col min="9996" max="9996" width="23.5703125" style="38" bestFit="1" customWidth="1"/>
    <col min="9997" max="10240" width="12.42578125" style="38"/>
    <col min="10241" max="10242" width="9.85546875" style="38" customWidth="1"/>
    <col min="10243" max="10246" width="17.5703125" style="38" customWidth="1"/>
    <col min="10247" max="10247" width="7.28515625" style="38" customWidth="1"/>
    <col min="10248" max="10251" width="14" style="38" customWidth="1"/>
    <col min="10252" max="10252" width="23.5703125" style="38" bestFit="1" customWidth="1"/>
    <col min="10253" max="10496" width="12.42578125" style="38"/>
    <col min="10497" max="10498" width="9.85546875" style="38" customWidth="1"/>
    <col min="10499" max="10502" width="17.5703125" style="38" customWidth="1"/>
    <col min="10503" max="10503" width="7.28515625" style="38" customWidth="1"/>
    <col min="10504" max="10507" width="14" style="38" customWidth="1"/>
    <col min="10508" max="10508" width="23.5703125" style="38" bestFit="1" customWidth="1"/>
    <col min="10509" max="10752" width="12.42578125" style="38"/>
    <col min="10753" max="10754" width="9.85546875" style="38" customWidth="1"/>
    <col min="10755" max="10758" width="17.5703125" style="38" customWidth="1"/>
    <col min="10759" max="10759" width="7.28515625" style="38" customWidth="1"/>
    <col min="10760" max="10763" width="14" style="38" customWidth="1"/>
    <col min="10764" max="10764" width="23.5703125" style="38" bestFit="1" customWidth="1"/>
    <col min="10765" max="11008" width="12.42578125" style="38"/>
    <col min="11009" max="11010" width="9.85546875" style="38" customWidth="1"/>
    <col min="11011" max="11014" width="17.5703125" style="38" customWidth="1"/>
    <col min="11015" max="11015" width="7.28515625" style="38" customWidth="1"/>
    <col min="11016" max="11019" width="14" style="38" customWidth="1"/>
    <col min="11020" max="11020" width="23.5703125" style="38" bestFit="1" customWidth="1"/>
    <col min="11021" max="11264" width="12.42578125" style="38"/>
    <col min="11265" max="11266" width="9.85546875" style="38" customWidth="1"/>
    <col min="11267" max="11270" width="17.5703125" style="38" customWidth="1"/>
    <col min="11271" max="11271" width="7.28515625" style="38" customWidth="1"/>
    <col min="11272" max="11275" width="14" style="38" customWidth="1"/>
    <col min="11276" max="11276" width="23.5703125" style="38" bestFit="1" customWidth="1"/>
    <col min="11277" max="11520" width="12.42578125" style="38"/>
    <col min="11521" max="11522" width="9.85546875" style="38" customWidth="1"/>
    <col min="11523" max="11526" width="17.5703125" style="38" customWidth="1"/>
    <col min="11527" max="11527" width="7.28515625" style="38" customWidth="1"/>
    <col min="11528" max="11531" width="14" style="38" customWidth="1"/>
    <col min="11532" max="11532" width="23.5703125" style="38" bestFit="1" customWidth="1"/>
    <col min="11533" max="11776" width="12.42578125" style="38"/>
    <col min="11777" max="11778" width="9.85546875" style="38" customWidth="1"/>
    <col min="11779" max="11782" width="17.5703125" style="38" customWidth="1"/>
    <col min="11783" max="11783" width="7.28515625" style="38" customWidth="1"/>
    <col min="11784" max="11787" width="14" style="38" customWidth="1"/>
    <col min="11788" max="11788" width="23.5703125" style="38" bestFit="1" customWidth="1"/>
    <col min="11789" max="12032" width="12.42578125" style="38"/>
    <col min="12033" max="12034" width="9.85546875" style="38" customWidth="1"/>
    <col min="12035" max="12038" width="17.5703125" style="38" customWidth="1"/>
    <col min="12039" max="12039" width="7.28515625" style="38" customWidth="1"/>
    <col min="12040" max="12043" width="14" style="38" customWidth="1"/>
    <col min="12044" max="12044" width="23.5703125" style="38" bestFit="1" customWidth="1"/>
    <col min="12045" max="12288" width="12.42578125" style="38"/>
    <col min="12289" max="12290" width="9.85546875" style="38" customWidth="1"/>
    <col min="12291" max="12294" width="17.5703125" style="38" customWidth="1"/>
    <col min="12295" max="12295" width="7.28515625" style="38" customWidth="1"/>
    <col min="12296" max="12299" width="14" style="38" customWidth="1"/>
    <col min="12300" max="12300" width="23.5703125" style="38" bestFit="1" customWidth="1"/>
    <col min="12301" max="12544" width="12.42578125" style="38"/>
    <col min="12545" max="12546" width="9.85546875" style="38" customWidth="1"/>
    <col min="12547" max="12550" width="17.5703125" style="38" customWidth="1"/>
    <col min="12551" max="12551" width="7.28515625" style="38" customWidth="1"/>
    <col min="12552" max="12555" width="14" style="38" customWidth="1"/>
    <col min="12556" max="12556" width="23.5703125" style="38" bestFit="1" customWidth="1"/>
    <col min="12557" max="12800" width="12.42578125" style="38"/>
    <col min="12801" max="12802" width="9.85546875" style="38" customWidth="1"/>
    <col min="12803" max="12806" width="17.5703125" style="38" customWidth="1"/>
    <col min="12807" max="12807" width="7.28515625" style="38" customWidth="1"/>
    <col min="12808" max="12811" width="14" style="38" customWidth="1"/>
    <col min="12812" max="12812" width="23.5703125" style="38" bestFit="1" customWidth="1"/>
    <col min="12813" max="13056" width="12.42578125" style="38"/>
    <col min="13057" max="13058" width="9.85546875" style="38" customWidth="1"/>
    <col min="13059" max="13062" width="17.5703125" style="38" customWidth="1"/>
    <col min="13063" max="13063" width="7.28515625" style="38" customWidth="1"/>
    <col min="13064" max="13067" width="14" style="38" customWidth="1"/>
    <col min="13068" max="13068" width="23.5703125" style="38" bestFit="1" customWidth="1"/>
    <col min="13069" max="13312" width="12.42578125" style="38"/>
    <col min="13313" max="13314" width="9.85546875" style="38" customWidth="1"/>
    <col min="13315" max="13318" width="17.5703125" style="38" customWidth="1"/>
    <col min="13319" max="13319" width="7.28515625" style="38" customWidth="1"/>
    <col min="13320" max="13323" width="14" style="38" customWidth="1"/>
    <col min="13324" max="13324" width="23.5703125" style="38" bestFit="1" customWidth="1"/>
    <col min="13325" max="13568" width="12.42578125" style="38"/>
    <col min="13569" max="13570" width="9.85546875" style="38" customWidth="1"/>
    <col min="13571" max="13574" width="17.5703125" style="38" customWidth="1"/>
    <col min="13575" max="13575" width="7.28515625" style="38" customWidth="1"/>
    <col min="13576" max="13579" width="14" style="38" customWidth="1"/>
    <col min="13580" max="13580" width="23.5703125" style="38" bestFit="1" customWidth="1"/>
    <col min="13581" max="13824" width="12.42578125" style="38"/>
    <col min="13825" max="13826" width="9.85546875" style="38" customWidth="1"/>
    <col min="13827" max="13830" width="17.5703125" style="38" customWidth="1"/>
    <col min="13831" max="13831" width="7.28515625" style="38" customWidth="1"/>
    <col min="13832" max="13835" width="14" style="38" customWidth="1"/>
    <col min="13836" max="13836" width="23.5703125" style="38" bestFit="1" customWidth="1"/>
    <col min="13837" max="14080" width="12.42578125" style="38"/>
    <col min="14081" max="14082" width="9.85546875" style="38" customWidth="1"/>
    <col min="14083" max="14086" width="17.5703125" style="38" customWidth="1"/>
    <col min="14087" max="14087" width="7.28515625" style="38" customWidth="1"/>
    <col min="14088" max="14091" width="14" style="38" customWidth="1"/>
    <col min="14092" max="14092" width="23.5703125" style="38" bestFit="1" customWidth="1"/>
    <col min="14093" max="14336" width="12.42578125" style="38"/>
    <col min="14337" max="14338" width="9.85546875" style="38" customWidth="1"/>
    <col min="14339" max="14342" width="17.5703125" style="38" customWidth="1"/>
    <col min="14343" max="14343" width="7.28515625" style="38" customWidth="1"/>
    <col min="14344" max="14347" width="14" style="38" customWidth="1"/>
    <col min="14348" max="14348" width="23.5703125" style="38" bestFit="1" customWidth="1"/>
    <col min="14349" max="14592" width="12.42578125" style="38"/>
    <col min="14593" max="14594" width="9.85546875" style="38" customWidth="1"/>
    <col min="14595" max="14598" width="17.5703125" style="38" customWidth="1"/>
    <col min="14599" max="14599" width="7.28515625" style="38" customWidth="1"/>
    <col min="14600" max="14603" width="14" style="38" customWidth="1"/>
    <col min="14604" max="14604" width="23.5703125" style="38" bestFit="1" customWidth="1"/>
    <col min="14605" max="14848" width="12.42578125" style="38"/>
    <col min="14849" max="14850" width="9.85546875" style="38" customWidth="1"/>
    <col min="14851" max="14854" width="17.5703125" style="38" customWidth="1"/>
    <col min="14855" max="14855" width="7.28515625" style="38" customWidth="1"/>
    <col min="14856" max="14859" width="14" style="38" customWidth="1"/>
    <col min="14860" max="14860" width="23.5703125" style="38" bestFit="1" customWidth="1"/>
    <col min="14861" max="15104" width="12.42578125" style="38"/>
    <col min="15105" max="15106" width="9.85546875" style="38" customWidth="1"/>
    <col min="15107" max="15110" width="17.5703125" style="38" customWidth="1"/>
    <col min="15111" max="15111" width="7.28515625" style="38" customWidth="1"/>
    <col min="15112" max="15115" width="14" style="38" customWidth="1"/>
    <col min="15116" max="15116" width="23.5703125" style="38" bestFit="1" customWidth="1"/>
    <col min="15117" max="15360" width="12.42578125" style="38"/>
    <col min="15361" max="15362" width="9.85546875" style="38" customWidth="1"/>
    <col min="15363" max="15366" width="17.5703125" style="38" customWidth="1"/>
    <col min="15367" max="15367" width="7.28515625" style="38" customWidth="1"/>
    <col min="15368" max="15371" width="14" style="38" customWidth="1"/>
    <col min="15372" max="15372" width="23.5703125" style="38" bestFit="1" customWidth="1"/>
    <col min="15373" max="15616" width="12.42578125" style="38"/>
    <col min="15617" max="15618" width="9.85546875" style="38" customWidth="1"/>
    <col min="15619" max="15622" width="17.5703125" style="38" customWidth="1"/>
    <col min="15623" max="15623" width="7.28515625" style="38" customWidth="1"/>
    <col min="15624" max="15627" width="14" style="38" customWidth="1"/>
    <col min="15628" max="15628" width="23.5703125" style="38" bestFit="1" customWidth="1"/>
    <col min="15629" max="15872" width="12.42578125" style="38"/>
    <col min="15873" max="15874" width="9.85546875" style="38" customWidth="1"/>
    <col min="15875" max="15878" width="17.5703125" style="38" customWidth="1"/>
    <col min="15879" max="15879" width="7.28515625" style="38" customWidth="1"/>
    <col min="15880" max="15883" width="14" style="38" customWidth="1"/>
    <col min="15884" max="15884" width="23.5703125" style="38" bestFit="1" customWidth="1"/>
    <col min="15885" max="16128" width="12.42578125" style="38"/>
    <col min="16129" max="16130" width="9.85546875" style="38" customWidth="1"/>
    <col min="16131" max="16134" width="17.5703125" style="38" customWidth="1"/>
    <col min="16135" max="16135" width="7.28515625" style="38" customWidth="1"/>
    <col min="16136" max="16139" width="14" style="38" customWidth="1"/>
    <col min="16140" max="16140" width="23.5703125" style="38" bestFit="1" customWidth="1"/>
    <col min="16141" max="16384" width="12.42578125" style="38"/>
  </cols>
  <sheetData>
    <row r="1" spans="1:11">
      <c r="E1" s="39" t="s">
        <v>58</v>
      </c>
      <c r="F1" s="39" t="s">
        <v>59</v>
      </c>
    </row>
    <row r="2" spans="1:11">
      <c r="A2" s="40"/>
    </row>
    <row r="3" spans="1:11">
      <c r="A3" s="41" t="s">
        <v>60</v>
      </c>
      <c r="B3" s="42"/>
      <c r="C3" s="42"/>
      <c r="D3" s="42"/>
      <c r="E3" s="42"/>
      <c r="F3" s="42"/>
    </row>
    <row r="4" spans="1:11" ht="18.75">
      <c r="A4" s="43" t="s">
        <v>61</v>
      </c>
      <c r="B4" s="42"/>
      <c r="C4" s="42"/>
      <c r="D4" s="42"/>
      <c r="E4" s="42"/>
      <c r="F4" s="42"/>
      <c r="G4" s="42"/>
    </row>
    <row r="5" spans="1:11" ht="12.75" customHeight="1">
      <c r="A5" s="44"/>
      <c r="B5" s="241" t="s">
        <v>62</v>
      </c>
      <c r="C5" s="242"/>
      <c r="D5" s="242"/>
      <c r="E5" s="242"/>
      <c r="F5" s="242"/>
    </row>
    <row r="6" spans="1:11" ht="12.75" customHeight="1">
      <c r="A6" s="44"/>
    </row>
    <row r="7" spans="1:11">
      <c r="A7" s="38" t="s">
        <v>63</v>
      </c>
    </row>
    <row r="8" spans="1:11">
      <c r="A8" s="38" t="s">
        <v>64</v>
      </c>
    </row>
    <row r="9" spans="1:11" ht="12.75" customHeight="1">
      <c r="A9" s="41"/>
      <c r="B9" s="41"/>
      <c r="C9" s="41" t="s">
        <v>60</v>
      </c>
      <c r="D9" s="41" t="s">
        <v>60</v>
      </c>
      <c r="E9" s="41"/>
      <c r="F9" s="41" t="s">
        <v>60</v>
      </c>
    </row>
    <row r="10" spans="1:11" ht="12.75" customHeight="1"/>
    <row r="11" spans="1:11" ht="12.75" customHeight="1">
      <c r="A11" s="45"/>
      <c r="B11" s="46"/>
      <c r="C11" s="46"/>
      <c r="D11" s="46"/>
      <c r="E11" s="46"/>
      <c r="F11" s="46"/>
      <c r="H11" s="47" t="s">
        <v>65</v>
      </c>
      <c r="I11" s="47" t="s">
        <v>65</v>
      </c>
      <c r="J11" s="47" t="s">
        <v>65</v>
      </c>
      <c r="K11" s="47" t="s">
        <v>65</v>
      </c>
    </row>
    <row r="12" spans="1:11" ht="12.75" customHeight="1">
      <c r="A12" s="48" t="s">
        <v>60</v>
      </c>
      <c r="B12" s="49" t="s">
        <v>66</v>
      </c>
      <c r="C12" s="49" t="s">
        <v>67</v>
      </c>
      <c r="D12" s="49" t="s">
        <v>68</v>
      </c>
      <c r="E12" s="49" t="s">
        <v>69</v>
      </c>
      <c r="F12" s="49" t="s">
        <v>70</v>
      </c>
      <c r="H12" s="47" t="s">
        <v>67</v>
      </c>
      <c r="I12" s="47" t="s">
        <v>68</v>
      </c>
      <c r="J12" s="47" t="s">
        <v>69</v>
      </c>
      <c r="K12" s="47" t="s">
        <v>71</v>
      </c>
    </row>
    <row r="13" spans="1:11" ht="12.75" customHeight="1">
      <c r="A13" s="45"/>
      <c r="B13" s="50"/>
      <c r="C13" s="51"/>
      <c r="D13" s="50"/>
      <c r="E13" s="50"/>
      <c r="F13" s="50"/>
    </row>
    <row r="14" spans="1:11" ht="12.75" customHeight="1">
      <c r="A14" s="48" t="s">
        <v>60</v>
      </c>
      <c r="B14" s="52"/>
      <c r="C14" s="53"/>
      <c r="D14" s="54"/>
      <c r="E14" s="53"/>
      <c r="F14" s="53"/>
    </row>
    <row r="15" spans="1:11" ht="15" customHeight="1">
      <c r="A15" s="45"/>
      <c r="B15" s="55" t="s">
        <v>72</v>
      </c>
      <c r="C15" s="56">
        <v>37.9</v>
      </c>
      <c r="D15" s="57">
        <v>38.799999999999997</v>
      </c>
      <c r="E15" s="58">
        <v>39.700000000000003</v>
      </c>
      <c r="F15" s="58">
        <v>40.5</v>
      </c>
    </row>
    <row r="16" spans="1:11" ht="15" customHeight="1">
      <c r="A16" s="45"/>
      <c r="B16" s="55" t="s">
        <v>73</v>
      </c>
      <c r="C16" s="58">
        <v>41.4</v>
      </c>
      <c r="D16" s="59">
        <v>42.1</v>
      </c>
      <c r="E16" s="58">
        <v>43.2</v>
      </c>
      <c r="F16" s="58">
        <v>44.4</v>
      </c>
      <c r="H16" s="60"/>
      <c r="I16" s="60"/>
      <c r="J16" s="60">
        <f>+E16/E15-1</f>
        <v>8.8161209068010171E-2</v>
      </c>
      <c r="K16" s="60">
        <f>+F16/F15-1</f>
        <v>9.6296296296296324E-2</v>
      </c>
    </row>
    <row r="17" spans="1:16" ht="15" customHeight="1">
      <c r="A17" s="45"/>
      <c r="B17" s="55" t="s">
        <v>74</v>
      </c>
      <c r="C17" s="58">
        <v>45.3</v>
      </c>
      <c r="D17" s="59">
        <v>46</v>
      </c>
      <c r="E17" s="58">
        <v>46.8</v>
      </c>
      <c r="F17" s="58">
        <v>47.6</v>
      </c>
      <c r="H17" s="60">
        <f t="shared" ref="H17:K33" si="0">+C17/C16-1</f>
        <v>9.4202898550724612E-2</v>
      </c>
      <c r="I17" s="60">
        <f t="shared" si="0"/>
        <v>9.263657957244642E-2</v>
      </c>
      <c r="J17" s="60">
        <f t="shared" si="0"/>
        <v>8.3333333333333259E-2</v>
      </c>
      <c r="K17" s="60">
        <f t="shared" si="0"/>
        <v>7.2072072072072224E-2</v>
      </c>
    </row>
    <row r="18" spans="1:16" ht="15" customHeight="1">
      <c r="A18" s="45"/>
      <c r="B18" s="55" t="s">
        <v>75</v>
      </c>
      <c r="C18" s="58">
        <v>48.4</v>
      </c>
      <c r="D18" s="59">
        <v>49.3</v>
      </c>
      <c r="E18" s="58">
        <v>50.2</v>
      </c>
      <c r="F18" s="58">
        <v>51.2</v>
      </c>
      <c r="H18" s="60">
        <f t="shared" si="0"/>
        <v>6.8432671081677832E-2</v>
      </c>
      <c r="I18" s="60">
        <f t="shared" si="0"/>
        <v>7.1739130434782528E-2</v>
      </c>
      <c r="J18" s="60">
        <f t="shared" si="0"/>
        <v>7.2649572649572836E-2</v>
      </c>
      <c r="K18" s="60">
        <f t="shared" si="0"/>
        <v>7.5630252100840289E-2</v>
      </c>
    </row>
    <row r="19" spans="1:16" ht="15" customHeight="1">
      <c r="A19" s="45"/>
      <c r="B19" s="55" t="s">
        <v>76</v>
      </c>
      <c r="C19" s="58">
        <v>51.7</v>
      </c>
      <c r="D19" s="59">
        <v>53</v>
      </c>
      <c r="E19" s="58">
        <v>54.2</v>
      </c>
      <c r="F19" s="58">
        <v>55.2</v>
      </c>
      <c r="H19" s="60">
        <f t="shared" si="0"/>
        <v>6.8181818181818343E-2</v>
      </c>
      <c r="I19" s="60">
        <f t="shared" si="0"/>
        <v>7.5050709939148197E-2</v>
      </c>
      <c r="J19" s="60">
        <f t="shared" si="0"/>
        <v>7.9681274900398336E-2</v>
      </c>
      <c r="K19" s="60">
        <f t="shared" si="0"/>
        <v>7.8125E-2</v>
      </c>
    </row>
    <row r="20" spans="1:16" ht="15" customHeight="1">
      <c r="A20" s="45"/>
      <c r="B20" s="55" t="s">
        <v>77</v>
      </c>
      <c r="C20" s="58">
        <v>56.2</v>
      </c>
      <c r="D20" s="59">
        <v>57.1</v>
      </c>
      <c r="E20" s="58">
        <v>57.5</v>
      </c>
      <c r="F20" s="58">
        <v>59</v>
      </c>
      <c r="H20" s="60">
        <f t="shared" si="0"/>
        <v>8.7040618955512628E-2</v>
      </c>
      <c r="I20" s="60">
        <f t="shared" si="0"/>
        <v>7.735849056603783E-2</v>
      </c>
      <c r="J20" s="60">
        <f t="shared" si="0"/>
        <v>6.0885608856088513E-2</v>
      </c>
      <c r="K20" s="60">
        <f t="shared" si="0"/>
        <v>6.8840579710144789E-2</v>
      </c>
    </row>
    <row r="21" spans="1:16" ht="15" customHeight="1">
      <c r="A21" s="45"/>
      <c r="B21" s="55" t="s">
        <v>78</v>
      </c>
      <c r="C21" s="58">
        <v>58.9</v>
      </c>
      <c r="D21" s="59">
        <v>59</v>
      </c>
      <c r="E21" s="58">
        <v>59.3</v>
      </c>
      <c r="F21" s="58">
        <v>59.9</v>
      </c>
      <c r="H21" s="60">
        <f t="shared" si="0"/>
        <v>4.8042704626334531E-2</v>
      </c>
      <c r="I21" s="60">
        <f t="shared" si="0"/>
        <v>3.327495621716281E-2</v>
      </c>
      <c r="J21" s="60">
        <f t="shared" si="0"/>
        <v>3.130434782608682E-2</v>
      </c>
      <c r="K21" s="60">
        <f t="shared" si="0"/>
        <v>1.5254237288135464E-2</v>
      </c>
    </row>
    <row r="22" spans="1:16" ht="15" customHeight="1">
      <c r="A22" s="45"/>
      <c r="B22" s="55" t="s">
        <v>79</v>
      </c>
      <c r="C22" s="58">
        <v>59.9</v>
      </c>
      <c r="D22" s="59">
        <v>59.7</v>
      </c>
      <c r="E22" s="58">
        <v>59.8</v>
      </c>
      <c r="F22" s="58">
        <v>60.1</v>
      </c>
      <c r="H22" s="60">
        <f t="shared" si="0"/>
        <v>1.6977928692699429E-2</v>
      </c>
      <c r="I22" s="60">
        <f t="shared" si="0"/>
        <v>1.1864406779661163E-2</v>
      </c>
      <c r="J22" s="60">
        <f t="shared" si="0"/>
        <v>8.4317032040472917E-3</v>
      </c>
      <c r="K22" s="60">
        <f t="shared" si="0"/>
        <v>3.3388981636059967E-3</v>
      </c>
    </row>
    <row r="23" spans="1:16" ht="15" customHeight="1">
      <c r="A23" s="45"/>
      <c r="B23" s="55" t="s">
        <v>80</v>
      </c>
      <c r="C23" s="58">
        <v>60.6</v>
      </c>
      <c r="D23" s="59">
        <v>60.8</v>
      </c>
      <c r="E23" s="58">
        <v>61.1</v>
      </c>
      <c r="F23" s="58">
        <v>61.2</v>
      </c>
      <c r="H23" s="60">
        <f t="shared" si="0"/>
        <v>1.1686143572620988E-2</v>
      </c>
      <c r="I23" s="60">
        <f t="shared" si="0"/>
        <v>1.8425460636515734E-2</v>
      </c>
      <c r="J23" s="60">
        <f t="shared" si="0"/>
        <v>2.1739130434782705E-2</v>
      </c>
      <c r="K23" s="60">
        <f t="shared" si="0"/>
        <v>1.830282861896837E-2</v>
      </c>
      <c r="M23" s="61"/>
    </row>
    <row r="24" spans="1:16" ht="15" customHeight="1">
      <c r="A24" s="48"/>
      <c r="B24" s="62" t="s">
        <v>81</v>
      </c>
      <c r="C24" s="63">
        <v>61.5</v>
      </c>
      <c r="D24" s="64">
        <v>61.9</v>
      </c>
      <c r="E24" s="63">
        <v>62.3</v>
      </c>
      <c r="F24" s="63">
        <v>62.8</v>
      </c>
      <c r="H24" s="60">
        <f t="shared" si="0"/>
        <v>1.4851485148514865E-2</v>
      </c>
      <c r="I24" s="60">
        <f t="shared" si="0"/>
        <v>1.8092105263157965E-2</v>
      </c>
      <c r="J24" s="60">
        <f t="shared" si="0"/>
        <v>1.9639934533551395E-2</v>
      </c>
      <c r="K24" s="60">
        <f t="shared" si="0"/>
        <v>2.614379084967311E-2</v>
      </c>
      <c r="M24" s="61"/>
    </row>
    <row r="25" spans="1:16" ht="15" customHeight="1">
      <c r="A25" s="45"/>
      <c r="B25" s="55" t="s">
        <v>82</v>
      </c>
      <c r="C25" s="58">
        <v>63.8</v>
      </c>
      <c r="D25" s="59">
        <v>64.7</v>
      </c>
      <c r="E25" s="58">
        <v>65.5</v>
      </c>
      <c r="F25" s="58">
        <v>66</v>
      </c>
      <c r="H25" s="60">
        <f t="shared" si="0"/>
        <v>3.7398373983739797E-2</v>
      </c>
      <c r="I25" s="60">
        <f t="shared" si="0"/>
        <v>4.5234248788368348E-2</v>
      </c>
      <c r="J25" s="60">
        <f t="shared" si="0"/>
        <v>5.1364365971107606E-2</v>
      </c>
      <c r="K25" s="60">
        <f t="shared" si="0"/>
        <v>5.0955414012738842E-2</v>
      </c>
      <c r="M25" s="61"/>
    </row>
    <row r="26" spans="1:16" ht="15" customHeight="1">
      <c r="A26" s="45"/>
      <c r="B26" s="55" t="s">
        <v>83</v>
      </c>
      <c r="C26" s="58">
        <v>66.2</v>
      </c>
      <c r="D26" s="59">
        <v>66.7</v>
      </c>
      <c r="E26" s="58">
        <v>66.900000000000006</v>
      </c>
      <c r="F26" s="58">
        <v>67</v>
      </c>
      <c r="H26" s="60">
        <f t="shared" si="0"/>
        <v>3.7617554858934366E-2</v>
      </c>
      <c r="I26" s="60">
        <f t="shared" si="0"/>
        <v>3.0911901081916549E-2</v>
      </c>
      <c r="J26" s="60">
        <f t="shared" si="0"/>
        <v>2.1374045801526798E-2</v>
      </c>
      <c r="K26" s="60">
        <f t="shared" si="0"/>
        <v>1.5151515151515138E-2</v>
      </c>
      <c r="M26" s="61"/>
    </row>
    <row r="27" spans="1:16" ht="15" customHeight="1">
      <c r="A27" s="45"/>
      <c r="B27" s="55" t="s">
        <v>84</v>
      </c>
      <c r="C27" s="58">
        <v>67.099999999999994</v>
      </c>
      <c r="D27" s="59">
        <v>66.900000000000006</v>
      </c>
      <c r="E27" s="58">
        <v>66.599999999999994</v>
      </c>
      <c r="F27" s="58">
        <v>66.8</v>
      </c>
      <c r="H27" s="60">
        <f t="shared" si="0"/>
        <v>1.3595166163141936E-2</v>
      </c>
      <c r="I27" s="60">
        <f t="shared" si="0"/>
        <v>2.9985007496251548E-3</v>
      </c>
      <c r="J27" s="60">
        <f t="shared" si="0"/>
        <v>-4.48430493273555E-3</v>
      </c>
      <c r="K27" s="60">
        <f t="shared" si="0"/>
        <v>-2.9850746268657025E-3</v>
      </c>
      <c r="L27" s="65"/>
      <c r="M27" s="61"/>
    </row>
    <row r="28" spans="1:16" ht="15" customHeight="1">
      <c r="A28" s="45"/>
      <c r="B28" s="55">
        <v>1998</v>
      </c>
      <c r="C28" s="58">
        <v>67</v>
      </c>
      <c r="D28" s="59">
        <v>67.400000000000006</v>
      </c>
      <c r="E28" s="58">
        <v>67.5</v>
      </c>
      <c r="F28" s="56">
        <v>67.8</v>
      </c>
      <c r="H28" s="60">
        <f t="shared" si="0"/>
        <v>-1.4903129657226621E-3</v>
      </c>
      <c r="I28" s="60">
        <f t="shared" si="0"/>
        <v>7.4738415545589909E-3</v>
      </c>
      <c r="J28" s="60">
        <f t="shared" si="0"/>
        <v>1.3513513513513598E-2</v>
      </c>
      <c r="K28" s="60">
        <f t="shared" si="0"/>
        <v>1.4970059880239583E-2</v>
      </c>
      <c r="L28" s="65"/>
      <c r="M28" s="61"/>
    </row>
    <row r="29" spans="1:16" ht="15" customHeight="1">
      <c r="A29" s="45"/>
      <c r="B29" s="55">
        <v>1999</v>
      </c>
      <c r="C29" s="58">
        <v>67.8</v>
      </c>
      <c r="D29" s="57">
        <v>68.099999999999994</v>
      </c>
      <c r="E29" s="56">
        <v>68.7</v>
      </c>
      <c r="F29" s="56">
        <v>69.099999999999994</v>
      </c>
      <c r="H29" s="60">
        <f t="shared" si="0"/>
        <v>1.1940298507462588E-2</v>
      </c>
      <c r="I29" s="60">
        <f t="shared" si="0"/>
        <v>1.0385756676557722E-2</v>
      </c>
      <c r="J29" s="60">
        <f t="shared" si="0"/>
        <v>1.7777777777777892E-2</v>
      </c>
      <c r="K29" s="60">
        <f t="shared" si="0"/>
        <v>1.9174041297935096E-2</v>
      </c>
      <c r="L29" s="65"/>
      <c r="M29" s="66"/>
      <c r="N29" s="67"/>
      <c r="O29" s="67"/>
      <c r="P29" s="67"/>
    </row>
    <row r="30" spans="1:16" ht="15" customHeight="1">
      <c r="A30" s="45"/>
      <c r="B30" s="55">
        <v>2000</v>
      </c>
      <c r="C30" s="58">
        <v>69.7</v>
      </c>
      <c r="D30" s="57">
        <v>70.2</v>
      </c>
      <c r="E30" s="58">
        <v>72.900000000000006</v>
      </c>
      <c r="F30" s="56">
        <v>73.099999999999994</v>
      </c>
      <c r="H30" s="60">
        <f t="shared" si="0"/>
        <v>2.8023598820059004E-2</v>
      </c>
      <c r="I30" s="60">
        <f t="shared" si="0"/>
        <v>3.0837004405286361E-2</v>
      </c>
      <c r="J30" s="60">
        <f t="shared" si="0"/>
        <v>6.1135371179039444E-2</v>
      </c>
      <c r="K30" s="60">
        <f t="shared" si="0"/>
        <v>5.7887120115774238E-2</v>
      </c>
      <c r="L30" s="65"/>
      <c r="M30" s="66"/>
      <c r="N30" s="67"/>
      <c r="O30" s="67"/>
      <c r="P30" s="67"/>
    </row>
    <row r="31" spans="1:16" ht="15" customHeight="1">
      <c r="A31" s="45"/>
      <c r="B31" s="55">
        <v>2001</v>
      </c>
      <c r="C31" s="58">
        <v>73.900000000000006</v>
      </c>
      <c r="D31" s="57">
        <v>74.5</v>
      </c>
      <c r="E31" s="58">
        <v>74.7</v>
      </c>
      <c r="F31" s="56">
        <v>75.400000000000006</v>
      </c>
      <c r="H31" s="60">
        <f t="shared" si="0"/>
        <v>6.0258249641319983E-2</v>
      </c>
      <c r="I31" s="60">
        <f t="shared" si="0"/>
        <v>6.1253561253561184E-2</v>
      </c>
      <c r="J31" s="60">
        <f t="shared" si="0"/>
        <v>2.4691358024691246E-2</v>
      </c>
      <c r="K31" s="60">
        <f t="shared" si="0"/>
        <v>3.1463748290013749E-2</v>
      </c>
      <c r="L31" s="65"/>
      <c r="M31" s="66"/>
      <c r="N31" s="67"/>
      <c r="O31" s="67"/>
      <c r="P31" s="67"/>
    </row>
    <row r="32" spans="1:16" ht="15" customHeight="1">
      <c r="A32" s="45"/>
      <c r="B32" s="55">
        <v>2002</v>
      </c>
      <c r="C32" s="58">
        <v>76.099999999999994</v>
      </c>
      <c r="D32" s="57">
        <v>76.599999999999994</v>
      </c>
      <c r="E32" s="58">
        <v>77.099999999999994</v>
      </c>
      <c r="F32" s="56">
        <v>77.599999999999994</v>
      </c>
      <c r="H32" s="60">
        <f t="shared" si="0"/>
        <v>2.9769959404600588E-2</v>
      </c>
      <c r="I32" s="60">
        <f t="shared" si="0"/>
        <v>2.8187919463087185E-2</v>
      </c>
      <c r="J32" s="60">
        <f t="shared" si="0"/>
        <v>3.2128514056224855E-2</v>
      </c>
      <c r="K32" s="60">
        <f t="shared" si="0"/>
        <v>2.9177718832890998E-2</v>
      </c>
      <c r="L32" s="65"/>
      <c r="M32" s="66"/>
      <c r="N32" s="67"/>
      <c r="O32" s="67"/>
      <c r="P32" s="67"/>
    </row>
    <row r="33" spans="1:17" ht="15" customHeight="1">
      <c r="A33" s="45"/>
      <c r="B33" s="55">
        <v>2003</v>
      </c>
      <c r="C33" s="58">
        <v>78.599999999999994</v>
      </c>
      <c r="D33" s="57">
        <v>78.599999999999994</v>
      </c>
      <c r="E33" s="58">
        <v>79.099999999999994</v>
      </c>
      <c r="F33" s="58">
        <v>79.5</v>
      </c>
      <c r="H33" s="60">
        <f t="shared" si="0"/>
        <v>3.2851511169513792E-2</v>
      </c>
      <c r="I33" s="60">
        <f t="shared" si="0"/>
        <v>2.6109660574412441E-2</v>
      </c>
      <c r="J33" s="60">
        <f t="shared" si="0"/>
        <v>2.5940337224383825E-2</v>
      </c>
      <c r="K33" s="60">
        <f t="shared" si="0"/>
        <v>2.4484536082474362E-2</v>
      </c>
      <c r="L33" s="65"/>
      <c r="M33" s="66"/>
      <c r="N33" s="67"/>
      <c r="O33" s="67"/>
      <c r="P33" s="67"/>
    </row>
    <row r="34" spans="1:17" ht="15" customHeight="1">
      <c r="A34" s="45"/>
      <c r="B34" s="55">
        <v>2004</v>
      </c>
      <c r="C34" s="58">
        <v>80.2</v>
      </c>
      <c r="D34" s="57">
        <v>80.599999999999994</v>
      </c>
      <c r="E34" s="58">
        <v>80.900000000000006</v>
      </c>
      <c r="F34" s="58">
        <v>81.5</v>
      </c>
      <c r="H34" s="60">
        <f t="shared" ref="H34:K44" si="1">+C34/C33-1</f>
        <v>2.0356234096692294E-2</v>
      </c>
      <c r="I34" s="60">
        <f t="shared" si="1"/>
        <v>2.5445292620865034E-2</v>
      </c>
      <c r="J34" s="60">
        <f t="shared" si="1"/>
        <v>2.2756005056890238E-2</v>
      </c>
      <c r="K34" s="60">
        <f t="shared" si="1"/>
        <v>2.515723270440251E-2</v>
      </c>
      <c r="L34" s="65"/>
      <c r="M34" s="66"/>
      <c r="N34" s="67"/>
      <c r="O34" s="67"/>
      <c r="P34" s="67"/>
    </row>
    <row r="35" spans="1:17" ht="15" customHeight="1">
      <c r="A35" s="45"/>
      <c r="B35" s="55">
        <v>2005</v>
      </c>
      <c r="C35" s="58">
        <v>82.1</v>
      </c>
      <c r="D35" s="57">
        <v>82.6</v>
      </c>
      <c r="E35" s="58">
        <v>83.4</v>
      </c>
      <c r="F35" s="58">
        <v>83.8</v>
      </c>
      <c r="H35" s="60">
        <f t="shared" si="1"/>
        <v>2.3690773067331472E-2</v>
      </c>
      <c r="I35" s="60">
        <f t="shared" si="1"/>
        <v>2.4813895781637729E-2</v>
      </c>
      <c r="J35" s="60">
        <f t="shared" si="1"/>
        <v>3.0902348578492056E-2</v>
      </c>
      <c r="K35" s="60">
        <f t="shared" si="1"/>
        <v>2.8220858895705581E-2</v>
      </c>
      <c r="L35" s="65"/>
      <c r="M35" s="66"/>
      <c r="N35" s="67"/>
      <c r="O35" s="67"/>
      <c r="P35" s="67"/>
    </row>
    <row r="36" spans="1:17" ht="15" customHeight="1">
      <c r="A36" s="45"/>
      <c r="B36" s="55">
        <f>+B35+1</f>
        <v>2006</v>
      </c>
      <c r="C36" s="58">
        <v>84.5</v>
      </c>
      <c r="D36" s="57">
        <v>85.9</v>
      </c>
      <c r="E36" s="58">
        <v>86.7</v>
      </c>
      <c r="F36" s="68">
        <v>86.6</v>
      </c>
      <c r="H36" s="60">
        <f t="shared" si="1"/>
        <v>2.923264311814866E-2</v>
      </c>
      <c r="I36" s="60">
        <f>+D36/D35-1</f>
        <v>3.9951573849879018E-2</v>
      </c>
      <c r="J36" s="60">
        <f t="shared" si="1"/>
        <v>3.9568345323740983E-2</v>
      </c>
      <c r="K36" s="60">
        <f t="shared" si="1"/>
        <v>3.3412887828162319E-2</v>
      </c>
      <c r="L36" s="65"/>
      <c r="M36" s="66"/>
      <c r="N36" s="67"/>
      <c r="O36" s="67"/>
      <c r="P36" s="67"/>
    </row>
    <row r="37" spans="1:17" ht="15" customHeight="1">
      <c r="A37" s="45"/>
      <c r="B37" s="55">
        <f>+B36+1</f>
        <v>2007</v>
      </c>
      <c r="C37" s="58">
        <v>86.6</v>
      </c>
      <c r="D37" s="57">
        <v>87.7</v>
      </c>
      <c r="E37" s="58">
        <v>88.3</v>
      </c>
      <c r="F37" s="68">
        <v>89.1</v>
      </c>
      <c r="H37" s="60">
        <f t="shared" si="1"/>
        <v>2.485207100591702E-2</v>
      </c>
      <c r="I37" s="60">
        <f t="shared" si="1"/>
        <v>2.0954598370197974E-2</v>
      </c>
      <c r="J37" s="190">
        <f t="shared" si="1"/>
        <v>1.8454440599769306E-2</v>
      </c>
      <c r="K37" s="60">
        <f t="shared" si="1"/>
        <v>2.886836027713624E-2</v>
      </c>
      <c r="L37" s="65"/>
      <c r="M37" s="66"/>
      <c r="N37" s="67"/>
      <c r="O37" s="67"/>
      <c r="P37" s="67"/>
    </row>
    <row r="38" spans="1:17" ht="15" customHeight="1">
      <c r="A38" s="45"/>
      <c r="B38" s="55">
        <f>+B37+1</f>
        <v>2008</v>
      </c>
      <c r="C38" s="58">
        <v>90.3</v>
      </c>
      <c r="D38" s="57">
        <v>91.6</v>
      </c>
      <c r="E38" s="58">
        <v>92.7</v>
      </c>
      <c r="F38" s="68">
        <v>92.4</v>
      </c>
      <c r="H38" s="60">
        <f t="shared" si="1"/>
        <v>4.2725173210161671E-2</v>
      </c>
      <c r="I38" s="60">
        <f t="shared" si="1"/>
        <v>4.4469783352337311E-2</v>
      </c>
      <c r="J38" s="60">
        <f t="shared" si="1"/>
        <v>4.9830124575311441E-2</v>
      </c>
      <c r="K38" s="60">
        <f t="shared" si="1"/>
        <v>3.7037037037037202E-2</v>
      </c>
      <c r="L38" s="65"/>
      <c r="M38" s="66"/>
      <c r="N38" s="67"/>
      <c r="O38" s="67"/>
      <c r="P38" s="67"/>
    </row>
    <row r="39" spans="1:17" ht="15" customHeight="1">
      <c r="A39" s="45"/>
      <c r="B39" s="55">
        <v>2009</v>
      </c>
      <c r="C39" s="58">
        <v>92.5</v>
      </c>
      <c r="D39" s="57">
        <v>92.9</v>
      </c>
      <c r="E39" s="69">
        <v>93.8</v>
      </c>
      <c r="F39" s="68">
        <v>94.3</v>
      </c>
      <c r="H39" s="60">
        <f t="shared" si="1"/>
        <v>2.4363233665559259E-2</v>
      </c>
      <c r="I39" s="60">
        <f t="shared" si="1"/>
        <v>1.4192139737991383E-2</v>
      </c>
      <c r="J39" s="60">
        <f t="shared" si="1"/>
        <v>1.1866235167206085E-2</v>
      </c>
      <c r="K39" s="60">
        <f t="shared" si="1"/>
        <v>2.0562770562770449E-2</v>
      </c>
      <c r="L39" s="65"/>
      <c r="M39" s="66"/>
      <c r="N39" s="67"/>
      <c r="O39" s="67"/>
      <c r="P39" s="67"/>
    </row>
    <row r="40" spans="1:17" ht="15" customHeight="1">
      <c r="A40" s="45"/>
      <c r="B40" s="55">
        <v>2010</v>
      </c>
      <c r="C40" s="58">
        <v>95.2</v>
      </c>
      <c r="D40" s="57">
        <v>95.8</v>
      </c>
      <c r="E40" s="58">
        <v>96.5</v>
      </c>
      <c r="F40" s="68">
        <v>96.9</v>
      </c>
      <c r="H40" s="60">
        <f t="shared" si="1"/>
        <v>2.9189189189189113E-2</v>
      </c>
      <c r="I40" s="60">
        <f t="shared" si="1"/>
        <v>3.1216361679224924E-2</v>
      </c>
      <c r="J40" s="60">
        <f t="shared" si="1"/>
        <v>2.8784648187633266E-2</v>
      </c>
      <c r="K40" s="60">
        <f t="shared" si="1"/>
        <v>2.7571580063626921E-2</v>
      </c>
      <c r="L40" s="65"/>
      <c r="M40" s="66"/>
      <c r="N40" s="67"/>
      <c r="O40" s="67"/>
      <c r="P40" s="67"/>
    </row>
    <row r="41" spans="1:17" ht="15" customHeight="1">
      <c r="A41" s="45"/>
      <c r="B41" s="55">
        <v>2011</v>
      </c>
      <c r="C41" s="58">
        <v>98.3</v>
      </c>
      <c r="D41" s="57">
        <v>99.2</v>
      </c>
      <c r="E41" s="58">
        <v>99.8</v>
      </c>
      <c r="F41" s="68">
        <v>99.8</v>
      </c>
      <c r="H41" s="60">
        <f t="shared" si="1"/>
        <v>3.2563025210083918E-2</v>
      </c>
      <c r="I41" s="60">
        <f t="shared" si="1"/>
        <v>3.5490605427975108E-2</v>
      </c>
      <c r="J41" s="60">
        <f t="shared" si="1"/>
        <v>3.4196891191709877E-2</v>
      </c>
      <c r="K41" s="60">
        <f t="shared" si="1"/>
        <v>2.9927760577915352E-2</v>
      </c>
      <c r="L41" s="65"/>
      <c r="M41" s="66"/>
      <c r="N41" s="67"/>
      <c r="O41" s="67"/>
      <c r="P41" s="67"/>
    </row>
    <row r="42" spans="1:17" ht="15" customHeight="1">
      <c r="A42" s="45"/>
      <c r="B42" s="55">
        <v>2012</v>
      </c>
      <c r="C42" s="58">
        <v>99.9</v>
      </c>
      <c r="D42" s="57">
        <v>100.4</v>
      </c>
      <c r="E42" s="58">
        <v>101.8</v>
      </c>
      <c r="F42" s="68">
        <v>102</v>
      </c>
      <c r="H42" s="60">
        <f t="shared" si="1"/>
        <v>1.6276703967446737E-2</v>
      </c>
      <c r="I42" s="60">
        <f t="shared" si="1"/>
        <v>1.2096774193548487E-2</v>
      </c>
      <c r="J42" s="60">
        <f t="shared" si="1"/>
        <v>2.0040080160320661E-2</v>
      </c>
      <c r="K42" s="60">
        <f t="shared" si="1"/>
        <v>2.2044088176352838E-2</v>
      </c>
      <c r="L42" s="65"/>
      <c r="M42" s="66"/>
      <c r="N42" s="67"/>
      <c r="O42" s="67"/>
      <c r="P42" s="67"/>
    </row>
    <row r="43" spans="1:17" ht="15" customHeight="1">
      <c r="A43" s="45"/>
      <c r="B43" s="55">
        <v>2013</v>
      </c>
      <c r="C43" s="69">
        <v>102.4</v>
      </c>
      <c r="D43" s="57">
        <v>102.8</v>
      </c>
      <c r="E43" s="58">
        <v>104</v>
      </c>
      <c r="F43" s="68">
        <v>104.8</v>
      </c>
      <c r="H43" s="60">
        <f t="shared" si="1"/>
        <v>2.5025025025025016E-2</v>
      </c>
      <c r="I43" s="60">
        <f t="shared" si="1"/>
        <v>2.3904382470119501E-2</v>
      </c>
      <c r="J43" s="60">
        <f t="shared" si="1"/>
        <v>2.16110019646365E-2</v>
      </c>
      <c r="K43" s="60">
        <f t="shared" si="1"/>
        <v>2.7450980392156765E-2</v>
      </c>
      <c r="L43" s="65"/>
      <c r="M43" s="66"/>
    </row>
    <row r="44" spans="1:17" ht="15" customHeight="1">
      <c r="A44" s="45"/>
      <c r="B44" s="55">
        <v>2014</v>
      </c>
      <c r="C44" s="69">
        <v>105.4</v>
      </c>
      <c r="D44" s="57">
        <v>105.9</v>
      </c>
      <c r="E44" s="58"/>
      <c r="F44" s="68"/>
      <c r="H44" s="60">
        <f t="shared" si="1"/>
        <v>2.9296875E-2</v>
      </c>
      <c r="I44" s="60">
        <f t="shared" si="1"/>
        <v>3.0155642023346418E-2</v>
      </c>
      <c r="J44" s="60"/>
      <c r="K44" s="60"/>
      <c r="L44" s="65"/>
      <c r="M44" s="66"/>
    </row>
    <row r="45" spans="1:17" ht="15" customHeight="1">
      <c r="A45" s="45"/>
      <c r="B45" s="55">
        <v>2015</v>
      </c>
      <c r="C45" s="70">
        <f>C44*$D$66</f>
        <v>108.035</v>
      </c>
      <c r="D45" s="133">
        <v>107.5</v>
      </c>
      <c r="E45" s="58"/>
      <c r="F45" s="68"/>
      <c r="H45" s="60"/>
      <c r="I45" s="60"/>
      <c r="J45" s="60"/>
      <c r="K45" s="60"/>
      <c r="L45" s="65"/>
      <c r="M45" s="138"/>
      <c r="N45" s="138"/>
      <c r="O45" s="138"/>
      <c r="P45" s="138"/>
      <c r="Q45" s="138"/>
    </row>
    <row r="46" spans="1:17" ht="15" customHeight="1">
      <c r="A46" s="45"/>
      <c r="B46" s="55">
        <v>2016</v>
      </c>
      <c r="C46" s="70">
        <f t="shared" ref="C46:D56" si="2">C45*$D$66</f>
        <v>110.73587499999999</v>
      </c>
      <c r="D46" s="95">
        <f>D45*1.0255</f>
        <v>110.24125000000001</v>
      </c>
      <c r="E46" s="58"/>
      <c r="F46" s="68"/>
      <c r="H46" s="60"/>
      <c r="I46" s="60"/>
      <c r="J46" s="60"/>
      <c r="K46" s="60"/>
      <c r="L46" s="65"/>
      <c r="M46" s="66"/>
    </row>
    <row r="47" spans="1:17" ht="15" customHeight="1">
      <c r="A47" s="45"/>
      <c r="B47" s="55">
        <v>2017</v>
      </c>
      <c r="C47" s="70">
        <f t="shared" si="2"/>
        <v>113.50427187499999</v>
      </c>
      <c r="D47" s="95">
        <f t="shared" si="2"/>
        <v>112.99728125</v>
      </c>
      <c r="E47" s="58"/>
      <c r="F47" s="68"/>
      <c r="H47" s="60"/>
      <c r="I47" s="60"/>
      <c r="J47" s="60"/>
      <c r="K47" s="60"/>
      <c r="L47" s="137"/>
      <c r="M47" s="66"/>
    </row>
    <row r="48" spans="1:17" ht="15" customHeight="1">
      <c r="A48" s="45"/>
      <c r="B48" s="55">
        <v>2018</v>
      </c>
      <c r="C48" s="70">
        <f t="shared" si="2"/>
        <v>116.34187867187498</v>
      </c>
      <c r="D48" s="95">
        <f t="shared" si="2"/>
        <v>115.82221328124999</v>
      </c>
      <c r="E48" s="58"/>
      <c r="F48" s="68"/>
      <c r="H48" s="60"/>
      <c r="I48" s="60"/>
      <c r="J48" s="60"/>
      <c r="K48" s="60"/>
      <c r="L48" s="65"/>
      <c r="M48" s="66"/>
    </row>
    <row r="49" spans="1:13" ht="15" customHeight="1">
      <c r="A49" s="45"/>
      <c r="B49" s="55">
        <v>2019</v>
      </c>
      <c r="C49" s="70">
        <f t="shared" si="2"/>
        <v>119.25042563867184</v>
      </c>
      <c r="D49" s="95">
        <f t="shared" si="2"/>
        <v>118.71776861328122</v>
      </c>
      <c r="E49" s="58"/>
      <c r="F49" s="68"/>
      <c r="H49" s="60"/>
      <c r="I49" s="60"/>
      <c r="J49" s="60"/>
      <c r="K49" s="60"/>
      <c r="L49" s="65"/>
      <c r="M49" s="66"/>
    </row>
    <row r="50" spans="1:13" ht="15" customHeight="1">
      <c r="A50" s="45"/>
      <c r="B50" s="55">
        <v>2020</v>
      </c>
      <c r="C50" s="70">
        <f t="shared" si="2"/>
        <v>122.23168627963862</v>
      </c>
      <c r="D50" s="95">
        <f>D49*$D$66</f>
        <v>121.68571282861325</v>
      </c>
      <c r="E50" s="58"/>
      <c r="F50" s="68"/>
      <c r="H50" s="60"/>
      <c r="I50" s="60"/>
      <c r="J50" s="60"/>
      <c r="K50" s="60"/>
      <c r="L50" s="65"/>
      <c r="M50" s="66"/>
    </row>
    <row r="51" spans="1:13" ht="15" customHeight="1">
      <c r="A51" s="45"/>
      <c r="B51" s="55">
        <v>2021</v>
      </c>
      <c r="C51" s="70">
        <f t="shared" si="2"/>
        <v>125.28747843662958</v>
      </c>
      <c r="D51" s="95">
        <f>D50*$D$66</f>
        <v>124.72785564932857</v>
      </c>
      <c r="E51" s="58"/>
      <c r="F51" s="68"/>
      <c r="H51" s="60"/>
      <c r="I51" s="60"/>
      <c r="J51" s="60"/>
      <c r="K51" s="60"/>
      <c r="L51" s="65"/>
      <c r="M51" s="66"/>
    </row>
    <row r="52" spans="1:13" ht="15" customHeight="1">
      <c r="A52" s="45"/>
      <c r="B52" s="55">
        <v>2022</v>
      </c>
      <c r="C52" s="70">
        <f t="shared" si="2"/>
        <v>128.41966539754532</v>
      </c>
      <c r="D52" s="95">
        <f t="shared" si="2"/>
        <v>127.84605204056177</v>
      </c>
      <c r="E52" s="58"/>
      <c r="F52" s="68"/>
      <c r="H52" s="60"/>
      <c r="I52" s="60"/>
      <c r="J52" s="60"/>
      <c r="K52" s="60"/>
      <c r="L52" s="65"/>
      <c r="M52" s="66"/>
    </row>
    <row r="53" spans="1:13" ht="15" customHeight="1">
      <c r="A53" s="45"/>
      <c r="B53" s="55">
        <v>2023</v>
      </c>
      <c r="C53" s="70">
        <f t="shared" si="2"/>
        <v>131.63015703248394</v>
      </c>
      <c r="D53" s="95">
        <f t="shared" si="2"/>
        <v>131.0422033415758</v>
      </c>
      <c r="E53" s="58"/>
      <c r="F53" s="68"/>
      <c r="H53" s="60"/>
      <c r="I53" s="60"/>
      <c r="J53" s="60"/>
      <c r="K53" s="60"/>
      <c r="L53" s="65"/>
      <c r="M53" s="66"/>
    </row>
    <row r="54" spans="1:13" ht="15" customHeight="1">
      <c r="A54" s="45"/>
      <c r="B54" s="55">
        <v>2024</v>
      </c>
      <c r="C54" s="70">
        <f t="shared" si="2"/>
        <v>134.92091095829602</v>
      </c>
      <c r="D54" s="95">
        <f t="shared" si="2"/>
        <v>134.31825842511518</v>
      </c>
      <c r="E54" s="58"/>
      <c r="F54" s="68"/>
      <c r="H54" s="60"/>
      <c r="I54" s="60"/>
      <c r="J54" s="60"/>
      <c r="K54" s="60"/>
      <c r="L54" s="65"/>
      <c r="M54" s="66"/>
    </row>
    <row r="55" spans="1:13" ht="15" customHeight="1">
      <c r="A55" s="45"/>
      <c r="B55" s="55">
        <v>2025</v>
      </c>
      <c r="C55" s="70">
        <f t="shared" si="2"/>
        <v>138.29393373225341</v>
      </c>
      <c r="D55" s="95">
        <f t="shared" si="2"/>
        <v>137.67621488574304</v>
      </c>
      <c r="E55" s="58"/>
      <c r="F55" s="68"/>
      <c r="H55" s="60"/>
      <c r="I55" s="60"/>
      <c r="J55" s="60"/>
      <c r="K55" s="60"/>
      <c r="L55" s="65"/>
      <c r="M55" s="66"/>
    </row>
    <row r="56" spans="1:13" ht="15" customHeight="1">
      <c r="A56" s="45"/>
      <c r="B56" s="55">
        <v>2026</v>
      </c>
      <c r="C56" s="70">
        <f t="shared" si="2"/>
        <v>141.75128207555974</v>
      </c>
      <c r="D56" s="95">
        <f t="shared" si="2"/>
        <v>141.1181202578866</v>
      </c>
      <c r="E56" s="58"/>
      <c r="F56" s="68"/>
      <c r="H56" s="60"/>
      <c r="I56" s="60"/>
      <c r="J56" s="60"/>
      <c r="K56" s="60"/>
      <c r="L56" s="65"/>
      <c r="M56" s="66"/>
    </row>
    <row r="57" spans="1:13" ht="12.75" customHeight="1">
      <c r="A57" s="45"/>
      <c r="B57" s="71"/>
      <c r="C57" s="72"/>
      <c r="D57" s="73"/>
      <c r="E57" s="72"/>
      <c r="F57" s="72"/>
      <c r="M57" s="61"/>
    </row>
    <row r="58" spans="1:13" ht="12.75" customHeight="1">
      <c r="A58" s="45"/>
      <c r="B58" s="45"/>
      <c r="C58" s="74"/>
      <c r="D58" s="74"/>
      <c r="E58" s="74"/>
      <c r="F58" s="74"/>
      <c r="H58" s="60"/>
      <c r="L58" s="75"/>
      <c r="M58" s="61"/>
    </row>
    <row r="59" spans="1:13" ht="12.75" customHeight="1">
      <c r="L59" s="75"/>
      <c r="M59" s="61"/>
    </row>
    <row r="60" spans="1:13">
      <c r="J60" s="76"/>
      <c r="M60" s="61"/>
    </row>
    <row r="61" spans="1:13" ht="12.75" customHeight="1">
      <c r="B61" s="40" t="s">
        <v>85</v>
      </c>
      <c r="C61" s="38" t="s">
        <v>86</v>
      </c>
      <c r="M61" s="61"/>
    </row>
    <row r="62" spans="1:13" ht="16.899999999999999" customHeight="1">
      <c r="B62" s="77" t="s">
        <v>87</v>
      </c>
      <c r="C62" s="38" t="s">
        <v>88</v>
      </c>
      <c r="M62" s="61"/>
    </row>
    <row r="63" spans="1:13" ht="12.75" customHeight="1"/>
    <row r="64" spans="1:13">
      <c r="B64" s="78"/>
      <c r="C64" s="79"/>
    </row>
    <row r="66" spans="2:4">
      <c r="B66" s="38" t="s">
        <v>89</v>
      </c>
      <c r="D66" s="80">
        <v>1.0249999999999999</v>
      </c>
    </row>
  </sheetData>
  <mergeCells count="1">
    <mergeCell ref="B5:F5"/>
  </mergeCells>
  <hyperlinks>
    <hyperlink ref="F1" r:id="rId1"/>
  </hyperlinks>
  <pageMargins left="0.94499999999999995" right="0.25" top="0.66" bottom="0.25" header="0.5" footer="0.5"/>
  <pageSetup paperSize="9" scale="59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D99F3103ED843A20BC7807E2140E1" ma:contentTypeVersion="0" ma:contentTypeDescription="Create a new document." ma:contentTypeScope="" ma:versionID="8d26278e7518429dbfe33970b25912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A5DB6D-1289-435B-9CC0-F08CA6EE7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8EE87C-B73A-4C9B-837B-0EE6DE84F9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12604-6B46-4118-B277-0930152523DD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Opex input AER Draft dec (ROC)</vt:lpstr>
      <vt:lpstr>Opex input corrected (AER) </vt:lpstr>
      <vt:lpstr>Opex input APTNT</vt:lpstr>
      <vt:lpstr>Opex MEJ adjustment APTNT</vt:lpstr>
      <vt:lpstr>AER opex sheet APTNT</vt:lpstr>
      <vt:lpstr>CPI</vt:lpstr>
      <vt:lpstr>CPI!Print_Area</vt:lpstr>
    </vt:vector>
  </TitlesOfParts>
  <Company>APA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Lewis, Andrew</cp:lastModifiedBy>
  <cp:lastPrinted>2015-08-03T23:53:53Z</cp:lastPrinted>
  <dcterms:created xsi:type="dcterms:W3CDTF">2014-06-20T04:36:34Z</dcterms:created>
  <dcterms:modified xsi:type="dcterms:W3CDTF">2015-11-20T05:10:35Z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0x010100398D99F3103ED843A20BC7807E2140E1</vt:lpwstr>
  </property>
</Properties>
</file>