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4460" yWindow="60" windowWidth="14385" windowHeight="12780" tabRatio="927"/>
  </bookViews>
  <sheets>
    <sheet name="Cover" sheetId="56" r:id="rId1"/>
    <sheet name="Contents" sheetId="10" r:id="rId2"/>
    <sheet name="Real Cost Escalation" sheetId="11" r:id="rId3"/>
    <sheet name="Overheads" sheetId="50" r:id="rId4"/>
    <sheet name="01" sheetId="5" r:id="rId5"/>
    <sheet name="02" sheetId="13" r:id="rId6"/>
    <sheet name="03" sheetId="12" r:id="rId7"/>
    <sheet name="04" sheetId="14" r:id="rId8"/>
    <sheet name="05" sheetId="15" r:id="rId9"/>
    <sheet name="06" sheetId="16" r:id="rId10"/>
    <sheet name="07" sheetId="19" r:id="rId11"/>
    <sheet name="08" sheetId="17" r:id="rId12"/>
    <sheet name="09" sheetId="18" r:id="rId13"/>
    <sheet name="10" sheetId="20" r:id="rId14"/>
    <sheet name="11" sheetId="21" r:id="rId15"/>
    <sheet name="12" sheetId="22" r:id="rId16"/>
    <sheet name="13" sheetId="23" r:id="rId17"/>
    <sheet name="14" sheetId="24" r:id="rId18"/>
    <sheet name="15" sheetId="25" r:id="rId19"/>
    <sheet name="16" sheetId="26" r:id="rId20"/>
    <sheet name="17" sheetId="27" r:id="rId21"/>
    <sheet name="18" sheetId="28" r:id="rId22"/>
    <sheet name="19" sheetId="29" r:id="rId23"/>
    <sheet name="20" sheetId="30" r:id="rId24"/>
    <sheet name="21" sheetId="31" r:id="rId25"/>
    <sheet name="22" sheetId="32" r:id="rId26"/>
    <sheet name="23" sheetId="33" r:id="rId27"/>
    <sheet name="24" sheetId="34" r:id="rId28"/>
    <sheet name="25" sheetId="36" r:id="rId29"/>
    <sheet name="26" sheetId="37" r:id="rId30"/>
    <sheet name="27" sheetId="38" r:id="rId31"/>
    <sheet name="28" sheetId="39" r:id="rId32"/>
    <sheet name="29" sheetId="40" r:id="rId33"/>
    <sheet name="30" sheetId="41" r:id="rId34"/>
    <sheet name="31" sheetId="42" r:id="rId35"/>
    <sheet name="32" sheetId="43" r:id="rId36"/>
    <sheet name="33" sheetId="58" r:id="rId37"/>
    <sheet name="Capex Summary Forecast - Unesc" sheetId="45" r:id="rId38"/>
    <sheet name="Capex Summary Forecast - Esc" sheetId="46" r:id="rId39"/>
    <sheet name="Capex Summary Forecast - OHs" sheetId="48" r:id="rId40"/>
    <sheet name="PTRM Input" sheetId="51" r:id="rId41"/>
  </sheets>
  <externalReferences>
    <externalReference r:id="rId42"/>
    <externalReference r:id="rId43"/>
    <externalReference r:id="rId44"/>
  </externalReferences>
  <calcPr calcId="145621"/>
</workbook>
</file>

<file path=xl/calcChain.xml><?xml version="1.0" encoding="utf-8"?>
<calcChain xmlns="http://schemas.openxmlformats.org/spreadsheetml/2006/main">
  <c r="G5" i="30" l="1"/>
  <c r="G5" i="25"/>
  <c r="K9" i="33"/>
  <c r="K9" i="32"/>
  <c r="K9" i="31"/>
  <c r="K9" i="30"/>
  <c r="K9" i="29"/>
  <c r="K9" i="28"/>
  <c r="K9" i="27"/>
  <c r="K9" i="26"/>
  <c r="K9" i="25"/>
  <c r="E23" i="58" l="1"/>
  <c r="B19" i="58"/>
  <c r="B18" i="58"/>
  <c r="B17" i="58"/>
  <c r="C12" i="58"/>
  <c r="J12" i="58" s="1"/>
  <c r="J19" i="58" s="1"/>
  <c r="C11" i="58"/>
  <c r="C10" i="58"/>
  <c r="C14" i="58" s="1"/>
  <c r="J7" i="58"/>
  <c r="I7" i="58"/>
  <c r="H7" i="58"/>
  <c r="G7" i="58"/>
  <c r="F7" i="58"/>
  <c r="K7" i="58" l="1"/>
  <c r="I11" i="58"/>
  <c r="I18" i="58" s="1"/>
  <c r="G10" i="58"/>
  <c r="I10" i="58"/>
  <c r="F11" i="58"/>
  <c r="H11" i="58"/>
  <c r="H18" i="58" s="1"/>
  <c r="J11" i="58"/>
  <c r="J18" i="58" s="1"/>
  <c r="G12" i="58"/>
  <c r="G19" i="58" s="1"/>
  <c r="I12" i="58"/>
  <c r="I19" i="58" s="1"/>
  <c r="F10" i="58"/>
  <c r="H10" i="58"/>
  <c r="J10" i="58"/>
  <c r="G11" i="58"/>
  <c r="G18" i="58" s="1"/>
  <c r="F12" i="58"/>
  <c r="H12" i="58"/>
  <c r="H19" i="58" s="1"/>
  <c r="H13" i="58" l="1"/>
  <c r="H44" i="45" s="1"/>
  <c r="H45" i="45" s="1"/>
  <c r="H17" i="58"/>
  <c r="H20" i="58" s="1"/>
  <c r="H8" i="48" s="1"/>
  <c r="I17" i="58"/>
  <c r="I20" i="58" s="1"/>
  <c r="I8" i="48" s="1"/>
  <c r="I13" i="58"/>
  <c r="I44" i="45" s="1"/>
  <c r="I45" i="45" s="1"/>
  <c r="F19" i="58"/>
  <c r="K19" i="58" s="1"/>
  <c r="K12" i="58"/>
  <c r="J13" i="58"/>
  <c r="J44" i="45" s="1"/>
  <c r="J45" i="45" s="1"/>
  <c r="J17" i="58"/>
  <c r="J20" i="58" s="1"/>
  <c r="J8" i="48" s="1"/>
  <c r="F13" i="58"/>
  <c r="F44" i="45" s="1"/>
  <c r="F17" i="58"/>
  <c r="K10" i="58"/>
  <c r="F18" i="58"/>
  <c r="K18" i="58" s="1"/>
  <c r="K11" i="58"/>
  <c r="G17" i="58"/>
  <c r="G20" i="58" s="1"/>
  <c r="G8" i="48" s="1"/>
  <c r="G13" i="58"/>
  <c r="G44" i="45" s="1"/>
  <c r="G45" i="45" s="1"/>
  <c r="F45" i="45" l="1"/>
  <c r="K44" i="45"/>
  <c r="G14" i="58"/>
  <c r="K13" i="58"/>
  <c r="K14" i="58" s="1"/>
  <c r="F14" i="58"/>
  <c r="J14" i="58"/>
  <c r="H14" i="58"/>
  <c r="K17" i="58"/>
  <c r="K20" i="58" s="1"/>
  <c r="F20" i="58"/>
  <c r="F8" i="48" s="1"/>
  <c r="I14" i="58"/>
  <c r="E13" i="11" l="1"/>
  <c r="F13" i="11"/>
  <c r="G13" i="11"/>
  <c r="H13" i="11"/>
  <c r="I13" i="11"/>
  <c r="D13" i="11"/>
  <c r="E10" i="11"/>
  <c r="F10" i="11"/>
  <c r="G10" i="11"/>
  <c r="H10" i="11"/>
  <c r="I10" i="11"/>
  <c r="D10" i="11"/>
  <c r="F14" i="50" l="1"/>
  <c r="F16" i="50" s="1"/>
  <c r="E14" i="50"/>
  <c r="E16" i="50" s="1"/>
  <c r="F19" i="50" l="1"/>
  <c r="E19" i="50"/>
  <c r="G14" i="50"/>
  <c r="G16" i="50" l="1"/>
  <c r="G19" i="50" s="1"/>
  <c r="H19" i="50" s="1"/>
  <c r="H21" i="50" s="1"/>
  <c r="E23" i="39" l="1"/>
  <c r="E25" i="22"/>
  <c r="E23" i="38"/>
  <c r="E23" i="36"/>
  <c r="E25" i="32"/>
  <c r="E25" i="21"/>
  <c r="E25" i="20"/>
  <c r="E25" i="16"/>
  <c r="E25" i="12"/>
  <c r="E25" i="29"/>
  <c r="E25" i="14"/>
  <c r="E25" i="34"/>
  <c r="E25" i="31"/>
  <c r="E25" i="33"/>
  <c r="E25" i="23"/>
  <c r="E25" i="28"/>
  <c r="E25" i="15"/>
  <c r="E23" i="41"/>
  <c r="E25" i="30"/>
  <c r="E25" i="5"/>
  <c r="E23" i="43"/>
  <c r="E25" i="26"/>
  <c r="E23" i="42"/>
  <c r="E25" i="25"/>
  <c r="E23" i="37"/>
  <c r="E23" i="40"/>
  <c r="E25" i="13"/>
  <c r="E25" i="18"/>
  <c r="E25" i="19"/>
  <c r="E25" i="27"/>
  <c r="E25" i="24"/>
  <c r="E25" i="17"/>
  <c r="C36" i="46"/>
  <c r="C37" i="46"/>
  <c r="C38" i="46"/>
  <c r="C39" i="46"/>
  <c r="C40" i="46"/>
  <c r="C41" i="46"/>
  <c r="C42" i="46"/>
  <c r="C43" i="46"/>
  <c r="B37" i="46"/>
  <c r="B38" i="46"/>
  <c r="B39" i="46"/>
  <c r="B40" i="46"/>
  <c r="B41" i="46"/>
  <c r="B42" i="46"/>
  <c r="B43" i="46"/>
  <c r="B36" i="46"/>
  <c r="C9" i="46"/>
  <c r="C10" i="46"/>
  <c r="C11" i="46"/>
  <c r="C12" i="46"/>
  <c r="C13" i="46"/>
  <c r="C14" i="46"/>
  <c r="C15" i="46"/>
  <c r="C16" i="46"/>
  <c r="C17" i="46"/>
  <c r="C18" i="46"/>
  <c r="C19" i="46"/>
  <c r="C20" i="46"/>
  <c r="C21" i="46"/>
  <c r="C22" i="46"/>
  <c r="C23" i="46"/>
  <c r="C24" i="46"/>
  <c r="C25" i="46"/>
  <c r="C26" i="46"/>
  <c r="C27" i="46"/>
  <c r="C28" i="46"/>
  <c r="C29" i="46"/>
  <c r="C30" i="46"/>
  <c r="C31" i="46"/>
  <c r="C32" i="46"/>
  <c r="B10" i="46"/>
  <c r="B11" i="46"/>
  <c r="B12" i="46"/>
  <c r="B13" i="46"/>
  <c r="B14" i="46"/>
  <c r="B15" i="46"/>
  <c r="B16" i="46"/>
  <c r="B17" i="46"/>
  <c r="B18" i="46"/>
  <c r="B19" i="46"/>
  <c r="B20" i="46"/>
  <c r="B21" i="46"/>
  <c r="B22" i="46"/>
  <c r="B23" i="46"/>
  <c r="B24" i="46"/>
  <c r="B25" i="46"/>
  <c r="B26" i="46"/>
  <c r="B27" i="46"/>
  <c r="B28" i="46"/>
  <c r="B29" i="46"/>
  <c r="B30" i="46"/>
  <c r="B31" i="46"/>
  <c r="B32" i="46"/>
  <c r="B9" i="46"/>
  <c r="C36" i="45"/>
  <c r="C37" i="45"/>
  <c r="C38" i="45"/>
  <c r="C39" i="45"/>
  <c r="C40" i="45"/>
  <c r="C41" i="45"/>
  <c r="C42" i="45"/>
  <c r="C43" i="45"/>
  <c r="B37" i="45"/>
  <c r="B38" i="45"/>
  <c r="B39" i="45"/>
  <c r="B40" i="45"/>
  <c r="B41" i="45"/>
  <c r="B42" i="45"/>
  <c r="B43" i="45"/>
  <c r="B36" i="45"/>
  <c r="B10" i="45"/>
  <c r="C10" i="45"/>
  <c r="B11" i="45"/>
  <c r="C11" i="45"/>
  <c r="B12" i="45"/>
  <c r="C12" i="45"/>
  <c r="B13" i="45"/>
  <c r="C13" i="45"/>
  <c r="B14" i="45"/>
  <c r="C14" i="45"/>
  <c r="B15" i="45"/>
  <c r="C15" i="45"/>
  <c r="B16" i="45"/>
  <c r="C16" i="45"/>
  <c r="B17" i="45"/>
  <c r="C17" i="45"/>
  <c r="B18" i="45"/>
  <c r="C18" i="45"/>
  <c r="B19" i="45"/>
  <c r="C19" i="45"/>
  <c r="B20" i="45"/>
  <c r="C20" i="45"/>
  <c r="B21" i="45"/>
  <c r="C21" i="45"/>
  <c r="B22" i="45"/>
  <c r="C22" i="45"/>
  <c r="B23" i="45"/>
  <c r="C23" i="45"/>
  <c r="B24" i="45"/>
  <c r="C24" i="45"/>
  <c r="B25" i="45"/>
  <c r="C25" i="45"/>
  <c r="B26" i="45"/>
  <c r="C26" i="45"/>
  <c r="B27" i="45"/>
  <c r="C27" i="45"/>
  <c r="B28" i="45"/>
  <c r="C28" i="45"/>
  <c r="B29" i="45"/>
  <c r="C29" i="45"/>
  <c r="B30" i="45"/>
  <c r="C30" i="45"/>
  <c r="B31" i="45"/>
  <c r="C31" i="45"/>
  <c r="B32" i="45"/>
  <c r="C32" i="45"/>
  <c r="C9" i="45"/>
  <c r="B9" i="45"/>
  <c r="B19" i="43"/>
  <c r="B18" i="43"/>
  <c r="B17" i="43"/>
  <c r="B19" i="42"/>
  <c r="B18" i="42"/>
  <c r="B17" i="42"/>
  <c r="B19" i="41"/>
  <c r="B18" i="41"/>
  <c r="B17" i="41"/>
  <c r="B19" i="40"/>
  <c r="B18" i="40"/>
  <c r="B17" i="40"/>
  <c r="B19" i="39"/>
  <c r="B18" i="39"/>
  <c r="B17" i="39"/>
  <c r="B19" i="38"/>
  <c r="B18" i="38"/>
  <c r="B17" i="38"/>
  <c r="B19" i="37"/>
  <c r="B18" i="37"/>
  <c r="B17" i="37"/>
  <c r="B19" i="36"/>
  <c r="B18" i="36"/>
  <c r="B17" i="36"/>
  <c r="B21" i="34"/>
  <c r="B20" i="34"/>
  <c r="B19" i="34"/>
  <c r="B21" i="33"/>
  <c r="B20" i="33"/>
  <c r="B19" i="33"/>
  <c r="B21" i="32"/>
  <c r="B20" i="32"/>
  <c r="B19" i="32"/>
  <c r="B21" i="31"/>
  <c r="B20" i="31"/>
  <c r="B19" i="31"/>
  <c r="B21" i="30"/>
  <c r="B20" i="30"/>
  <c r="B19" i="30"/>
  <c r="B21" i="29"/>
  <c r="B20" i="29"/>
  <c r="B19" i="29"/>
  <c r="B21" i="28"/>
  <c r="B20" i="28"/>
  <c r="B19" i="28"/>
  <c r="B21" i="27"/>
  <c r="B20" i="27"/>
  <c r="B19" i="27"/>
  <c r="H12" i="24"/>
  <c r="B21" i="26"/>
  <c r="B20" i="26"/>
  <c r="B19" i="26"/>
  <c r="B21" i="25"/>
  <c r="B20" i="25"/>
  <c r="B19" i="25"/>
  <c r="B21" i="24"/>
  <c r="B20" i="24"/>
  <c r="B19" i="24"/>
  <c r="B21" i="23"/>
  <c r="B20" i="23"/>
  <c r="B19" i="23"/>
  <c r="B21" i="22"/>
  <c r="B20" i="22"/>
  <c r="B19" i="22"/>
  <c r="B21" i="21"/>
  <c r="B20" i="21"/>
  <c r="B19" i="21"/>
  <c r="B21" i="20"/>
  <c r="B20" i="20"/>
  <c r="B19" i="20"/>
  <c r="B21" i="19"/>
  <c r="B20" i="19"/>
  <c r="B19" i="19"/>
  <c r="B21" i="18"/>
  <c r="B20" i="18"/>
  <c r="B19" i="18"/>
  <c r="B21" i="17"/>
  <c r="B20" i="17"/>
  <c r="B19" i="17"/>
  <c r="B21" i="16"/>
  <c r="B20" i="16"/>
  <c r="B19" i="16"/>
  <c r="B21" i="15"/>
  <c r="B20" i="15"/>
  <c r="B19" i="15"/>
  <c r="B21" i="14"/>
  <c r="B20" i="14"/>
  <c r="B19" i="14"/>
  <c r="B21" i="13"/>
  <c r="B20" i="13"/>
  <c r="B19" i="13"/>
  <c r="B21" i="12"/>
  <c r="B20" i="12"/>
  <c r="B19" i="12"/>
  <c r="E20" i="11"/>
  <c r="I18" i="11"/>
  <c r="H18" i="11"/>
  <c r="G18" i="11"/>
  <c r="F18" i="11"/>
  <c r="E18" i="11"/>
  <c r="D18" i="11"/>
  <c r="C16" i="20" l="1"/>
  <c r="J12" i="20"/>
  <c r="I13" i="22"/>
  <c r="I20" i="22" s="1"/>
  <c r="H13" i="25"/>
  <c r="H20" i="25" s="1"/>
  <c r="I13" i="29"/>
  <c r="J14" i="30"/>
  <c r="C16" i="30"/>
  <c r="H12" i="32"/>
  <c r="J13" i="34"/>
  <c r="C16" i="34"/>
  <c r="C14" i="37"/>
  <c r="F14" i="14"/>
  <c r="F14" i="15"/>
  <c r="H13" i="15"/>
  <c r="H20" i="15" s="1"/>
  <c r="C16" i="16"/>
  <c r="C16" i="19"/>
  <c r="F14" i="17"/>
  <c r="F13" i="27"/>
  <c r="J13" i="12"/>
  <c r="C16" i="12"/>
  <c r="H13" i="20"/>
  <c r="H20" i="20" s="1"/>
  <c r="H14" i="23"/>
  <c r="H12" i="30"/>
  <c r="H19" i="30" s="1"/>
  <c r="G12" i="33"/>
  <c r="C16" i="5"/>
  <c r="J12" i="14"/>
  <c r="J12" i="15"/>
  <c r="G13" i="16"/>
  <c r="F13" i="19"/>
  <c r="H12" i="19"/>
  <c r="I13" i="26"/>
  <c r="F14" i="28"/>
  <c r="H20" i="11"/>
  <c r="I12" i="16"/>
  <c r="J14" i="19"/>
  <c r="G13" i="17"/>
  <c r="H13" i="18"/>
  <c r="F20" i="11"/>
  <c r="D20" i="11"/>
  <c r="I13" i="12"/>
  <c r="F14" i="16"/>
  <c r="H12" i="22"/>
  <c r="C16" i="24"/>
  <c r="F14" i="26"/>
  <c r="J13" i="28"/>
  <c r="C16" i="28"/>
  <c r="H12" i="12"/>
  <c r="J14" i="18"/>
  <c r="H12" i="27"/>
  <c r="I20" i="11"/>
  <c r="I13" i="14"/>
  <c r="I20" i="14" s="1"/>
  <c r="G12" i="15"/>
  <c r="F12" i="20"/>
  <c r="G12" i="20"/>
  <c r="J14" i="22"/>
  <c r="H13" i="33"/>
  <c r="H20" i="33" s="1"/>
  <c r="C16" i="29"/>
  <c r="F14" i="30"/>
  <c r="F12" i="31"/>
  <c r="H13" i="31"/>
  <c r="C16" i="32"/>
  <c r="C16" i="33"/>
  <c r="F14" i="34"/>
  <c r="C14" i="38"/>
  <c r="C14" i="40"/>
  <c r="C14" i="42"/>
  <c r="I20" i="12"/>
  <c r="J12" i="21"/>
  <c r="J14" i="33"/>
  <c r="G20" i="11"/>
  <c r="C16" i="13"/>
  <c r="C16" i="14"/>
  <c r="C16" i="15"/>
  <c r="C16" i="21"/>
  <c r="J14" i="23"/>
  <c r="C16" i="23"/>
  <c r="C16" i="27"/>
  <c r="C14" i="36"/>
  <c r="C14" i="39"/>
  <c r="I13" i="15"/>
  <c r="I13" i="23"/>
  <c r="I13" i="19"/>
  <c r="C16" i="17"/>
  <c r="F12" i="18"/>
  <c r="I13" i="28"/>
  <c r="H13" i="16"/>
  <c r="J14" i="16"/>
  <c r="I13" i="17"/>
  <c r="I20" i="17" s="1"/>
  <c r="C16" i="18"/>
  <c r="C16" i="22"/>
  <c r="C16" i="25"/>
  <c r="C16" i="26"/>
  <c r="C16" i="31"/>
  <c r="C14" i="41"/>
  <c r="C14" i="43"/>
  <c r="I13" i="34"/>
  <c r="I20" i="34" s="1"/>
  <c r="H12" i="33"/>
  <c r="I13" i="32"/>
  <c r="I14" i="32"/>
  <c r="I13" i="31"/>
  <c r="J14" i="31"/>
  <c r="I13" i="30"/>
  <c r="I20" i="30" s="1"/>
  <c r="G13" i="34"/>
  <c r="G20" i="34" s="1"/>
  <c r="H13" i="34"/>
  <c r="H14" i="34"/>
  <c r="H12" i="34"/>
  <c r="I12" i="34"/>
  <c r="G14" i="34"/>
  <c r="G12" i="34"/>
  <c r="I14" i="34"/>
  <c r="F13" i="33"/>
  <c r="I13" i="33"/>
  <c r="F12" i="33"/>
  <c r="H14" i="33"/>
  <c r="I14" i="33"/>
  <c r="I12" i="33"/>
  <c r="F14" i="33"/>
  <c r="G13" i="32"/>
  <c r="G14" i="32"/>
  <c r="G12" i="32"/>
  <c r="F14" i="32"/>
  <c r="F12" i="32"/>
  <c r="J14" i="32"/>
  <c r="J12" i="32"/>
  <c r="I12" i="32"/>
  <c r="F13" i="32"/>
  <c r="J13" i="32"/>
  <c r="G13" i="31"/>
  <c r="G20" i="31" s="1"/>
  <c r="G14" i="31"/>
  <c r="J12" i="31"/>
  <c r="J13" i="31"/>
  <c r="I12" i="31"/>
  <c r="G12" i="31"/>
  <c r="I14" i="31"/>
  <c r="G13" i="30"/>
  <c r="G20" i="30" s="1"/>
  <c r="I12" i="30"/>
  <c r="I19" i="30" s="1"/>
  <c r="G14" i="30"/>
  <c r="G12" i="30"/>
  <c r="G19" i="30" s="1"/>
  <c r="I14" i="30"/>
  <c r="I13" i="27"/>
  <c r="J14" i="26"/>
  <c r="G13" i="29"/>
  <c r="H14" i="29"/>
  <c r="H12" i="29"/>
  <c r="F12" i="29"/>
  <c r="I12" i="29"/>
  <c r="F13" i="29"/>
  <c r="G14" i="29"/>
  <c r="G12" i="29"/>
  <c r="H13" i="29"/>
  <c r="H20" i="29" s="1"/>
  <c r="I14" i="29"/>
  <c r="F14" i="29"/>
  <c r="G13" i="28"/>
  <c r="G12" i="28"/>
  <c r="H12" i="28"/>
  <c r="H14" i="28"/>
  <c r="G14" i="28"/>
  <c r="H13" i="28"/>
  <c r="G13" i="27"/>
  <c r="I12" i="27"/>
  <c r="G14" i="27"/>
  <c r="G12" i="27"/>
  <c r="I14" i="27"/>
  <c r="I13" i="21"/>
  <c r="G13" i="26"/>
  <c r="H12" i="26"/>
  <c r="H14" i="26"/>
  <c r="J12" i="26"/>
  <c r="J13" i="26"/>
  <c r="G14" i="26"/>
  <c r="G12" i="26"/>
  <c r="H13" i="26"/>
  <c r="F12" i="25"/>
  <c r="F19" i="25" s="1"/>
  <c r="J12" i="25"/>
  <c r="J19" i="25" s="1"/>
  <c r="J14" i="25"/>
  <c r="G12" i="25"/>
  <c r="G19" i="25" s="1"/>
  <c r="G13" i="25"/>
  <c r="G20" i="25" s="1"/>
  <c r="I13" i="25"/>
  <c r="I20" i="25" s="1"/>
  <c r="I12" i="25"/>
  <c r="I19" i="25" s="1"/>
  <c r="F13" i="25"/>
  <c r="F20" i="25" s="1"/>
  <c r="J13" i="25"/>
  <c r="J20" i="25" s="1"/>
  <c r="G14" i="25"/>
  <c r="I14" i="25"/>
  <c r="F14" i="25"/>
  <c r="G14" i="24"/>
  <c r="J14" i="24"/>
  <c r="F13" i="24"/>
  <c r="J13" i="24"/>
  <c r="I13" i="24"/>
  <c r="F12" i="24"/>
  <c r="J12" i="24"/>
  <c r="G13" i="24"/>
  <c r="H14" i="24"/>
  <c r="G12" i="24"/>
  <c r="H13" i="24"/>
  <c r="I14" i="24"/>
  <c r="I12" i="24"/>
  <c r="F14" i="24"/>
  <c r="G13" i="23"/>
  <c r="G14" i="23"/>
  <c r="F12" i="23"/>
  <c r="F13" i="23"/>
  <c r="J13" i="23"/>
  <c r="G12" i="23"/>
  <c r="F14" i="23"/>
  <c r="F12" i="22"/>
  <c r="G13" i="22"/>
  <c r="G20" i="22" s="1"/>
  <c r="F13" i="22"/>
  <c r="G14" i="22"/>
  <c r="G12" i="22"/>
  <c r="F14" i="22"/>
  <c r="I13" i="18"/>
  <c r="H12" i="16"/>
  <c r="G13" i="21"/>
  <c r="H14" i="21"/>
  <c r="H12" i="21"/>
  <c r="F12" i="21"/>
  <c r="I12" i="21"/>
  <c r="F13" i="21"/>
  <c r="G14" i="21"/>
  <c r="G12" i="21"/>
  <c r="H13" i="21"/>
  <c r="I14" i="21"/>
  <c r="F14" i="21"/>
  <c r="J14" i="20"/>
  <c r="G13" i="19"/>
  <c r="G14" i="19"/>
  <c r="I12" i="19"/>
  <c r="G12" i="19"/>
  <c r="H13" i="19"/>
  <c r="I14" i="19"/>
  <c r="G12" i="18"/>
  <c r="G13" i="18"/>
  <c r="I12" i="18"/>
  <c r="G14" i="18"/>
  <c r="I14" i="18"/>
  <c r="H12" i="17"/>
  <c r="H14" i="17"/>
  <c r="F12" i="17"/>
  <c r="J14" i="17"/>
  <c r="J12" i="17"/>
  <c r="F13" i="17"/>
  <c r="J13" i="17"/>
  <c r="H13" i="17"/>
  <c r="J13" i="16"/>
  <c r="J12" i="16"/>
  <c r="H14" i="16"/>
  <c r="F13" i="12"/>
  <c r="G12" i="14"/>
  <c r="G14" i="14"/>
  <c r="G13" i="14"/>
  <c r="G20" i="14" s="1"/>
  <c r="I14" i="13"/>
  <c r="H12" i="13"/>
  <c r="J14" i="13"/>
  <c r="I13" i="13"/>
  <c r="J13" i="13"/>
  <c r="F12" i="13"/>
  <c r="J12" i="13"/>
  <c r="G13" i="13"/>
  <c r="H14" i="13"/>
  <c r="I12" i="13"/>
  <c r="G14" i="13"/>
  <c r="G12" i="13"/>
  <c r="H13" i="13"/>
  <c r="H20" i="13" s="1"/>
  <c r="G13" i="12"/>
  <c r="G20" i="12" s="1"/>
  <c r="G14" i="12"/>
  <c r="I12" i="12"/>
  <c r="G12" i="12"/>
  <c r="I14" i="12"/>
  <c r="G21" i="11"/>
  <c r="E21" i="11"/>
  <c r="D21" i="11"/>
  <c r="I21" i="11"/>
  <c r="I19" i="11"/>
  <c r="F19" i="11"/>
  <c r="H21" i="11"/>
  <c r="D19" i="11"/>
  <c r="H19" i="11"/>
  <c r="F21" i="11"/>
  <c r="G19" i="11"/>
  <c r="E19" i="11"/>
  <c r="I12" i="14" l="1"/>
  <c r="I19" i="14" s="1"/>
  <c r="G14" i="17"/>
  <c r="F12" i="19"/>
  <c r="F13" i="30"/>
  <c r="F20" i="30" s="1"/>
  <c r="H13" i="12"/>
  <c r="H20" i="12" s="1"/>
  <c r="F13" i="15"/>
  <c r="F12" i="28"/>
  <c r="F19" i="28" s="1"/>
  <c r="J13" i="18"/>
  <c r="J20" i="18" s="1"/>
  <c r="F12" i="30"/>
  <c r="F19" i="30" s="1"/>
  <c r="F13" i="13"/>
  <c r="K13" i="13" s="1"/>
  <c r="F14" i="13"/>
  <c r="K14" i="13" s="1"/>
  <c r="G12" i="17"/>
  <c r="G15" i="17" s="1"/>
  <c r="J13" i="20"/>
  <c r="J15" i="20" s="1"/>
  <c r="J12" i="22"/>
  <c r="J19" i="22" s="1"/>
  <c r="F13" i="28"/>
  <c r="F12" i="15"/>
  <c r="F19" i="15" s="1"/>
  <c r="H14" i="12"/>
  <c r="H15" i="12" s="1"/>
  <c r="H14" i="20"/>
  <c r="H21" i="20" s="1"/>
  <c r="H12" i="20"/>
  <c r="H19" i="20" s="1"/>
  <c r="J13" i="22"/>
  <c r="J20" i="22" s="1"/>
  <c r="J13" i="30"/>
  <c r="J20" i="30" s="1"/>
  <c r="J12" i="30"/>
  <c r="J19" i="30" s="1"/>
  <c r="I14" i="14"/>
  <c r="I21" i="14" s="1"/>
  <c r="F14" i="19"/>
  <c r="F21" i="19" s="1"/>
  <c r="H12" i="31"/>
  <c r="K12" i="31" s="1"/>
  <c r="H14" i="32"/>
  <c r="K14" i="32" s="1"/>
  <c r="H14" i="22"/>
  <c r="H21" i="22" s="1"/>
  <c r="G12" i="16"/>
  <c r="G19" i="16" s="1"/>
  <c r="I14" i="28"/>
  <c r="I21" i="28" s="1"/>
  <c r="J14" i="34"/>
  <c r="J21" i="34" s="1"/>
  <c r="I13" i="16"/>
  <c r="I20" i="16" s="1"/>
  <c r="H14" i="27"/>
  <c r="H21" i="27" s="1"/>
  <c r="F12" i="12"/>
  <c r="J13" i="14"/>
  <c r="J14" i="14"/>
  <c r="J21" i="14" s="1"/>
  <c r="H14" i="19"/>
  <c r="H21" i="19" s="1"/>
  <c r="H13" i="23"/>
  <c r="K13" i="23" s="1"/>
  <c r="J12" i="23"/>
  <c r="J19" i="23" s="1"/>
  <c r="F14" i="12"/>
  <c r="H14" i="15"/>
  <c r="H21" i="15" s="1"/>
  <c r="J12" i="18"/>
  <c r="F14" i="27"/>
  <c r="F21" i="27" s="1"/>
  <c r="H12" i="15"/>
  <c r="H12" i="18"/>
  <c r="H19" i="18" s="1"/>
  <c r="I14" i="22"/>
  <c r="F12" i="27"/>
  <c r="F19" i="27" s="1"/>
  <c r="J14" i="15"/>
  <c r="J21" i="15" s="1"/>
  <c r="I14" i="17"/>
  <c r="I21" i="17" s="1"/>
  <c r="H12" i="25"/>
  <c r="H13" i="30"/>
  <c r="H20" i="30" s="1"/>
  <c r="J13" i="15"/>
  <c r="J20" i="15" s="1"/>
  <c r="I12" i="17"/>
  <c r="I19" i="17" s="1"/>
  <c r="H13" i="27"/>
  <c r="H20" i="27" s="1"/>
  <c r="J13" i="29"/>
  <c r="J20" i="29" s="1"/>
  <c r="J12" i="29"/>
  <c r="J19" i="29" s="1"/>
  <c r="F14" i="18"/>
  <c r="F21" i="18" s="1"/>
  <c r="F13" i="18"/>
  <c r="I12" i="22"/>
  <c r="I19" i="22" s="1"/>
  <c r="H12" i="23"/>
  <c r="H19" i="23" s="1"/>
  <c r="G13" i="33"/>
  <c r="G14" i="33"/>
  <c r="G21" i="33" s="1"/>
  <c r="I20" i="29"/>
  <c r="G14" i="20"/>
  <c r="G21" i="20" s="1"/>
  <c r="J12" i="34"/>
  <c r="J19" i="34" s="1"/>
  <c r="J12" i="12"/>
  <c r="F13" i="14"/>
  <c r="F20" i="14" s="1"/>
  <c r="J14" i="12"/>
  <c r="J21" i="12" s="1"/>
  <c r="I14" i="16"/>
  <c r="I21" i="16" s="1"/>
  <c r="F12" i="16"/>
  <c r="K12" i="16" s="1"/>
  <c r="F14" i="20"/>
  <c r="F21" i="20" s="1"/>
  <c r="F13" i="20"/>
  <c r="F20" i="20" s="1"/>
  <c r="H14" i="25"/>
  <c r="H21" i="25" s="1"/>
  <c r="I14" i="26"/>
  <c r="I21" i="26" s="1"/>
  <c r="J12" i="28"/>
  <c r="J14" i="28"/>
  <c r="J21" i="28" s="1"/>
  <c r="H14" i="31"/>
  <c r="H21" i="31" s="1"/>
  <c r="H13" i="32"/>
  <c r="H20" i="32" s="1"/>
  <c r="J14" i="29"/>
  <c r="J21" i="29" s="1"/>
  <c r="F12" i="14"/>
  <c r="F19" i="14" s="1"/>
  <c r="F13" i="16"/>
  <c r="I14" i="15"/>
  <c r="I21" i="15" s="1"/>
  <c r="I12" i="15"/>
  <c r="I19" i="15" s="1"/>
  <c r="I12" i="26"/>
  <c r="I19" i="26" s="1"/>
  <c r="H14" i="30"/>
  <c r="H21" i="30" s="1"/>
  <c r="G20" i="27"/>
  <c r="G20" i="29"/>
  <c r="G20" i="18"/>
  <c r="I20" i="13"/>
  <c r="I20" i="21"/>
  <c r="I20" i="27"/>
  <c r="I20" i="31"/>
  <c r="I20" i="24"/>
  <c r="I20" i="26"/>
  <c r="I20" i="32"/>
  <c r="I20" i="28"/>
  <c r="I20" i="15"/>
  <c r="G20" i="16"/>
  <c r="I20" i="19"/>
  <c r="G20" i="19"/>
  <c r="G20" i="21"/>
  <c r="G20" i="23"/>
  <c r="G20" i="28"/>
  <c r="J20" i="32"/>
  <c r="G20" i="13"/>
  <c r="G20" i="17"/>
  <c r="I20" i="18"/>
  <c r="G20" i="24"/>
  <c r="G20" i="26"/>
  <c r="G20" i="32"/>
  <c r="I20" i="33"/>
  <c r="I20" i="23"/>
  <c r="J21" i="16"/>
  <c r="G14" i="16"/>
  <c r="J13" i="19"/>
  <c r="J20" i="19" s="1"/>
  <c r="J12" i="19"/>
  <c r="J19" i="19" s="1"/>
  <c r="G13" i="20"/>
  <c r="G20" i="20" s="1"/>
  <c r="G21" i="24"/>
  <c r="I21" i="27"/>
  <c r="J13" i="27"/>
  <c r="J20" i="27" s="1"/>
  <c r="J12" i="27"/>
  <c r="J19" i="27" s="1"/>
  <c r="I21" i="29"/>
  <c r="J14" i="27"/>
  <c r="J21" i="27" s="1"/>
  <c r="I21" i="30"/>
  <c r="J21" i="30"/>
  <c r="H13" i="14"/>
  <c r="H20" i="14" s="1"/>
  <c r="J21" i="17"/>
  <c r="I21" i="19"/>
  <c r="G21" i="19"/>
  <c r="G21" i="21"/>
  <c r="H19" i="16"/>
  <c r="J21" i="23"/>
  <c r="J21" i="13"/>
  <c r="I21" i="13"/>
  <c r="H14" i="14"/>
  <c r="H21" i="14" s="1"/>
  <c r="H12" i="14"/>
  <c r="H19" i="14" s="1"/>
  <c r="H13" i="22"/>
  <c r="H20" i="22" s="1"/>
  <c r="H21" i="12"/>
  <c r="H21" i="16"/>
  <c r="G21" i="22"/>
  <c r="J21" i="22"/>
  <c r="H21" i="23"/>
  <c r="I21" i="24"/>
  <c r="J21" i="24"/>
  <c r="G21" i="25"/>
  <c r="G21" i="27"/>
  <c r="H21" i="28"/>
  <c r="G21" i="29"/>
  <c r="J21" i="26"/>
  <c r="G21" i="30"/>
  <c r="I21" i="31"/>
  <c r="H21" i="33"/>
  <c r="J21" i="31"/>
  <c r="H19" i="33"/>
  <c r="J21" i="33"/>
  <c r="H21" i="17"/>
  <c r="H21" i="29"/>
  <c r="G21" i="34"/>
  <c r="H21" i="13"/>
  <c r="I21" i="18"/>
  <c r="J21" i="20"/>
  <c r="I21" i="21"/>
  <c r="J21" i="19"/>
  <c r="G21" i="23"/>
  <c r="G21" i="26"/>
  <c r="G21" i="28"/>
  <c r="G21" i="31"/>
  <c r="J21" i="32"/>
  <c r="I21" i="33"/>
  <c r="I21" i="32"/>
  <c r="G21" i="32"/>
  <c r="I21" i="12"/>
  <c r="G21" i="12"/>
  <c r="G21" i="13"/>
  <c r="G21" i="14"/>
  <c r="G21" i="17"/>
  <c r="G21" i="18"/>
  <c r="H21" i="21"/>
  <c r="H21" i="24"/>
  <c r="H19" i="24"/>
  <c r="I21" i="25"/>
  <c r="J21" i="25"/>
  <c r="H21" i="26"/>
  <c r="I21" i="34"/>
  <c r="H21" i="34"/>
  <c r="J21" i="18"/>
  <c r="J20" i="13"/>
  <c r="J20" i="34"/>
  <c r="J20" i="23"/>
  <c r="J20" i="26"/>
  <c r="J20" i="28"/>
  <c r="H20" i="18"/>
  <c r="J20" i="12"/>
  <c r="J20" i="16"/>
  <c r="J20" i="17"/>
  <c r="J20" i="24"/>
  <c r="J20" i="31"/>
  <c r="G13" i="15"/>
  <c r="G20" i="15" s="1"/>
  <c r="H14" i="18"/>
  <c r="H21" i="18" s="1"/>
  <c r="H20" i="19"/>
  <c r="H20" i="24"/>
  <c r="H20" i="26"/>
  <c r="F13" i="26"/>
  <c r="F20" i="26" s="1"/>
  <c r="F12" i="26"/>
  <c r="F19" i="26" s="1"/>
  <c r="H20" i="28"/>
  <c r="I12" i="28"/>
  <c r="F13" i="34"/>
  <c r="F20" i="34" s="1"/>
  <c r="F12" i="34"/>
  <c r="H20" i="34"/>
  <c r="G14" i="15"/>
  <c r="G21" i="15" s="1"/>
  <c r="H20" i="17"/>
  <c r="H20" i="21"/>
  <c r="F13" i="31"/>
  <c r="K13" i="31" s="1"/>
  <c r="F14" i="31"/>
  <c r="F21" i="31" s="1"/>
  <c r="H20" i="31"/>
  <c r="H20" i="16"/>
  <c r="I13" i="20"/>
  <c r="I20" i="20" s="1"/>
  <c r="J13" i="21"/>
  <c r="J20" i="21" s="1"/>
  <c r="I12" i="20"/>
  <c r="J13" i="33"/>
  <c r="J20" i="33" s="1"/>
  <c r="I14" i="20"/>
  <c r="I21" i="20" s="1"/>
  <c r="I14" i="23"/>
  <c r="I21" i="23" s="1"/>
  <c r="I12" i="23"/>
  <c r="I19" i="23" s="1"/>
  <c r="J14" i="21"/>
  <c r="J21" i="21" s="1"/>
  <c r="J12" i="33"/>
  <c r="F21" i="34"/>
  <c r="H15" i="34"/>
  <c r="H19" i="34"/>
  <c r="G19" i="34"/>
  <c r="G15" i="34"/>
  <c r="I19" i="34"/>
  <c r="I15" i="34"/>
  <c r="I19" i="33"/>
  <c r="I15" i="33"/>
  <c r="F19" i="33"/>
  <c r="F15" i="33"/>
  <c r="F20" i="33"/>
  <c r="H15" i="33"/>
  <c r="F21" i="33"/>
  <c r="G19" i="33"/>
  <c r="F19" i="32"/>
  <c r="K12" i="32"/>
  <c r="F15" i="32"/>
  <c r="G19" i="32"/>
  <c r="G15" i="32"/>
  <c r="H19" i="32"/>
  <c r="J19" i="32"/>
  <c r="J15" i="32"/>
  <c r="F20" i="32"/>
  <c r="F21" i="32"/>
  <c r="I19" i="32"/>
  <c r="I15" i="32"/>
  <c r="F19" i="31"/>
  <c r="G19" i="31"/>
  <c r="G15" i="31"/>
  <c r="J19" i="31"/>
  <c r="J15" i="31"/>
  <c r="I19" i="31"/>
  <c r="I15" i="31"/>
  <c r="G15" i="30"/>
  <c r="I15" i="30"/>
  <c r="F21" i="30"/>
  <c r="F21" i="29"/>
  <c r="F20" i="29"/>
  <c r="H15" i="29"/>
  <c r="H19" i="29"/>
  <c r="G19" i="29"/>
  <c r="G15" i="29"/>
  <c r="I19" i="29"/>
  <c r="I15" i="29"/>
  <c r="F19" i="29"/>
  <c r="F15" i="29"/>
  <c r="F21" i="28"/>
  <c r="G19" i="28"/>
  <c r="G15" i="28"/>
  <c r="H15" i="28"/>
  <c r="H19" i="28"/>
  <c r="F20" i="27"/>
  <c r="H19" i="27"/>
  <c r="G19" i="27"/>
  <c r="G15" i="27"/>
  <c r="I19" i="27"/>
  <c r="I15" i="27"/>
  <c r="F21" i="26"/>
  <c r="H15" i="26"/>
  <c r="H19" i="26"/>
  <c r="J19" i="26"/>
  <c r="J15" i="26"/>
  <c r="G19" i="26"/>
  <c r="G15" i="26"/>
  <c r="G15" i="25"/>
  <c r="F15" i="25"/>
  <c r="F21" i="25"/>
  <c r="K13" i="25"/>
  <c r="I15" i="25"/>
  <c r="J15" i="25"/>
  <c r="F21" i="24"/>
  <c r="K14" i="24"/>
  <c r="J19" i="24"/>
  <c r="J15" i="24"/>
  <c r="I15" i="24"/>
  <c r="I19" i="24"/>
  <c r="G19" i="24"/>
  <c r="G15" i="24"/>
  <c r="F19" i="24"/>
  <c r="K12" i="24"/>
  <c r="F15" i="24"/>
  <c r="F20" i="24"/>
  <c r="K13" i="24"/>
  <c r="H15" i="24"/>
  <c r="F20" i="23"/>
  <c r="G19" i="23"/>
  <c r="G15" i="23"/>
  <c r="F19" i="23"/>
  <c r="F15" i="23"/>
  <c r="F21" i="23"/>
  <c r="F19" i="22"/>
  <c r="F15" i="22"/>
  <c r="F20" i="22"/>
  <c r="G19" i="22"/>
  <c r="G15" i="22"/>
  <c r="H19" i="22"/>
  <c r="F21" i="22"/>
  <c r="H15" i="16"/>
  <c r="F21" i="21"/>
  <c r="J19" i="21"/>
  <c r="F20" i="21"/>
  <c r="H15" i="21"/>
  <c r="H19" i="21"/>
  <c r="G19" i="21"/>
  <c r="G15" i="21"/>
  <c r="I19" i="21"/>
  <c r="I15" i="21"/>
  <c r="F19" i="21"/>
  <c r="K12" i="21"/>
  <c r="F15" i="21"/>
  <c r="J19" i="20"/>
  <c r="G19" i="20"/>
  <c r="F19" i="20"/>
  <c r="F20" i="19"/>
  <c r="I19" i="19"/>
  <c r="I15" i="19"/>
  <c r="F19" i="19"/>
  <c r="G19" i="19"/>
  <c r="G15" i="19"/>
  <c r="H19" i="19"/>
  <c r="I15" i="18"/>
  <c r="I19" i="18"/>
  <c r="F19" i="18"/>
  <c r="G19" i="18"/>
  <c r="G15" i="18"/>
  <c r="J19" i="17"/>
  <c r="J15" i="17"/>
  <c r="F19" i="17"/>
  <c r="F15" i="17"/>
  <c r="F20" i="17"/>
  <c r="K13" i="17"/>
  <c r="F21" i="17"/>
  <c r="K14" i="17"/>
  <c r="H15" i="17"/>
  <c r="H19" i="17"/>
  <c r="J19" i="16"/>
  <c r="J15" i="16"/>
  <c r="I19" i="16"/>
  <c r="F21" i="16"/>
  <c r="F20" i="15"/>
  <c r="J19" i="15"/>
  <c r="G19" i="15"/>
  <c r="F21" i="15"/>
  <c r="F21" i="14"/>
  <c r="G19" i="14"/>
  <c r="G15" i="14"/>
  <c r="J19" i="14"/>
  <c r="I15" i="13"/>
  <c r="I19" i="13"/>
  <c r="J19" i="13"/>
  <c r="J15" i="13"/>
  <c r="F19" i="13"/>
  <c r="K12" i="13"/>
  <c r="G19" i="13"/>
  <c r="G15" i="13"/>
  <c r="H15" i="13"/>
  <c r="H19" i="13"/>
  <c r="F20" i="12"/>
  <c r="K13" i="12"/>
  <c r="H19" i="12"/>
  <c r="G19" i="12"/>
  <c r="G15" i="12"/>
  <c r="F19" i="12"/>
  <c r="I19" i="12"/>
  <c r="I15" i="12"/>
  <c r="K12" i="25" l="1"/>
  <c r="H19" i="25"/>
  <c r="F15" i="19"/>
  <c r="F15" i="28"/>
  <c r="F15" i="30"/>
  <c r="K13" i="18"/>
  <c r="K12" i="15"/>
  <c r="K12" i="30"/>
  <c r="F20" i="28"/>
  <c r="G22" i="12"/>
  <c r="F20" i="13"/>
  <c r="F15" i="13"/>
  <c r="F10" i="45" s="1"/>
  <c r="H21" i="32"/>
  <c r="K12" i="22"/>
  <c r="I15" i="14"/>
  <c r="H15" i="20"/>
  <c r="H18" i="45" s="1"/>
  <c r="K13" i="28"/>
  <c r="F21" i="13"/>
  <c r="G15" i="15"/>
  <c r="J15" i="23"/>
  <c r="J21" i="45" s="1"/>
  <c r="K12" i="20"/>
  <c r="K12" i="12"/>
  <c r="H15" i="32"/>
  <c r="I15" i="28"/>
  <c r="H22" i="12"/>
  <c r="I15" i="17"/>
  <c r="I16" i="45" s="1"/>
  <c r="K14" i="19"/>
  <c r="H19" i="31"/>
  <c r="K19" i="31" s="1"/>
  <c r="J20" i="20"/>
  <c r="K20" i="20" s="1"/>
  <c r="H15" i="15"/>
  <c r="K14" i="12"/>
  <c r="K12" i="17"/>
  <c r="K15" i="17" s="1"/>
  <c r="K16" i="17" s="1"/>
  <c r="H15" i="19"/>
  <c r="H16" i="19" s="1"/>
  <c r="J15" i="30"/>
  <c r="J28" i="45" s="1"/>
  <c r="F19" i="16"/>
  <c r="K19" i="16" s="1"/>
  <c r="F15" i="15"/>
  <c r="F16" i="15" s="1"/>
  <c r="K13" i="15"/>
  <c r="J15" i="22"/>
  <c r="J16" i="22" s="1"/>
  <c r="F20" i="31"/>
  <c r="G19" i="17"/>
  <c r="G22" i="17" s="1"/>
  <c r="F15" i="26"/>
  <c r="F16" i="26" s="1"/>
  <c r="F15" i="12"/>
  <c r="F11" i="45" s="1"/>
  <c r="J19" i="12"/>
  <c r="J22" i="12" s="1"/>
  <c r="H19" i="15"/>
  <c r="H22" i="15" s="1"/>
  <c r="J15" i="14"/>
  <c r="J16" i="14" s="1"/>
  <c r="F21" i="12"/>
  <c r="K21" i="12" s="1"/>
  <c r="I15" i="16"/>
  <c r="I16" i="16" s="1"/>
  <c r="J15" i="15"/>
  <c r="J13" i="45" s="1"/>
  <c r="K14" i="25"/>
  <c r="K14" i="29"/>
  <c r="G22" i="34"/>
  <c r="K13" i="29"/>
  <c r="K21" i="29"/>
  <c r="J15" i="29"/>
  <c r="J16" i="29" s="1"/>
  <c r="K14" i="14"/>
  <c r="F20" i="18"/>
  <c r="F22" i="18" s="1"/>
  <c r="I19" i="20"/>
  <c r="I22" i="20" s="1"/>
  <c r="K13" i="26"/>
  <c r="K13" i="30"/>
  <c r="K14" i="33"/>
  <c r="K14" i="34"/>
  <c r="J20" i="14"/>
  <c r="K20" i="14" s="1"/>
  <c r="J15" i="12"/>
  <c r="J11" i="45" s="1"/>
  <c r="I15" i="15"/>
  <c r="I13" i="45" s="1"/>
  <c r="K13" i="19"/>
  <c r="F15" i="27"/>
  <c r="F25" i="45" s="1"/>
  <c r="J15" i="34"/>
  <c r="J16" i="34" s="1"/>
  <c r="G22" i="27"/>
  <c r="K14" i="28"/>
  <c r="J22" i="29"/>
  <c r="K12" i="34"/>
  <c r="H15" i="27"/>
  <c r="H25" i="45" s="1"/>
  <c r="K12" i="27"/>
  <c r="K14" i="26"/>
  <c r="K12" i="29"/>
  <c r="I22" i="16"/>
  <c r="K12" i="26"/>
  <c r="K14" i="15"/>
  <c r="K14" i="16"/>
  <c r="K14" i="21"/>
  <c r="K13" i="16"/>
  <c r="G15" i="33"/>
  <c r="G16" i="33" s="1"/>
  <c r="F15" i="18"/>
  <c r="F17" i="45" s="1"/>
  <c r="I15" i="22"/>
  <c r="I16" i="22" s="1"/>
  <c r="K12" i="18"/>
  <c r="J15" i="18"/>
  <c r="J16" i="18" s="1"/>
  <c r="K12" i="19"/>
  <c r="J15" i="19"/>
  <c r="J15" i="45" s="1"/>
  <c r="G15" i="20"/>
  <c r="G18" i="45" s="1"/>
  <c r="K13" i="22"/>
  <c r="H15" i="25"/>
  <c r="H20" i="23"/>
  <c r="H22" i="23" s="1"/>
  <c r="I21" i="22"/>
  <c r="I22" i="22" s="1"/>
  <c r="G20" i="33"/>
  <c r="K20" i="33" s="1"/>
  <c r="H15" i="23"/>
  <c r="H21" i="45" s="1"/>
  <c r="J19" i="18"/>
  <c r="J22" i="18" s="1"/>
  <c r="H15" i="22"/>
  <c r="H16" i="22" s="1"/>
  <c r="K21" i="27"/>
  <c r="K14" i="30"/>
  <c r="I22" i="13"/>
  <c r="K14" i="22"/>
  <c r="K13" i="27"/>
  <c r="H22" i="20"/>
  <c r="J15" i="28"/>
  <c r="J26" i="45" s="1"/>
  <c r="K13" i="33"/>
  <c r="I22" i="14"/>
  <c r="G22" i="14"/>
  <c r="G15" i="16"/>
  <c r="G14" i="45" s="1"/>
  <c r="K12" i="14"/>
  <c r="K21" i="15"/>
  <c r="K13" i="21"/>
  <c r="I15" i="26"/>
  <c r="I16" i="26" s="1"/>
  <c r="I22" i="29"/>
  <c r="J15" i="33"/>
  <c r="J31" i="45" s="1"/>
  <c r="G21" i="16"/>
  <c r="K21" i="16" s="1"/>
  <c r="G22" i="22"/>
  <c r="H15" i="31"/>
  <c r="H16" i="31" s="1"/>
  <c r="H15" i="14"/>
  <c r="H16" i="14" s="1"/>
  <c r="K21" i="20"/>
  <c r="F15" i="14"/>
  <c r="F12" i="45" s="1"/>
  <c r="K13" i="14"/>
  <c r="F15" i="16"/>
  <c r="F14" i="45" s="1"/>
  <c r="F20" i="16"/>
  <c r="F22" i="16" s="1"/>
  <c r="K21" i="19"/>
  <c r="K14" i="27"/>
  <c r="J19" i="28"/>
  <c r="J22" i="28" s="1"/>
  <c r="K13" i="32"/>
  <c r="K15" i="32" s="1"/>
  <c r="K16" i="32" s="1"/>
  <c r="K12" i="28"/>
  <c r="F15" i="20"/>
  <c r="F18" i="45" s="1"/>
  <c r="J22" i="25"/>
  <c r="J15" i="27"/>
  <c r="J25" i="45" s="1"/>
  <c r="H15" i="30"/>
  <c r="H16" i="30" s="1"/>
  <c r="H22" i="30"/>
  <c r="G22" i="19"/>
  <c r="K13" i="20"/>
  <c r="K14" i="23"/>
  <c r="J22" i="27"/>
  <c r="K12" i="33"/>
  <c r="H22" i="33"/>
  <c r="K20" i="12"/>
  <c r="G22" i="20"/>
  <c r="I22" i="21"/>
  <c r="J22" i="22"/>
  <c r="G22" i="29"/>
  <c r="K20" i="29"/>
  <c r="G22" i="21"/>
  <c r="I22" i="27"/>
  <c r="I22" i="30"/>
  <c r="H22" i="17"/>
  <c r="G22" i="18"/>
  <c r="H22" i="32"/>
  <c r="J22" i="13"/>
  <c r="J22" i="23"/>
  <c r="G22" i="24"/>
  <c r="I22" i="25"/>
  <c r="K20" i="32"/>
  <c r="K20" i="13"/>
  <c r="G22" i="15"/>
  <c r="I22" i="19"/>
  <c r="G22" i="23"/>
  <c r="K20" i="30"/>
  <c r="J22" i="32"/>
  <c r="H22" i="16"/>
  <c r="H22" i="34"/>
  <c r="G22" i="13"/>
  <c r="K20" i="18"/>
  <c r="H22" i="22"/>
  <c r="G22" i="26"/>
  <c r="G22" i="28"/>
  <c r="K21" i="28"/>
  <c r="G22" i="30"/>
  <c r="K21" i="33"/>
  <c r="H22" i="18"/>
  <c r="K21" i="17"/>
  <c r="H22" i="19"/>
  <c r="H22" i="21"/>
  <c r="K20" i="22"/>
  <c r="I22" i="24"/>
  <c r="H22" i="25"/>
  <c r="K21" i="30"/>
  <c r="I22" i="33"/>
  <c r="K20" i="34"/>
  <c r="H22" i="13"/>
  <c r="I22" i="15"/>
  <c r="K21" i="13"/>
  <c r="J22" i="15"/>
  <c r="J22" i="17"/>
  <c r="K21" i="24"/>
  <c r="K20" i="25"/>
  <c r="J22" i="30"/>
  <c r="J22" i="31"/>
  <c r="K20" i="31"/>
  <c r="G22" i="32"/>
  <c r="J22" i="34"/>
  <c r="I26" i="45"/>
  <c r="K13" i="34"/>
  <c r="F15" i="34"/>
  <c r="F32" i="45" s="1"/>
  <c r="H22" i="24"/>
  <c r="K20" i="24"/>
  <c r="I22" i="26"/>
  <c r="K20" i="28"/>
  <c r="K21" i="32"/>
  <c r="K21" i="34"/>
  <c r="I22" i="23"/>
  <c r="K21" i="31"/>
  <c r="I22" i="12"/>
  <c r="K20" i="17"/>
  <c r="J22" i="19"/>
  <c r="K21" i="25"/>
  <c r="J22" i="26"/>
  <c r="K21" i="26"/>
  <c r="H22" i="28"/>
  <c r="H22" i="29"/>
  <c r="I22" i="31"/>
  <c r="G22" i="31"/>
  <c r="I22" i="32"/>
  <c r="I22" i="34"/>
  <c r="H22" i="14"/>
  <c r="J22" i="16"/>
  <c r="I22" i="18"/>
  <c r="K20" i="19"/>
  <c r="K21" i="14"/>
  <c r="K20" i="15"/>
  <c r="I22" i="17"/>
  <c r="K21" i="23"/>
  <c r="G22" i="25"/>
  <c r="H22" i="26"/>
  <c r="J22" i="24"/>
  <c r="K14" i="20"/>
  <c r="H22" i="27"/>
  <c r="J19" i="33"/>
  <c r="J22" i="33" s="1"/>
  <c r="K14" i="18"/>
  <c r="H15" i="18"/>
  <c r="H17" i="45" s="1"/>
  <c r="I15" i="20"/>
  <c r="I18" i="45" s="1"/>
  <c r="K20" i="21"/>
  <c r="K20" i="26"/>
  <c r="I19" i="28"/>
  <c r="I22" i="28" s="1"/>
  <c r="K14" i="31"/>
  <c r="K15" i="31" s="1"/>
  <c r="K16" i="31" s="1"/>
  <c r="F19" i="34"/>
  <c r="K19" i="34" s="1"/>
  <c r="I16" i="17"/>
  <c r="K21" i="18"/>
  <c r="K20" i="27"/>
  <c r="F15" i="31"/>
  <c r="F29" i="45" s="1"/>
  <c r="F13" i="45"/>
  <c r="F23" i="45"/>
  <c r="F16" i="25"/>
  <c r="G28" i="45"/>
  <c r="G16" i="30"/>
  <c r="G29" i="45"/>
  <c r="G16" i="31"/>
  <c r="H30" i="45"/>
  <c r="H16" i="32"/>
  <c r="F31" i="45"/>
  <c r="F16" i="33"/>
  <c r="I32" i="45"/>
  <c r="I16" i="34"/>
  <c r="J32" i="45"/>
  <c r="H11" i="45"/>
  <c r="H16" i="12"/>
  <c r="H12" i="45"/>
  <c r="G11" i="45"/>
  <c r="G16" i="12"/>
  <c r="G12" i="45"/>
  <c r="G16" i="14"/>
  <c r="F16" i="45"/>
  <c r="F16" i="17"/>
  <c r="F15" i="45"/>
  <c r="F16" i="19"/>
  <c r="H13" i="45"/>
  <c r="H16" i="15"/>
  <c r="F19" i="45"/>
  <c r="F16" i="21"/>
  <c r="H19" i="45"/>
  <c r="H16" i="21"/>
  <c r="J22" i="21"/>
  <c r="G20" i="45"/>
  <c r="G16" i="22"/>
  <c r="H16" i="23"/>
  <c r="H22" i="45"/>
  <c r="H16" i="24"/>
  <c r="G23" i="45"/>
  <c r="G16" i="25"/>
  <c r="I25" i="45"/>
  <c r="I16" i="27"/>
  <c r="G27" i="45"/>
  <c r="G16" i="29"/>
  <c r="F28" i="45"/>
  <c r="F16" i="30"/>
  <c r="I30" i="45"/>
  <c r="I16" i="32"/>
  <c r="F30" i="45"/>
  <c r="F16" i="32"/>
  <c r="I31" i="45"/>
  <c r="I16" i="33"/>
  <c r="H10" i="45"/>
  <c r="H16" i="13"/>
  <c r="G19" i="45"/>
  <c r="G16" i="21"/>
  <c r="H16" i="27"/>
  <c r="H26" i="45"/>
  <c r="H16" i="28"/>
  <c r="G10" i="45"/>
  <c r="G16" i="13"/>
  <c r="I10" i="45"/>
  <c r="I16" i="13"/>
  <c r="I12" i="45"/>
  <c r="I16" i="14"/>
  <c r="J14" i="45"/>
  <c r="J16" i="16"/>
  <c r="G15" i="45"/>
  <c r="G16" i="19"/>
  <c r="J18" i="45"/>
  <c r="J16" i="20"/>
  <c r="K21" i="21"/>
  <c r="J20" i="45"/>
  <c r="F20" i="45"/>
  <c r="F16" i="22"/>
  <c r="K12" i="23"/>
  <c r="G21" i="45"/>
  <c r="G16" i="23"/>
  <c r="I15" i="23"/>
  <c r="G22" i="45"/>
  <c r="G16" i="24"/>
  <c r="H24" i="45"/>
  <c r="H16" i="26"/>
  <c r="G25" i="45"/>
  <c r="G16" i="27"/>
  <c r="F26" i="45"/>
  <c r="F16" i="28"/>
  <c r="I27" i="45"/>
  <c r="I16" i="29"/>
  <c r="J27" i="45"/>
  <c r="J30" i="45"/>
  <c r="J16" i="32"/>
  <c r="G30" i="45"/>
  <c r="G16" i="32"/>
  <c r="H32" i="45"/>
  <c r="H16" i="34"/>
  <c r="J16" i="23"/>
  <c r="I16" i="28"/>
  <c r="I11" i="45"/>
  <c r="I16" i="12"/>
  <c r="J10" i="45"/>
  <c r="J16" i="13"/>
  <c r="F16" i="16"/>
  <c r="J16" i="45"/>
  <c r="J16" i="17"/>
  <c r="G17" i="45"/>
  <c r="G16" i="18"/>
  <c r="H15" i="45"/>
  <c r="F21" i="45"/>
  <c r="F16" i="23"/>
  <c r="I22" i="45"/>
  <c r="I16" i="24"/>
  <c r="G26" i="45"/>
  <c r="G16" i="28"/>
  <c r="I29" i="45"/>
  <c r="I16" i="31"/>
  <c r="H31" i="45"/>
  <c r="H16" i="33"/>
  <c r="G13" i="45"/>
  <c r="G16" i="15"/>
  <c r="H16" i="45"/>
  <c r="H16" i="17"/>
  <c r="G16" i="45"/>
  <c r="G16" i="17"/>
  <c r="I17" i="45"/>
  <c r="I16" i="18"/>
  <c r="I15" i="45"/>
  <c r="I16" i="19"/>
  <c r="I19" i="45"/>
  <c r="I16" i="21"/>
  <c r="J15" i="21"/>
  <c r="H14" i="45"/>
  <c r="H16" i="16"/>
  <c r="F22" i="45"/>
  <c r="F16" i="24"/>
  <c r="J22" i="45"/>
  <c r="J16" i="24"/>
  <c r="J23" i="45"/>
  <c r="J16" i="25"/>
  <c r="I23" i="45"/>
  <c r="I16" i="25"/>
  <c r="G24" i="45"/>
  <c r="G16" i="26"/>
  <c r="J24" i="45"/>
  <c r="J16" i="26"/>
  <c r="F27" i="45"/>
  <c r="F16" i="29"/>
  <c r="H27" i="45"/>
  <c r="H16" i="29"/>
  <c r="J16" i="30"/>
  <c r="I28" i="45"/>
  <c r="I16" i="30"/>
  <c r="J29" i="45"/>
  <c r="J16" i="31"/>
  <c r="G32" i="45"/>
  <c r="G16" i="34"/>
  <c r="F22" i="33"/>
  <c r="K19" i="32"/>
  <c r="F22" i="32"/>
  <c r="F22" i="31"/>
  <c r="K19" i="30"/>
  <c r="F22" i="30"/>
  <c r="K19" i="29"/>
  <c r="F22" i="29"/>
  <c r="F22" i="28"/>
  <c r="K19" i="27"/>
  <c r="F22" i="27"/>
  <c r="K19" i="26"/>
  <c r="F22" i="26"/>
  <c r="K19" i="25"/>
  <c r="F22" i="25"/>
  <c r="K15" i="24"/>
  <c r="K16" i="24" s="1"/>
  <c r="K19" i="24"/>
  <c r="F22" i="24"/>
  <c r="K19" i="23"/>
  <c r="F22" i="23"/>
  <c r="K19" i="22"/>
  <c r="F22" i="22"/>
  <c r="K19" i="21"/>
  <c r="F22" i="21"/>
  <c r="F22" i="20"/>
  <c r="K19" i="19"/>
  <c r="F22" i="19"/>
  <c r="F22" i="17"/>
  <c r="K19" i="15"/>
  <c r="F22" i="15"/>
  <c r="K19" i="14"/>
  <c r="F22" i="14"/>
  <c r="K19" i="13"/>
  <c r="K15" i="13"/>
  <c r="K16" i="13" s="1"/>
  <c r="I24" i="45" l="1"/>
  <c r="H23" i="45"/>
  <c r="K15" i="25"/>
  <c r="K16" i="25" s="1"/>
  <c r="K15" i="12"/>
  <c r="K16" i="12" s="1"/>
  <c r="H16" i="20"/>
  <c r="I14" i="45"/>
  <c r="K14" i="45" s="1"/>
  <c r="F16" i="13"/>
  <c r="F22" i="13"/>
  <c r="J12" i="45"/>
  <c r="K19" i="20"/>
  <c r="F24" i="45"/>
  <c r="K15" i="18"/>
  <c r="K16" i="18" s="1"/>
  <c r="K15" i="15"/>
  <c r="K16" i="15" s="1"/>
  <c r="K22" i="15"/>
  <c r="K15" i="19"/>
  <c r="K16" i="19" s="1"/>
  <c r="K15" i="27"/>
  <c r="K16" i="27" s="1"/>
  <c r="K15" i="28"/>
  <c r="K16" i="28" s="1"/>
  <c r="J22" i="20"/>
  <c r="H29" i="45"/>
  <c r="K29" i="45" s="1"/>
  <c r="K19" i="17"/>
  <c r="K22" i="17" s="1"/>
  <c r="J16" i="15"/>
  <c r="J16" i="19"/>
  <c r="K20" i="23"/>
  <c r="K22" i="23" s="1"/>
  <c r="I20" i="45"/>
  <c r="H22" i="31"/>
  <c r="K19" i="18"/>
  <c r="K22" i="18" s="1"/>
  <c r="I16" i="15"/>
  <c r="K15" i="29"/>
  <c r="K16" i="29" s="1"/>
  <c r="F22" i="12"/>
  <c r="G31" i="45"/>
  <c r="K31" i="45" s="1"/>
  <c r="F16" i="12"/>
  <c r="K15" i="14"/>
  <c r="K16" i="14" s="1"/>
  <c r="K15" i="30"/>
  <c r="K16" i="30" s="1"/>
  <c r="H16" i="25"/>
  <c r="F16" i="20"/>
  <c r="J16" i="12"/>
  <c r="K19" i="12"/>
  <c r="K22" i="12" s="1"/>
  <c r="F16" i="18"/>
  <c r="K15" i="34"/>
  <c r="K16" i="34" s="1"/>
  <c r="F16" i="14"/>
  <c r="J22" i="14"/>
  <c r="G22" i="33"/>
  <c r="H28" i="45"/>
  <c r="K28" i="45" s="1"/>
  <c r="K15" i="23"/>
  <c r="K16" i="23" s="1"/>
  <c r="F16" i="27"/>
  <c r="J17" i="45"/>
  <c r="K17" i="45" s="1"/>
  <c r="H16" i="18"/>
  <c r="J16" i="33"/>
  <c r="K22" i="29"/>
  <c r="K15" i="16"/>
  <c r="K16" i="16" s="1"/>
  <c r="K15" i="26"/>
  <c r="K16" i="26" s="1"/>
  <c r="J16" i="28"/>
  <c r="H20" i="45"/>
  <c r="G16" i="20"/>
  <c r="J16" i="27"/>
  <c r="F16" i="34"/>
  <c r="F16" i="31"/>
  <c r="K15" i="21"/>
  <c r="K16" i="21" s="1"/>
  <c r="K15" i="20"/>
  <c r="K16" i="20" s="1"/>
  <c r="K15" i="22"/>
  <c r="K16" i="22" s="1"/>
  <c r="G16" i="16"/>
  <c r="H16" i="48"/>
  <c r="G22" i="16"/>
  <c r="K21" i="22"/>
  <c r="K22" i="22" s="1"/>
  <c r="K15" i="33"/>
  <c r="K16" i="33" s="1"/>
  <c r="K22" i="25"/>
  <c r="K20" i="16"/>
  <c r="K22" i="16" s="1"/>
  <c r="K19" i="28"/>
  <c r="K22" i="28" s="1"/>
  <c r="K22" i="13"/>
  <c r="K22" i="31"/>
  <c r="G17" i="48"/>
  <c r="K22" i="24"/>
  <c r="J16" i="48"/>
  <c r="K22" i="20"/>
  <c r="K22" i="30"/>
  <c r="K22" i="32"/>
  <c r="I15" i="48"/>
  <c r="J17" i="48"/>
  <c r="K22" i="14"/>
  <c r="F22" i="34"/>
  <c r="K19" i="33"/>
  <c r="K22" i="33" s="1"/>
  <c r="K30" i="45"/>
  <c r="F15" i="48"/>
  <c r="K22" i="26"/>
  <c r="F17" i="48"/>
  <c r="I17" i="48"/>
  <c r="J15" i="48"/>
  <c r="F16" i="48"/>
  <c r="K22" i="19"/>
  <c r="K22" i="34"/>
  <c r="H15" i="48"/>
  <c r="H17" i="48"/>
  <c r="G15" i="48"/>
  <c r="I16" i="48"/>
  <c r="K22" i="27"/>
  <c r="K22" i="21"/>
  <c r="K11" i="45"/>
  <c r="K10" i="45"/>
  <c r="I16" i="20"/>
  <c r="K22" i="45"/>
  <c r="I21" i="45"/>
  <c r="K21" i="45" s="1"/>
  <c r="I16" i="23"/>
  <c r="J19" i="45"/>
  <c r="K19" i="45" s="1"/>
  <c r="J16" i="21"/>
  <c r="K24" i="45"/>
  <c r="K12" i="45"/>
  <c r="K26" i="45"/>
  <c r="K25" i="45"/>
  <c r="K15" i="45"/>
  <c r="K16" i="45"/>
  <c r="K32" i="45"/>
  <c r="K23" i="45"/>
  <c r="K27" i="45"/>
  <c r="K18" i="45"/>
  <c r="K13" i="45"/>
  <c r="K20" i="45" l="1"/>
  <c r="G16" i="48"/>
  <c r="K8" i="48" l="1"/>
  <c r="G13" i="5" l="1"/>
  <c r="G20" i="5" s="1"/>
  <c r="F13" i="5"/>
  <c r="I13" i="5"/>
  <c r="I20" i="5" s="1"/>
  <c r="H13" i="5"/>
  <c r="H20" i="5" s="1"/>
  <c r="H14" i="5"/>
  <c r="H21" i="5" s="1"/>
  <c r="H12" i="5"/>
  <c r="F12" i="5" l="1"/>
  <c r="F19" i="5" s="1"/>
  <c r="G14" i="5"/>
  <c r="G21" i="5" s="1"/>
  <c r="F14" i="5"/>
  <c r="G12" i="5"/>
  <c r="G19" i="5" s="1"/>
  <c r="I12" i="5"/>
  <c r="I19" i="5" s="1"/>
  <c r="I14" i="5"/>
  <c r="I21" i="5" s="1"/>
  <c r="J13" i="5"/>
  <c r="J20" i="5" s="1"/>
  <c r="J12" i="5"/>
  <c r="J14" i="5"/>
  <c r="J21" i="5" s="1"/>
  <c r="F20" i="5"/>
  <c r="H19" i="5"/>
  <c r="H22" i="5" s="1"/>
  <c r="H15" i="5"/>
  <c r="G22" i="5" l="1"/>
  <c r="G9" i="48" s="1"/>
  <c r="G15" i="5"/>
  <c r="G9" i="45" s="1"/>
  <c r="G33" i="45" s="1"/>
  <c r="F15" i="5"/>
  <c r="F9" i="45" s="1"/>
  <c r="F33" i="45" s="1"/>
  <c r="F21" i="5"/>
  <c r="F22" i="5" s="1"/>
  <c r="I15" i="5"/>
  <c r="I9" i="45" s="1"/>
  <c r="I33" i="45" s="1"/>
  <c r="K13" i="5"/>
  <c r="H9" i="45"/>
  <c r="H33" i="45" s="1"/>
  <c r="I22" i="5"/>
  <c r="H9" i="48"/>
  <c r="K12" i="5"/>
  <c r="J19" i="5"/>
  <c r="J22" i="5" s="1"/>
  <c r="J15" i="5"/>
  <c r="K20" i="5"/>
  <c r="K14" i="5"/>
  <c r="K21" i="5" l="1"/>
  <c r="K15" i="5"/>
  <c r="J9" i="45"/>
  <c r="J33" i="45" s="1"/>
  <c r="K33" i="45" s="1"/>
  <c r="J9" i="48"/>
  <c r="F9" i="48"/>
  <c r="I9" i="48"/>
  <c r="K19" i="5"/>
  <c r="K22" i="5" l="1"/>
  <c r="K9" i="45"/>
  <c r="K9" i="48"/>
  <c r="I11" i="41" l="1"/>
  <c r="I18" i="41" s="1"/>
  <c r="I10" i="41"/>
  <c r="I12" i="41"/>
  <c r="I19" i="41" s="1"/>
  <c r="G10" i="41"/>
  <c r="G11" i="41"/>
  <c r="G18" i="41" s="1"/>
  <c r="G12" i="41"/>
  <c r="G19" i="41" s="1"/>
  <c r="H11" i="41"/>
  <c r="H18" i="41" s="1"/>
  <c r="H12" i="41"/>
  <c r="H19" i="41" s="1"/>
  <c r="H10" i="41"/>
  <c r="J10" i="41"/>
  <c r="J12" i="41"/>
  <c r="J19" i="41" s="1"/>
  <c r="J11" i="41"/>
  <c r="J18" i="41" s="1"/>
  <c r="K7" i="41"/>
  <c r="F10" i="41"/>
  <c r="F11" i="41"/>
  <c r="F12" i="41"/>
  <c r="F19" i="41" l="1"/>
  <c r="K19" i="41" s="1"/>
  <c r="K12" i="41"/>
  <c r="G17" i="41"/>
  <c r="G20" i="41" s="1"/>
  <c r="G13" i="41"/>
  <c r="F18" i="41"/>
  <c r="K18" i="41" s="1"/>
  <c r="K11" i="41"/>
  <c r="H13" i="41"/>
  <c r="H17" i="41"/>
  <c r="H20" i="41" s="1"/>
  <c r="F17" i="41"/>
  <c r="K10" i="41"/>
  <c r="F13" i="41"/>
  <c r="I17" i="41"/>
  <c r="I20" i="41" s="1"/>
  <c r="I13" i="41"/>
  <c r="J17" i="41"/>
  <c r="J20" i="41" s="1"/>
  <c r="J13" i="41"/>
  <c r="J18" i="48" l="1"/>
  <c r="G18" i="48"/>
  <c r="I18" i="48"/>
  <c r="H18" i="48"/>
  <c r="I41" i="45"/>
  <c r="I14" i="41"/>
  <c r="J41" i="45"/>
  <c r="J14" i="41"/>
  <c r="G41" i="45"/>
  <c r="G14" i="41"/>
  <c r="F41" i="45"/>
  <c r="F14" i="41"/>
  <c r="H41" i="45"/>
  <c r="H14" i="41"/>
  <c r="K13" i="41"/>
  <c r="K14" i="41" s="1"/>
  <c r="K17" i="41"/>
  <c r="K20" i="41" s="1"/>
  <c r="F20" i="41"/>
  <c r="F18" i="48" l="1"/>
  <c r="K41" i="45"/>
  <c r="B19" i="5" l="1"/>
  <c r="B20" i="5"/>
  <c r="B21" i="5"/>
  <c r="G16" i="5"/>
  <c r="H16" i="5"/>
  <c r="I16" i="5"/>
  <c r="J16" i="5"/>
  <c r="K16" i="5"/>
  <c r="F16" i="5"/>
  <c r="I12" i="43" l="1"/>
  <c r="I19" i="43" s="1"/>
  <c r="I11" i="43"/>
  <c r="I18" i="43" s="1"/>
  <c r="I10" i="43"/>
  <c r="I12" i="40"/>
  <c r="I19" i="40" s="1"/>
  <c r="I10" i="40"/>
  <c r="I11" i="40"/>
  <c r="I18" i="40" s="1"/>
  <c r="I12" i="37"/>
  <c r="I19" i="37" s="1"/>
  <c r="I11" i="37"/>
  <c r="I18" i="37" s="1"/>
  <c r="I10" i="37"/>
  <c r="H11" i="39"/>
  <c r="H18" i="39" s="1"/>
  <c r="H12" i="39"/>
  <c r="H19" i="39" s="1"/>
  <c r="H10" i="39"/>
  <c r="F12" i="43"/>
  <c r="F11" i="43"/>
  <c r="F10" i="43"/>
  <c r="K7" i="43"/>
  <c r="F11" i="37"/>
  <c r="F12" i="37"/>
  <c r="F10" i="37"/>
  <c r="K7" i="37"/>
  <c r="F12" i="42"/>
  <c r="F11" i="42"/>
  <c r="F10" i="42"/>
  <c r="K7" i="42"/>
  <c r="H11" i="42"/>
  <c r="H18" i="42" s="1"/>
  <c r="H10" i="42"/>
  <c r="H12" i="42"/>
  <c r="H19" i="42" s="1"/>
  <c r="G12" i="43"/>
  <c r="G19" i="43" s="1"/>
  <c r="G10" i="43"/>
  <c r="G11" i="43"/>
  <c r="G18" i="43" s="1"/>
  <c r="G11" i="37"/>
  <c r="G18" i="37" s="1"/>
  <c r="G12" i="37"/>
  <c r="G19" i="37" s="1"/>
  <c r="G10" i="37"/>
  <c r="H12" i="37"/>
  <c r="H19" i="37" s="1"/>
  <c r="H11" i="37"/>
  <c r="H18" i="37" s="1"/>
  <c r="H10" i="37"/>
  <c r="H10" i="43"/>
  <c r="H12" i="43"/>
  <c r="H19" i="43" s="1"/>
  <c r="H11" i="43"/>
  <c r="H18" i="43" s="1"/>
  <c r="I12" i="39"/>
  <c r="I19" i="39" s="1"/>
  <c r="I10" i="39"/>
  <c r="I11" i="39"/>
  <c r="I18" i="39" s="1"/>
  <c r="K7" i="39"/>
  <c r="F12" i="39"/>
  <c r="F10" i="39"/>
  <c r="F11" i="39"/>
  <c r="G12" i="36"/>
  <c r="G19" i="36" s="1"/>
  <c r="G10" i="36"/>
  <c r="G11" i="36"/>
  <c r="G18" i="36" s="1"/>
  <c r="J12" i="36"/>
  <c r="J19" i="36" s="1"/>
  <c r="J10" i="36"/>
  <c r="J11" i="36"/>
  <c r="J18" i="36" s="1"/>
  <c r="I12" i="36"/>
  <c r="I19" i="36" s="1"/>
  <c r="I11" i="36"/>
  <c r="I18" i="36" s="1"/>
  <c r="I10" i="36"/>
  <c r="J12" i="37"/>
  <c r="J19" i="37" s="1"/>
  <c r="J10" i="37"/>
  <c r="J11" i="37"/>
  <c r="J18" i="37" s="1"/>
  <c r="G11" i="42"/>
  <c r="G18" i="42" s="1"/>
  <c r="G12" i="42"/>
  <c r="G19" i="42" s="1"/>
  <c r="G10" i="42"/>
  <c r="H11" i="40"/>
  <c r="H18" i="40" s="1"/>
  <c r="H10" i="40"/>
  <c r="H12" i="40"/>
  <c r="H19" i="40" s="1"/>
  <c r="G12" i="39"/>
  <c r="G19" i="39" s="1"/>
  <c r="G10" i="39"/>
  <c r="G11" i="39"/>
  <c r="G18" i="39" s="1"/>
  <c r="J11" i="40"/>
  <c r="J18" i="40" s="1"/>
  <c r="J10" i="40"/>
  <c r="J12" i="40"/>
  <c r="J19" i="40" s="1"/>
  <c r="F12" i="36"/>
  <c r="F10" i="36"/>
  <c r="K7" i="36"/>
  <c r="F11" i="36"/>
  <c r="H12" i="36"/>
  <c r="H19" i="36" s="1"/>
  <c r="H10" i="36"/>
  <c r="H11" i="36"/>
  <c r="H18" i="36" s="1"/>
  <c r="F11" i="40"/>
  <c r="K7" i="40"/>
  <c r="F10" i="40"/>
  <c r="F12" i="40"/>
  <c r="J12" i="42"/>
  <c r="J19" i="42" s="1"/>
  <c r="J11" i="42"/>
  <c r="J18" i="42" s="1"/>
  <c r="J10" i="42"/>
  <c r="J10" i="43"/>
  <c r="J11" i="43"/>
  <c r="J18" i="43" s="1"/>
  <c r="J12" i="43"/>
  <c r="J19" i="43" s="1"/>
  <c r="G11" i="40"/>
  <c r="G18" i="40" s="1"/>
  <c r="G10" i="40"/>
  <c r="G12" i="40"/>
  <c r="G19" i="40" s="1"/>
  <c r="I11" i="42"/>
  <c r="I18" i="42" s="1"/>
  <c r="I12" i="42"/>
  <c r="I19" i="42" s="1"/>
  <c r="I10" i="42"/>
  <c r="J12" i="39"/>
  <c r="J19" i="39" s="1"/>
  <c r="J10" i="39"/>
  <c r="J11" i="39"/>
  <c r="J18" i="39" s="1"/>
  <c r="F12" i="38" l="1"/>
  <c r="F11" i="38"/>
  <c r="K7" i="38"/>
  <c r="F10" i="38"/>
  <c r="K10" i="37"/>
  <c r="F13" i="37"/>
  <c r="F17" i="37"/>
  <c r="I17" i="42"/>
  <c r="I20" i="42" s="1"/>
  <c r="I13" i="42"/>
  <c r="J17" i="42"/>
  <c r="J20" i="42" s="1"/>
  <c r="J13" i="42"/>
  <c r="F19" i="40"/>
  <c r="K19" i="40" s="1"/>
  <c r="K12" i="40"/>
  <c r="K12" i="36"/>
  <c r="F19" i="36"/>
  <c r="K19" i="36" s="1"/>
  <c r="G17" i="42"/>
  <c r="G20" i="42" s="1"/>
  <c r="G13" i="42"/>
  <c r="I13" i="36"/>
  <c r="I17" i="36"/>
  <c r="I20" i="36" s="1"/>
  <c r="F18" i="39"/>
  <c r="K18" i="39" s="1"/>
  <c r="K11" i="39"/>
  <c r="F19" i="42"/>
  <c r="K19" i="42" s="1"/>
  <c r="K12" i="42"/>
  <c r="K12" i="37"/>
  <c r="F19" i="37"/>
  <c r="K19" i="37" s="1"/>
  <c r="F17" i="43"/>
  <c r="F13" i="43"/>
  <c r="K10" i="43"/>
  <c r="H13" i="39"/>
  <c r="H17" i="39"/>
  <c r="H20" i="39" s="1"/>
  <c r="I13" i="37"/>
  <c r="I17" i="37"/>
  <c r="I20" i="37" s="1"/>
  <c r="I17" i="43"/>
  <c r="I20" i="43" s="1"/>
  <c r="I13" i="43"/>
  <c r="J17" i="40"/>
  <c r="J20" i="40" s="1"/>
  <c r="J13" i="40"/>
  <c r="G10" i="38"/>
  <c r="G12" i="38"/>
  <c r="G19" i="38" s="1"/>
  <c r="G11" i="38"/>
  <c r="G18" i="38" s="1"/>
  <c r="H13" i="43"/>
  <c r="H17" i="43"/>
  <c r="H20" i="43" s="1"/>
  <c r="J17" i="39"/>
  <c r="J20" i="39" s="1"/>
  <c r="J13" i="39"/>
  <c r="G17" i="40"/>
  <c r="G20" i="40" s="1"/>
  <c r="G13" i="40"/>
  <c r="F17" i="40"/>
  <c r="F13" i="40"/>
  <c r="K10" i="40"/>
  <c r="F18" i="36"/>
  <c r="K18" i="36" s="1"/>
  <c r="K11" i="36"/>
  <c r="H10" i="38"/>
  <c r="H12" i="38"/>
  <c r="H19" i="38" s="1"/>
  <c r="H11" i="38"/>
  <c r="H18" i="38" s="1"/>
  <c r="J10" i="38"/>
  <c r="J11" i="38"/>
  <c r="J18" i="38" s="1"/>
  <c r="J12" i="38"/>
  <c r="J19" i="38" s="1"/>
  <c r="G17" i="39"/>
  <c r="G20" i="39" s="1"/>
  <c r="G13" i="39"/>
  <c r="H17" i="40"/>
  <c r="H20" i="40" s="1"/>
  <c r="H13" i="40"/>
  <c r="J17" i="37"/>
  <c r="J20" i="37" s="1"/>
  <c r="J13" i="37"/>
  <c r="J13" i="36"/>
  <c r="J17" i="36"/>
  <c r="J20" i="36" s="1"/>
  <c r="G17" i="36"/>
  <c r="G20" i="36" s="1"/>
  <c r="G13" i="36"/>
  <c r="I12" i="38"/>
  <c r="I19" i="38" s="1"/>
  <c r="I11" i="38"/>
  <c r="I18" i="38" s="1"/>
  <c r="I10" i="38"/>
  <c r="K10" i="39"/>
  <c r="F13" i="39"/>
  <c r="F17" i="39"/>
  <c r="H17" i="37"/>
  <c r="H20" i="37" s="1"/>
  <c r="H13" i="37"/>
  <c r="G13" i="37"/>
  <c r="G17" i="37"/>
  <c r="G20" i="37" s="1"/>
  <c r="F18" i="37"/>
  <c r="K18" i="37" s="1"/>
  <c r="K11" i="37"/>
  <c r="K11" i="43"/>
  <c r="F18" i="43"/>
  <c r="K18" i="43" s="1"/>
  <c r="I13" i="40"/>
  <c r="I17" i="40"/>
  <c r="I20" i="40" s="1"/>
  <c r="F18" i="40"/>
  <c r="K18" i="40" s="1"/>
  <c r="K11" i="40"/>
  <c r="K10" i="36"/>
  <c r="F13" i="36"/>
  <c r="F17" i="36"/>
  <c r="F18" i="42"/>
  <c r="K18" i="42" s="1"/>
  <c r="K11" i="42"/>
  <c r="J17" i="43"/>
  <c r="J20" i="43" s="1"/>
  <c r="J13" i="43"/>
  <c r="H13" i="36"/>
  <c r="H17" i="36"/>
  <c r="H20" i="36" s="1"/>
  <c r="K12" i="39"/>
  <c r="F19" i="39"/>
  <c r="K19" i="39" s="1"/>
  <c r="I13" i="39"/>
  <c r="I17" i="39"/>
  <c r="I20" i="39" s="1"/>
  <c r="G17" i="43"/>
  <c r="G20" i="43" s="1"/>
  <c r="G13" i="43"/>
  <c r="H13" i="42"/>
  <c r="H17" i="42"/>
  <c r="H20" i="42" s="1"/>
  <c r="F13" i="42"/>
  <c r="K10" i="42"/>
  <c r="F17" i="42"/>
  <c r="F19" i="43"/>
  <c r="K19" i="43" s="1"/>
  <c r="K12" i="43"/>
  <c r="K13" i="36" l="1"/>
  <c r="K14" i="36" s="1"/>
  <c r="K13" i="40"/>
  <c r="K14" i="40" s="1"/>
  <c r="K13" i="37"/>
  <c r="K14" i="37" s="1"/>
  <c r="H12" i="48"/>
  <c r="J37" i="45"/>
  <c r="J14" i="37"/>
  <c r="G21" i="48"/>
  <c r="K13" i="42"/>
  <c r="K14" i="42" s="1"/>
  <c r="G43" i="45"/>
  <c r="G14" i="43"/>
  <c r="J43" i="45"/>
  <c r="J14" i="43"/>
  <c r="K17" i="36"/>
  <c r="K20" i="36" s="1"/>
  <c r="F20" i="36"/>
  <c r="G37" i="45"/>
  <c r="G14" i="37"/>
  <c r="F39" i="45"/>
  <c r="F14" i="39"/>
  <c r="J11" i="48"/>
  <c r="H40" i="45"/>
  <c r="H14" i="40"/>
  <c r="F20" i="40"/>
  <c r="K17" i="40"/>
  <c r="K20" i="40" s="1"/>
  <c r="J20" i="48"/>
  <c r="J21" i="48"/>
  <c r="I37" i="45"/>
  <c r="I14" i="37"/>
  <c r="F43" i="45"/>
  <c r="F14" i="43"/>
  <c r="I11" i="48"/>
  <c r="J42" i="45"/>
  <c r="J14" i="42"/>
  <c r="K17" i="37"/>
  <c r="K20" i="37" s="1"/>
  <c r="F20" i="37"/>
  <c r="F13" i="38"/>
  <c r="F17" i="38"/>
  <c r="K10" i="38"/>
  <c r="I20" i="48"/>
  <c r="I40" i="45"/>
  <c r="I14" i="40"/>
  <c r="G36" i="45"/>
  <c r="G14" i="36"/>
  <c r="H43" i="45"/>
  <c r="H14" i="43"/>
  <c r="G17" i="38"/>
  <c r="G20" i="38" s="1"/>
  <c r="G13" i="38"/>
  <c r="H39" i="45"/>
  <c r="H14" i="39"/>
  <c r="I42" i="45"/>
  <c r="I14" i="42"/>
  <c r="F42" i="45"/>
  <c r="F14" i="42"/>
  <c r="G19" i="48"/>
  <c r="J19" i="48"/>
  <c r="F36" i="45"/>
  <c r="F14" i="36"/>
  <c r="I21" i="48"/>
  <c r="H37" i="45"/>
  <c r="H14" i="37"/>
  <c r="K13" i="39"/>
  <c r="K14" i="39" s="1"/>
  <c r="J36" i="45"/>
  <c r="J14" i="36"/>
  <c r="H21" i="48"/>
  <c r="G40" i="45"/>
  <c r="G14" i="40"/>
  <c r="H19" i="48"/>
  <c r="I43" i="45"/>
  <c r="I14" i="43"/>
  <c r="H20" i="48"/>
  <c r="K17" i="43"/>
  <c r="K20" i="43" s="1"/>
  <c r="F20" i="43"/>
  <c r="I36" i="45"/>
  <c r="I14" i="36"/>
  <c r="J10" i="48"/>
  <c r="F37" i="45"/>
  <c r="F14" i="37"/>
  <c r="H10" i="48"/>
  <c r="H11" i="48"/>
  <c r="G39" i="45"/>
  <c r="G14" i="39"/>
  <c r="I19" i="48"/>
  <c r="G42" i="45"/>
  <c r="G14" i="42"/>
  <c r="K11" i="38"/>
  <c r="F18" i="38"/>
  <c r="K18" i="38" s="1"/>
  <c r="F20" i="42"/>
  <c r="K17" i="42"/>
  <c r="K20" i="42" s="1"/>
  <c r="H42" i="45"/>
  <c r="H14" i="42"/>
  <c r="I39" i="45"/>
  <c r="I14" i="39"/>
  <c r="H36" i="45"/>
  <c r="H14" i="36"/>
  <c r="G12" i="48"/>
  <c r="K17" i="39"/>
  <c r="K20" i="39" s="1"/>
  <c r="F20" i="39"/>
  <c r="I13" i="38"/>
  <c r="I17" i="38"/>
  <c r="I20" i="38" s="1"/>
  <c r="G11" i="48"/>
  <c r="J12" i="48"/>
  <c r="G20" i="48"/>
  <c r="J13" i="38"/>
  <c r="J17" i="38"/>
  <c r="J20" i="38" s="1"/>
  <c r="H13" i="38"/>
  <c r="H17" i="38"/>
  <c r="H20" i="38" s="1"/>
  <c r="F40" i="45"/>
  <c r="F14" i="40"/>
  <c r="J39" i="45"/>
  <c r="J14" i="39"/>
  <c r="J40" i="45"/>
  <c r="J14" i="40"/>
  <c r="I12" i="48"/>
  <c r="K13" i="43"/>
  <c r="K14" i="43" s="1"/>
  <c r="G10" i="48"/>
  <c r="I10" i="48"/>
  <c r="F19" i="38"/>
  <c r="K19" i="38" s="1"/>
  <c r="K12" i="38"/>
  <c r="H14" i="48" l="1"/>
  <c r="J14" i="48"/>
  <c r="I14" i="48"/>
  <c r="G14" i="48"/>
  <c r="K37" i="45"/>
  <c r="K40" i="45"/>
  <c r="J38" i="45"/>
  <c r="J47" i="45" s="1"/>
  <c r="J14" i="38"/>
  <c r="I38" i="45"/>
  <c r="I47" i="45" s="1"/>
  <c r="I14" i="38"/>
  <c r="F10" i="48"/>
  <c r="K13" i="38"/>
  <c r="K14" i="38" s="1"/>
  <c r="K39" i="45"/>
  <c r="H13" i="48"/>
  <c r="F20" i="48"/>
  <c r="K42" i="45"/>
  <c r="K17" i="38"/>
  <c r="K20" i="38" s="1"/>
  <c r="F20" i="38"/>
  <c r="H38" i="45"/>
  <c r="H47" i="45" s="1"/>
  <c r="H14" i="38"/>
  <c r="G38" i="45"/>
  <c r="G47" i="45" s="1"/>
  <c r="G14" i="38"/>
  <c r="F38" i="45"/>
  <c r="F14" i="38"/>
  <c r="K43" i="45"/>
  <c r="F21" i="48"/>
  <c r="J13" i="48"/>
  <c r="I13" i="48"/>
  <c r="F19" i="48"/>
  <c r="K36" i="45"/>
  <c r="G13" i="48"/>
  <c r="F12" i="48"/>
  <c r="F11" i="48"/>
  <c r="J15" i="36" l="1"/>
  <c r="J23" i="36" s="1"/>
  <c r="J24" i="36" s="1"/>
  <c r="J15" i="38"/>
  <c r="J23" i="38" s="1"/>
  <c r="J24" i="38" s="1"/>
  <c r="J15" i="40"/>
  <c r="J23" i="40" s="1"/>
  <c r="J24" i="40" s="1"/>
  <c r="J15" i="42"/>
  <c r="J23" i="42" s="1"/>
  <c r="J24" i="42" s="1"/>
  <c r="J15" i="58"/>
  <c r="J23" i="58" s="1"/>
  <c r="J24" i="58" s="1"/>
  <c r="J17" i="13"/>
  <c r="J17" i="14"/>
  <c r="J17" i="16"/>
  <c r="J17" i="17"/>
  <c r="J17" i="20"/>
  <c r="J17" i="22"/>
  <c r="J17" i="24"/>
  <c r="J17" i="28"/>
  <c r="J17" i="30"/>
  <c r="J17" i="34"/>
  <c r="J15" i="37"/>
  <c r="J23" i="37" s="1"/>
  <c r="J24" i="37" s="1"/>
  <c r="J15" i="39"/>
  <c r="J23" i="39" s="1"/>
  <c r="J24" i="39" s="1"/>
  <c r="J15" i="41"/>
  <c r="J23" i="41" s="1"/>
  <c r="J24" i="41" s="1"/>
  <c r="J15" i="43"/>
  <c r="J23" i="43" s="1"/>
  <c r="J24" i="43" s="1"/>
  <c r="J17" i="5"/>
  <c r="J17" i="12"/>
  <c r="J17" i="15"/>
  <c r="J17" i="19"/>
  <c r="J17" i="18"/>
  <c r="J17" i="21"/>
  <c r="J17" i="23"/>
  <c r="J17" i="25"/>
  <c r="J17" i="27"/>
  <c r="J17" i="29"/>
  <c r="J17" i="31"/>
  <c r="J17" i="33"/>
  <c r="J17" i="32"/>
  <c r="J17" i="26"/>
  <c r="I15" i="37"/>
  <c r="I23" i="37" s="1"/>
  <c r="I24" i="37" s="1"/>
  <c r="I15" i="39"/>
  <c r="I23" i="39" s="1"/>
  <c r="I24" i="39" s="1"/>
  <c r="I15" i="41"/>
  <c r="I23" i="41" s="1"/>
  <c r="I24" i="41" s="1"/>
  <c r="I15" i="43"/>
  <c r="I23" i="43" s="1"/>
  <c r="I24" i="43" s="1"/>
  <c r="I17" i="5"/>
  <c r="I17" i="12"/>
  <c r="I17" i="15"/>
  <c r="I17" i="19"/>
  <c r="I17" i="18"/>
  <c r="I17" i="21"/>
  <c r="I17" i="23"/>
  <c r="I17" i="27"/>
  <c r="I17" i="29"/>
  <c r="I17" i="31"/>
  <c r="I17" i="33"/>
  <c r="I15" i="36"/>
  <c r="I23" i="36" s="1"/>
  <c r="I24" i="36" s="1"/>
  <c r="I15" i="38"/>
  <c r="I23" i="38" s="1"/>
  <c r="I24" i="38" s="1"/>
  <c r="I38" i="46" s="1"/>
  <c r="I15" i="40"/>
  <c r="I23" i="40" s="1"/>
  <c r="I24" i="40" s="1"/>
  <c r="I15" i="42"/>
  <c r="I23" i="42" s="1"/>
  <c r="I24" i="42" s="1"/>
  <c r="I15" i="58"/>
  <c r="I23" i="58" s="1"/>
  <c r="I24" i="58" s="1"/>
  <c r="I17" i="13"/>
  <c r="I17" i="14"/>
  <c r="I17" i="16"/>
  <c r="I17" i="17"/>
  <c r="I17" i="20"/>
  <c r="I17" i="22"/>
  <c r="I17" i="24"/>
  <c r="I17" i="26"/>
  <c r="I17" i="28"/>
  <c r="I17" i="30"/>
  <c r="I17" i="32"/>
  <c r="I17" i="34"/>
  <c r="I17" i="25"/>
  <c r="G15" i="37"/>
  <c r="G23" i="37" s="1"/>
  <c r="G24" i="37" s="1"/>
  <c r="G15" i="39"/>
  <c r="G23" i="39" s="1"/>
  <c r="G24" i="39" s="1"/>
  <c r="G15" i="41"/>
  <c r="G23" i="41" s="1"/>
  <c r="G24" i="41" s="1"/>
  <c r="G15" i="43"/>
  <c r="G23" i="43" s="1"/>
  <c r="G24" i="43" s="1"/>
  <c r="G17" i="5"/>
  <c r="G17" i="12"/>
  <c r="G17" i="15"/>
  <c r="G17" i="19"/>
  <c r="G17" i="18"/>
  <c r="G17" i="21"/>
  <c r="G17" i="23"/>
  <c r="G17" i="27"/>
  <c r="G17" i="29"/>
  <c r="G17" i="31"/>
  <c r="G17" i="33"/>
  <c r="G15" i="36"/>
  <c r="G23" i="36" s="1"/>
  <c r="G24" i="36" s="1"/>
  <c r="G15" i="38"/>
  <c r="G23" i="38" s="1"/>
  <c r="G24" i="38" s="1"/>
  <c r="G31" i="48" s="1"/>
  <c r="G15" i="40"/>
  <c r="G23" i="40" s="1"/>
  <c r="G24" i="40" s="1"/>
  <c r="G15" i="42"/>
  <c r="G23" i="42" s="1"/>
  <c r="G24" i="42" s="1"/>
  <c r="G15" i="58"/>
  <c r="G23" i="58" s="1"/>
  <c r="G24" i="58" s="1"/>
  <c r="G17" i="13"/>
  <c r="G17" i="14"/>
  <c r="G17" i="16"/>
  <c r="G17" i="17"/>
  <c r="G17" i="20"/>
  <c r="G17" i="22"/>
  <c r="G17" i="24"/>
  <c r="G17" i="26"/>
  <c r="G17" i="28"/>
  <c r="G17" i="30"/>
  <c r="G17" i="32"/>
  <c r="G17" i="34"/>
  <c r="G17" i="25"/>
  <c r="H15" i="36"/>
  <c r="H23" i="36" s="1"/>
  <c r="H24" i="36" s="1"/>
  <c r="H15" i="38"/>
  <c r="H23" i="38" s="1"/>
  <c r="H24" i="38" s="1"/>
  <c r="H31" i="48" s="1"/>
  <c r="H15" i="40"/>
  <c r="H23" i="40" s="1"/>
  <c r="H24" i="40" s="1"/>
  <c r="H15" i="42"/>
  <c r="H23" i="42" s="1"/>
  <c r="H24" i="42" s="1"/>
  <c r="H15" i="58"/>
  <c r="H23" i="58" s="1"/>
  <c r="H24" i="58" s="1"/>
  <c r="H17" i="13"/>
  <c r="H17" i="14"/>
  <c r="H17" i="16"/>
  <c r="H17" i="17"/>
  <c r="H17" i="20"/>
  <c r="H17" i="22"/>
  <c r="H17" i="24"/>
  <c r="H17" i="26"/>
  <c r="H17" i="28"/>
  <c r="H17" i="30"/>
  <c r="H17" i="32"/>
  <c r="H17" i="34"/>
  <c r="H15" i="37"/>
  <c r="H23" i="37" s="1"/>
  <c r="H24" i="37" s="1"/>
  <c r="H15" i="39"/>
  <c r="H23" i="39" s="1"/>
  <c r="H24" i="39" s="1"/>
  <c r="H15" i="41"/>
  <c r="H23" i="41" s="1"/>
  <c r="H24" i="41" s="1"/>
  <c r="H15" i="43"/>
  <c r="H23" i="43" s="1"/>
  <c r="H24" i="43" s="1"/>
  <c r="H17" i="5"/>
  <c r="H17" i="12"/>
  <c r="H17" i="15"/>
  <c r="H17" i="19"/>
  <c r="H17" i="18"/>
  <c r="H17" i="21"/>
  <c r="H17" i="23"/>
  <c r="H17" i="27"/>
  <c r="H17" i="29"/>
  <c r="H17" i="31"/>
  <c r="H17" i="33"/>
  <c r="H17" i="25"/>
  <c r="K12" i="48"/>
  <c r="G22" i="48"/>
  <c r="K20" i="48"/>
  <c r="H22" i="48"/>
  <c r="K11" i="48"/>
  <c r="I22" i="48"/>
  <c r="J22" i="48"/>
  <c r="K21" i="48"/>
  <c r="F14" i="48"/>
  <c r="F13" i="48"/>
  <c r="H38" i="46"/>
  <c r="K45" i="45"/>
  <c r="F47" i="45"/>
  <c r="I31" i="48"/>
  <c r="J31" i="48"/>
  <c r="J38" i="46"/>
  <c r="K38" i="45"/>
  <c r="K10" i="48"/>
  <c r="H26" i="33" l="1"/>
  <c r="H31" i="46" s="1"/>
  <c r="H25" i="33"/>
  <c r="H26" i="29"/>
  <c r="H27" i="46" s="1"/>
  <c r="H25" i="29"/>
  <c r="H26" i="23"/>
  <c r="H21" i="46" s="1"/>
  <c r="H25" i="23"/>
  <c r="H26" i="18"/>
  <c r="H17" i="46" s="1"/>
  <c r="H25" i="18"/>
  <c r="H26" i="15"/>
  <c r="H13" i="46" s="1"/>
  <c r="H25" i="15"/>
  <c r="H26" i="5"/>
  <c r="H27" i="48" s="1"/>
  <c r="H25" i="5"/>
  <c r="H26" i="32"/>
  <c r="H30" i="46" s="1"/>
  <c r="H25" i="32"/>
  <c r="H26" i="28"/>
  <c r="H26" i="46" s="1"/>
  <c r="H25" i="28"/>
  <c r="H26" i="24"/>
  <c r="H22" i="46" s="1"/>
  <c r="H25" i="24"/>
  <c r="H26" i="20"/>
  <c r="H18" i="46" s="1"/>
  <c r="H25" i="20"/>
  <c r="H26" i="16"/>
  <c r="H14" i="46" s="1"/>
  <c r="H25" i="16"/>
  <c r="H26" i="13"/>
  <c r="H10" i="46" s="1"/>
  <c r="H25" i="13"/>
  <c r="G26" i="25"/>
  <c r="G23" i="46" s="1"/>
  <c r="G25" i="25"/>
  <c r="G26" i="32"/>
  <c r="G30" i="46" s="1"/>
  <c r="G25" i="32"/>
  <c r="G26" i="28"/>
  <c r="G35" i="48" s="1"/>
  <c r="G54" i="48" s="1"/>
  <c r="G25" i="28"/>
  <c r="G26" i="24"/>
  <c r="G22" i="46" s="1"/>
  <c r="G25" i="24"/>
  <c r="G26" i="20"/>
  <c r="G18" i="46" s="1"/>
  <c r="G25" i="20"/>
  <c r="G26" i="16"/>
  <c r="G14" i="46" s="1"/>
  <c r="G25" i="16"/>
  <c r="G26" i="13"/>
  <c r="G10" i="46" s="1"/>
  <c r="G25" i="13"/>
  <c r="G26" i="33"/>
  <c r="G31" i="46" s="1"/>
  <c r="G25" i="33"/>
  <c r="G26" i="29"/>
  <c r="G27" i="46" s="1"/>
  <c r="G25" i="29"/>
  <c r="G26" i="23"/>
  <c r="G21" i="46" s="1"/>
  <c r="G25" i="23"/>
  <c r="G26" i="18"/>
  <c r="G17" i="46" s="1"/>
  <c r="G25" i="18"/>
  <c r="G26" i="15"/>
  <c r="G13" i="46" s="1"/>
  <c r="G25" i="15"/>
  <c r="G26" i="5"/>
  <c r="G9" i="46" s="1"/>
  <c r="G25" i="5"/>
  <c r="I26" i="34"/>
  <c r="I32" i="46" s="1"/>
  <c r="I25" i="34"/>
  <c r="I26" i="30"/>
  <c r="I34" i="48" s="1"/>
  <c r="I25" i="30"/>
  <c r="I26" i="26"/>
  <c r="I24" i="46" s="1"/>
  <c r="I25" i="26"/>
  <c r="I26" i="22"/>
  <c r="I20" i="46" s="1"/>
  <c r="I25" i="22"/>
  <c r="I26" i="17"/>
  <c r="I16" i="46" s="1"/>
  <c r="I25" i="17"/>
  <c r="I26" i="14"/>
  <c r="I12" i="46" s="1"/>
  <c r="I25" i="14"/>
  <c r="I26" i="31"/>
  <c r="I29" i="46" s="1"/>
  <c r="I25" i="31"/>
  <c r="I26" i="27"/>
  <c r="I25" i="46" s="1"/>
  <c r="I25" i="27"/>
  <c r="I26" i="21"/>
  <c r="I19" i="46" s="1"/>
  <c r="I25" i="21"/>
  <c r="I26" i="19"/>
  <c r="I15" i="46" s="1"/>
  <c r="I25" i="19"/>
  <c r="I26" i="12"/>
  <c r="I11" i="46" s="1"/>
  <c r="I25" i="12"/>
  <c r="J26" i="26"/>
  <c r="J24" i="46" s="1"/>
  <c r="J25" i="26"/>
  <c r="J26" i="33"/>
  <c r="J31" i="46" s="1"/>
  <c r="J25" i="33"/>
  <c r="J26" i="29"/>
  <c r="J27" i="46" s="1"/>
  <c r="J25" i="29"/>
  <c r="J26" i="25"/>
  <c r="J23" i="46" s="1"/>
  <c r="J25" i="25"/>
  <c r="J26" i="21"/>
  <c r="J19" i="46" s="1"/>
  <c r="J25" i="21"/>
  <c r="J26" i="19"/>
  <c r="J15" i="46" s="1"/>
  <c r="J25" i="19"/>
  <c r="J26" i="12"/>
  <c r="J11" i="46" s="1"/>
  <c r="J25" i="12"/>
  <c r="J26" i="34"/>
  <c r="J32" i="46" s="1"/>
  <c r="J25" i="34"/>
  <c r="J26" i="28"/>
  <c r="J26" i="46" s="1"/>
  <c r="J25" i="28"/>
  <c r="J26" i="22"/>
  <c r="J20" i="46" s="1"/>
  <c r="J25" i="22"/>
  <c r="J26" i="17"/>
  <c r="J16" i="46" s="1"/>
  <c r="J25" i="17"/>
  <c r="J26" i="14"/>
  <c r="J12" i="46" s="1"/>
  <c r="J25" i="14"/>
  <c r="G38" i="46"/>
  <c r="H25" i="25"/>
  <c r="H26" i="25" s="1"/>
  <c r="H25" i="31"/>
  <c r="H26" i="31" s="1"/>
  <c r="H29" i="46" s="1"/>
  <c r="H25" i="27"/>
  <c r="H26" i="27" s="1"/>
  <c r="H25" i="46" s="1"/>
  <c r="H25" i="21"/>
  <c r="H26" i="21" s="1"/>
  <c r="H19" i="46" s="1"/>
  <c r="H25" i="19"/>
  <c r="H26" i="19" s="1"/>
  <c r="H15" i="46" s="1"/>
  <c r="H25" i="12"/>
  <c r="H26" i="12" s="1"/>
  <c r="H11" i="46" s="1"/>
  <c r="H25" i="34"/>
  <c r="H26" i="34" s="1"/>
  <c r="H32" i="46" s="1"/>
  <c r="H25" i="30"/>
  <c r="H26" i="30" s="1"/>
  <c r="H25" i="26"/>
  <c r="H26" i="26" s="1"/>
  <c r="H24" i="46" s="1"/>
  <c r="H25" i="22"/>
  <c r="H26" i="22" s="1"/>
  <c r="H20" i="46" s="1"/>
  <c r="H25" i="17"/>
  <c r="H26" i="17" s="1"/>
  <c r="H16" i="46" s="1"/>
  <c r="H25" i="14"/>
  <c r="H26" i="14" s="1"/>
  <c r="H12" i="46" s="1"/>
  <c r="G25" i="34"/>
  <c r="G26" i="34" s="1"/>
  <c r="G32" i="46" s="1"/>
  <c r="G25" i="30"/>
  <c r="G26" i="30" s="1"/>
  <c r="G25" i="26"/>
  <c r="G26" i="26" s="1"/>
  <c r="G25" i="22"/>
  <c r="G26" i="22" s="1"/>
  <c r="G20" i="46" s="1"/>
  <c r="G25" i="17"/>
  <c r="G26" i="17" s="1"/>
  <c r="G16" i="46" s="1"/>
  <c r="G25" i="14"/>
  <c r="G26" i="14" s="1"/>
  <c r="G12" i="46" s="1"/>
  <c r="G25" i="31"/>
  <c r="G26" i="31" s="1"/>
  <c r="G29" i="46" s="1"/>
  <c r="G25" i="27"/>
  <c r="G26" i="27" s="1"/>
  <c r="G25" i="46" s="1"/>
  <c r="G25" i="21"/>
  <c r="G26" i="21" s="1"/>
  <c r="G19" i="46" s="1"/>
  <c r="G25" i="19"/>
  <c r="G26" i="19" s="1"/>
  <c r="G15" i="46" s="1"/>
  <c r="G25" i="12"/>
  <c r="G26" i="12" s="1"/>
  <c r="G11" i="46" s="1"/>
  <c r="I25" i="25"/>
  <c r="I26" i="25" s="1"/>
  <c r="I25" i="32"/>
  <c r="I26" i="32" s="1"/>
  <c r="I30" i="46" s="1"/>
  <c r="I25" i="28"/>
  <c r="I26" i="28" s="1"/>
  <c r="I25" i="24"/>
  <c r="I26" i="24" s="1"/>
  <c r="I22" i="46" s="1"/>
  <c r="I25" i="20"/>
  <c r="I26" i="20" s="1"/>
  <c r="I18" i="46" s="1"/>
  <c r="I25" i="16"/>
  <c r="I26" i="16" s="1"/>
  <c r="I14" i="46" s="1"/>
  <c r="I25" i="13"/>
  <c r="I26" i="13" s="1"/>
  <c r="I10" i="46" s="1"/>
  <c r="I25" i="33"/>
  <c r="I26" i="33" s="1"/>
  <c r="I31" i="46" s="1"/>
  <c r="I25" i="29"/>
  <c r="I26" i="29" s="1"/>
  <c r="I27" i="46" s="1"/>
  <c r="I25" i="23"/>
  <c r="I26" i="23" s="1"/>
  <c r="I21" i="46" s="1"/>
  <c r="I25" i="18"/>
  <c r="I26" i="18" s="1"/>
  <c r="I17" i="46" s="1"/>
  <c r="I25" i="15"/>
  <c r="I26" i="15" s="1"/>
  <c r="I13" i="46" s="1"/>
  <c r="I25" i="5"/>
  <c r="I26" i="5" s="1"/>
  <c r="J25" i="32"/>
  <c r="J26" i="32" s="1"/>
  <c r="J30" i="46" s="1"/>
  <c r="J25" i="31"/>
  <c r="J26" i="31" s="1"/>
  <c r="J29" i="46" s="1"/>
  <c r="J25" i="27"/>
  <c r="J26" i="27" s="1"/>
  <c r="J25" i="23"/>
  <c r="J26" i="23" s="1"/>
  <c r="J21" i="46" s="1"/>
  <c r="J25" i="18"/>
  <c r="J26" i="18" s="1"/>
  <c r="J17" i="46" s="1"/>
  <c r="J25" i="15"/>
  <c r="J26" i="15" s="1"/>
  <c r="J13" i="46" s="1"/>
  <c r="J25" i="5"/>
  <c r="J26" i="5" s="1"/>
  <c r="J25" i="30"/>
  <c r="J26" i="30" s="1"/>
  <c r="J25" i="24"/>
  <c r="J26" i="24" s="1"/>
  <c r="J22" i="46" s="1"/>
  <c r="J25" i="20"/>
  <c r="J26" i="20" s="1"/>
  <c r="J18" i="46" s="1"/>
  <c r="J25" i="16"/>
  <c r="J26" i="16" s="1"/>
  <c r="J14" i="46" s="1"/>
  <c r="J25" i="13"/>
  <c r="J26" i="13" s="1"/>
  <c r="J10" i="46" s="1"/>
  <c r="J41" i="46"/>
  <c r="J36" i="48"/>
  <c r="J55" i="48" s="1"/>
  <c r="J37" i="46"/>
  <c r="J30" i="48"/>
  <c r="J49" i="48" s="1"/>
  <c r="J42" i="46"/>
  <c r="J28" i="48"/>
  <c r="J47" i="48" s="1"/>
  <c r="J37" i="48"/>
  <c r="J56" i="48" s="1"/>
  <c r="J43" i="46"/>
  <c r="J38" i="48"/>
  <c r="J39" i="46"/>
  <c r="J35" i="48"/>
  <c r="J54" i="48" s="1"/>
  <c r="J26" i="48"/>
  <c r="J44" i="46"/>
  <c r="J40" i="46"/>
  <c r="J39" i="48"/>
  <c r="J29" i="48"/>
  <c r="J36" i="46"/>
  <c r="J45" i="46" s="1"/>
  <c r="K47" i="45"/>
  <c r="F15" i="36"/>
  <c r="F23" i="36" s="1"/>
  <c r="F15" i="38"/>
  <c r="F23" i="38" s="1"/>
  <c r="K23" i="38" s="1"/>
  <c r="F15" i="40"/>
  <c r="F23" i="40" s="1"/>
  <c r="F15" i="42"/>
  <c r="F23" i="42" s="1"/>
  <c r="F15" i="58"/>
  <c r="F23" i="58" s="1"/>
  <c r="F17" i="13"/>
  <c r="F25" i="13" s="1"/>
  <c r="F17" i="14"/>
  <c r="F25" i="14" s="1"/>
  <c r="F17" i="16"/>
  <c r="F25" i="16" s="1"/>
  <c r="F17" i="17"/>
  <c r="F25" i="17" s="1"/>
  <c r="F17" i="20"/>
  <c r="F25" i="20" s="1"/>
  <c r="F17" i="22"/>
  <c r="F25" i="22" s="1"/>
  <c r="F17" i="24"/>
  <c r="F25" i="24" s="1"/>
  <c r="F17" i="26"/>
  <c r="F25" i="26" s="1"/>
  <c r="F17" i="28"/>
  <c r="F25" i="28" s="1"/>
  <c r="F17" i="30"/>
  <c r="F25" i="30" s="1"/>
  <c r="F17" i="32"/>
  <c r="F25" i="32" s="1"/>
  <c r="F17" i="34"/>
  <c r="F25" i="34" s="1"/>
  <c r="F15" i="37"/>
  <c r="F23" i="37" s="1"/>
  <c r="F15" i="39"/>
  <c r="F23" i="39" s="1"/>
  <c r="F15" i="41"/>
  <c r="F23" i="41" s="1"/>
  <c r="F15" i="43"/>
  <c r="F23" i="43" s="1"/>
  <c r="F17" i="5"/>
  <c r="F25" i="5" s="1"/>
  <c r="F17" i="12"/>
  <c r="F25" i="12" s="1"/>
  <c r="F17" i="15"/>
  <c r="F25" i="15" s="1"/>
  <c r="F17" i="19"/>
  <c r="F25" i="19" s="1"/>
  <c r="F17" i="18"/>
  <c r="F25" i="18" s="1"/>
  <c r="F17" i="21"/>
  <c r="F25" i="21" s="1"/>
  <c r="F17" i="23"/>
  <c r="F25" i="23" s="1"/>
  <c r="F17" i="27"/>
  <c r="F25" i="27" s="1"/>
  <c r="F17" i="29"/>
  <c r="F25" i="29" s="1"/>
  <c r="F17" i="31"/>
  <c r="F25" i="31" s="1"/>
  <c r="F17" i="33"/>
  <c r="F25" i="33" s="1"/>
  <c r="F17" i="25"/>
  <c r="F25" i="25" s="1"/>
  <c r="H37" i="48"/>
  <c r="H56" i="48" s="1"/>
  <c r="H43" i="46"/>
  <c r="H39" i="46"/>
  <c r="H38" i="48"/>
  <c r="H44" i="46"/>
  <c r="H26" i="48"/>
  <c r="H40" i="46"/>
  <c r="H39" i="48"/>
  <c r="H36" i="46"/>
  <c r="H29" i="48"/>
  <c r="G26" i="48"/>
  <c r="G44" i="46"/>
  <c r="G39" i="48"/>
  <c r="G40" i="46"/>
  <c r="G36" i="46"/>
  <c r="G29" i="48"/>
  <c r="G43" i="46"/>
  <c r="G37" i="48"/>
  <c r="G56" i="48" s="1"/>
  <c r="G39" i="46"/>
  <c r="G38" i="48"/>
  <c r="I42" i="46"/>
  <c r="I28" i="48"/>
  <c r="I47" i="48" s="1"/>
  <c r="I36" i="48"/>
  <c r="I55" i="48" s="1"/>
  <c r="I41" i="46"/>
  <c r="I30" i="48"/>
  <c r="I49" i="48" s="1"/>
  <c r="I37" i="46"/>
  <c r="H9" i="46"/>
  <c r="H36" i="48"/>
  <c r="H55" i="48" s="1"/>
  <c r="H41" i="46"/>
  <c r="H37" i="46"/>
  <c r="H30" i="48"/>
  <c r="H49" i="48" s="1"/>
  <c r="H35" i="48"/>
  <c r="H54" i="48" s="1"/>
  <c r="H42" i="46"/>
  <c r="H28" i="48"/>
  <c r="H47" i="48" s="1"/>
  <c r="G26" i="46"/>
  <c r="G42" i="46"/>
  <c r="G28" i="48"/>
  <c r="G47" i="48" s="1"/>
  <c r="G27" i="48"/>
  <c r="G36" i="48"/>
  <c r="G55" i="48" s="1"/>
  <c r="G41" i="46"/>
  <c r="G30" i="48"/>
  <c r="G49" i="48" s="1"/>
  <c r="G37" i="46"/>
  <c r="I28" i="46"/>
  <c r="I26" i="48"/>
  <c r="I44" i="46"/>
  <c r="I39" i="48"/>
  <c r="I40" i="46"/>
  <c r="I29" i="48"/>
  <c r="I36" i="46"/>
  <c r="I43" i="46"/>
  <c r="I37" i="48"/>
  <c r="I56" i="48" s="1"/>
  <c r="I39" i="46"/>
  <c r="I38" i="48"/>
  <c r="K13" i="48"/>
  <c r="K14" i="48"/>
  <c r="F22" i="48"/>
  <c r="K22" i="48" s="1"/>
  <c r="J11" i="51"/>
  <c r="J26" i="51" s="1"/>
  <c r="J50" i="48"/>
  <c r="I50" i="48"/>
  <c r="I11" i="51"/>
  <c r="I26" i="51" s="1"/>
  <c r="F24" i="38"/>
  <c r="G11" i="51"/>
  <c r="G26" i="51" s="1"/>
  <c r="G50" i="48"/>
  <c r="H50" i="48"/>
  <c r="H11" i="51"/>
  <c r="H26" i="51" s="1"/>
  <c r="J28" i="46" l="1"/>
  <c r="J34" i="48"/>
  <c r="J53" i="48" s="1"/>
  <c r="I9" i="46"/>
  <c r="I27" i="48"/>
  <c r="I9" i="51" s="1"/>
  <c r="I24" i="51" s="1"/>
  <c r="I26" i="46"/>
  <c r="I35" i="48"/>
  <c r="I54" i="48" s="1"/>
  <c r="I23" i="46"/>
  <c r="I33" i="48"/>
  <c r="I52" i="48" s="1"/>
  <c r="G28" i="46"/>
  <c r="G34" i="48"/>
  <c r="G53" i="48" s="1"/>
  <c r="H28" i="46"/>
  <c r="H34" i="48"/>
  <c r="H53" i="48" s="1"/>
  <c r="J9" i="46"/>
  <c r="J27" i="48"/>
  <c r="J46" i="48" s="1"/>
  <c r="J25" i="46"/>
  <c r="J33" i="48"/>
  <c r="J7" i="51" s="1"/>
  <c r="J22" i="51" s="1"/>
  <c r="G24" i="46"/>
  <c r="G33" i="48"/>
  <c r="G52" i="48" s="1"/>
  <c r="H23" i="46"/>
  <c r="H33" i="48"/>
  <c r="H52" i="48" s="1"/>
  <c r="I45" i="46"/>
  <c r="G45" i="46"/>
  <c r="H45" i="46"/>
  <c r="H33" i="46"/>
  <c r="G33" i="46"/>
  <c r="J10" i="51"/>
  <c r="J25" i="51" s="1"/>
  <c r="J48" i="48"/>
  <c r="J45" i="48"/>
  <c r="J12" i="51"/>
  <c r="J27" i="51" s="1"/>
  <c r="J57" i="48"/>
  <c r="J33" i="46"/>
  <c r="J47" i="46" s="1"/>
  <c r="J58" i="48"/>
  <c r="J13" i="51"/>
  <c r="J28" i="51" s="1"/>
  <c r="J32" i="48"/>
  <c r="J8" i="51"/>
  <c r="J23" i="51" s="1"/>
  <c r="J9" i="51"/>
  <c r="J24" i="51" s="1"/>
  <c r="I12" i="51"/>
  <c r="I27" i="51" s="1"/>
  <c r="I57" i="48"/>
  <c r="I8" i="51"/>
  <c r="I23" i="51" s="1"/>
  <c r="I53" i="48"/>
  <c r="G32" i="48"/>
  <c r="G51" i="48" s="1"/>
  <c r="I46" i="48"/>
  <c r="I32" i="48"/>
  <c r="G12" i="51"/>
  <c r="G27" i="51" s="1"/>
  <c r="G57" i="48"/>
  <c r="G10" i="51"/>
  <c r="G25" i="51" s="1"/>
  <c r="G48" i="48"/>
  <c r="G8" i="51"/>
  <c r="G23" i="51" s="1"/>
  <c r="H48" i="48"/>
  <c r="H10" i="51"/>
  <c r="H25" i="51" s="1"/>
  <c r="H13" i="51"/>
  <c r="H28" i="51" s="1"/>
  <c r="H58" i="48"/>
  <c r="H45" i="48"/>
  <c r="H7" i="51"/>
  <c r="H22" i="51" s="1"/>
  <c r="H8" i="51"/>
  <c r="H23" i="51" s="1"/>
  <c r="H57" i="48"/>
  <c r="H12" i="51"/>
  <c r="H27" i="51" s="1"/>
  <c r="H32" i="48"/>
  <c r="H51" i="48" s="1"/>
  <c r="F26" i="25"/>
  <c r="K25" i="25"/>
  <c r="K25" i="31"/>
  <c r="F26" i="31"/>
  <c r="K25" i="27"/>
  <c r="F26" i="27"/>
  <c r="K25" i="21"/>
  <c r="F26" i="21"/>
  <c r="K25" i="19"/>
  <c r="F26" i="19"/>
  <c r="K25" i="12"/>
  <c r="F26" i="12"/>
  <c r="K23" i="43"/>
  <c r="F24" i="43"/>
  <c r="K23" i="39"/>
  <c r="F24" i="39"/>
  <c r="K25" i="34"/>
  <c r="F26" i="34"/>
  <c r="K25" i="30"/>
  <c r="F26" i="30"/>
  <c r="K25" i="26"/>
  <c r="F26" i="26"/>
  <c r="K25" i="22"/>
  <c r="F26" i="22"/>
  <c r="K25" i="17"/>
  <c r="F26" i="17"/>
  <c r="F26" i="14"/>
  <c r="K25" i="14"/>
  <c r="F24" i="58"/>
  <c r="K23" i="58"/>
  <c r="K23" i="40"/>
  <c r="F24" i="40"/>
  <c r="K23" i="36"/>
  <c r="F24" i="36"/>
  <c r="I10" i="51"/>
  <c r="I25" i="51" s="1"/>
  <c r="I48" i="48"/>
  <c r="I58" i="48"/>
  <c r="I13" i="51"/>
  <c r="I28" i="51" s="1"/>
  <c r="I45" i="48"/>
  <c r="G9" i="51"/>
  <c r="G24" i="51" s="1"/>
  <c r="G46" i="48"/>
  <c r="H46" i="48"/>
  <c r="H9" i="51"/>
  <c r="H24" i="51" s="1"/>
  <c r="I33" i="46"/>
  <c r="I47" i="46" s="1"/>
  <c r="G13" i="51"/>
  <c r="G28" i="51" s="1"/>
  <c r="G58" i="48"/>
  <c r="G45" i="48"/>
  <c r="G7" i="51"/>
  <c r="G22" i="51" s="1"/>
  <c r="K25" i="33"/>
  <c r="F26" i="33"/>
  <c r="K25" i="29"/>
  <c r="F26" i="29"/>
  <c r="K25" i="23"/>
  <c r="F26" i="23"/>
  <c r="K25" i="18"/>
  <c r="F26" i="18"/>
  <c r="K25" i="15"/>
  <c r="F26" i="15"/>
  <c r="F26" i="5"/>
  <c r="K25" i="5"/>
  <c r="K23" i="41"/>
  <c r="F24" i="41"/>
  <c r="K23" i="37"/>
  <c r="F24" i="37"/>
  <c r="K25" i="32"/>
  <c r="F26" i="32"/>
  <c r="F26" i="28"/>
  <c r="K25" i="28"/>
  <c r="K25" i="24"/>
  <c r="F26" i="24"/>
  <c r="K25" i="20"/>
  <c r="F26" i="20"/>
  <c r="F26" i="16"/>
  <c r="K25" i="16"/>
  <c r="K25" i="13"/>
  <c r="F26" i="13"/>
  <c r="K23" i="42"/>
  <c r="F24" i="42"/>
  <c r="K24" i="38"/>
  <c r="F38" i="46"/>
  <c r="K38" i="46" s="1"/>
  <c r="F31" i="48"/>
  <c r="I7" i="51" l="1"/>
  <c r="I22" i="51" s="1"/>
  <c r="H40" i="48"/>
  <c r="J52" i="48"/>
  <c r="G40" i="48"/>
  <c r="J29" i="51"/>
  <c r="J30" i="51" s="1"/>
  <c r="G59" i="48"/>
  <c r="J14" i="51"/>
  <c r="H29" i="51"/>
  <c r="H30" i="51" s="1"/>
  <c r="I29" i="51"/>
  <c r="I30" i="51" s="1"/>
  <c r="H47" i="46"/>
  <c r="H41" i="48" s="1"/>
  <c r="G29" i="51"/>
  <c r="G30" i="51" s="1"/>
  <c r="H59" i="48"/>
  <c r="G47" i="46"/>
  <c r="J15" i="51"/>
  <c r="J51" i="48"/>
  <c r="J59" i="48" s="1"/>
  <c r="J40" i="48"/>
  <c r="J41" i="48" s="1"/>
  <c r="F28" i="48"/>
  <c r="F42" i="46"/>
  <c r="K42" i="46" s="1"/>
  <c r="K24" i="42"/>
  <c r="K26" i="13"/>
  <c r="F10" i="46"/>
  <c r="K10" i="46" s="1"/>
  <c r="K26" i="20"/>
  <c r="F18" i="46"/>
  <c r="K18" i="46" s="1"/>
  <c r="K26" i="24"/>
  <c r="F22" i="46"/>
  <c r="K22" i="46" s="1"/>
  <c r="K26" i="32"/>
  <c r="F30" i="46"/>
  <c r="K30" i="46" s="1"/>
  <c r="K24" i="37"/>
  <c r="F37" i="46"/>
  <c r="K37" i="46" s="1"/>
  <c r="F30" i="48"/>
  <c r="F36" i="48"/>
  <c r="F55" i="48" s="1"/>
  <c r="K24" i="41"/>
  <c r="F41" i="46"/>
  <c r="K41" i="46" s="1"/>
  <c r="K26" i="15"/>
  <c r="F13" i="46"/>
  <c r="K13" i="46" s="1"/>
  <c r="K26" i="18"/>
  <c r="F17" i="46"/>
  <c r="K17" i="46" s="1"/>
  <c r="K26" i="23"/>
  <c r="F21" i="46"/>
  <c r="K21" i="46" s="1"/>
  <c r="K26" i="29"/>
  <c r="F27" i="46"/>
  <c r="K27" i="46" s="1"/>
  <c r="F31" i="46"/>
  <c r="K31" i="46" s="1"/>
  <c r="K26" i="33"/>
  <c r="K24" i="58"/>
  <c r="F44" i="46"/>
  <c r="K44" i="46" s="1"/>
  <c r="F26" i="48"/>
  <c r="K26" i="14"/>
  <c r="F12" i="46"/>
  <c r="K12" i="46" s="1"/>
  <c r="F33" i="48"/>
  <c r="K26" i="25"/>
  <c r="F23" i="46"/>
  <c r="K23" i="46" s="1"/>
  <c r="H14" i="51"/>
  <c r="H15" i="51" s="1"/>
  <c r="G14" i="51"/>
  <c r="G15" i="51" s="1"/>
  <c r="I14" i="51"/>
  <c r="I15" i="51" s="1"/>
  <c r="F14" i="46"/>
  <c r="K14" i="46" s="1"/>
  <c r="K26" i="16"/>
  <c r="K26" i="28"/>
  <c r="F35" i="48"/>
  <c r="F54" i="48" s="1"/>
  <c r="F26" i="46"/>
  <c r="K26" i="46" s="1"/>
  <c r="F27" i="48"/>
  <c r="F9" i="46"/>
  <c r="K26" i="5"/>
  <c r="F36" i="46"/>
  <c r="K24" i="36"/>
  <c r="F29" i="48"/>
  <c r="F39" i="48"/>
  <c r="K24" i="40"/>
  <c r="F40" i="46"/>
  <c r="K40" i="46" s="1"/>
  <c r="F16" i="46"/>
  <c r="K16" i="46" s="1"/>
  <c r="K26" i="17"/>
  <c r="K26" i="22"/>
  <c r="F20" i="46"/>
  <c r="K20" i="46" s="1"/>
  <c r="K26" i="26"/>
  <c r="F24" i="46"/>
  <c r="K24" i="46" s="1"/>
  <c r="K26" i="30"/>
  <c r="F34" i="48"/>
  <c r="F28" i="46"/>
  <c r="K28" i="46" s="1"/>
  <c r="K26" i="34"/>
  <c r="F32" i="46"/>
  <c r="K32" i="46" s="1"/>
  <c r="F38" i="48"/>
  <c r="K24" i="39"/>
  <c r="F39" i="46"/>
  <c r="K39" i="46" s="1"/>
  <c r="F37" i="48"/>
  <c r="F56" i="48" s="1"/>
  <c r="K24" i="43"/>
  <c r="F43" i="46"/>
  <c r="K43" i="46" s="1"/>
  <c r="F11" i="46"/>
  <c r="K11" i="46" s="1"/>
  <c r="K26" i="12"/>
  <c r="K26" i="19"/>
  <c r="F15" i="46"/>
  <c r="K15" i="46" s="1"/>
  <c r="K26" i="21"/>
  <c r="F19" i="46"/>
  <c r="K19" i="46" s="1"/>
  <c r="K26" i="27"/>
  <c r="F25" i="46"/>
  <c r="K25" i="46" s="1"/>
  <c r="K26" i="31"/>
  <c r="F29" i="46"/>
  <c r="K29" i="46" s="1"/>
  <c r="I51" i="48"/>
  <c r="I59" i="48" s="1"/>
  <c r="I40" i="48"/>
  <c r="I41" i="48" s="1"/>
  <c r="K31" i="48"/>
  <c r="F11" i="51"/>
  <c r="F50" i="48"/>
  <c r="K50" i="48" s="1"/>
  <c r="K36" i="46" l="1"/>
  <c r="F45" i="46"/>
  <c r="G41" i="48"/>
  <c r="F57" i="48"/>
  <c r="K57" i="48" s="1"/>
  <c r="K38" i="48"/>
  <c r="F12" i="51"/>
  <c r="F8" i="51"/>
  <c r="F53" i="48"/>
  <c r="F58" i="48"/>
  <c r="K58" i="48" s="1"/>
  <c r="F13" i="51"/>
  <c r="K39" i="48"/>
  <c r="F33" i="46"/>
  <c r="K33" i="46" s="1"/>
  <c r="K9" i="46"/>
  <c r="F52" i="48"/>
  <c r="F32" i="48"/>
  <c r="F47" i="48"/>
  <c r="K47" i="48" s="1"/>
  <c r="K28" i="48"/>
  <c r="F47" i="46"/>
  <c r="K47" i="46" s="1"/>
  <c r="F48" i="48"/>
  <c r="K48" i="48" s="1"/>
  <c r="F10" i="51"/>
  <c r="K29" i="48"/>
  <c r="F46" i="48"/>
  <c r="K46" i="48" s="1"/>
  <c r="F9" i="51"/>
  <c r="K27" i="48"/>
  <c r="F45" i="48"/>
  <c r="K45" i="48" s="1"/>
  <c r="K26" i="48"/>
  <c r="F7" i="51"/>
  <c r="F49" i="48"/>
  <c r="K49" i="48" s="1"/>
  <c r="K30" i="48"/>
  <c r="K45" i="46"/>
  <c r="K11" i="51"/>
  <c r="F26" i="51"/>
  <c r="F22" i="51" l="1"/>
  <c r="K22" i="51" s="1"/>
  <c r="K7" i="51"/>
  <c r="F24" i="51"/>
  <c r="K24" i="51" s="1"/>
  <c r="K9" i="51"/>
  <c r="F51" i="48"/>
  <c r="K32" i="48"/>
  <c r="F40" i="48"/>
  <c r="F23" i="51"/>
  <c r="K23" i="51" s="1"/>
  <c r="K8" i="51"/>
  <c r="F14" i="51"/>
  <c r="F25" i="51"/>
  <c r="K25" i="51" s="1"/>
  <c r="K10" i="51"/>
  <c r="K13" i="51"/>
  <c r="F28" i="51"/>
  <c r="K28" i="51" s="1"/>
  <c r="F27" i="51"/>
  <c r="K27" i="51" s="1"/>
  <c r="K12" i="51"/>
  <c r="K26" i="51"/>
  <c r="F29" i="51" l="1"/>
  <c r="F30" i="51" s="1"/>
  <c r="K40" i="48"/>
  <c r="K41" i="48" s="1"/>
  <c r="F41" i="48"/>
  <c r="K51" i="48"/>
  <c r="F59" i="48"/>
  <c r="K59" i="48" s="1"/>
  <c r="K29" i="51"/>
  <c r="K30" i="51" s="1"/>
  <c r="K14" i="51"/>
  <c r="K15" i="51" s="1"/>
  <c r="F15" i="51"/>
</calcChain>
</file>

<file path=xl/sharedStrings.xml><?xml version="1.0" encoding="utf-8"?>
<sst xmlns="http://schemas.openxmlformats.org/spreadsheetml/2006/main" count="1395" uniqueCount="247">
  <si>
    <t>2015/16</t>
  </si>
  <si>
    <t>Construction</t>
  </si>
  <si>
    <t>Mains Augmentation</t>
  </si>
  <si>
    <t>Telemetry</t>
  </si>
  <si>
    <t>Information Technology</t>
  </si>
  <si>
    <t>Large Consumers</t>
  </si>
  <si>
    <t>Growth New Areas</t>
  </si>
  <si>
    <t>Other Dist.System</t>
  </si>
  <si>
    <t>Other - Non-Dist.System</t>
  </si>
  <si>
    <t>Mains Renewal - Block</t>
  </si>
  <si>
    <t>New Main - Estate</t>
  </si>
  <si>
    <t>New Main - Existing Domestic</t>
  </si>
  <si>
    <t>Meter - Growth - Domestic</t>
  </si>
  <si>
    <t>New Service - New Home</t>
  </si>
  <si>
    <t>New Service - Exist Home</t>
  </si>
  <si>
    <t>New Service - Multi User</t>
  </si>
  <si>
    <t>New Service - I&amp;C &lt; 10 Tj</t>
  </si>
  <si>
    <t>Mains Renewal - Block CBD - Trunk</t>
  </si>
  <si>
    <t>Mains Renewal - Block CBD - Retic</t>
  </si>
  <si>
    <t>2016/17</t>
  </si>
  <si>
    <t>2017/18</t>
  </si>
  <si>
    <t>2018/19</t>
  </si>
  <si>
    <t>2019/20</t>
  </si>
  <si>
    <t>2020/21</t>
  </si>
  <si>
    <t>Check</t>
  </si>
  <si>
    <t>Description of model</t>
  </si>
  <si>
    <t>Sheet Name</t>
  </si>
  <si>
    <t>Sheet Description</t>
  </si>
  <si>
    <r>
      <rPr>
        <b/>
        <sz val="14"/>
        <color theme="0"/>
        <rFont val="Calibri"/>
        <family val="2"/>
        <scheme val="minor"/>
      </rPr>
      <t>Australian Gas Networks</t>
    </r>
    <r>
      <rPr>
        <b/>
        <sz val="11"/>
        <color theme="0"/>
        <rFont val="Calibri"/>
        <family val="2"/>
        <scheme val="minor"/>
      </rPr>
      <t xml:space="preserve">
South Australian Access Arrangement
Capital Expenditure Model, 2016/17 - 2020/21</t>
    </r>
  </si>
  <si>
    <t>Capital expenditure model for Australian Gas Networks SA (AGN SA), 2016/17 - 2020/21</t>
  </si>
  <si>
    <t>PMC Meters Domestic</t>
  </si>
  <si>
    <t>PMC Meters I&amp;C&lt;10TJ</t>
  </si>
  <si>
    <t>Mains Renewal - Trunk (MP)</t>
  </si>
  <si>
    <t>Mains Renewal - Trunk (MP) Abandoned</t>
  </si>
  <si>
    <t>Mains Renewal - Piece (CI &amp; UPS)</t>
  </si>
  <si>
    <t>Mains Renewal - Piece (HDPE)</t>
  </si>
  <si>
    <t>Service Renewal - Multi User</t>
  </si>
  <si>
    <t>Service Renewal - Non AMRP</t>
  </si>
  <si>
    <t>New Main - I&amp;C&lt;10TJ</t>
  </si>
  <si>
    <t>I&amp;C Meters&lt;10TJ</t>
  </si>
  <si>
    <t>Contents!A1</t>
  </si>
  <si>
    <t>Base Year
 2014/15</t>
  </si>
  <si>
    <t>Total for 
2016/17-2020/21</t>
  </si>
  <si>
    <t>Labour</t>
  </si>
  <si>
    <t>Materials</t>
  </si>
  <si>
    <t>Capex Forecast based on Unit Rate Calculation</t>
  </si>
  <si>
    <t>Volumes</t>
  </si>
  <si>
    <t>Unescalated Forecast</t>
  </si>
  <si>
    <t>Forecast + Real Cost Escalation</t>
  </si>
  <si>
    <t>Total Forecast</t>
  </si>
  <si>
    <t>Total Forecast + Real Cost Escalation</t>
  </si>
  <si>
    <t>Forecast + Real Cost Escalation + Overheads</t>
  </si>
  <si>
    <t>Total Forecast + Real Cost Escalation + Overheads</t>
  </si>
  <si>
    <t>Hyperlink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</si>
  <si>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</si>
  <si>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</si>
  <si>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</si>
  <si>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</si>
  <si>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</si>
  <si>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</si>
  <si>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</si>
  <si>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</si>
  <si>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</si>
  <si>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</si>
  <si>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</si>
  <si>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</si>
  <si>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</si>
  <si>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</si>
  <si>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</si>
  <si>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</si>
  <si>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</si>
  <si>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</si>
  <si>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</si>
  <si>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</si>
  <si>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</si>
  <si>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</si>
  <si>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Unit Rate ($)</t>
  </si>
  <si>
    <t>Unit Rate Capex Forecast, $m 2014/15</t>
  </si>
  <si>
    <t>Real Cost Escalation</t>
  </si>
  <si>
    <t>Year-on-Year</t>
  </si>
  <si>
    <t>Cumulative</t>
  </si>
  <si>
    <t>01 PMC Meters Domestic Forecast, $m 2014/15</t>
  </si>
  <si>
    <t>02 PMC Meters I&amp;C&lt;10TJ, $m 2014/15</t>
  </si>
  <si>
    <t>03 Mains Renewal - Trunk (MP), $m 2014/15</t>
  </si>
  <si>
    <t>04 Mains Renewal - Trunk (MP) Abandoned, $m 2014/15</t>
  </si>
  <si>
    <t>05 Mains Renewal - Piece (CI &amp; UPS), $m 2014/15</t>
  </si>
  <si>
    <t>06 Mains Renewal - HDPE Class 250, $m 2014/15</t>
  </si>
  <si>
    <t>07 Mains Renewal - HDPE Class 575, $m 2014/15</t>
  </si>
  <si>
    <t>08 Mains Renewal - Block, $m 2014/15</t>
  </si>
  <si>
    <t>09 Mains Renewal - Block CBD - Trunk, $m 2014/15</t>
  </si>
  <si>
    <t>10 Mains Renewal - Piece (HDPE), $m 2014/15</t>
  </si>
  <si>
    <t>11 Mains Renewal - SA CBD Abandoned, $m 2014/15</t>
  </si>
  <si>
    <t>12 Mains Renewal - Block CBD - Retic, $m 2014/15</t>
  </si>
  <si>
    <t>13 Service Renewal - Multi User, $m 2014/15</t>
  </si>
  <si>
    <t>14 Service Renewal - Non AMRP, $m 2014/15</t>
  </si>
  <si>
    <t>15 New Main - Estate, $m 2014/15</t>
  </si>
  <si>
    <t>16 New Main - Existing Domestic, $m 2014/15</t>
  </si>
  <si>
    <t>17 New Main - I&amp;C&lt;10TJ, $m 2014/15</t>
  </si>
  <si>
    <t>18 Meter - Growth - Domestic, $m 2014/15</t>
  </si>
  <si>
    <t>19 I&amp;C Meters&lt;10TJ, $m 2014/15</t>
  </si>
  <si>
    <t>20 New Service - New Home, $m 2014/15</t>
  </si>
  <si>
    <t>21 New Service - Exist Home, $m 2014/15</t>
  </si>
  <si>
    <t>MAINS RENEWAL - BLOCK (SA CBD - UPGRADE)</t>
  </si>
  <si>
    <t>23</t>
  </si>
  <si>
    <t>24</t>
  </si>
  <si>
    <t>22 New Service - Multi User, $m 2014/15</t>
  </si>
  <si>
    <t>23 New Service - I&amp;C &lt; 10 TJ, $m 2014/15</t>
  </si>
  <si>
    <t>24 MAINS RENEWAL - BLOCK (SA CBD - UPGRADE), $m 2014/15</t>
  </si>
  <si>
    <t>25</t>
  </si>
  <si>
    <t>26</t>
  </si>
  <si>
    <t>27</t>
  </si>
  <si>
    <t>28</t>
  </si>
  <si>
    <t>29</t>
  </si>
  <si>
    <t>Capex Forecast based on Direct Costs</t>
  </si>
  <si>
    <t>Direct Cost Capex Forecast</t>
  </si>
  <si>
    <t>30</t>
  </si>
  <si>
    <t>31</t>
  </si>
  <si>
    <t>32</t>
  </si>
  <si>
    <t>Regulator - S I B</t>
  </si>
  <si>
    <t>25 Telemetry, $m 2014/15</t>
  </si>
  <si>
    <t>26 Regulator - S I B, $m 2014/15</t>
  </si>
  <si>
    <t>27 Information Technology, $m 2014/15</t>
  </si>
  <si>
    <t>28 Other Dist.System, $m 2014/15</t>
  </si>
  <si>
    <t>29 Other - Non-Dist.System, $m 2014/15</t>
  </si>
  <si>
    <t>30 Large Consumers, $m 2014/15</t>
  </si>
  <si>
    <t>31 Mains Augmentation, $m 2014/15</t>
  </si>
  <si>
    <t>32 Growth New Areas, $m 2014/15</t>
  </si>
  <si>
    <t>Unescalated Capex Forecasts</t>
  </si>
  <si>
    <t>Unit Rate Forecasts</t>
  </si>
  <si>
    <t>Non-Unit Rate Forecasts</t>
  </si>
  <si>
    <t>TOTAL</t>
  </si>
  <si>
    <t>SUBTOTAL</t>
  </si>
  <si>
    <t>Capex Forecasts + Real Cost Escalation + Overheads</t>
  </si>
  <si>
    <t>01'!A1</t>
  </si>
  <si>
    <t>02'!A1</t>
  </si>
  <si>
    <t>03'!A1</t>
  </si>
  <si>
    <t>04'!A1</t>
  </si>
  <si>
    <t>05'!A1</t>
  </si>
  <si>
    <t>06'!A1</t>
  </si>
  <si>
    <t>07'!A1</t>
  </si>
  <si>
    <t>08'!A1</t>
  </si>
  <si>
    <t>09'!A1</t>
  </si>
  <si>
    <t>10'!A1</t>
  </si>
  <si>
    <t>11'!A1</t>
  </si>
  <si>
    <t>12'!A1</t>
  </si>
  <si>
    <t>13'!A1</t>
  </si>
  <si>
    <t>14'!A1</t>
  </si>
  <si>
    <t>15'!A1</t>
  </si>
  <si>
    <t>16'!A1</t>
  </si>
  <si>
    <t>17'!A1</t>
  </si>
  <si>
    <t>18'!A1</t>
  </si>
  <si>
    <t>19'!A1</t>
  </si>
  <si>
    <t>20'!A1</t>
  </si>
  <si>
    <t>21'!A1</t>
  </si>
  <si>
    <t>22'!A1</t>
  </si>
  <si>
    <t>23'!A1</t>
  </si>
  <si>
    <t>24'!A1</t>
  </si>
  <si>
    <t>25'!A1</t>
  </si>
  <si>
    <t>26'!A1</t>
  </si>
  <si>
    <t>27'!A1</t>
  </si>
  <si>
    <t>28'!A1</t>
  </si>
  <si>
    <t>29'!A1</t>
  </si>
  <si>
    <t>30'!A1</t>
  </si>
  <si>
    <t>31'!A1</t>
  </si>
  <si>
    <t>32'!A1</t>
  </si>
  <si>
    <t>Capital Expenditure Forecasts (Unescalated), $m 2014/15</t>
  </si>
  <si>
    <t>Capital Expenditure Forecasts (Escalated &amp; Overheads included), $m 2014/15</t>
  </si>
  <si>
    <t>Mains Renewal - HDPE Class 250</t>
  </si>
  <si>
    <t>Mains Renewal - HDPE Class 575</t>
  </si>
  <si>
    <t>Mains Renewal - SA CBD Abandoned</t>
  </si>
  <si>
    <t>Unit Rate Escalation</t>
  </si>
  <si>
    <t>Non-Unit Rate Escalation</t>
  </si>
  <si>
    <t>Capex Summary Forecast - Unesc</t>
  </si>
  <si>
    <t>Capex Summary Forecast - Esc</t>
  </si>
  <si>
    <t>Summarises the capex forecast for all capex categories, in $m 2014/15</t>
  </si>
  <si>
    <t>AGN SA's proposed real cost escalation rates</t>
  </si>
  <si>
    <t>Summarises the capex forecast for all capex categories, including real escalation of input costs and overheads</t>
  </si>
  <si>
    <t>Real Cost Escalation'!A1</t>
  </si>
  <si>
    <t>Capex Summary Forecast - Unesc'!A1</t>
  </si>
  <si>
    <t>Capex Summary Forecast - Esc'!A1</t>
  </si>
  <si>
    <t>Mains Replacement</t>
  </si>
  <si>
    <t>Meter Replacement</t>
  </si>
  <si>
    <t>Augmentation</t>
  </si>
  <si>
    <t>Regulators</t>
  </si>
  <si>
    <t>IT</t>
  </si>
  <si>
    <t>Growth Assets</t>
  </si>
  <si>
    <t>Mains growth</t>
  </si>
  <si>
    <t>Inlets growth</t>
  </si>
  <si>
    <t>Meters growth</t>
  </si>
  <si>
    <t>Large consumers</t>
  </si>
  <si>
    <t>Growth new areas</t>
  </si>
  <si>
    <t>Other Distribution System</t>
  </si>
  <si>
    <t>Other Non-Distribution System</t>
  </si>
  <si>
    <t>Capital Expenditure Forecasts (Escalated), $m 2014/15</t>
  </si>
  <si>
    <t>Overhead costs</t>
  </si>
  <si>
    <t>Overheads</t>
  </si>
  <si>
    <t>Historic Overheads</t>
  </si>
  <si>
    <t>$m, Nominal</t>
  </si>
  <si>
    <t>Operations &amp; Maintenance</t>
  </si>
  <si>
    <t>Planning &amp; System Design</t>
  </si>
  <si>
    <t>Procurement and Fleet</t>
  </si>
  <si>
    <t>Technical Assurance</t>
  </si>
  <si>
    <t>Network Engineering</t>
  </si>
  <si>
    <t>Support</t>
  </si>
  <si>
    <t>2011/12</t>
  </si>
  <si>
    <t>2012/13</t>
  </si>
  <si>
    <t>2013/14</t>
  </si>
  <si>
    <t>Total Overheads</t>
  </si>
  <si>
    <t>Total Capex</t>
  </si>
  <si>
    <t>% Overheads to Capex</t>
  </si>
  <si>
    <t>Average</t>
  </si>
  <si>
    <t>AGN SA's application of proposed overheads</t>
  </si>
  <si>
    <t>Overheads!A1</t>
  </si>
  <si>
    <t>BIS Shrapnel</t>
  </si>
  <si>
    <t>Deloitte Access Economics</t>
  </si>
  <si>
    <t>Deloitte Access Economics Forecast Growth in labour costs in NEM regions of Australia, publicly available</t>
  </si>
  <si>
    <t>Capital Expenditure (escalated and excluding overhead costs)</t>
  </si>
  <si>
    <t>Capital Expenditure (escalated and including overhead costs)</t>
  </si>
  <si>
    <t>Attachment 7.3 Real Cost Escalation BIS Shrapnel Final Report</t>
  </si>
  <si>
    <t>Total Capex - Overheads</t>
  </si>
  <si>
    <t>Summarises the capex forecast for all capex categories, and calculates the impact of applying overheads to the forecast.</t>
  </si>
  <si>
    <t>Capex Summary Forecast - OHs</t>
  </si>
  <si>
    <t>Capex Summary Forecast - OHs'!A1</t>
  </si>
  <si>
    <t>Inflation</t>
  </si>
  <si>
    <t>Mains</t>
  </si>
  <si>
    <t>Inlets</t>
  </si>
  <si>
    <t>Meters</t>
  </si>
  <si>
    <t>IT System</t>
  </si>
  <si>
    <t>Other distribution system equipment</t>
  </si>
  <si>
    <t>Other</t>
  </si>
  <si>
    <t>Capital Expenditure Forecasts by RAB Category PTRM Input</t>
  </si>
  <si>
    <t>PTRM Input</t>
  </si>
  <si>
    <t>Converts output of the Capex model for input into the PTRM.</t>
  </si>
  <si>
    <t>PTRM Input'!A1</t>
  </si>
  <si>
    <t>Source: Attachment 7.5 Real Cost Escalation BIS Final Report</t>
  </si>
  <si>
    <t>Proposed Overhead percentage applied to all forecast capex</t>
  </si>
  <si>
    <t>Inflation at 2015/16</t>
  </si>
  <si>
    <r>
      <t xml:space="preserve">Capital Expenditure Forecasts by RAB Category PTRM Input </t>
    </r>
    <r>
      <rPr>
        <b/>
        <u/>
        <sz val="10"/>
        <color theme="0"/>
        <rFont val="Calibri"/>
        <family val="2"/>
        <scheme val="minor"/>
      </rPr>
      <t>$m 2015/16</t>
    </r>
  </si>
  <si>
    <r>
      <t xml:space="preserve">Capital Expenditure Forecasts by RAB Category PTRM Input </t>
    </r>
    <r>
      <rPr>
        <b/>
        <u/>
        <sz val="10"/>
        <color theme="0"/>
        <rFont val="Calibri"/>
        <family val="2"/>
        <scheme val="minor"/>
      </rPr>
      <t>$m 2014/15</t>
    </r>
  </si>
  <si>
    <t>[c-i-c]</t>
  </si>
  <si>
    <t>33 AER alternative forecast for mains replacement program, $m 2014/15</t>
  </si>
  <si>
    <t xml:space="preserve">% of total </t>
  </si>
  <si>
    <t>33</t>
  </si>
  <si>
    <t>AER alternative forecast for mains replacement program</t>
  </si>
  <si>
    <t>33'!A1</t>
  </si>
  <si>
    <t>CPI adjustment</t>
  </si>
  <si>
    <t>% of total capex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</si>
</sst>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0.0%"/>
    <numFmt numFmtId="165" formatCode="_-* #,##0.000_-;\-* #,##0.000_-;_-* &quot;-&quot;???_-;_-@_-"/>
    <numFmt numFmtId="166" formatCode="_-* #,##0.0000_-;\-* #,##0.0000_-;_-* &quot;-&quot;??_-;_-@_-"/>
    <numFmt numFmtId="167" formatCode="_-&quot;$&quot;* #,##0.0_-;\-&quot;$&quot;* #,##0.0_-;_-&quot;$&quot;* &quot;-&quot;??_-;_-@_-"/>
    <numFmt numFmtId="168" formatCode="#,##0.0;\-#,##0.0;\-"/>
    <numFmt numFmtId="169" formatCode="#,##0;\(#,##0\);\-"/>
    <numFmt numFmtId="170" formatCode="#,##0;\(#,##0.\);\-"/>
    <numFmt numFmtId="171" formatCode="#,##0.00;\(#,##0.00\);\-"/>
    <numFmt numFmtId="172" formatCode="##0.0"/>
  </numFmts>
  <fonts count="6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color indexed="8"/>
      <name val="Calibri"/>
      <family val="2"/>
    </font>
    <font>
      <b/>
      <sz val="14"/>
      <color theme="0"/>
      <name val="Arial"/>
      <family val="2"/>
    </font>
    <font>
      <u/>
      <sz val="11"/>
      <color theme="10"/>
      <name val="Calibri"/>
      <family val="2"/>
      <scheme val="minor"/>
    </font>
    <font>
      <u/>
      <sz val="8"/>
      <color theme="10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0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  <font>
      <b/>
      <sz val="8"/>
      <color theme="0"/>
      <name val="Arial"/>
      <family val="2"/>
    </font>
    <font>
      <i/>
      <sz val="8"/>
      <color theme="1"/>
      <name val="Calibri"/>
      <family val="2"/>
      <scheme val="minor"/>
    </font>
    <font>
      <i/>
      <sz val="8"/>
      <color rgb="FF3F3F76"/>
      <name val="Calibri"/>
      <family val="2"/>
      <scheme val="minor"/>
    </font>
    <font>
      <b/>
      <i/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sz val="8"/>
      <color rgb="FF3F3F76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u/>
      <sz val="8"/>
      <color theme="1"/>
      <name val="Calibri"/>
      <family val="2"/>
      <scheme val="minor"/>
    </font>
    <font>
      <i/>
      <sz val="9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0"/>
      <name val="Calibri"/>
      <family val="2"/>
      <scheme val="minor"/>
    </font>
    <font>
      <i/>
      <sz val="8"/>
      <name val="Calibri"/>
      <family val="2"/>
      <scheme val="minor"/>
    </font>
    <font>
      <sz val="10"/>
      <color theme="1"/>
      <name val="Arial"/>
      <family val="2"/>
    </font>
    <font>
      <sz val="16"/>
      <color theme="0"/>
      <name val="Arial"/>
      <family val="2"/>
    </font>
    <font>
      <sz val="16"/>
      <color theme="1"/>
      <name val="Arial"/>
      <family val="2"/>
    </font>
    <font>
      <sz val="12"/>
      <color theme="0"/>
      <name val="Arial"/>
      <family val="2"/>
    </font>
    <font>
      <b/>
      <sz val="10"/>
      <color theme="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1"/>
      <color rgb="FFEC7405"/>
      <name val="Arial"/>
      <family val="2"/>
    </font>
    <font>
      <b/>
      <sz val="14"/>
      <color theme="9" tint="-0.24994659260841701"/>
      <name val="Calibri"/>
      <family val="2"/>
      <scheme val="minor"/>
    </font>
    <font>
      <sz val="10"/>
      <color rgb="FF00B050"/>
      <name val="Calibri"/>
      <family val="2"/>
      <scheme val="minor"/>
    </font>
    <font>
      <sz val="8"/>
      <color rgb="FF3366FF"/>
      <name val="Arial"/>
      <family val="2"/>
    </font>
    <font>
      <sz val="10"/>
      <color rgb="FF3366FF"/>
      <name val="Calibri"/>
      <family val="2"/>
      <scheme val="minor"/>
    </font>
    <font>
      <b/>
      <sz val="14"/>
      <color rgb="FFEC7405"/>
      <name val="Arial"/>
      <family val="2"/>
    </font>
    <font>
      <sz val="10"/>
      <color theme="0" tint="-0.499984740745262"/>
      <name val="Calibri"/>
      <family val="2"/>
      <scheme val="minor"/>
    </font>
    <font>
      <b/>
      <sz val="9"/>
      <color theme="1"/>
      <name val="Arial"/>
      <family val="2"/>
    </font>
    <font>
      <sz val="10"/>
      <color theme="0" tint="-4.9989318521683403E-2"/>
      <name val="Arial"/>
      <family val="2"/>
    </font>
    <font>
      <b/>
      <sz val="10"/>
      <color theme="9" tint="-0.24994659260841701"/>
      <name val="Arial"/>
      <family val="2"/>
    </font>
    <font>
      <u/>
      <sz val="10"/>
      <color indexed="12"/>
      <name val="Arial"/>
      <family val="2"/>
    </font>
    <font>
      <b/>
      <u/>
      <sz val="10"/>
      <color theme="9" tint="-0.24994659260841701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11"/>
      <color theme="1"/>
      <name val="Arial"/>
      <family val="2"/>
    </font>
    <font>
      <sz val="10"/>
      <color theme="1" tint="0.24994659260841701"/>
      <name val="Arial"/>
      <family val="2"/>
    </font>
    <font>
      <b/>
      <sz val="8"/>
      <color rgb="FFC00000"/>
      <name val="Arial"/>
      <family val="2"/>
    </font>
    <font>
      <u/>
      <sz val="9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rgb="FFFFCC9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hair">
        <color theme="0"/>
      </left>
      <right style="hair">
        <color theme="0"/>
      </right>
      <top style="hair">
        <color theme="0"/>
      </top>
      <bottom style="hair">
        <color theme="0"/>
      </bottom>
      <diagonal/>
    </border>
    <border>
      <left/>
      <right/>
      <top/>
      <bottom style="thin">
        <color theme="1" tint="0.499984740745262"/>
      </bottom>
      <diagonal/>
    </border>
    <border>
      <left/>
      <right/>
      <top/>
      <bottom style="medium">
        <color theme="1" tint="0.499984740745262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 style="thin">
        <color theme="0"/>
      </bottom>
      <diagonal/>
    </border>
  </borders>
  <cellStyleXfs count="50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2" borderId="1" applyNumberFormat="0" applyAlignment="0" applyProtection="0"/>
    <xf numFmtId="43" fontId="9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35" fillId="0" borderId="0"/>
    <xf numFmtId="0" fontId="40" fillId="10" borderId="23">
      <alignment vertical="center"/>
    </xf>
    <xf numFmtId="0" fontId="40" fillId="5" borderId="23">
      <alignment vertic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5" fillId="0" borderId="0" applyFont="0" applyFill="0" applyBorder="0" applyAlignment="0" applyProtection="0"/>
    <xf numFmtId="168" fontId="41" fillId="0" borderId="0">
      <alignment horizontal="center" vertical="center"/>
    </xf>
    <xf numFmtId="169" fontId="24" fillId="11" borderId="24"/>
    <xf numFmtId="0" fontId="42" fillId="0" borderId="0">
      <alignment horizontal="left" vertical="center"/>
    </xf>
    <xf numFmtId="0" fontId="43" fillId="0" borderId="25"/>
    <xf numFmtId="0" fontId="44" fillId="0" borderId="26"/>
    <xf numFmtId="169" fontId="45" fillId="12" borderId="23"/>
    <xf numFmtId="170" fontId="46" fillId="13" borderId="23">
      <alignment horizontal="right"/>
    </xf>
    <xf numFmtId="9" fontId="47" fillId="13" borderId="23"/>
    <xf numFmtId="170" fontId="47" fillId="13" borderId="23">
      <alignment horizontal="right"/>
    </xf>
    <xf numFmtId="170" fontId="47" fillId="13" borderId="23">
      <alignment horizontal="right"/>
    </xf>
    <xf numFmtId="0" fontId="48" fillId="0" borderId="0">
      <alignment horizontal="left" vertical="center"/>
    </xf>
    <xf numFmtId="171" fontId="49" fillId="0" borderId="0">
      <alignment horizontal="center" vertical="center"/>
    </xf>
    <xf numFmtId="0" fontId="18" fillId="14" borderId="27">
      <alignment horizontal="center" vertical="center"/>
    </xf>
    <xf numFmtId="169" fontId="41" fillId="15" borderId="23">
      <alignment horizontal="right" vertical="center" indent="1"/>
    </xf>
    <xf numFmtId="169" fontId="41" fillId="10" borderId="23">
      <alignment horizontal="right" vertical="center" indent="1"/>
    </xf>
    <xf numFmtId="169" fontId="50" fillId="5" borderId="23">
      <alignment vertical="center"/>
    </xf>
    <xf numFmtId="0" fontId="51" fillId="14" borderId="23">
      <alignment horizontal="center"/>
    </xf>
    <xf numFmtId="0" fontId="52" fillId="0" borderId="0" applyNumberFormat="0" applyFill="0" applyAlignment="0" applyProtection="0"/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5" fillId="0" borderId="0" applyNumberFormat="0" applyFill="0" applyBorder="0" applyAlignment="0" applyProtection="0">
      <alignment vertical="top"/>
      <protection locked="0"/>
    </xf>
    <xf numFmtId="0" fontId="56" fillId="0" borderId="0" applyNumberFormat="0" applyFill="0" applyBorder="0" applyAlignment="0" applyProtection="0">
      <alignment vertical="top"/>
      <protection locked="0"/>
    </xf>
    <xf numFmtId="0" fontId="57" fillId="0" borderId="0"/>
    <xf numFmtId="0" fontId="58" fillId="0" borderId="0"/>
    <xf numFmtId="0" fontId="1" fillId="0" borderId="0"/>
    <xf numFmtId="0" fontId="41" fillId="0" borderId="0"/>
    <xf numFmtId="0" fontId="35" fillId="0" borderId="0"/>
    <xf numFmtId="0" fontId="59" fillId="0" borderId="0"/>
    <xf numFmtId="9" fontId="35" fillId="0" borderId="0" applyFont="0" applyFill="0" applyBorder="0" applyAlignment="0" applyProtection="0"/>
    <xf numFmtId="172" fontId="57" fillId="0" borderId="0" applyFill="0" applyBorder="0" applyProtection="0">
      <alignment horizontal="right" vertical="center" wrapText="1"/>
    </xf>
    <xf numFmtId="0" fontId="60" fillId="10" borderId="28">
      <alignment horizontal="left" vertical="center" wrapText="1" indent="1"/>
    </xf>
    <xf numFmtId="0" fontId="61" fillId="0" borderId="0" applyFill="0"/>
    <xf numFmtId="0" fontId="35" fillId="0" borderId="0"/>
  </cellStyleXfs>
  <cellXfs count="255">
    <xf numFmtId="0" fontId="0" fillId="0" borderId="0" xfId="0"/>
    <xf numFmtId="0" fontId="0" fillId="0" borderId="0" xfId="0"/>
    <xf numFmtId="43" fontId="0" fillId="3" borderId="0" xfId="0" applyNumberFormat="1" applyFill="1"/>
    <xf numFmtId="0" fontId="0" fillId="3" borderId="0" xfId="0" applyFill="1"/>
    <xf numFmtId="0" fontId="0" fillId="4" borderId="0" xfId="0" applyFill="1"/>
    <xf numFmtId="0" fontId="0" fillId="5" borderId="0" xfId="0" applyFill="1"/>
    <xf numFmtId="0" fontId="0" fillId="6" borderId="0" xfId="0" applyFill="1"/>
    <xf numFmtId="0" fontId="0" fillId="6" borderId="0" xfId="0" applyFill="1" applyAlignment="1">
      <alignment horizontal="right" vertical="center"/>
    </xf>
    <xf numFmtId="0" fontId="5" fillId="6" borderId="0" xfId="0" applyFont="1" applyFill="1" applyAlignment="1">
      <alignment vertical="center" wrapText="1"/>
    </xf>
    <xf numFmtId="0" fontId="3" fillId="4" borderId="0" xfId="0" applyFont="1" applyFill="1"/>
    <xf numFmtId="0" fontId="0" fillId="4" borderId="0" xfId="0" applyFont="1" applyFill="1"/>
    <xf numFmtId="0" fontId="4" fillId="4" borderId="3" xfId="0" applyFont="1" applyFill="1" applyBorder="1"/>
    <xf numFmtId="0" fontId="4" fillId="5" borderId="0" xfId="0" applyFont="1" applyFill="1"/>
    <xf numFmtId="0" fontId="4" fillId="4" borderId="5" xfId="0" applyFont="1" applyFill="1" applyBorder="1"/>
    <xf numFmtId="0" fontId="8" fillId="5" borderId="0" xfId="0" applyFont="1" applyFill="1"/>
    <xf numFmtId="0" fontId="0" fillId="0" borderId="0" xfId="0" applyAlignment="1">
      <alignment vertical="center"/>
    </xf>
    <xf numFmtId="0" fontId="10" fillId="6" borderId="0" xfId="0" applyFont="1" applyFill="1" applyAlignment="1">
      <alignment horizontal="left" vertical="center"/>
    </xf>
    <xf numFmtId="0" fontId="6" fillId="6" borderId="0" xfId="0" applyFont="1" applyFill="1" applyAlignment="1">
      <alignment horizontal="center" vertical="center"/>
    </xf>
    <xf numFmtId="0" fontId="6" fillId="6" borderId="0" xfId="0" applyFont="1" applyFill="1" applyAlignment="1">
      <alignment vertical="center"/>
    </xf>
    <xf numFmtId="0" fontId="0" fillId="4" borderId="0" xfId="0" applyFill="1" applyAlignment="1">
      <alignment vertical="center"/>
    </xf>
    <xf numFmtId="0" fontId="12" fillId="4" borderId="0" xfId="6" applyFont="1" applyFill="1" applyAlignment="1">
      <alignment horizontal="left"/>
    </xf>
    <xf numFmtId="0" fontId="0" fillId="4" borderId="0" xfId="0" applyFill="1" applyAlignment="1">
      <alignment horizontal="center"/>
    </xf>
    <xf numFmtId="0" fontId="13" fillId="4" borderId="0" xfId="0" applyFont="1" applyFill="1" applyAlignment="1">
      <alignment vertical="center"/>
    </xf>
    <xf numFmtId="0" fontId="14" fillId="4" borderId="0" xfId="0" applyFont="1" applyFill="1" applyAlignment="1">
      <alignment horizontal="center" vertical="center"/>
    </xf>
    <xf numFmtId="0" fontId="15" fillId="4" borderId="6" xfId="0" applyFont="1" applyFill="1" applyBorder="1" applyAlignment="1">
      <alignment horizontal="center" wrapText="1"/>
    </xf>
    <xf numFmtId="0" fontId="15" fillId="4" borderId="6" xfId="0" applyFont="1" applyFill="1" applyBorder="1" applyAlignment="1">
      <alignment horizontal="center"/>
    </xf>
    <xf numFmtId="0" fontId="15" fillId="4" borderId="4" xfId="0" applyFont="1" applyFill="1" applyBorder="1" applyAlignment="1">
      <alignment horizontal="center"/>
    </xf>
    <xf numFmtId="0" fontId="15" fillId="4" borderId="7" xfId="0" applyFont="1" applyFill="1" applyBorder="1" applyAlignment="1">
      <alignment horizontal="center"/>
    </xf>
    <xf numFmtId="0" fontId="15" fillId="4" borderId="0" xfId="0" applyFont="1" applyFill="1" applyAlignment="1">
      <alignment horizontal="center" vertical="center"/>
    </xf>
    <xf numFmtId="0" fontId="15" fillId="4" borderId="0" xfId="0" applyFont="1" applyFill="1" applyBorder="1" applyAlignment="1">
      <alignment horizontal="center" vertical="center"/>
    </xf>
    <xf numFmtId="0" fontId="16" fillId="7" borderId="0" xfId="0" applyFont="1" applyFill="1" applyAlignment="1">
      <alignment vertical="center"/>
    </xf>
    <xf numFmtId="0" fontId="17" fillId="7" borderId="0" xfId="0" applyFont="1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18" fillId="7" borderId="0" xfId="0" applyFont="1" applyFill="1" applyBorder="1" applyAlignment="1">
      <alignment horizontal="center" vertical="center"/>
    </xf>
    <xf numFmtId="0" fontId="17" fillId="7" borderId="0" xfId="0" applyFont="1" applyFill="1" applyAlignment="1">
      <alignment vertical="center"/>
    </xf>
    <xf numFmtId="0" fontId="13" fillId="4" borderId="0" xfId="0" applyFont="1" applyFill="1" applyAlignment="1">
      <alignment horizontal="center" vertical="center"/>
    </xf>
    <xf numFmtId="0" fontId="13" fillId="4" borderId="8" xfId="0" applyFont="1" applyFill="1" applyBorder="1" applyAlignment="1">
      <alignment vertical="center"/>
    </xf>
    <xf numFmtId="9" fontId="20" fillId="4" borderId="0" xfId="4" applyNumberFormat="1" applyFont="1" applyFill="1" applyBorder="1" applyAlignment="1">
      <alignment horizontal="center" vertical="center"/>
    </xf>
    <xf numFmtId="44" fontId="13" fillId="4" borderId="0" xfId="0" applyNumberFormat="1" applyFont="1" applyFill="1" applyAlignment="1">
      <alignment vertical="center"/>
    </xf>
    <xf numFmtId="44" fontId="13" fillId="4" borderId="8" xfId="2" applyNumberFormat="1" applyFont="1" applyFill="1" applyBorder="1" applyAlignment="1">
      <alignment vertical="center"/>
    </xf>
    <xf numFmtId="44" fontId="13" fillId="4" borderId="2" xfId="0" applyNumberFormat="1" applyFont="1" applyFill="1" applyBorder="1" applyAlignment="1">
      <alignment vertical="center"/>
    </xf>
    <xf numFmtId="0" fontId="14" fillId="4" borderId="9" xfId="0" applyFont="1" applyFill="1" applyBorder="1" applyAlignment="1">
      <alignment horizontal="left" vertical="center"/>
    </xf>
    <xf numFmtId="9" fontId="13" fillId="4" borderId="9" xfId="0" applyNumberFormat="1" applyFont="1" applyFill="1" applyBorder="1" applyAlignment="1">
      <alignment horizontal="center" vertical="center"/>
    </xf>
    <xf numFmtId="44" fontId="14" fillId="4" borderId="9" xfId="0" applyNumberFormat="1" applyFont="1" applyFill="1" applyBorder="1" applyAlignment="1">
      <alignment vertical="center"/>
    </xf>
    <xf numFmtId="44" fontId="14" fillId="4" borderId="10" xfId="0" applyNumberFormat="1" applyFont="1" applyFill="1" applyBorder="1" applyAlignment="1">
      <alignment vertical="center"/>
    </xf>
    <xf numFmtId="44" fontId="14" fillId="4" borderId="11" xfId="0" applyNumberFormat="1" applyFont="1" applyFill="1" applyBorder="1" applyAlignment="1">
      <alignment vertical="center"/>
    </xf>
    <xf numFmtId="0" fontId="19" fillId="4" borderId="0" xfId="0" applyFont="1" applyFill="1" applyBorder="1" applyAlignment="1">
      <alignment horizontal="left" vertical="center"/>
    </xf>
    <xf numFmtId="41" fontId="19" fillId="4" borderId="0" xfId="0" applyNumberFormat="1" applyFont="1" applyFill="1" applyBorder="1" applyAlignment="1">
      <alignment horizontal="center" vertical="center"/>
    </xf>
    <xf numFmtId="44" fontId="21" fillId="4" borderId="0" xfId="0" applyNumberFormat="1" applyFont="1" applyFill="1" applyBorder="1" applyAlignment="1">
      <alignment vertical="center"/>
    </xf>
    <xf numFmtId="44" fontId="19" fillId="4" borderId="0" xfId="0" applyNumberFormat="1" applyFont="1" applyFill="1" applyBorder="1" applyAlignment="1">
      <alignment horizontal="right" vertical="center"/>
    </xf>
    <xf numFmtId="44" fontId="19" fillId="4" borderId="0" xfId="0" applyNumberFormat="1" applyFont="1" applyFill="1" applyBorder="1" applyAlignment="1">
      <alignment vertical="center"/>
    </xf>
    <xf numFmtId="44" fontId="14" fillId="4" borderId="0" xfId="0" applyNumberFormat="1" applyFont="1" applyFill="1" applyBorder="1" applyAlignment="1">
      <alignment vertical="center"/>
    </xf>
    <xf numFmtId="0" fontId="13" fillId="7" borderId="0" xfId="0" applyFont="1" applyFill="1" applyAlignment="1">
      <alignment vertical="center"/>
    </xf>
    <xf numFmtId="44" fontId="13" fillId="4" borderId="0" xfId="2" applyFont="1" applyFill="1" applyAlignment="1">
      <alignment vertical="center"/>
    </xf>
    <xf numFmtId="44" fontId="13" fillId="4" borderId="2" xfId="2" applyFont="1" applyFill="1" applyBorder="1" applyAlignment="1">
      <alignment vertical="center"/>
    </xf>
    <xf numFmtId="44" fontId="13" fillId="4" borderId="0" xfId="2" applyFont="1" applyFill="1" applyBorder="1" applyAlignment="1">
      <alignment vertical="center"/>
    </xf>
    <xf numFmtId="44" fontId="13" fillId="4" borderId="4" xfId="0" applyNumberFormat="1" applyFont="1" applyFill="1" applyBorder="1" applyAlignment="1">
      <alignment vertical="center"/>
    </xf>
    <xf numFmtId="0" fontId="14" fillId="4" borderId="9" xfId="0" applyFont="1" applyFill="1" applyBorder="1" applyAlignment="1">
      <alignment vertical="center"/>
    </xf>
    <xf numFmtId="44" fontId="14" fillId="4" borderId="12" xfId="0" applyNumberFormat="1" applyFont="1" applyFill="1" applyBorder="1" applyAlignment="1">
      <alignment vertical="center"/>
    </xf>
    <xf numFmtId="0" fontId="19" fillId="4" borderId="0" xfId="0" applyFont="1" applyFill="1" applyAlignment="1">
      <alignment vertical="center"/>
    </xf>
    <xf numFmtId="44" fontId="19" fillId="4" borderId="0" xfId="2" applyFont="1" applyFill="1" applyAlignment="1">
      <alignment vertical="center"/>
    </xf>
    <xf numFmtId="44" fontId="19" fillId="4" borderId="0" xfId="0" applyNumberFormat="1" applyFont="1" applyFill="1" applyAlignment="1">
      <alignment vertical="center"/>
    </xf>
    <xf numFmtId="44" fontId="13" fillId="4" borderId="8" xfId="2" applyFont="1" applyFill="1" applyBorder="1" applyAlignment="1">
      <alignment vertical="center"/>
    </xf>
    <xf numFmtId="0" fontId="13" fillId="4" borderId="0" xfId="0" applyFont="1" applyFill="1" applyAlignment="1">
      <alignment horizontal="left" vertical="center"/>
    </xf>
    <xf numFmtId="44" fontId="14" fillId="4" borderId="13" xfId="0" applyNumberFormat="1" applyFont="1" applyFill="1" applyBorder="1" applyAlignment="1">
      <alignment vertical="center"/>
    </xf>
    <xf numFmtId="44" fontId="14" fillId="4" borderId="14" xfId="0" applyNumberFormat="1" applyFont="1" applyFill="1" applyBorder="1" applyAlignment="1">
      <alignment vertical="center"/>
    </xf>
    <xf numFmtId="0" fontId="22" fillId="4" borderId="0" xfId="0" applyFont="1" applyFill="1" applyAlignment="1">
      <alignment vertical="center"/>
    </xf>
    <xf numFmtId="0" fontId="8" fillId="4" borderId="16" xfId="0" applyFont="1" applyFill="1" applyBorder="1"/>
    <xf numFmtId="0" fontId="5" fillId="6" borderId="15" xfId="0" applyFont="1" applyFill="1" applyBorder="1" applyAlignment="1">
      <alignment vertical="center"/>
    </xf>
    <xf numFmtId="44" fontId="13" fillId="4" borderId="0" xfId="0" applyNumberFormat="1" applyFont="1" applyFill="1" applyBorder="1" applyAlignment="1">
      <alignment vertical="center"/>
    </xf>
    <xf numFmtId="0" fontId="7" fillId="6" borderId="0" xfId="0" applyFont="1" applyFill="1" applyAlignment="1">
      <alignment vertical="center"/>
    </xf>
    <xf numFmtId="0" fontId="7" fillId="6" borderId="0" xfId="0" applyFont="1" applyFill="1"/>
    <xf numFmtId="0" fontId="5" fillId="6" borderId="0" xfId="0" applyFont="1" applyFill="1"/>
    <xf numFmtId="0" fontId="13" fillId="4" borderId="0" xfId="0" applyFont="1" applyFill="1"/>
    <xf numFmtId="0" fontId="13" fillId="3" borderId="0" xfId="0" applyFont="1" applyFill="1"/>
    <xf numFmtId="0" fontId="12" fillId="4" borderId="0" xfId="6" applyFont="1" applyFill="1" applyAlignment="1">
      <alignment horizontal="left" vertical="center"/>
    </xf>
    <xf numFmtId="0" fontId="24" fillId="0" borderId="0" xfId="0" applyFont="1" applyAlignment="1">
      <alignment vertical="center"/>
    </xf>
    <xf numFmtId="0" fontId="25" fillId="7" borderId="0" xfId="0" applyFont="1" applyFill="1" applyAlignment="1">
      <alignment vertical="center"/>
    </xf>
    <xf numFmtId="0" fontId="24" fillId="4" borderId="0" xfId="0" applyFont="1" applyFill="1" applyAlignment="1">
      <alignment vertical="center"/>
    </xf>
    <xf numFmtId="0" fontId="24" fillId="3" borderId="0" xfId="0" applyFont="1" applyFill="1" applyAlignment="1">
      <alignment vertical="center"/>
    </xf>
    <xf numFmtId="0" fontId="26" fillId="4" borderId="0" xfId="0" applyFont="1" applyFill="1" applyAlignment="1">
      <alignment vertical="center"/>
    </xf>
    <xf numFmtId="0" fontId="14" fillId="4" borderId="0" xfId="0" applyFont="1" applyFill="1" applyAlignment="1">
      <alignment vertical="center"/>
    </xf>
    <xf numFmtId="9" fontId="0" fillId="3" borderId="0" xfId="3" applyFont="1" applyFill="1"/>
    <xf numFmtId="165" fontId="0" fillId="3" borderId="0" xfId="0" applyNumberFormat="1" applyFill="1"/>
    <xf numFmtId="10" fontId="0" fillId="3" borderId="0" xfId="3" applyNumberFormat="1" applyFont="1" applyFill="1"/>
    <xf numFmtId="44" fontId="13" fillId="4" borderId="6" xfId="0" applyNumberFormat="1" applyFont="1" applyFill="1" applyBorder="1" applyAlignment="1">
      <alignment vertical="center"/>
    </xf>
    <xf numFmtId="10" fontId="13" fillId="4" borderId="0" xfId="3" applyNumberFormat="1" applyFont="1" applyFill="1" applyAlignment="1">
      <alignment horizontal="right" vertical="center"/>
    </xf>
    <xf numFmtId="10" fontId="23" fillId="4" borderId="0" xfId="3" applyNumberFormat="1" applyFont="1" applyFill="1" applyBorder="1" applyAlignment="1">
      <alignment horizontal="right" vertical="center"/>
    </xf>
    <xf numFmtId="44" fontId="13" fillId="4" borderId="8" xfId="0" applyNumberFormat="1" applyFont="1" applyFill="1" applyBorder="1" applyAlignment="1">
      <alignment vertical="center"/>
    </xf>
    <xf numFmtId="49" fontId="0" fillId="4" borderId="0" xfId="0" applyNumberFormat="1" applyFill="1"/>
    <xf numFmtId="0" fontId="13" fillId="4" borderId="0" xfId="0" applyNumberFormat="1" applyFont="1" applyFill="1" applyAlignment="1">
      <alignment vertical="center"/>
    </xf>
    <xf numFmtId="0" fontId="28" fillId="4" borderId="0" xfId="0" applyFont="1" applyFill="1"/>
    <xf numFmtId="0" fontId="28" fillId="4" borderId="0" xfId="0" applyNumberFormat="1" applyFont="1" applyFill="1"/>
    <xf numFmtId="49" fontId="3" fillId="4" borderId="9" xfId="0" applyNumberFormat="1" applyFont="1" applyFill="1" applyBorder="1"/>
    <xf numFmtId="49" fontId="3" fillId="4" borderId="0" xfId="0" applyNumberFormat="1" applyFont="1" applyFill="1" applyBorder="1"/>
    <xf numFmtId="0" fontId="3" fillId="4" borderId="0" xfId="0" applyFont="1" applyFill="1" applyBorder="1" applyAlignment="1">
      <alignment vertical="center"/>
    </xf>
    <xf numFmtId="44" fontId="13" fillId="4" borderId="7" xfId="0" applyNumberFormat="1" applyFont="1" applyFill="1" applyBorder="1" applyAlignment="1">
      <alignment vertical="center"/>
    </xf>
    <xf numFmtId="0" fontId="5" fillId="6" borderId="18" xfId="0" applyFont="1" applyFill="1" applyBorder="1" applyAlignment="1">
      <alignment horizontal="center" vertical="center"/>
    </xf>
    <xf numFmtId="0" fontId="11" fillId="4" borderId="16" xfId="6" quotePrefix="1" applyFill="1" applyBorder="1" applyAlignment="1">
      <alignment horizontal="center"/>
    </xf>
    <xf numFmtId="0" fontId="11" fillId="4" borderId="3" xfId="6" quotePrefix="1" applyFill="1" applyBorder="1" applyAlignment="1">
      <alignment horizontal="center"/>
    </xf>
    <xf numFmtId="0" fontId="11" fillId="4" borderId="20" xfId="6" quotePrefix="1" applyFill="1" applyBorder="1" applyAlignment="1">
      <alignment horizontal="center"/>
    </xf>
    <xf numFmtId="0" fontId="11" fillId="4" borderId="8" xfId="6" quotePrefix="1" applyFill="1" applyBorder="1" applyAlignment="1">
      <alignment horizontal="center"/>
    </xf>
    <xf numFmtId="0" fontId="11" fillId="4" borderId="7" xfId="6" quotePrefix="1" applyFill="1" applyBorder="1" applyAlignment="1">
      <alignment horizontal="center"/>
    </xf>
    <xf numFmtId="0" fontId="29" fillId="4" borderId="0" xfId="0" applyFont="1" applyFill="1"/>
    <xf numFmtId="49" fontId="13" fillId="4" borderId="0" xfId="0" applyNumberFormat="1" applyFont="1" applyFill="1"/>
    <xf numFmtId="0" fontId="13" fillId="0" borderId="0" xfId="0" applyFont="1"/>
    <xf numFmtId="49" fontId="26" fillId="4" borderId="9" xfId="0" applyNumberFormat="1" applyFont="1" applyFill="1" applyBorder="1"/>
    <xf numFmtId="44" fontId="26" fillId="4" borderId="9" xfId="0" applyNumberFormat="1" applyFont="1" applyFill="1" applyBorder="1" applyAlignment="1">
      <alignment vertical="center"/>
    </xf>
    <xf numFmtId="44" fontId="26" fillId="4" borderId="13" xfId="0" applyNumberFormat="1" applyFont="1" applyFill="1" applyBorder="1" applyAlignment="1">
      <alignment vertical="center"/>
    </xf>
    <xf numFmtId="44" fontId="26" fillId="4" borderId="12" xfId="0" applyNumberFormat="1" applyFont="1" applyFill="1" applyBorder="1" applyAlignment="1">
      <alignment vertical="center"/>
    </xf>
    <xf numFmtId="44" fontId="26" fillId="4" borderId="14" xfId="0" applyNumberFormat="1" applyFont="1" applyFill="1" applyBorder="1" applyAlignment="1">
      <alignment vertical="center"/>
    </xf>
    <xf numFmtId="44" fontId="26" fillId="4" borderId="11" xfId="0" applyNumberFormat="1" applyFont="1" applyFill="1" applyBorder="1" applyAlignment="1">
      <alignment vertical="center"/>
    </xf>
    <xf numFmtId="44" fontId="26" fillId="4" borderId="10" xfId="0" applyNumberFormat="1" applyFont="1" applyFill="1" applyBorder="1" applyAlignment="1">
      <alignment vertical="center"/>
    </xf>
    <xf numFmtId="49" fontId="3" fillId="3" borderId="0" xfId="0" applyNumberFormat="1" applyFont="1" applyFill="1" applyBorder="1"/>
    <xf numFmtId="44" fontId="14" fillId="3" borderId="0" xfId="0" applyNumberFormat="1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49" fontId="0" fillId="3" borderId="0" xfId="0" applyNumberFormat="1" applyFill="1"/>
    <xf numFmtId="0" fontId="27" fillId="3" borderId="0" xfId="0" applyFont="1" applyFill="1" applyAlignment="1">
      <alignment vertical="center"/>
    </xf>
    <xf numFmtId="44" fontId="27" fillId="3" borderId="0" xfId="0" applyNumberFormat="1" applyFont="1" applyFill="1" applyAlignment="1">
      <alignment vertical="center"/>
    </xf>
    <xf numFmtId="0" fontId="0" fillId="3" borderId="0" xfId="0" applyFill="1" applyAlignment="1">
      <alignment vertical="center"/>
    </xf>
    <xf numFmtId="0" fontId="0" fillId="4" borderId="0" xfId="0" applyFill="1" applyBorder="1" applyAlignment="1">
      <alignment vertical="center"/>
    </xf>
    <xf numFmtId="0" fontId="26" fillId="4" borderId="0" xfId="0" applyFont="1" applyFill="1" applyBorder="1" applyAlignment="1">
      <alignment vertical="center"/>
    </xf>
    <xf numFmtId="44" fontId="3" fillId="4" borderId="9" xfId="0" applyNumberFormat="1" applyFont="1" applyFill="1" applyBorder="1" applyAlignment="1">
      <alignment vertical="center"/>
    </xf>
    <xf numFmtId="44" fontId="3" fillId="4" borderId="11" xfId="0" applyNumberFormat="1" applyFont="1" applyFill="1" applyBorder="1" applyAlignment="1">
      <alignment vertical="center"/>
    </xf>
    <xf numFmtId="44" fontId="3" fillId="4" borderId="10" xfId="0" applyNumberFormat="1" applyFont="1" applyFill="1" applyBorder="1" applyAlignment="1">
      <alignment vertical="center"/>
    </xf>
    <xf numFmtId="0" fontId="5" fillId="6" borderId="17" xfId="0" applyFont="1" applyFill="1" applyBorder="1" applyAlignment="1">
      <alignment horizontal="left" vertical="center" wrapText="1"/>
    </xf>
    <xf numFmtId="49" fontId="3" fillId="4" borderId="19" xfId="0" applyNumberFormat="1" applyFont="1" applyFill="1" applyBorder="1" applyAlignment="1">
      <alignment horizontal="left" vertical="center"/>
    </xf>
    <xf numFmtId="0" fontId="4" fillId="4" borderId="16" xfId="0" applyFont="1" applyFill="1" applyBorder="1"/>
    <xf numFmtId="49" fontId="3" fillId="4" borderId="17" xfId="0" applyNumberFormat="1" applyFont="1" applyFill="1" applyBorder="1" applyAlignment="1">
      <alignment horizontal="left" vertical="center"/>
    </xf>
    <xf numFmtId="0" fontId="4" fillId="4" borderId="15" xfId="0" applyFont="1" applyFill="1" applyBorder="1" applyAlignment="1">
      <alignment vertical="center" wrapText="1"/>
    </xf>
    <xf numFmtId="0" fontId="11" fillId="4" borderId="15" xfId="6" quotePrefix="1" applyFill="1" applyBorder="1" applyAlignment="1">
      <alignment horizontal="center" vertical="center" wrapText="1"/>
    </xf>
    <xf numFmtId="43" fontId="19" fillId="4" borderId="0" xfId="0" applyNumberFormat="1" applyFont="1" applyFill="1" applyBorder="1" applyAlignment="1">
      <alignment vertical="center"/>
    </xf>
    <xf numFmtId="43" fontId="19" fillId="4" borderId="0" xfId="0" applyNumberFormat="1" applyFont="1" applyFill="1" applyBorder="1" applyAlignment="1">
      <alignment horizontal="left" vertical="center"/>
    </xf>
    <xf numFmtId="1" fontId="3" fillId="4" borderId="2" xfId="0" applyNumberFormat="1" applyFont="1" applyFill="1" applyBorder="1" applyAlignment="1">
      <alignment horizontal="right" vertical="center" indent="2"/>
    </xf>
    <xf numFmtId="49" fontId="3" fillId="4" borderId="2" xfId="0" applyNumberFormat="1" applyFont="1" applyFill="1" applyBorder="1" applyAlignment="1">
      <alignment horizontal="right" vertical="center" indent="2"/>
    </xf>
    <xf numFmtId="49" fontId="3" fillId="4" borderId="4" xfId="0" applyNumberFormat="1" applyFont="1" applyFill="1" applyBorder="1" applyAlignment="1">
      <alignment horizontal="right" vertical="center" indent="2"/>
    </xf>
    <xf numFmtId="44" fontId="3" fillId="4" borderId="0" xfId="0" applyNumberFormat="1" applyFont="1" applyFill="1" applyBorder="1" applyAlignment="1">
      <alignment vertical="center"/>
    </xf>
    <xf numFmtId="49" fontId="19" fillId="4" borderId="0" xfId="0" applyNumberFormat="1" applyFont="1" applyFill="1" applyBorder="1" applyAlignment="1">
      <alignment horizontal="right"/>
    </xf>
    <xf numFmtId="49" fontId="19" fillId="4" borderId="6" xfId="0" applyNumberFormat="1" applyFont="1" applyFill="1" applyBorder="1" applyAlignment="1">
      <alignment horizontal="right"/>
    </xf>
    <xf numFmtId="49" fontId="19" fillId="4" borderId="21" xfId="0" applyNumberFormat="1" applyFont="1" applyFill="1" applyBorder="1" applyAlignment="1">
      <alignment horizontal="right"/>
    </xf>
    <xf numFmtId="44" fontId="13" fillId="4" borderId="21" xfId="0" applyNumberFormat="1" applyFont="1" applyFill="1" applyBorder="1" applyAlignment="1">
      <alignment vertical="center"/>
    </xf>
    <xf numFmtId="44" fontId="13" fillId="4" borderId="20" xfId="0" applyNumberFormat="1" applyFont="1" applyFill="1" applyBorder="1" applyAlignment="1">
      <alignment vertical="center"/>
    </xf>
    <xf numFmtId="44" fontId="19" fillId="4" borderId="19" xfId="0" applyNumberFormat="1" applyFont="1" applyFill="1" applyBorder="1" applyAlignment="1">
      <alignment vertical="center"/>
    </xf>
    <xf numFmtId="44" fontId="19" fillId="4" borderId="21" xfId="0" applyNumberFormat="1" applyFont="1" applyFill="1" applyBorder="1" applyAlignment="1">
      <alignment vertical="center"/>
    </xf>
    <xf numFmtId="44" fontId="19" fillId="4" borderId="20" xfId="0" applyNumberFormat="1" applyFont="1" applyFill="1" applyBorder="1" applyAlignment="1">
      <alignment vertical="center"/>
    </xf>
    <xf numFmtId="44" fontId="19" fillId="4" borderId="2" xfId="0" applyNumberFormat="1" applyFont="1" applyFill="1" applyBorder="1" applyAlignment="1">
      <alignment vertical="center"/>
    </xf>
    <xf numFmtId="44" fontId="19" fillId="4" borderId="8" xfId="0" applyNumberFormat="1" applyFont="1" applyFill="1" applyBorder="1" applyAlignment="1">
      <alignment vertical="center"/>
    </xf>
    <xf numFmtId="44" fontId="19" fillId="4" borderId="4" xfId="0" applyNumberFormat="1" applyFont="1" applyFill="1" applyBorder="1" applyAlignment="1">
      <alignment vertical="center"/>
    </xf>
    <xf numFmtId="44" fontId="19" fillId="4" borderId="7" xfId="0" applyNumberFormat="1" applyFont="1" applyFill="1" applyBorder="1" applyAlignment="1">
      <alignment vertical="center"/>
    </xf>
    <xf numFmtId="44" fontId="3" fillId="4" borderId="12" xfId="0" applyNumberFormat="1" applyFont="1" applyFill="1" applyBorder="1" applyAlignment="1">
      <alignment vertical="center"/>
    </xf>
    <xf numFmtId="44" fontId="30" fillId="4" borderId="0" xfId="0" applyNumberFormat="1" applyFont="1" applyFill="1" applyBorder="1" applyAlignment="1">
      <alignment vertical="center"/>
    </xf>
    <xf numFmtId="43" fontId="13" fillId="4" borderId="0" xfId="1" applyFont="1" applyFill="1" applyAlignment="1">
      <alignment vertical="center"/>
    </xf>
    <xf numFmtId="0" fontId="26" fillId="4" borderId="22" xfId="0" applyFont="1" applyFill="1" applyBorder="1" applyAlignment="1">
      <alignment vertical="center"/>
    </xf>
    <xf numFmtId="0" fontId="14" fillId="4" borderId="22" xfId="0" applyFont="1" applyFill="1" applyBorder="1" applyAlignment="1">
      <alignment vertical="center"/>
    </xf>
    <xf numFmtId="43" fontId="14" fillId="4" borderId="22" xfId="0" applyNumberFormat="1" applyFont="1" applyFill="1" applyBorder="1" applyAlignment="1">
      <alignment vertical="center"/>
    </xf>
    <xf numFmtId="10" fontId="14" fillId="4" borderId="22" xfId="3" applyNumberFormat="1" applyFont="1" applyFill="1" applyBorder="1" applyAlignment="1">
      <alignment vertical="center"/>
    </xf>
    <xf numFmtId="10" fontId="14" fillId="4" borderId="17" xfId="0" applyNumberFormat="1" applyFont="1" applyFill="1" applyBorder="1" applyAlignment="1">
      <alignment vertical="center"/>
    </xf>
    <xf numFmtId="0" fontId="26" fillId="4" borderId="2" xfId="0" applyFont="1" applyFill="1" applyBorder="1" applyAlignment="1">
      <alignment horizontal="right" vertical="center"/>
    </xf>
    <xf numFmtId="0" fontId="14" fillId="8" borderId="22" xfId="0" applyFont="1" applyFill="1" applyBorder="1" applyAlignment="1">
      <alignment vertical="center"/>
    </xf>
    <xf numFmtId="0" fontId="13" fillId="8" borderId="22" xfId="0" applyFont="1" applyFill="1" applyBorder="1" applyAlignment="1">
      <alignment vertical="center"/>
    </xf>
    <xf numFmtId="10" fontId="14" fillId="8" borderId="15" xfId="0" applyNumberFormat="1" applyFont="1" applyFill="1" applyBorder="1" applyAlignment="1">
      <alignment vertical="center"/>
    </xf>
    <xf numFmtId="0" fontId="26" fillId="8" borderId="17" xfId="0" applyFont="1" applyFill="1" applyBorder="1" applyAlignment="1">
      <alignment vertical="center"/>
    </xf>
    <xf numFmtId="0" fontId="31" fillId="4" borderId="6" xfId="0" applyFont="1" applyFill="1" applyBorder="1" applyAlignment="1">
      <alignment vertical="center"/>
    </xf>
    <xf numFmtId="0" fontId="32" fillId="4" borderId="6" xfId="0" applyFont="1" applyFill="1" applyBorder="1" applyAlignment="1">
      <alignment vertical="center"/>
    </xf>
    <xf numFmtId="0" fontId="31" fillId="4" borderId="6" xfId="0" applyFont="1" applyFill="1" applyBorder="1" applyAlignment="1">
      <alignment horizontal="right" vertical="center"/>
    </xf>
    <xf numFmtId="10" fontId="13" fillId="8" borderId="15" xfId="2" applyNumberFormat="1" applyFont="1" applyFill="1" applyBorder="1" applyAlignment="1">
      <alignment horizontal="center" vertical="center"/>
    </xf>
    <xf numFmtId="0" fontId="19" fillId="4" borderId="2" xfId="0" applyFont="1" applyFill="1" applyBorder="1" applyAlignment="1">
      <alignment horizontal="right" vertical="center"/>
    </xf>
    <xf numFmtId="164" fontId="19" fillId="4" borderId="0" xfId="3" applyNumberFormat="1" applyFont="1" applyFill="1" applyBorder="1" applyAlignment="1">
      <alignment horizontal="right" vertical="center"/>
    </xf>
    <xf numFmtId="10" fontId="19" fillId="4" borderId="0" xfId="3" applyNumberFormat="1" applyFont="1" applyFill="1" applyBorder="1" applyAlignment="1">
      <alignment horizontal="right" vertical="center"/>
    </xf>
    <xf numFmtId="10" fontId="19" fillId="4" borderId="8" xfId="3" applyNumberFormat="1" applyFont="1" applyFill="1" applyBorder="1" applyAlignment="1">
      <alignment horizontal="right" vertical="center"/>
    </xf>
    <xf numFmtId="0" fontId="19" fillId="4" borderId="8" xfId="0" applyFont="1" applyFill="1" applyBorder="1" applyAlignment="1">
      <alignment horizontal="right" vertical="center"/>
    </xf>
    <xf numFmtId="43" fontId="13" fillId="4" borderId="0" xfId="0" applyNumberFormat="1" applyFont="1" applyFill="1" applyAlignment="1">
      <alignment vertical="center"/>
    </xf>
    <xf numFmtId="164" fontId="13" fillId="4" borderId="0" xfId="3" applyNumberFormat="1" applyFont="1" applyFill="1" applyAlignment="1">
      <alignment vertical="center"/>
    </xf>
    <xf numFmtId="0" fontId="33" fillId="4" borderId="0" xfId="0" applyFont="1" applyFill="1" applyAlignment="1">
      <alignment vertical="center"/>
    </xf>
    <xf numFmtId="0" fontId="34" fillId="4" borderId="8" xfId="0" applyFont="1" applyFill="1" applyBorder="1" applyAlignment="1">
      <alignment horizontal="right" vertical="center"/>
    </xf>
    <xf numFmtId="166" fontId="13" fillId="8" borderId="15" xfId="1" applyNumberFormat="1" applyFont="1" applyFill="1" applyBorder="1" applyAlignment="1">
      <alignment horizontal="center" vertical="center"/>
    </xf>
    <xf numFmtId="49" fontId="3" fillId="4" borderId="15" xfId="0" applyNumberFormat="1" applyFont="1" applyFill="1" applyBorder="1" applyAlignment="1">
      <alignment horizontal="left" vertical="center"/>
    </xf>
    <xf numFmtId="164" fontId="19" fillId="4" borderId="8" xfId="3" applyNumberFormat="1" applyFont="1" applyFill="1" applyBorder="1" applyAlignment="1">
      <alignment horizontal="right" vertical="center"/>
    </xf>
    <xf numFmtId="167" fontId="13" fillId="4" borderId="2" xfId="0" applyNumberFormat="1" applyFont="1" applyFill="1" applyBorder="1" applyAlignment="1">
      <alignment vertical="center"/>
    </xf>
    <xf numFmtId="167" fontId="13" fillId="4" borderId="0" xfId="0" applyNumberFormat="1" applyFont="1" applyFill="1" applyBorder="1" applyAlignment="1">
      <alignment vertical="center"/>
    </xf>
    <xf numFmtId="167" fontId="13" fillId="4" borderId="8" xfId="0" applyNumberFormat="1" applyFont="1" applyFill="1" applyBorder="1" applyAlignment="1">
      <alignment vertical="center"/>
    </xf>
    <xf numFmtId="167" fontId="13" fillId="4" borderId="0" xfId="0" applyNumberFormat="1" applyFont="1" applyFill="1" applyAlignment="1">
      <alignment vertical="center"/>
    </xf>
    <xf numFmtId="167" fontId="19" fillId="4" borderId="19" xfId="0" applyNumberFormat="1" applyFont="1" applyFill="1" applyBorder="1" applyAlignment="1">
      <alignment vertical="center"/>
    </xf>
    <xf numFmtId="167" fontId="19" fillId="4" borderId="21" xfId="0" applyNumberFormat="1" applyFont="1" applyFill="1" applyBorder="1" applyAlignment="1">
      <alignment vertical="center"/>
    </xf>
    <xf numFmtId="167" fontId="19" fillId="4" borderId="20" xfId="0" applyNumberFormat="1" applyFont="1" applyFill="1" applyBorder="1" applyAlignment="1">
      <alignment vertical="center"/>
    </xf>
    <xf numFmtId="167" fontId="13" fillId="4" borderId="21" xfId="0" applyNumberFormat="1" applyFont="1" applyFill="1" applyBorder="1" applyAlignment="1">
      <alignment vertical="center"/>
    </xf>
    <xf numFmtId="167" fontId="19" fillId="4" borderId="2" xfId="0" applyNumberFormat="1" applyFont="1" applyFill="1" applyBorder="1" applyAlignment="1">
      <alignment vertical="center"/>
    </xf>
    <xf numFmtId="167" fontId="19" fillId="4" borderId="0" xfId="0" applyNumberFormat="1" applyFont="1" applyFill="1" applyBorder="1" applyAlignment="1">
      <alignment vertical="center"/>
    </xf>
    <xf numFmtId="167" fontId="19" fillId="4" borderId="8" xfId="0" applyNumberFormat="1" applyFont="1" applyFill="1" applyBorder="1" applyAlignment="1">
      <alignment vertical="center"/>
    </xf>
    <xf numFmtId="167" fontId="19" fillId="4" borderId="4" xfId="0" applyNumberFormat="1" applyFont="1" applyFill="1" applyBorder="1" applyAlignment="1">
      <alignment vertical="center"/>
    </xf>
    <xf numFmtId="167" fontId="19" fillId="4" borderId="7" xfId="0" applyNumberFormat="1" applyFont="1" applyFill="1" applyBorder="1" applyAlignment="1">
      <alignment vertical="center"/>
    </xf>
    <xf numFmtId="167" fontId="13" fillId="4" borderId="6" xfId="0" applyNumberFormat="1" applyFont="1" applyFill="1" applyBorder="1" applyAlignment="1">
      <alignment vertical="center"/>
    </xf>
    <xf numFmtId="167" fontId="13" fillId="4" borderId="20" xfId="0" applyNumberFormat="1" applyFont="1" applyFill="1" applyBorder="1" applyAlignment="1">
      <alignment vertical="center"/>
    </xf>
    <xf numFmtId="167" fontId="3" fillId="4" borderId="11" xfId="0" applyNumberFormat="1" applyFont="1" applyFill="1" applyBorder="1" applyAlignment="1">
      <alignment vertical="center"/>
    </xf>
    <xf numFmtId="167" fontId="3" fillId="4" borderId="9" xfId="0" applyNumberFormat="1" applyFont="1" applyFill="1" applyBorder="1" applyAlignment="1">
      <alignment vertical="center"/>
    </xf>
    <xf numFmtId="0" fontId="35" fillId="4" borderId="0" xfId="7" applyFill="1"/>
    <xf numFmtId="0" fontId="35" fillId="9" borderId="0" xfId="7" applyFill="1"/>
    <xf numFmtId="0" fontId="35" fillId="0" borderId="0" xfId="7"/>
    <xf numFmtId="0" fontId="36" fillId="4" borderId="0" xfId="7" applyFont="1" applyFill="1"/>
    <xf numFmtId="0" fontId="37" fillId="4" borderId="0" xfId="7" applyFont="1" applyFill="1"/>
    <xf numFmtId="0" fontId="38" fillId="4" borderId="0" xfId="7" applyFont="1" applyFill="1"/>
    <xf numFmtId="0" fontId="39" fillId="4" borderId="0" xfId="7" applyFont="1" applyFill="1"/>
    <xf numFmtId="17" fontId="39" fillId="4" borderId="0" xfId="7" quotePrefix="1" applyNumberFormat="1" applyFont="1" applyFill="1"/>
    <xf numFmtId="0" fontId="32" fillId="4" borderId="2" xfId="0" applyFont="1" applyFill="1" applyBorder="1" applyAlignment="1">
      <alignment horizontal="left" vertical="center"/>
    </xf>
    <xf numFmtId="0" fontId="32" fillId="4" borderId="8" xfId="0" applyFont="1" applyFill="1" applyBorder="1" applyAlignment="1">
      <alignment horizontal="left" vertical="center"/>
    </xf>
    <xf numFmtId="164" fontId="32" fillId="4" borderId="21" xfId="3" applyNumberFormat="1" applyFont="1" applyFill="1" applyBorder="1" applyAlignment="1">
      <alignment vertical="center"/>
    </xf>
    <xf numFmtId="164" fontId="32" fillId="4" borderId="20" xfId="3" applyNumberFormat="1" applyFont="1" applyFill="1" applyBorder="1" applyAlignment="1">
      <alignment vertical="center"/>
    </xf>
    <xf numFmtId="0" fontId="31" fillId="8" borderId="17" xfId="0" applyFont="1" applyFill="1" applyBorder="1" applyAlignment="1">
      <alignment vertical="center"/>
    </xf>
    <xf numFmtId="0" fontId="31" fillId="8" borderId="18" xfId="0" applyFont="1" applyFill="1" applyBorder="1" applyAlignment="1">
      <alignment vertical="center"/>
    </xf>
    <xf numFmtId="0" fontId="31" fillId="8" borderId="21" xfId="0" applyFont="1" applyFill="1" applyBorder="1" applyAlignment="1">
      <alignment horizontal="center" vertical="center"/>
    </xf>
    <xf numFmtId="0" fontId="31" fillId="8" borderId="20" xfId="0" applyFont="1" applyFill="1" applyBorder="1" applyAlignment="1">
      <alignment horizontal="center" vertical="center"/>
    </xf>
    <xf numFmtId="0" fontId="32" fillId="4" borderId="19" xfId="0" applyFont="1" applyFill="1" applyBorder="1" applyAlignment="1">
      <alignment horizontal="left" vertical="center"/>
    </xf>
    <xf numFmtId="0" fontId="32" fillId="4" borderId="20" xfId="0" applyFont="1" applyFill="1" applyBorder="1" applyAlignment="1">
      <alignment horizontal="left" vertical="center"/>
    </xf>
    <xf numFmtId="10" fontId="32" fillId="4" borderId="21" xfId="3" applyNumberFormat="1" applyFont="1" applyFill="1" applyBorder="1" applyAlignment="1">
      <alignment vertical="center"/>
    </xf>
    <xf numFmtId="10" fontId="32" fillId="4" borderId="20" xfId="3" applyNumberFormat="1" applyFont="1" applyFill="1" applyBorder="1" applyAlignment="1">
      <alignment vertical="center"/>
    </xf>
    <xf numFmtId="164" fontId="32" fillId="4" borderId="0" xfId="3" applyNumberFormat="1" applyFont="1" applyFill="1" applyBorder="1" applyAlignment="1">
      <alignment vertical="center"/>
    </xf>
    <xf numFmtId="10" fontId="32" fillId="4" borderId="0" xfId="3" applyNumberFormat="1" applyFont="1" applyFill="1" applyBorder="1" applyAlignment="1">
      <alignment vertical="center"/>
    </xf>
    <xf numFmtId="10" fontId="32" fillId="4" borderId="8" xfId="3" applyNumberFormat="1" applyFont="1" applyFill="1" applyBorder="1" applyAlignment="1">
      <alignment vertical="center"/>
    </xf>
    <xf numFmtId="0" fontId="32" fillId="4" borderId="4" xfId="0" applyFont="1" applyFill="1" applyBorder="1" applyAlignment="1">
      <alignment horizontal="left" vertical="center"/>
    </xf>
    <xf numFmtId="0" fontId="32" fillId="4" borderId="7" xfId="0" applyFont="1" applyFill="1" applyBorder="1" applyAlignment="1">
      <alignment horizontal="left" vertical="center"/>
    </xf>
    <xf numFmtId="164" fontId="32" fillId="4" borderId="6" xfId="3" applyNumberFormat="1" applyFont="1" applyFill="1" applyBorder="1" applyAlignment="1">
      <alignment vertical="center"/>
    </xf>
    <xf numFmtId="164" fontId="32" fillId="4" borderId="7" xfId="3" applyNumberFormat="1" applyFont="1" applyFill="1" applyBorder="1" applyAlignment="1">
      <alignment vertical="center"/>
    </xf>
    <xf numFmtId="164" fontId="32" fillId="4" borderId="8" xfId="3" applyNumberFormat="1" applyFont="1" applyFill="1" applyBorder="1" applyAlignment="1">
      <alignment vertical="center"/>
    </xf>
    <xf numFmtId="0" fontId="62" fillId="4" borderId="2" xfId="0" applyFont="1" applyFill="1" applyBorder="1" applyAlignment="1">
      <alignment horizontal="left" vertical="center"/>
    </xf>
    <xf numFmtId="0" fontId="62" fillId="4" borderId="4" xfId="0" applyFont="1" applyFill="1" applyBorder="1" applyAlignment="1">
      <alignment horizontal="left" vertical="center"/>
    </xf>
    <xf numFmtId="44" fontId="13" fillId="16" borderId="0" xfId="2" applyNumberFormat="1" applyFont="1" applyFill="1" applyAlignment="1">
      <alignment horizontal="center" vertical="center"/>
    </xf>
    <xf numFmtId="44" fontId="13" fillId="16" borderId="2" xfId="2" applyNumberFormat="1" applyFont="1" applyFill="1" applyBorder="1" applyAlignment="1">
      <alignment horizontal="center" vertical="center"/>
    </xf>
    <xf numFmtId="166" fontId="13" fillId="0" borderId="0" xfId="1" applyNumberFormat="1" applyFont="1" applyFill="1" applyBorder="1" applyAlignment="1">
      <alignment horizontal="center" vertical="center"/>
    </xf>
    <xf numFmtId="44" fontId="13" fillId="0" borderId="0" xfId="0" applyNumberFormat="1" applyFont="1" applyFill="1" applyBorder="1" applyAlignment="1">
      <alignment vertical="center"/>
    </xf>
    <xf numFmtId="0" fontId="13" fillId="4" borderId="0" xfId="0" applyFont="1" applyFill="1" applyBorder="1" applyAlignment="1">
      <alignment vertical="center"/>
    </xf>
    <xf numFmtId="0" fontId="14" fillId="16" borderId="0" xfId="0" applyFont="1" applyFill="1" applyBorder="1" applyAlignment="1">
      <alignment horizontal="left" vertical="center"/>
    </xf>
    <xf numFmtId="41" fontId="13" fillId="16" borderId="0" xfId="0" applyNumberFormat="1" applyFont="1" applyFill="1" applyBorder="1" applyAlignment="1">
      <alignment horizontal="center" vertical="center"/>
    </xf>
    <xf numFmtId="44" fontId="14" fillId="16" borderId="0" xfId="0" applyNumberFormat="1" applyFont="1" applyFill="1" applyBorder="1" applyAlignment="1">
      <alignment vertical="center"/>
    </xf>
    <xf numFmtId="2" fontId="14" fillId="16" borderId="0" xfId="0" applyNumberFormat="1" applyFont="1" applyFill="1" applyBorder="1" applyAlignment="1">
      <alignment vertical="center"/>
    </xf>
    <xf numFmtId="2" fontId="19" fillId="16" borderId="0" xfId="0" applyNumberFormat="1" applyFont="1" applyFill="1" applyBorder="1" applyAlignment="1">
      <alignment vertical="center"/>
    </xf>
    <xf numFmtId="44" fontId="13" fillId="16" borderId="2" xfId="2" applyFont="1" applyFill="1" applyBorder="1" applyAlignment="1">
      <alignment vertical="center"/>
    </xf>
    <xf numFmtId="44" fontId="13" fillId="16" borderId="6" xfId="2" applyFont="1" applyFill="1" applyBorder="1" applyAlignment="1">
      <alignment vertical="center"/>
    </xf>
    <xf numFmtId="44" fontId="13" fillId="16" borderId="7" xfId="2" applyFont="1" applyFill="1" applyBorder="1" applyAlignment="1">
      <alignment vertical="center"/>
    </xf>
    <xf numFmtId="49" fontId="3" fillId="16" borderId="4" xfId="0" applyNumberFormat="1" applyFont="1" applyFill="1" applyBorder="1" applyAlignment="1">
      <alignment horizontal="right" vertical="center" indent="2"/>
    </xf>
    <xf numFmtId="0" fontId="4" fillId="16" borderId="5" xfId="0" applyFont="1" applyFill="1" applyBorder="1"/>
    <xf numFmtId="0" fontId="13" fillId="4" borderId="0" xfId="0" applyNumberFormat="1" applyFont="1" applyFill="1"/>
    <xf numFmtId="44" fontId="14" fillId="16" borderId="9" xfId="0" applyNumberFormat="1" applyFont="1" applyFill="1" applyBorder="1" applyAlignment="1">
      <alignment vertical="center"/>
    </xf>
    <xf numFmtId="44" fontId="13" fillId="16" borderId="0" xfId="2" applyFont="1" applyFill="1" applyBorder="1" applyAlignment="1">
      <alignment vertical="center"/>
    </xf>
    <xf numFmtId="44" fontId="13" fillId="16" borderId="8" xfId="2" applyFont="1" applyFill="1" applyBorder="1" applyAlignment="1">
      <alignment vertical="center"/>
    </xf>
    <xf numFmtId="44" fontId="13" fillId="16" borderId="2" xfId="0" applyNumberFormat="1" applyFont="1" applyFill="1" applyBorder="1" applyAlignment="1">
      <alignment vertical="center"/>
    </xf>
    <xf numFmtId="44" fontId="13" fillId="16" borderId="0" xfId="0" applyNumberFormat="1" applyFont="1" applyFill="1" applyBorder="1" applyAlignment="1">
      <alignment vertical="center"/>
    </xf>
    <xf numFmtId="44" fontId="13" fillId="16" borderId="8" xfId="0" applyNumberFormat="1" applyFont="1" applyFill="1" applyBorder="1" applyAlignment="1">
      <alignment vertical="center"/>
    </xf>
    <xf numFmtId="164" fontId="19" fillId="16" borderId="0" xfId="3" applyNumberFormat="1" applyFont="1" applyFill="1" applyBorder="1" applyAlignment="1">
      <alignment horizontal="right" vertical="center"/>
    </xf>
    <xf numFmtId="10" fontId="19" fillId="16" borderId="0" xfId="3" applyNumberFormat="1" applyFont="1" applyFill="1" applyBorder="1" applyAlignment="1">
      <alignment horizontal="right" vertical="center"/>
    </xf>
    <xf numFmtId="10" fontId="19" fillId="16" borderId="8" xfId="3" applyNumberFormat="1" applyFont="1" applyFill="1" applyBorder="1" applyAlignment="1">
      <alignment horizontal="right" vertical="center"/>
    </xf>
    <xf numFmtId="44" fontId="14" fillId="0" borderId="11" xfId="0" applyNumberFormat="1" applyFont="1" applyFill="1" applyBorder="1" applyAlignment="1">
      <alignment vertical="center"/>
    </xf>
    <xf numFmtId="44" fontId="13" fillId="16" borderId="4" xfId="2" applyFont="1" applyFill="1" applyBorder="1" applyAlignment="1">
      <alignment vertical="center"/>
    </xf>
    <xf numFmtId="167" fontId="13" fillId="16" borderId="2" xfId="0" applyNumberFormat="1" applyFont="1" applyFill="1" applyBorder="1" applyAlignment="1">
      <alignment vertical="center"/>
    </xf>
    <xf numFmtId="167" fontId="13" fillId="16" borderId="0" xfId="0" applyNumberFormat="1" applyFont="1" applyFill="1" applyBorder="1" applyAlignment="1">
      <alignment vertical="center"/>
    </xf>
    <xf numFmtId="167" fontId="13" fillId="16" borderId="8" xfId="0" applyNumberFormat="1" applyFont="1" applyFill="1" applyBorder="1" applyAlignment="1">
      <alignment vertical="center"/>
    </xf>
  </cellXfs>
  <cellStyles count="50">
    <cellStyle name="Column Heading" xfId="8"/>
    <cellStyle name="Column Total" xfId="9"/>
    <cellStyle name="Comma" xfId="1" builtinId="3"/>
    <cellStyle name="Comma 2" xfId="10"/>
    <cellStyle name="Comma 2 2" xfId="5"/>
    <cellStyle name="Comma 2 3" xfId="11"/>
    <cellStyle name="Comma 2 4" xfId="12"/>
    <cellStyle name="Comma 3" xfId="13"/>
    <cellStyle name="Comma 3 2" xfId="14"/>
    <cellStyle name="Comma 4" xfId="15"/>
    <cellStyle name="Comma 5" xfId="16"/>
    <cellStyle name="Core Body" xfId="17"/>
    <cellStyle name="Core Different Formula Cell" xfId="18"/>
    <cellStyle name="Core Heading 1" xfId="19"/>
    <cellStyle name="Core Heading Row 1" xfId="20"/>
    <cellStyle name="Core Heading Row 2" xfId="21"/>
    <cellStyle name="Core Historical Inputs" xfId="22"/>
    <cellStyle name="Core Input" xfId="23"/>
    <cellStyle name="Core Input - %" xfId="24"/>
    <cellStyle name="Core Input 2" xfId="25"/>
    <cellStyle name="Core Input 3" xfId="26"/>
    <cellStyle name="Core Page Heading" xfId="27"/>
    <cellStyle name="Core Units" xfId="28"/>
    <cellStyle name="Currency" xfId="2" builtinId="4"/>
    <cellStyle name="Data Heading" xfId="29"/>
    <cellStyle name="Data Historic" xfId="30"/>
    <cellStyle name="Data Projected" xfId="31"/>
    <cellStyle name="Data Projected Total" xfId="32"/>
    <cellStyle name="Data Unavailable" xfId="33"/>
    <cellStyle name="Heading 3 2" xfId="34"/>
    <cellStyle name="Hyperlink" xfId="6" builtinId="8"/>
    <cellStyle name="Hyperlink 2" xfId="35"/>
    <cellStyle name="Hyperlink 2 2" xfId="36"/>
    <cellStyle name="Hyperlink 2 3" xfId="37"/>
    <cellStyle name="Hyperlink 3" xfId="38"/>
    <cellStyle name="Input" xfId="4" builtinId="20"/>
    <cellStyle name="Normal" xfId="0" builtinId="0"/>
    <cellStyle name="Normal 2" xfId="39"/>
    <cellStyle name="Normal 2 2" xfId="40"/>
    <cellStyle name="Normal 2 3" xfId="41"/>
    <cellStyle name="Normal 2 4" xfId="42"/>
    <cellStyle name="Normal 2 5" xfId="49"/>
    <cellStyle name="Normal 3" xfId="43"/>
    <cellStyle name="Normal 3 3" xfId="7"/>
    <cellStyle name="Normal 4" xfId="44"/>
    <cellStyle name="Percent" xfId="3" builtinId="5"/>
    <cellStyle name="Percent 2" xfId="45"/>
    <cellStyle name="ss16" xfId="46"/>
    <cellStyle name="Summary Text" xfId="47"/>
    <cellStyle name="Table Heading" xfId="4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externalLink" Target="externalLinks/externalLink2.xml"/><Relationship Id="rId48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0</xdr:colOff>
      <xdr:row>51</xdr:row>
      <xdr:rowOff>0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6934200" cy="8572500"/>
        </a:xfrm>
        <a:prstGeom prst="rect">
          <a:avLst/>
        </a:prstGeom>
        <a:extLst>
          <a:ext uri="{FAA26D3D-D897-4be2-8F04-BA451C77F1D7}">
            <ma14:placeholder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:pic="http://schemas.openxmlformats.org/drawingml/2006/picture" xmlns:ma14="http://schemas.microsoft.com/office/mac/drawingml/2011/main" xmlns:w="http://schemas.openxmlformats.org/wordprocessingml/2006/main" xmlns:w10="urn:schemas-microsoft-com:office:word" xmlns:v="urn:schemas-microsoft-com:vml" xmlns:o="urn:schemas-microsoft-com:office:office" xmlns:mv="urn:schemas-microsoft-com:mac:vml" xmlns:mo="http://schemas.microsoft.com/office/mac/office/2008/main" xmlns="" xmlns:lc="http://schemas.openxmlformats.org/drawingml/2006/lockedCanvas"/>
          </a:ext>
        </a:extLst>
      </xdr:spPr>
    </xdr:pic>
    <xdr:clientData/>
  </xdr:twoCellAnchor>
  <xdr:twoCellAnchor>
    <xdr:from>
      <xdr:col>6</xdr:col>
      <xdr:colOff>190500</xdr:colOff>
      <xdr:row>10</xdr:row>
      <xdr:rowOff>57150</xdr:rowOff>
    </xdr:from>
    <xdr:to>
      <xdr:col>12</xdr:col>
      <xdr:colOff>0</xdr:colOff>
      <xdr:row>31</xdr:row>
      <xdr:rowOff>114300</xdr:rowOff>
    </xdr:to>
    <xdr:sp macro="" textlink="">
      <xdr:nvSpPr>
        <xdr:cNvPr id="3" name="Text Box 18"/>
        <xdr:cNvSpPr txBox="1"/>
      </xdr:nvSpPr>
      <xdr:spPr>
        <a:xfrm>
          <a:off x="3467100" y="1990725"/>
          <a:ext cx="3467100" cy="3457575"/>
        </a:xfrm>
        <a:prstGeom prst="rect">
          <a:avLst/>
        </a:prstGeom>
        <a:noFill/>
        <a:ln>
          <a:noFill/>
        </a:ln>
        <a:effectLst/>
        <a:extLst>
          <a:ext uri="{C572A759-6A51-4108-AA02-DFA0A04FC94B}">
            <ma14:wrappingTextBoxFlag xmlns:wpc="http://schemas.microsoft.com/office/word/2010/wordprocessingCanvas" xmlns:mc="http://schemas.openxmlformats.org/markup-compatibility/2006" xmlns:r="http://schemas.openxmlformats.org/officeDocument/2006/relationships" xmlns:m="http://schemas.openxmlformats.org/officeDocument/2006/math" xmlns:wp14="http://schemas.microsoft.com/office/word/2010/wordprocessingDrawing" xmlns:wp="http://schemas.openxmlformats.org/drawingml/2006/wordprocessingDrawing" xmlns:w14="http://schemas.microsoft.com/office/word/2010/wordml" xmlns:wpg="http://schemas.microsoft.com/office/word/2010/wordprocessingGroup" xmlns:wpi="http://schemas.microsoft.com/office/word/2010/wordprocessingInk" xmlns:wne="http://schemas.microsoft.com/office/word/2006/wordml" xmlns:wps="http://schemas.microsoft.com/office/word/2010/wordprocessingShape" xmlns="" xmlns:mo="http://schemas.microsoft.com/office/mac/office/2008/main" xmlns:mv="urn:schemas-microsoft-com:mac:vml" xmlns:o="urn:schemas-microsoft-com:office:office" xmlns:v="urn:schemas-microsoft-com:vml" xmlns:w10="urn:schemas-microsoft-com:office:word" xmlns:w="http://schemas.openxmlformats.org/wordprocessingml/2006/main" xmlns:ma14="http://schemas.microsoft.com/office/mac/drawingml/2011/main" xmlns:lc="http://schemas.openxmlformats.org/drawingml/2006/lockedCanvas"/>
          </a:ext>
        </a:extLst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4500" spc="-100" baseline="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Attachment </a:t>
          </a:r>
          <a:r>
            <a:rPr lang="en-AU" sz="4500" spc="-100" baseline="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8.8</a:t>
          </a:r>
          <a:endParaRPr lang="en-AU" sz="1100" spc="-100" baseline="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1100">
              <a:solidFill>
                <a:srgbClr val="1D1D1C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 </a:t>
          </a: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AU" sz="2000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Capital Expenditure Model</a:t>
          </a:r>
          <a:endParaRPr lang="en-AU" sz="2000" baseline="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endParaRPr lang="en-AU" sz="1000" baseline="0">
            <a:solidFill>
              <a:srgbClr val="FFFFFF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2000" b="1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2016/17 to 2020/21 Access Arrangement Information</a:t>
          </a: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  <a:p>
          <a:pPr algn="l">
            <a:spcBef>
              <a:spcPts val="600"/>
            </a:spcBef>
            <a:spcAft>
              <a:spcPts val="1000"/>
            </a:spcAft>
          </a:pPr>
          <a:r>
            <a:rPr lang="en-US" sz="2000" b="1">
              <a:solidFill>
                <a:srgbClr val="FFFFFF"/>
              </a:solidFill>
              <a:effectLst/>
              <a:uFill>
                <a:solidFill>
                  <a:srgbClr val="000000"/>
                </a:solidFill>
              </a:uFill>
              <a:latin typeface="Arial Narrow"/>
              <a:ea typeface="MS Mincho"/>
              <a:cs typeface="ApexNew-Book"/>
            </a:rPr>
            <a:t> </a:t>
          </a:r>
          <a:endParaRPr lang="en-AU" sz="1100">
            <a:solidFill>
              <a:srgbClr val="1D1D1C"/>
            </a:solidFill>
            <a:effectLst/>
            <a:uFill>
              <a:solidFill>
                <a:srgbClr val="000000"/>
              </a:solidFill>
            </a:uFill>
            <a:latin typeface="Arial Narrow"/>
            <a:ea typeface="MS Mincho"/>
            <a:cs typeface="ApexNew-Book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</xdr:row>
      <xdr:rowOff>82472</xdr:rowOff>
    </xdr:from>
    <xdr:to>
      <xdr:col>1</xdr:col>
      <xdr:colOff>1772093</xdr:colOff>
      <xdr:row>1</xdr:row>
      <xdr:rowOff>781050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5" y="272972"/>
          <a:ext cx="1762568" cy="69857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dchnas-evs02\home$\idelm\2015%20Gas%20Draft%20decision\Copy%20of%20AER15%204199%20%20AGN%20capitalised%20overheads%20calculation%20for%20draft%20decision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AER\Aust%20Gas%20Networks%20gas%202015%20reset\Capex\Mains%20replacement\150722%20Mains%20replacement%20Unit%20Rates%20Model_CONFIDENTIAL%20-AER%20working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rimdata/TRIM/TEMP/HPTRIM.8272/AER15%204388%20%20Copy%20of%20AGN%20Capex%20Model%20-%20Confidential%20-%20AER%20draft%20decision.xlsx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N overheads"/>
      <sheetName val="AGN overheads (old capex model)"/>
      <sheetName val="Inflation"/>
    </sheetNames>
    <sheetDataSet>
      <sheetData sheetId="0">
        <row r="63">
          <cell r="C63">
            <v>9.3549418005413596</v>
          </cell>
          <cell r="D63">
            <v>9.7758251806587282</v>
          </cell>
          <cell r="E63">
            <v>9.4200287556741635</v>
          </cell>
          <cell r="F63">
            <v>9.2201552322436982</v>
          </cell>
          <cell r="G63">
            <v>8.9829710409022407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s replacement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24"/>
      <sheetName val="Sheet2"/>
      <sheetName val="Sheet3"/>
    </sheetNames>
    <sheetDataSet>
      <sheetData sheetId="0">
        <row r="26">
          <cell r="G26">
            <v>369.91587900630526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ER changes"/>
      <sheetName val="Cover"/>
      <sheetName val="Contents"/>
      <sheetName val="Real Cost Escalation"/>
      <sheetName val="Overheads"/>
      <sheetName val="Growth Service Volumes"/>
      <sheetName val="01"/>
      <sheetName val="02"/>
      <sheetName val="03"/>
      <sheetName val="04"/>
      <sheetName val="05"/>
      <sheetName val="06"/>
      <sheetName val="07"/>
      <sheetName val="08"/>
      <sheetName val="09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30"/>
      <sheetName val="31"/>
      <sheetName val="32"/>
      <sheetName val="33"/>
      <sheetName val="Capex Summary Forecast - Unesc"/>
      <sheetName val="Capex Summary Forecast - Esc"/>
      <sheetName val="Capex Summary Forecast - OHs"/>
      <sheetName val="PTRM Input"/>
    </sheetNames>
    <sheetDataSet>
      <sheetData sheetId="0"/>
      <sheetData sheetId="1"/>
      <sheetData sheetId="2"/>
      <sheetData sheetId="3">
        <row r="19">
          <cell r="E19">
            <v>1.2033750000000065E-2</v>
          </cell>
          <cell r="F19">
            <v>2.2255290875E-2</v>
          </cell>
          <cell r="G19">
            <v>3.48801437173063E-2</v>
          </cell>
          <cell r="H19">
            <v>4.9213233707790849E-2</v>
          </cell>
          <cell r="I19">
            <v>6.4846510890036901E-2</v>
          </cell>
        </row>
        <row r="20">
          <cell r="E20">
            <v>7.0928836509172033E-3</v>
          </cell>
          <cell r="F20">
            <v>1.7199113044800818E-2</v>
          </cell>
          <cell r="G20">
            <v>2.9017458668209706E-2</v>
          </cell>
          <cell r="H20">
            <v>4.3290522515460728E-2</v>
          </cell>
          <cell r="I20">
            <v>6.4066558177915844E-2</v>
          </cell>
        </row>
        <row r="21"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</sheetData>
      <sheetData sheetId="4">
        <row r="21">
          <cell r="H21">
            <v>9.6406085291957822E-2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>
            <v>4.5622533394805799E-2</v>
          </cell>
        </row>
        <row r="13">
          <cell r="C13">
            <v>0.80904080054571625</v>
          </cell>
        </row>
        <row r="14">
          <cell r="C14">
            <v>0.14533666605947793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S51"/>
  <sheetViews>
    <sheetView tabSelected="1" workbookViewId="0">
      <selection activeCell="B2" sqref="B2"/>
    </sheetView>
  </sheetViews>
  <sheetFormatPr defaultColWidth="0" defaultRowHeight="12.75" customHeight="1" zeroHeight="1" x14ac:dyDescent="0.2"/>
  <cols>
    <col min="1" max="1" width="3.42578125" style="195" customWidth="1"/>
    <col min="2" max="12" width="9.140625" style="195" customWidth="1"/>
    <col min="13" max="16384" width="9.140625" style="197" hidden="1"/>
  </cols>
  <sheetData>
    <row r="1" spans="2:19" x14ac:dyDescent="0.2">
      <c r="M1" s="196"/>
      <c r="N1" s="196"/>
      <c r="O1" s="196"/>
      <c r="P1" s="196"/>
      <c r="Q1" s="196"/>
      <c r="R1" s="196"/>
      <c r="S1" s="196"/>
    </row>
    <row r="2" spans="2:19" x14ac:dyDescent="0.2">
      <c r="M2" s="196"/>
      <c r="N2" s="196"/>
      <c r="O2" s="196"/>
      <c r="P2" s="196"/>
      <c r="Q2" s="196"/>
      <c r="R2" s="196"/>
      <c r="S2" s="196"/>
    </row>
    <row r="3" spans="2:19" ht="20.25" x14ac:dyDescent="0.3">
      <c r="B3" s="198"/>
      <c r="M3" s="196"/>
      <c r="N3" s="196"/>
      <c r="O3" s="196"/>
      <c r="P3" s="196"/>
      <c r="Q3" s="196"/>
      <c r="R3" s="196"/>
      <c r="S3" s="196"/>
    </row>
    <row r="4" spans="2:19" ht="20.25" x14ac:dyDescent="0.3">
      <c r="B4" s="199"/>
      <c r="M4" s="196"/>
      <c r="N4" s="196"/>
      <c r="O4" s="196"/>
      <c r="P4" s="196"/>
      <c r="Q4" s="196"/>
      <c r="R4" s="196"/>
      <c r="S4" s="196"/>
    </row>
    <row r="5" spans="2:19" ht="15" x14ac:dyDescent="0.2">
      <c r="B5" s="200"/>
      <c r="M5" s="196"/>
      <c r="N5" s="196"/>
      <c r="O5" s="196"/>
      <c r="P5" s="196"/>
      <c r="Q5" s="196"/>
      <c r="R5" s="196"/>
      <c r="S5" s="196"/>
    </row>
    <row r="6" spans="2:19" ht="20.25" customHeight="1" x14ac:dyDescent="0.2">
      <c r="B6" s="200"/>
      <c r="M6" s="196"/>
      <c r="N6" s="196"/>
      <c r="O6" s="196"/>
      <c r="P6" s="196"/>
      <c r="Q6" s="196"/>
      <c r="R6" s="196"/>
      <c r="S6" s="196"/>
    </row>
    <row r="7" spans="2:19" x14ac:dyDescent="0.2">
      <c r="B7" s="201"/>
      <c r="M7" s="196"/>
      <c r="N7" s="196"/>
      <c r="O7" s="196"/>
      <c r="P7" s="196"/>
      <c r="Q7" s="196"/>
      <c r="R7" s="196"/>
      <c r="S7" s="196"/>
    </row>
    <row r="8" spans="2:19" x14ac:dyDescent="0.2">
      <c r="M8" s="196"/>
      <c r="N8" s="196"/>
      <c r="O8" s="196"/>
      <c r="P8" s="196"/>
      <c r="Q8" s="196"/>
      <c r="R8" s="196"/>
      <c r="S8" s="196"/>
    </row>
    <row r="9" spans="2:19" x14ac:dyDescent="0.2">
      <c r="M9" s="196"/>
      <c r="N9" s="196"/>
      <c r="O9" s="196"/>
      <c r="P9" s="196"/>
      <c r="Q9" s="196"/>
      <c r="R9" s="196"/>
      <c r="S9" s="196"/>
    </row>
    <row r="10" spans="2:19" x14ac:dyDescent="0.2">
      <c r="B10" s="202"/>
      <c r="M10" s="196"/>
      <c r="N10" s="196"/>
      <c r="O10" s="196"/>
      <c r="P10" s="196"/>
      <c r="Q10" s="196"/>
      <c r="R10" s="196"/>
      <c r="S10" s="196"/>
    </row>
    <row r="11" spans="2:19" x14ac:dyDescent="0.2">
      <c r="M11" s="196"/>
      <c r="N11" s="196"/>
      <c r="O11" s="196"/>
      <c r="P11" s="196"/>
      <c r="Q11" s="196"/>
      <c r="R11" s="196"/>
      <c r="S11" s="196"/>
    </row>
    <row r="12" spans="2:19" x14ac:dyDescent="0.2">
      <c r="M12" s="196"/>
      <c r="N12" s="196"/>
      <c r="O12" s="196"/>
      <c r="P12" s="196"/>
      <c r="Q12" s="196"/>
      <c r="R12" s="196"/>
      <c r="S12" s="196"/>
    </row>
    <row r="13" spans="2:19" x14ac:dyDescent="0.2">
      <c r="B13" s="202"/>
      <c r="M13" s="196"/>
      <c r="N13" s="196"/>
      <c r="O13" s="196"/>
      <c r="P13" s="196"/>
      <c r="Q13" s="196"/>
      <c r="R13" s="196"/>
      <c r="S13" s="196"/>
    </row>
    <row r="14" spans="2:19" x14ac:dyDescent="0.2">
      <c r="M14" s="196"/>
      <c r="N14" s="196"/>
      <c r="O14" s="196"/>
      <c r="P14" s="196"/>
      <c r="Q14" s="196"/>
      <c r="R14" s="196"/>
      <c r="S14" s="196"/>
    </row>
    <row r="15" spans="2:19" x14ac:dyDescent="0.2">
      <c r="M15" s="196"/>
      <c r="N15" s="196"/>
      <c r="O15" s="196"/>
      <c r="P15" s="196"/>
      <c r="Q15" s="196"/>
      <c r="R15" s="196"/>
      <c r="S15" s="196"/>
    </row>
    <row r="16" spans="2:19" x14ac:dyDescent="0.2">
      <c r="M16" s="196"/>
      <c r="N16" s="196"/>
      <c r="O16" s="196"/>
      <c r="P16" s="196"/>
      <c r="Q16" s="196"/>
      <c r="R16" s="196"/>
      <c r="S16" s="196"/>
    </row>
    <row r="17" spans="13:19" x14ac:dyDescent="0.2">
      <c r="M17" s="196"/>
      <c r="N17" s="196"/>
      <c r="O17" s="196"/>
      <c r="P17" s="196"/>
      <c r="Q17" s="196"/>
      <c r="R17" s="196"/>
      <c r="S17" s="196"/>
    </row>
    <row r="18" spans="13:19" x14ac:dyDescent="0.2">
      <c r="M18" s="196"/>
      <c r="N18" s="196"/>
      <c r="O18" s="196"/>
      <c r="P18" s="196"/>
      <c r="Q18" s="196"/>
      <c r="R18" s="196"/>
      <c r="S18" s="196"/>
    </row>
    <row r="19" spans="13:19" x14ac:dyDescent="0.2">
      <c r="M19" s="196"/>
      <c r="N19" s="196"/>
      <c r="O19" s="196"/>
      <c r="P19" s="196"/>
      <c r="Q19" s="196"/>
      <c r="R19" s="196"/>
      <c r="S19" s="196"/>
    </row>
    <row r="20" spans="13:19" x14ac:dyDescent="0.2">
      <c r="M20" s="196"/>
      <c r="N20" s="196"/>
      <c r="O20" s="196"/>
      <c r="P20" s="196"/>
      <c r="Q20" s="196"/>
      <c r="R20" s="196"/>
      <c r="S20" s="196"/>
    </row>
    <row r="21" spans="13:19" x14ac:dyDescent="0.2">
      <c r="M21" s="196"/>
      <c r="N21" s="196"/>
      <c r="O21" s="196"/>
      <c r="P21" s="196"/>
      <c r="Q21" s="196"/>
      <c r="R21" s="196"/>
      <c r="S21" s="196"/>
    </row>
    <row r="22" spans="13:19" x14ac:dyDescent="0.2">
      <c r="M22" s="196"/>
      <c r="N22" s="196"/>
      <c r="O22" s="196"/>
      <c r="P22" s="196"/>
      <c r="Q22" s="196"/>
      <c r="R22" s="196"/>
      <c r="S22" s="196"/>
    </row>
    <row r="23" spans="13:19" x14ac:dyDescent="0.2">
      <c r="M23" s="196"/>
      <c r="N23" s="196"/>
      <c r="O23" s="196"/>
      <c r="P23" s="196"/>
      <c r="Q23" s="196"/>
      <c r="R23" s="196"/>
      <c r="S23" s="196"/>
    </row>
    <row r="24" spans="13:19" x14ac:dyDescent="0.2">
      <c r="M24" s="196"/>
      <c r="N24" s="196"/>
      <c r="O24" s="196"/>
      <c r="P24" s="196"/>
      <c r="Q24" s="196"/>
      <c r="R24" s="196"/>
      <c r="S24" s="196"/>
    </row>
    <row r="25" spans="13:19" x14ac:dyDescent="0.2">
      <c r="M25" s="196"/>
      <c r="N25" s="196"/>
      <c r="O25" s="196"/>
      <c r="P25" s="196"/>
      <c r="Q25" s="196"/>
      <c r="R25" s="196"/>
      <c r="S25" s="196"/>
    </row>
    <row r="26" spans="13:19" x14ac:dyDescent="0.2">
      <c r="M26" s="196"/>
      <c r="N26" s="196"/>
      <c r="O26" s="196"/>
      <c r="P26" s="196"/>
      <c r="Q26" s="196"/>
      <c r="R26" s="196"/>
      <c r="S26" s="196"/>
    </row>
    <row r="27" spans="13:19" x14ac:dyDescent="0.2">
      <c r="M27" s="196"/>
      <c r="N27" s="196"/>
      <c r="O27" s="196"/>
      <c r="P27" s="196"/>
      <c r="Q27" s="196"/>
      <c r="R27" s="196"/>
      <c r="S27" s="196"/>
    </row>
    <row r="28" spans="13:19" x14ac:dyDescent="0.2">
      <c r="M28" s="196"/>
      <c r="N28" s="196"/>
      <c r="O28" s="196"/>
      <c r="P28" s="196"/>
      <c r="Q28" s="196"/>
      <c r="R28" s="196"/>
      <c r="S28" s="196"/>
    </row>
    <row r="29" spans="13:19" x14ac:dyDescent="0.2">
      <c r="M29" s="196"/>
      <c r="N29" s="196"/>
      <c r="O29" s="196"/>
      <c r="P29" s="196"/>
      <c r="Q29" s="196"/>
      <c r="R29" s="196"/>
      <c r="S29" s="196"/>
    </row>
    <row r="30" spans="13:19" x14ac:dyDescent="0.2">
      <c r="M30" s="196"/>
      <c r="N30" s="196"/>
      <c r="O30" s="196"/>
      <c r="P30" s="196"/>
      <c r="Q30" s="196"/>
      <c r="R30" s="196"/>
      <c r="S30" s="196"/>
    </row>
    <row r="31" spans="13:19" x14ac:dyDescent="0.2">
      <c r="M31" s="196"/>
      <c r="N31" s="196"/>
      <c r="O31" s="196"/>
      <c r="P31" s="196"/>
      <c r="Q31" s="196"/>
      <c r="R31" s="196"/>
      <c r="S31" s="196"/>
    </row>
    <row r="32" spans="13:19" x14ac:dyDescent="0.2">
      <c r="M32" s="196"/>
      <c r="N32" s="196"/>
      <c r="O32" s="196"/>
      <c r="P32" s="196"/>
      <c r="Q32" s="196"/>
      <c r="R32" s="196"/>
      <c r="S32" s="196"/>
    </row>
    <row r="33" spans="13:19" x14ac:dyDescent="0.2">
      <c r="M33" s="196"/>
      <c r="N33" s="196"/>
      <c r="O33" s="196"/>
      <c r="P33" s="196"/>
      <c r="Q33" s="196"/>
      <c r="R33" s="196"/>
      <c r="S33" s="196"/>
    </row>
    <row r="34" spans="13:19" x14ac:dyDescent="0.2">
      <c r="M34" s="196"/>
      <c r="N34" s="196"/>
      <c r="O34" s="196"/>
      <c r="P34" s="196"/>
      <c r="Q34" s="196"/>
      <c r="R34" s="196"/>
      <c r="S34" s="196"/>
    </row>
    <row r="35" spans="13:19" x14ac:dyDescent="0.2">
      <c r="M35" s="196"/>
      <c r="N35" s="196"/>
      <c r="O35" s="196"/>
      <c r="P35" s="196"/>
      <c r="Q35" s="196"/>
      <c r="R35" s="196"/>
      <c r="S35" s="196"/>
    </row>
    <row r="36" spans="13:19" x14ac:dyDescent="0.2">
      <c r="M36" s="196"/>
      <c r="N36" s="196"/>
      <c r="O36" s="196"/>
      <c r="P36" s="196"/>
      <c r="Q36" s="196"/>
      <c r="R36" s="196"/>
      <c r="S36" s="196"/>
    </row>
    <row r="37" spans="13:19" x14ac:dyDescent="0.2">
      <c r="M37" s="196"/>
      <c r="N37" s="196"/>
      <c r="O37" s="196"/>
      <c r="P37" s="196"/>
      <c r="Q37" s="196"/>
      <c r="R37" s="196"/>
      <c r="S37" s="196"/>
    </row>
    <row r="38" spans="13:19" x14ac:dyDescent="0.2">
      <c r="M38" s="196"/>
      <c r="N38" s="196"/>
      <c r="O38" s="196"/>
      <c r="P38" s="196"/>
      <c r="Q38" s="196"/>
      <c r="R38" s="196"/>
      <c r="S38" s="196"/>
    </row>
    <row r="39" spans="13:19" x14ac:dyDescent="0.2">
      <c r="M39" s="196"/>
      <c r="N39" s="196"/>
      <c r="O39" s="196"/>
      <c r="P39" s="196"/>
      <c r="Q39" s="196"/>
      <c r="R39" s="196"/>
      <c r="S39" s="196"/>
    </row>
    <row r="40" spans="13:19" x14ac:dyDescent="0.2">
      <c r="M40" s="196"/>
      <c r="N40" s="196"/>
      <c r="O40" s="196"/>
      <c r="P40" s="196"/>
      <c r="Q40" s="196"/>
      <c r="R40" s="196"/>
      <c r="S40" s="196"/>
    </row>
    <row r="41" spans="13:19" x14ac:dyDescent="0.2">
      <c r="M41" s="196"/>
      <c r="N41" s="196"/>
      <c r="O41" s="196"/>
      <c r="P41" s="196"/>
      <c r="Q41" s="196"/>
      <c r="R41" s="196"/>
      <c r="S41" s="196"/>
    </row>
    <row r="42" spans="13:19" x14ac:dyDescent="0.2">
      <c r="M42" s="196"/>
      <c r="N42" s="196"/>
      <c r="O42" s="196"/>
      <c r="P42" s="196"/>
      <c r="Q42" s="196"/>
      <c r="R42" s="196"/>
      <c r="S42" s="196"/>
    </row>
    <row r="43" spans="13:19" x14ac:dyDescent="0.2">
      <c r="M43" s="196"/>
      <c r="N43" s="196"/>
      <c r="O43" s="196"/>
      <c r="P43" s="196"/>
      <c r="Q43" s="196"/>
      <c r="R43" s="196"/>
      <c r="S43" s="196"/>
    </row>
    <row r="44" spans="13:19" x14ac:dyDescent="0.2">
      <c r="M44" s="196"/>
      <c r="N44" s="196"/>
      <c r="O44" s="196"/>
      <c r="P44" s="196"/>
      <c r="Q44" s="196"/>
      <c r="R44" s="196"/>
      <c r="S44" s="196"/>
    </row>
    <row r="45" spans="13:19" x14ac:dyDescent="0.2">
      <c r="M45" s="196"/>
      <c r="N45" s="196"/>
      <c r="O45" s="196"/>
      <c r="P45" s="196"/>
      <c r="Q45" s="196"/>
      <c r="R45" s="196"/>
      <c r="S45" s="196"/>
    </row>
    <row r="46" spans="13:19" x14ac:dyDescent="0.2">
      <c r="M46" s="196"/>
      <c r="N46" s="196"/>
      <c r="O46" s="196"/>
      <c r="P46" s="196"/>
      <c r="Q46" s="196"/>
      <c r="R46" s="196"/>
      <c r="S46" s="196"/>
    </row>
    <row r="47" spans="13:19" x14ac:dyDescent="0.2">
      <c r="M47" s="196"/>
      <c r="N47" s="196"/>
      <c r="O47" s="196"/>
      <c r="P47" s="196"/>
      <c r="Q47" s="196"/>
      <c r="R47" s="196"/>
      <c r="S47" s="196"/>
    </row>
    <row r="48" spans="13:19" x14ac:dyDescent="0.2">
      <c r="M48" s="196"/>
      <c r="N48" s="196"/>
      <c r="O48" s="196"/>
      <c r="P48" s="196"/>
      <c r="Q48" s="196"/>
      <c r="R48" s="196"/>
      <c r="S48" s="196"/>
    </row>
    <row r="49" spans="13:19" x14ac:dyDescent="0.2">
      <c r="M49" s="196"/>
      <c r="N49" s="196"/>
      <c r="O49" s="196"/>
      <c r="P49" s="196"/>
      <c r="Q49" s="196"/>
      <c r="R49" s="196"/>
      <c r="S49" s="196"/>
    </row>
    <row r="50" spans="13:19" x14ac:dyDescent="0.2">
      <c r="M50" s="196"/>
      <c r="N50" s="196"/>
      <c r="O50" s="196"/>
      <c r="P50" s="196"/>
      <c r="Q50" s="196"/>
      <c r="R50" s="196"/>
      <c r="S50" s="196"/>
    </row>
    <row r="51" spans="13:19" x14ac:dyDescent="0.2">
      <c r="M51" s="196"/>
      <c r="N51" s="196"/>
      <c r="O51" s="196"/>
      <c r="P51" s="196"/>
      <c r="Q51" s="196"/>
      <c r="R51" s="196"/>
      <c r="S51" s="196"/>
    </row>
  </sheetData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86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4.5622533394805799E-2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0.80904080054571625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0.14533666605947793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64">
        <f>F22+F25</f>
        <v>0</v>
      </c>
      <c r="G26" s="58">
        <f t="shared" ref="G26:J26" si="6">G22+G25</f>
        <v>0</v>
      </c>
      <c r="H26" s="58">
        <f t="shared" si="6"/>
        <v>0</v>
      </c>
      <c r="I26" s="58">
        <f t="shared" si="6"/>
        <v>0</v>
      </c>
      <c r="J26" s="65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87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4.5622533394805799E-2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0.80904080054571625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0.14533666605947793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51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64">
        <f>F22+F25</f>
        <v>0</v>
      </c>
      <c r="G26" s="58">
        <f t="shared" ref="G26:J26" si="6">G22+G25</f>
        <v>0</v>
      </c>
      <c r="H26" s="58">
        <f t="shared" si="6"/>
        <v>0</v>
      </c>
      <c r="I26" s="58">
        <f t="shared" si="6"/>
        <v>0</v>
      </c>
      <c r="J26" s="65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88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4.5622533394805799E-2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0.80904080054571625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0.14533666605947793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6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64">
        <f>F22+F25</f>
        <v>0</v>
      </c>
      <c r="G26" s="58">
        <f t="shared" ref="G26:J26" si="6">G22+G25</f>
        <v>0</v>
      </c>
      <c r="H26" s="58">
        <f t="shared" si="6"/>
        <v>0</v>
      </c>
      <c r="I26" s="58">
        <f t="shared" si="6"/>
        <v>0</v>
      </c>
      <c r="J26" s="65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89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4.5622533394805799E-2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0.80904080054571625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0.14533666605947793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90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7.1080219796051308E-2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0.73964935600842563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0.18927042419552312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91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7.2109934846409485E-2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0.78909283036215339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0.1387972347914371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92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4.5622533394805799E-2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0.80904080054571625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0.14533666605947793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10" width="9.5703125" style="3" bestFit="1" customWidth="1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93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8.261275837119729E-2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0.74370828896049535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0.17367895266830735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94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0.10206584620694158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0.71240867168811761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0.1855254821049408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95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 t="s">
        <v>245</v>
      </c>
      <c r="E5" s="29"/>
      <c r="F5" s="29"/>
      <c r="G5" s="28">
        <f>0.025*0.15</f>
        <v>3.7499999999999999E-3</v>
      </c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241">
        <v>1.4172994029403636</v>
      </c>
      <c r="G9" s="241">
        <v>1.3321149349725161</v>
      </c>
      <c r="H9" s="241">
        <v>1.3868130574250408</v>
      </c>
      <c r="I9" s="241">
        <v>1.4773164784524555</v>
      </c>
      <c r="J9" s="241">
        <v>1.5251362735365315</v>
      </c>
      <c r="K9" s="45">
        <f>SUM(F9:J9)</f>
        <v>7.138680147326907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5.7046174653009117E-2</v>
      </c>
      <c r="D12" s="38"/>
      <c r="E12" s="36"/>
      <c r="F12" s="69">
        <f>$C12*F$9</f>
        <v>8.0851509275741529E-2</v>
      </c>
      <c r="G12" s="69">
        <f t="shared" ref="G12:J14" si="0">$C12*G$9</f>
        <v>7.5992061238324041E-2</v>
      </c>
      <c r="H12" s="69">
        <f t="shared" si="0"/>
        <v>7.9112379884942435E-2</v>
      </c>
      <c r="I12" s="69">
        <f t="shared" si="0"/>
        <v>8.4275253847567164E-2</v>
      </c>
      <c r="J12" s="69">
        <f t="shared" si="0"/>
        <v>8.7003190229804461E-2</v>
      </c>
      <c r="K12" s="40">
        <f>SUM(F12:J12)</f>
        <v>0.4072343944763796</v>
      </c>
      <c r="L12" s="22"/>
    </row>
    <row r="13" spans="1:12" x14ac:dyDescent="0.25">
      <c r="A13" s="22"/>
      <c r="B13" s="66" t="s">
        <v>1</v>
      </c>
      <c r="C13" s="86">
        <v>0.86039416358282783</v>
      </c>
      <c r="D13" s="38"/>
      <c r="E13" s="36"/>
      <c r="F13" s="69">
        <f>$C13*F$9</f>
        <v>1.2194361343393154</v>
      </c>
      <c r="G13" s="69">
        <f t="shared" si="0"/>
        <v>1.1461439152718711</v>
      </c>
      <c r="H13" s="69">
        <f t="shared" si="0"/>
        <v>1.1932058605889622</v>
      </c>
      <c r="I13" s="69">
        <f t="shared" si="0"/>
        <v>1.2710744758252293</v>
      </c>
      <c r="J13" s="69">
        <f t="shared" si="0"/>
        <v>1.3122183484192949</v>
      </c>
      <c r="K13" s="40">
        <f t="shared" ref="K13:K14" si="1">SUM(F13:J13)</f>
        <v>6.1420787344446728</v>
      </c>
      <c r="L13" s="22"/>
    </row>
    <row r="14" spans="1:12" x14ac:dyDescent="0.25">
      <c r="A14" s="22"/>
      <c r="B14" s="66" t="s">
        <v>44</v>
      </c>
      <c r="C14" s="87">
        <v>8.2559661764163142E-2</v>
      </c>
      <c r="D14" s="38"/>
      <c r="E14" s="39"/>
      <c r="F14" s="69">
        <f>$C14*F$9</f>
        <v>0.11701175932530679</v>
      </c>
      <c r="G14" s="69">
        <f t="shared" si="0"/>
        <v>0.10997895846232111</v>
      </c>
      <c r="H14" s="69">
        <f t="shared" si="0"/>
        <v>0.11449481695113632</v>
      </c>
      <c r="I14" s="69">
        <f t="shared" si="0"/>
        <v>0.12196674877965934</v>
      </c>
      <c r="J14" s="69">
        <f t="shared" si="0"/>
        <v>0.12591473488743224</v>
      </c>
      <c r="K14" s="40">
        <f t="shared" si="1"/>
        <v>0.58936701840585581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1.4172994029403638</v>
      </c>
      <c r="G15" s="43">
        <f t="shared" ref="G15:J15" si="2">SUM(G12:G14)</f>
        <v>1.3321149349725163</v>
      </c>
      <c r="H15" s="43">
        <f t="shared" si="2"/>
        <v>1.386813057425041</v>
      </c>
      <c r="I15" s="43">
        <f t="shared" si="2"/>
        <v>1.4773164784524557</v>
      </c>
      <c r="J15" s="43">
        <f t="shared" si="2"/>
        <v>1.5251362735365317</v>
      </c>
      <c r="K15" s="45">
        <f>SUM(K12:K14)</f>
        <v>7.1386801473269079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2.013645851428866E-2</v>
      </c>
      <c r="G17" s="233">
        <f>G$15/'Capex Summary Forecast - Unesc'!G$47</f>
        <v>1.8295787196032986E-2</v>
      </c>
      <c r="H17" s="233">
        <f>H$15/'Capex Summary Forecast - Unesc'!H$47</f>
        <v>2.0205042881072138E-2</v>
      </c>
      <c r="I17" s="233">
        <f>I$15/'Capex Summary Forecast - Unesc'!I$47</f>
        <v>2.3196835604554801E-2</v>
      </c>
      <c r="J17" s="234">
        <f>J$15/'Capex Summary Forecast - Unesc'!J$47</f>
        <v>2.3937753897982923E-2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235">
        <f>F12</f>
        <v>8.0851509275741529E-2</v>
      </c>
      <c r="G19" s="242">
        <f>G12*(1-$G$5)</f>
        <v>7.5707091008680324E-2</v>
      </c>
      <c r="H19" s="242">
        <f t="shared" ref="H19:J20" si="4">H12*(1-$G$5)</f>
        <v>7.8815708460373904E-2</v>
      </c>
      <c r="I19" s="242">
        <f t="shared" si="4"/>
        <v>8.3959221645638779E-2</v>
      </c>
      <c r="J19" s="243">
        <f>J12*(1-$G$5)</f>
        <v>8.6676928266442688E-2</v>
      </c>
      <c r="K19" s="69">
        <f>SUM(F19:J19)</f>
        <v>0.40601045865687724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235">
        <f>F13</f>
        <v>1.2194361343393154</v>
      </c>
      <c r="G20" s="242">
        <f>G13*(1-$G$5)</f>
        <v>1.1418458755896015</v>
      </c>
      <c r="H20" s="242">
        <f t="shared" si="4"/>
        <v>1.1887313386117535</v>
      </c>
      <c r="I20" s="242">
        <f t="shared" si="4"/>
        <v>1.2663079465408846</v>
      </c>
      <c r="J20" s="243">
        <f t="shared" si="4"/>
        <v>1.3072975296127225</v>
      </c>
      <c r="K20" s="69">
        <f t="shared" ref="K20:K21" si="5">SUM(F20:J20)</f>
        <v>6.1236188246942778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0.11701175932530679</v>
      </c>
      <c r="G21" s="55">
        <f>G14*(1+'Real Cost Escalation'!F21)</f>
        <v>0.10997895846232111</v>
      </c>
      <c r="H21" s="55">
        <f>H14*(1+'Real Cost Escalation'!G21)</f>
        <v>0.11449481695113632</v>
      </c>
      <c r="I21" s="55">
        <f>I14*(1+'Real Cost Escalation'!H21)</f>
        <v>0.12196674877965934</v>
      </c>
      <c r="J21" s="62">
        <f>J14*(1+'Real Cost Escalation'!I21)</f>
        <v>0.12591473488743224</v>
      </c>
      <c r="K21" s="69">
        <f t="shared" si="5"/>
        <v>0.58936701840585581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1.4172994029403638</v>
      </c>
      <c r="G22" s="43">
        <f t="shared" ref="G22:J22" si="6">SUM(G19:G21)</f>
        <v>1.327531925060603</v>
      </c>
      <c r="H22" s="43">
        <f t="shared" si="6"/>
        <v>1.3820418640232639</v>
      </c>
      <c r="I22" s="43">
        <f t="shared" si="6"/>
        <v>1.4722339169661829</v>
      </c>
      <c r="J22" s="44">
        <f t="shared" si="6"/>
        <v>1.5198891927665976</v>
      </c>
      <c r="K22" s="43">
        <f>SUM(K19:K21)</f>
        <v>7.1189963017570106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0.18837539747018595</v>
      </c>
      <c r="G25" s="236">
        <f>G$17*'[1]AGN overheads'!D$63</f>
        <v>0.1788564171709528</v>
      </c>
      <c r="H25" s="236">
        <f>H$17*'[1]AGN overheads'!E$63</f>
        <v>0.1903320849493291</v>
      </c>
      <c r="I25" s="236">
        <f>I$17*'[1]AGN overheads'!F$63</f>
        <v>0.21387842517083286</v>
      </c>
      <c r="J25" s="237">
        <f>J$17*'[1]AGN overheads'!G$63</f>
        <v>0.21503215004982534</v>
      </c>
      <c r="K25" s="69">
        <f>SUM(F25:J25)</f>
        <v>0.98647447481112605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1.6056748004105499</v>
      </c>
      <c r="G26" s="43">
        <f t="shared" ref="G26:J26" si="7">G22+G25</f>
        <v>1.5063883422315558</v>
      </c>
      <c r="H26" s="43">
        <f t="shared" si="7"/>
        <v>1.572373948972593</v>
      </c>
      <c r="I26" s="43">
        <f t="shared" si="7"/>
        <v>1.6861123421370157</v>
      </c>
      <c r="J26" s="44">
        <f t="shared" si="7"/>
        <v>1.734921342816423</v>
      </c>
      <c r="K26" s="43">
        <f>SUM(F26:J26)</f>
        <v>8.1054707765681364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49"/>
  <sheetViews>
    <sheetView topLeftCell="A16" workbookViewId="0">
      <selection activeCell="B43" sqref="B43:C43"/>
    </sheetView>
  </sheetViews>
  <sheetFormatPr defaultRowHeight="15" x14ac:dyDescent="0.25"/>
  <cols>
    <col min="1" max="1" width="2.28515625" style="5" customWidth="1"/>
    <col min="2" max="2" width="30.42578125" style="5" customWidth="1"/>
    <col min="3" max="3" width="65.5703125" style="5" customWidth="1"/>
    <col min="4" max="4" width="25.85546875" style="5" customWidth="1"/>
    <col min="5" max="16384" width="9.140625" style="5"/>
  </cols>
  <sheetData>
    <row r="1" spans="1:5" x14ac:dyDescent="0.25">
      <c r="A1" s="4"/>
      <c r="B1" s="4"/>
      <c r="C1" s="4"/>
      <c r="D1" s="4"/>
      <c r="E1" s="4"/>
    </row>
    <row r="2" spans="1:5" ht="69" customHeight="1" x14ac:dyDescent="0.25">
      <c r="A2" s="6"/>
      <c r="B2" s="7"/>
      <c r="C2" s="8" t="s">
        <v>28</v>
      </c>
      <c r="D2" s="8"/>
      <c r="E2" s="6"/>
    </row>
    <row r="3" spans="1:5" x14ac:dyDescent="0.25">
      <c r="A3" s="4"/>
      <c r="B3" s="4"/>
      <c r="C3" s="4"/>
      <c r="D3" s="4"/>
      <c r="E3" s="4"/>
    </row>
    <row r="4" spans="1:5" x14ac:dyDescent="0.25">
      <c r="A4" s="4"/>
      <c r="B4" s="9" t="s">
        <v>25</v>
      </c>
      <c r="C4" s="10" t="s">
        <v>29</v>
      </c>
      <c r="D4" s="10"/>
      <c r="E4" s="4"/>
    </row>
    <row r="5" spans="1:5" x14ac:dyDescent="0.25">
      <c r="A5" s="4"/>
      <c r="B5" s="9"/>
      <c r="C5" s="10"/>
      <c r="D5" s="10"/>
      <c r="E5" s="4"/>
    </row>
    <row r="6" spans="1:5" x14ac:dyDescent="0.25">
      <c r="A6" s="4"/>
      <c r="B6" s="125" t="s">
        <v>26</v>
      </c>
      <c r="C6" s="68" t="s">
        <v>27</v>
      </c>
      <c r="D6" s="97" t="s">
        <v>53</v>
      </c>
      <c r="E6" s="4"/>
    </row>
    <row r="7" spans="1:5" x14ac:dyDescent="0.25">
      <c r="A7" s="4"/>
      <c r="B7" s="126" t="s">
        <v>78</v>
      </c>
      <c r="C7" s="127" t="s">
        <v>175</v>
      </c>
      <c r="D7" s="98" t="s">
        <v>177</v>
      </c>
      <c r="E7" s="4"/>
    </row>
    <row r="8" spans="1:5" x14ac:dyDescent="0.25">
      <c r="A8" s="4"/>
      <c r="B8" s="126" t="s">
        <v>195</v>
      </c>
      <c r="C8" s="127" t="s">
        <v>211</v>
      </c>
      <c r="D8" s="98" t="s">
        <v>212</v>
      </c>
      <c r="E8" s="4"/>
    </row>
    <row r="9" spans="1:5" x14ac:dyDescent="0.25">
      <c r="A9" s="4"/>
      <c r="B9" s="126" t="s">
        <v>170</v>
      </c>
      <c r="C9" s="67"/>
      <c r="D9" s="98"/>
      <c r="E9" s="4"/>
    </row>
    <row r="10" spans="1:5" x14ac:dyDescent="0.25">
      <c r="A10" s="4"/>
      <c r="B10" s="133" t="s">
        <v>54</v>
      </c>
      <c r="C10" s="11" t="s">
        <v>30</v>
      </c>
      <c r="D10" s="99" t="s">
        <v>133</v>
      </c>
      <c r="E10" s="4"/>
    </row>
    <row r="11" spans="1:5" x14ac:dyDescent="0.25">
      <c r="A11" s="4"/>
      <c r="B11" s="133" t="s">
        <v>55</v>
      </c>
      <c r="C11" s="11" t="s">
        <v>31</v>
      </c>
      <c r="D11" s="99" t="s">
        <v>134</v>
      </c>
      <c r="E11" s="4"/>
    </row>
    <row r="12" spans="1:5" x14ac:dyDescent="0.25">
      <c r="A12" s="4"/>
      <c r="B12" s="133" t="s">
        <v>56</v>
      </c>
      <c r="C12" s="11" t="s">
        <v>32</v>
      </c>
      <c r="D12" s="99" t="s">
        <v>135</v>
      </c>
      <c r="E12" s="4"/>
    </row>
    <row r="13" spans="1:5" x14ac:dyDescent="0.25">
      <c r="A13" s="4"/>
      <c r="B13" s="133" t="s">
        <v>57</v>
      </c>
      <c r="C13" s="11" t="s">
        <v>33</v>
      </c>
      <c r="D13" s="99" t="s">
        <v>136</v>
      </c>
      <c r="E13" s="4"/>
    </row>
    <row r="14" spans="1:5" x14ac:dyDescent="0.25">
      <c r="A14" s="4"/>
      <c r="B14" s="133" t="s">
        <v>58</v>
      </c>
      <c r="C14" s="11" t="s">
        <v>34</v>
      </c>
      <c r="D14" s="99" t="s">
        <v>137</v>
      </c>
      <c r="E14" s="4"/>
    </row>
    <row r="15" spans="1:5" x14ac:dyDescent="0.25">
      <c r="A15" s="4"/>
      <c r="B15" s="133" t="s">
        <v>59</v>
      </c>
      <c r="C15" s="11" t="s">
        <v>167</v>
      </c>
      <c r="D15" s="99" t="s">
        <v>138</v>
      </c>
      <c r="E15" s="4"/>
    </row>
    <row r="16" spans="1:5" x14ac:dyDescent="0.25">
      <c r="A16" s="4"/>
      <c r="B16" s="133" t="s">
        <v>60</v>
      </c>
      <c r="C16" s="11" t="s">
        <v>168</v>
      </c>
      <c r="D16" s="99" t="s">
        <v>139</v>
      </c>
      <c r="E16" s="4"/>
    </row>
    <row r="17" spans="1:5" x14ac:dyDescent="0.25">
      <c r="A17" s="4"/>
      <c r="B17" s="133" t="s">
        <v>61</v>
      </c>
      <c r="C17" s="11" t="s">
        <v>9</v>
      </c>
      <c r="D17" s="99" t="s">
        <v>140</v>
      </c>
      <c r="E17" s="4"/>
    </row>
    <row r="18" spans="1:5" x14ac:dyDescent="0.25">
      <c r="A18" s="4"/>
      <c r="B18" s="133" t="s">
        <v>62</v>
      </c>
      <c r="C18" s="11" t="s">
        <v>17</v>
      </c>
      <c r="D18" s="99" t="s">
        <v>141</v>
      </c>
      <c r="E18" s="4"/>
    </row>
    <row r="19" spans="1:5" x14ac:dyDescent="0.25">
      <c r="A19" s="4"/>
      <c r="B19" s="133" t="s">
        <v>63</v>
      </c>
      <c r="C19" s="11" t="s">
        <v>35</v>
      </c>
      <c r="D19" s="99" t="s">
        <v>142</v>
      </c>
      <c r="E19" s="4"/>
    </row>
    <row r="20" spans="1:5" x14ac:dyDescent="0.25">
      <c r="A20" s="4"/>
      <c r="B20" s="133" t="s">
        <v>64</v>
      </c>
      <c r="C20" s="11" t="s">
        <v>169</v>
      </c>
      <c r="D20" s="99" t="s">
        <v>143</v>
      </c>
      <c r="E20" s="4"/>
    </row>
    <row r="21" spans="1:5" x14ac:dyDescent="0.25">
      <c r="A21" s="4"/>
      <c r="B21" s="133" t="s">
        <v>65</v>
      </c>
      <c r="C21" s="11" t="s">
        <v>18</v>
      </c>
      <c r="D21" s="99" t="s">
        <v>144</v>
      </c>
      <c r="E21" s="4"/>
    </row>
    <row r="22" spans="1:5" x14ac:dyDescent="0.25">
      <c r="A22" s="4"/>
      <c r="B22" s="133" t="s">
        <v>66</v>
      </c>
      <c r="C22" s="11" t="s">
        <v>36</v>
      </c>
      <c r="D22" s="99" t="s">
        <v>145</v>
      </c>
      <c r="E22" s="4"/>
    </row>
    <row r="23" spans="1:5" x14ac:dyDescent="0.25">
      <c r="A23" s="4"/>
      <c r="B23" s="133" t="s">
        <v>67</v>
      </c>
      <c r="C23" s="11" t="s">
        <v>37</v>
      </c>
      <c r="D23" s="99" t="s">
        <v>146</v>
      </c>
      <c r="E23" s="4"/>
    </row>
    <row r="24" spans="1:5" x14ac:dyDescent="0.25">
      <c r="A24" s="4"/>
      <c r="B24" s="133" t="s">
        <v>68</v>
      </c>
      <c r="C24" s="11" t="s">
        <v>10</v>
      </c>
      <c r="D24" s="99" t="s">
        <v>147</v>
      </c>
      <c r="E24" s="4"/>
    </row>
    <row r="25" spans="1:5" x14ac:dyDescent="0.25">
      <c r="A25" s="4"/>
      <c r="B25" s="133" t="s">
        <v>69</v>
      </c>
      <c r="C25" s="11" t="s">
        <v>11</v>
      </c>
      <c r="D25" s="99" t="s">
        <v>148</v>
      </c>
      <c r="E25" s="4"/>
    </row>
    <row r="26" spans="1:5" x14ac:dyDescent="0.25">
      <c r="A26" s="4"/>
      <c r="B26" s="133" t="s">
        <v>70</v>
      </c>
      <c r="C26" s="11" t="s">
        <v>38</v>
      </c>
      <c r="D26" s="99" t="s">
        <v>149</v>
      </c>
      <c r="E26" s="4"/>
    </row>
    <row r="27" spans="1:5" x14ac:dyDescent="0.25">
      <c r="A27" s="4"/>
      <c r="B27" s="133" t="s">
        <v>71</v>
      </c>
      <c r="C27" s="11" t="s">
        <v>12</v>
      </c>
      <c r="D27" s="99" t="s">
        <v>150</v>
      </c>
      <c r="E27" s="4"/>
    </row>
    <row r="28" spans="1:5" x14ac:dyDescent="0.25">
      <c r="A28" s="4"/>
      <c r="B28" s="133" t="s">
        <v>72</v>
      </c>
      <c r="C28" s="11" t="s">
        <v>39</v>
      </c>
      <c r="D28" s="99" t="s">
        <v>151</v>
      </c>
      <c r="E28" s="4"/>
    </row>
    <row r="29" spans="1:5" x14ac:dyDescent="0.25">
      <c r="A29" s="4"/>
      <c r="B29" s="133" t="s">
        <v>73</v>
      </c>
      <c r="C29" s="11" t="s">
        <v>13</v>
      </c>
      <c r="D29" s="99" t="s">
        <v>152</v>
      </c>
      <c r="E29" s="4"/>
    </row>
    <row r="30" spans="1:5" x14ac:dyDescent="0.25">
      <c r="A30" s="4"/>
      <c r="B30" s="133" t="s">
        <v>74</v>
      </c>
      <c r="C30" s="11" t="s">
        <v>14</v>
      </c>
      <c r="D30" s="99" t="s">
        <v>153</v>
      </c>
      <c r="E30" s="4"/>
    </row>
    <row r="31" spans="1:5" x14ac:dyDescent="0.25">
      <c r="A31" s="4"/>
      <c r="B31" s="133" t="s">
        <v>75</v>
      </c>
      <c r="C31" s="11" t="s">
        <v>15</v>
      </c>
      <c r="D31" s="99" t="s">
        <v>154</v>
      </c>
      <c r="E31" s="4"/>
    </row>
    <row r="32" spans="1:5" x14ac:dyDescent="0.25">
      <c r="A32" s="4"/>
      <c r="B32" s="133" t="s">
        <v>103</v>
      </c>
      <c r="C32" s="11" t="s">
        <v>16</v>
      </c>
      <c r="D32" s="99" t="s">
        <v>155</v>
      </c>
      <c r="E32" s="4"/>
    </row>
    <row r="33" spans="1:5" x14ac:dyDescent="0.25">
      <c r="A33" s="4"/>
      <c r="B33" s="133" t="s">
        <v>104</v>
      </c>
      <c r="C33" s="11" t="s">
        <v>102</v>
      </c>
      <c r="D33" s="99" t="s">
        <v>156</v>
      </c>
      <c r="E33" s="4"/>
    </row>
    <row r="34" spans="1:5" x14ac:dyDescent="0.25">
      <c r="A34" s="4"/>
      <c r="B34" s="126" t="s">
        <v>171</v>
      </c>
      <c r="C34" s="67"/>
      <c r="D34" s="100"/>
      <c r="E34" s="4"/>
    </row>
    <row r="35" spans="1:5" x14ac:dyDescent="0.25">
      <c r="A35" s="4"/>
      <c r="B35" s="134" t="s">
        <v>108</v>
      </c>
      <c r="C35" s="11" t="s">
        <v>3</v>
      </c>
      <c r="D35" s="101" t="s">
        <v>157</v>
      </c>
      <c r="E35" s="4"/>
    </row>
    <row r="36" spans="1:5" x14ac:dyDescent="0.25">
      <c r="A36" s="4"/>
      <c r="B36" s="134" t="s">
        <v>109</v>
      </c>
      <c r="C36" s="11" t="s">
        <v>118</v>
      </c>
      <c r="D36" s="101" t="s">
        <v>158</v>
      </c>
      <c r="E36" s="4"/>
    </row>
    <row r="37" spans="1:5" x14ac:dyDescent="0.25">
      <c r="A37" s="4"/>
      <c r="B37" s="134" t="s">
        <v>110</v>
      </c>
      <c r="C37" s="11" t="s">
        <v>4</v>
      </c>
      <c r="D37" s="101" t="s">
        <v>159</v>
      </c>
      <c r="E37" s="4"/>
    </row>
    <row r="38" spans="1:5" x14ac:dyDescent="0.25">
      <c r="A38" s="4"/>
      <c r="B38" s="134" t="s">
        <v>111</v>
      </c>
      <c r="C38" s="11" t="s">
        <v>7</v>
      </c>
      <c r="D38" s="101" t="s">
        <v>160</v>
      </c>
      <c r="E38" s="4"/>
    </row>
    <row r="39" spans="1:5" x14ac:dyDescent="0.25">
      <c r="A39" s="4"/>
      <c r="B39" s="134" t="s">
        <v>112</v>
      </c>
      <c r="C39" s="11" t="s">
        <v>8</v>
      </c>
      <c r="D39" s="101" t="s">
        <v>161</v>
      </c>
      <c r="E39" s="4"/>
    </row>
    <row r="40" spans="1:5" x14ac:dyDescent="0.25">
      <c r="A40" s="4"/>
      <c r="B40" s="134" t="s">
        <v>115</v>
      </c>
      <c r="C40" s="11" t="s">
        <v>5</v>
      </c>
      <c r="D40" s="101" t="s">
        <v>162</v>
      </c>
      <c r="E40" s="4"/>
    </row>
    <row r="41" spans="1:5" x14ac:dyDescent="0.25">
      <c r="A41" s="4"/>
      <c r="B41" s="134" t="s">
        <v>116</v>
      </c>
      <c r="C41" s="11" t="s">
        <v>2</v>
      </c>
      <c r="D41" s="101" t="s">
        <v>163</v>
      </c>
      <c r="E41" s="4"/>
    </row>
    <row r="42" spans="1:5" x14ac:dyDescent="0.25">
      <c r="A42" s="4"/>
      <c r="B42" s="135" t="s">
        <v>117</v>
      </c>
      <c r="C42" s="13" t="s">
        <v>6</v>
      </c>
      <c r="D42" s="102" t="s">
        <v>164</v>
      </c>
      <c r="E42" s="4"/>
    </row>
    <row r="43" spans="1:5" x14ac:dyDescent="0.25">
      <c r="A43" s="4"/>
      <c r="B43" s="238" t="s">
        <v>242</v>
      </c>
      <c r="C43" s="239" t="s">
        <v>243</v>
      </c>
      <c r="D43" s="102" t="s">
        <v>244</v>
      </c>
      <c r="E43" s="4"/>
    </row>
    <row r="44" spans="1:5" ht="30" x14ac:dyDescent="0.25">
      <c r="A44" s="4"/>
      <c r="B44" s="128" t="s">
        <v>172</v>
      </c>
      <c r="C44" s="129" t="s">
        <v>174</v>
      </c>
      <c r="D44" s="130" t="s">
        <v>178</v>
      </c>
      <c r="E44" s="4"/>
    </row>
    <row r="45" spans="1:5" ht="30" x14ac:dyDescent="0.25">
      <c r="A45" s="4"/>
      <c r="B45" s="128" t="s">
        <v>173</v>
      </c>
      <c r="C45" s="129" t="s">
        <v>176</v>
      </c>
      <c r="D45" s="130" t="s">
        <v>179</v>
      </c>
      <c r="E45" s="4"/>
    </row>
    <row r="46" spans="1:5" ht="30" x14ac:dyDescent="0.25">
      <c r="A46" s="4"/>
      <c r="B46" s="128" t="s">
        <v>221</v>
      </c>
      <c r="C46" s="129" t="s">
        <v>220</v>
      </c>
      <c r="D46" s="130" t="s">
        <v>222</v>
      </c>
      <c r="E46" s="4"/>
    </row>
    <row r="47" spans="1:5" x14ac:dyDescent="0.25">
      <c r="A47" s="4"/>
      <c r="B47" s="176" t="s">
        <v>231</v>
      </c>
      <c r="C47" s="129" t="s">
        <v>232</v>
      </c>
      <c r="D47" s="130" t="s">
        <v>233</v>
      </c>
      <c r="E47" s="4"/>
    </row>
    <row r="48" spans="1:5" x14ac:dyDescent="0.25">
      <c r="A48" s="4"/>
      <c r="B48" s="9"/>
      <c r="C48" s="10"/>
      <c r="D48" s="10"/>
      <c r="E48" s="4"/>
    </row>
    <row r="49" spans="2:9" x14ac:dyDescent="0.25">
      <c r="B49" s="14"/>
      <c r="C49" s="14"/>
      <c r="D49" s="14"/>
      <c r="E49" s="12"/>
      <c r="F49" s="12"/>
      <c r="G49" s="12"/>
      <c r="H49" s="12"/>
      <c r="I49" s="12"/>
    </row>
  </sheetData>
  <hyperlinks>
    <hyperlink ref="D10" location="'01'!A1" display="'01'!A1"/>
    <hyperlink ref="D11" location="'02'!A1" display="'02'!A1"/>
    <hyperlink ref="D12" location="'03'!A1" display="'03'!A1"/>
    <hyperlink ref="D13" location="'04'!A1" display="'04'!A1"/>
    <hyperlink ref="D14" location="'05'!A1" display="'05'!A1"/>
    <hyperlink ref="D15" location="'06'!A1" display="'06'!A1"/>
    <hyperlink ref="D16" location="'07'!A1" display="'07'!A1"/>
    <hyperlink ref="D17" location="'08'!A1" display="'08'!A1"/>
    <hyperlink ref="D18" location="'09'!A1" display="'09'!A1"/>
    <hyperlink ref="D19" location="'10'!A1" display="'10'!A1"/>
    <hyperlink ref="D20" location="'11'!A1" display="'11'!A1"/>
    <hyperlink ref="D21" location="'12'!A1" display="'12'!A1"/>
    <hyperlink ref="D22" location="'13'!A1" display="'13'!A1"/>
    <hyperlink ref="D23" location="'14'!A1" display="'14'!A1"/>
    <hyperlink ref="D24" location="'15'!A1" display="'15'!A1"/>
    <hyperlink ref="D25" location="'16'!A1" display="'16'!A1"/>
    <hyperlink ref="D26" location="'17'!A1" display="'17'!A1"/>
    <hyperlink ref="D27" location="'18'!A1" display="'18'!A1"/>
    <hyperlink ref="D28" location="'19'!A1" display="'19'!A1"/>
    <hyperlink ref="D29" location="'20'!A1" display="'20'!A1"/>
    <hyperlink ref="D30" location="'21'!A1" display="'21'!A1"/>
    <hyperlink ref="D31" location="'22'!A1" display="'22'!A1"/>
    <hyperlink ref="D32" location="'23'!A1" display="'23'!A1"/>
    <hyperlink ref="D33" location="'24'!A1" display="'24'!A1"/>
    <hyperlink ref="D35" location="'25'!A1" display="'25'!A1"/>
    <hyperlink ref="D36" location="'26'!A1" display="'26'!A1"/>
    <hyperlink ref="D37" location="'27'!A1" display="'27'!A1"/>
    <hyperlink ref="D38" location="'28'!A1" display="'28'!A1"/>
    <hyperlink ref="D39" location="'29'!A1" display="'29'!A1"/>
    <hyperlink ref="D40" location="'30'!A1" display="'30'!A1"/>
    <hyperlink ref="D41" location="'31'!A1" display="'31'!A1"/>
    <hyperlink ref="D42" location="'32'!A1" display="'32'!A1"/>
    <hyperlink ref="D7" location="'Real Cost Escalation'!A1" display="'Real Cost Escalation'!A1"/>
    <hyperlink ref="D44" location="'Capex Summary Forecast - Unesc'!A1" display="'Capex Summary Forecast - Unesc'!A1"/>
    <hyperlink ref="D45" location="'Capex Summary Forecast - Esc'!A1" display="'Capex Summary Forecast - Esc'!A1"/>
    <hyperlink ref="D8" location="Overheads!A1" display="Overheads!A1"/>
    <hyperlink ref="D46" location="'Capex Summary Forecast - OHs'!A1" display="'Capex Summary Forecast - OHs'!A1"/>
    <hyperlink ref="D47" location="'PTRM Input'!A1" display="'PTRM Input'!A1"/>
    <hyperlink ref="D43" location="'33'!A1" display="'33'!A1"/>
  </hyperlinks>
  <pageMargins left="0.7" right="0.7" top="0.75" bottom="0.75" header="0.3" footer="0.3"/>
  <pageSetup paperSize="9" scale="51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96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241">
        <v>1.2604140044401835</v>
      </c>
      <c r="G9" s="241">
        <v>1.2557093752452724</v>
      </c>
      <c r="H9" s="241">
        <v>1.2556625784552093</v>
      </c>
      <c r="I9" s="241">
        <v>1.2672203121177783</v>
      </c>
      <c r="J9" s="241">
        <v>1.2668270172076928</v>
      </c>
      <c r="K9" s="250">
        <f>SUM(F9:J9)</f>
        <v>6.305833287466136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6.1137647832918231E-2</v>
      </c>
      <c r="D12" s="38"/>
      <c r="E12" s="36"/>
      <c r="F12" s="69">
        <f>$C12*F$9</f>
        <v>7.7058747527142174E-2</v>
      </c>
      <c r="G12" s="69">
        <f t="shared" ref="G12:J14" si="0">$C12*G$9</f>
        <v>7.6771117564239238E-2</v>
      </c>
      <c r="H12" s="69">
        <f t="shared" si="0"/>
        <v>7.6768256518568653E-2</v>
      </c>
      <c r="I12" s="69">
        <f t="shared" si="0"/>
        <v>7.7474869168977459E-2</v>
      </c>
      <c r="J12" s="69">
        <f t="shared" si="0"/>
        <v>7.7450824043270167E-2</v>
      </c>
      <c r="K12" s="40">
        <f>SUM(F12:J12)</f>
        <v>0.38552381482219766</v>
      </c>
      <c r="L12" s="22"/>
    </row>
    <row r="13" spans="1:12" x14ac:dyDescent="0.25">
      <c r="A13" s="22"/>
      <c r="B13" s="66" t="s">
        <v>1</v>
      </c>
      <c r="C13" s="86">
        <v>0.87037690134834944</v>
      </c>
      <c r="D13" s="38"/>
      <c r="E13" s="36"/>
      <c r="F13" s="69">
        <f>$C13*F$9</f>
        <v>1.0970352356007116</v>
      </c>
      <c r="G13" s="69">
        <f t="shared" si="0"/>
        <v>1.092940435020052</v>
      </c>
      <c r="H13" s="69">
        <f t="shared" si="0"/>
        <v>1.0928997041749238</v>
      </c>
      <c r="I13" s="69">
        <f t="shared" si="0"/>
        <v>1.1029592885867601</v>
      </c>
      <c r="J13" s="69">
        <f t="shared" si="0"/>
        <v>1.1026169737816038</v>
      </c>
      <c r="K13" s="40">
        <f t="shared" ref="K13:K14" si="1">SUM(F13:J13)</f>
        <v>5.4884516371640517</v>
      </c>
      <c r="L13" s="22"/>
    </row>
    <row r="14" spans="1:12" x14ac:dyDescent="0.25">
      <c r="A14" s="22"/>
      <c r="B14" s="66" t="s">
        <v>44</v>
      </c>
      <c r="C14" s="87">
        <v>6.848545081873221E-2</v>
      </c>
      <c r="D14" s="38"/>
      <c r="E14" s="39"/>
      <c r="F14" s="69">
        <f>$C14*F$9</f>
        <v>8.6320021312329506E-2</v>
      </c>
      <c r="G14" s="69">
        <f t="shared" si="0"/>
        <v>8.5997822660981049E-2</v>
      </c>
      <c r="H14" s="69">
        <f t="shared" si="0"/>
        <v>8.5994617761716713E-2</v>
      </c>
      <c r="I14" s="69">
        <f t="shared" si="0"/>
        <v>8.6786154362040582E-2</v>
      </c>
      <c r="J14" s="69">
        <f t="shared" si="0"/>
        <v>8.6759219382818664E-2</v>
      </c>
      <c r="K14" s="40">
        <f t="shared" si="1"/>
        <v>0.43185783547988654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1.2604140044401833</v>
      </c>
      <c r="G15" s="43">
        <f t="shared" ref="G15:J15" si="2">SUM(G12:G14)</f>
        <v>1.2557093752452722</v>
      </c>
      <c r="H15" s="43">
        <f t="shared" si="2"/>
        <v>1.2556625784552091</v>
      </c>
      <c r="I15" s="43">
        <f t="shared" si="2"/>
        <v>1.2672203121177781</v>
      </c>
      <c r="J15" s="43">
        <f t="shared" si="2"/>
        <v>1.2668270172076925</v>
      </c>
      <c r="K15" s="45">
        <f>SUM(K12:K14)</f>
        <v>6.305833287466136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1.7907489595059205E-2</v>
      </c>
      <c r="G17" s="233">
        <f>G$15/'Capex Summary Forecast - Unesc'!G$47</f>
        <v>1.7246403374364259E-2</v>
      </c>
      <c r="H17" s="233">
        <f>H$15/'Capex Summary Forecast - Unesc'!H$47</f>
        <v>1.8294258267911086E-2</v>
      </c>
      <c r="I17" s="233">
        <f>I$15/'Capex Summary Forecast - Unesc'!I$47</f>
        <v>1.9897903857230111E-2</v>
      </c>
      <c r="J17" s="234">
        <f>J$15/'Capex Summary Forecast - Unesc'!J$47</f>
        <v>1.9883464773226472E-2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7.7986053230196931E-2</v>
      </c>
      <c r="G19" s="55">
        <f>G12*(1+'Real Cost Escalation'!F19)</f>
        <v>7.8479681116430208E-2</v>
      </c>
      <c r="H19" s="55">
        <f>H12*(1+'Real Cost Escalation'!G19)</f>
        <v>7.9445944338863358E-2</v>
      </c>
      <c r="I19" s="55">
        <f>I12*(1+'Real Cost Escalation'!H19)</f>
        <v>8.1287658011870864E-2</v>
      </c>
      <c r="J19" s="62">
        <f>J12*(1+'Real Cost Escalation'!I19)</f>
        <v>8.2473239748034416E-2</v>
      </c>
      <c r="K19" s="69">
        <f>SUM(F19:J19)</f>
        <v>0.39967257644539578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1.1048163788877841</v>
      </c>
      <c r="G20" s="55">
        <f>G13*(1+'Real Cost Escalation'!F20)</f>
        <v>1.1117380411131956</v>
      </c>
      <c r="H20" s="55">
        <f>H13*(1+'Real Cost Escalation'!G20)</f>
        <v>1.1246128761693182</v>
      </c>
      <c r="I20" s="55">
        <f>I13*(1+'Real Cost Escalation'!H20)</f>
        <v>1.1507069725029617</v>
      </c>
      <c r="J20" s="62">
        <f>J13*(1+'Real Cost Escalation'!I20)</f>
        <v>1.1732578482803404</v>
      </c>
      <c r="K20" s="69">
        <f t="shared" ref="K20:K21" si="4">SUM(F20:J20)</f>
        <v>5.6651321169535995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8.6320021312329506E-2</v>
      </c>
      <c r="G21" s="55">
        <f>G14*(1+'Real Cost Escalation'!F21)</f>
        <v>8.5997822660981049E-2</v>
      </c>
      <c r="H21" s="55">
        <f>H14*(1+'Real Cost Escalation'!G21)</f>
        <v>8.5994617761716713E-2</v>
      </c>
      <c r="I21" s="55">
        <f>I14*(1+'Real Cost Escalation'!H21)</f>
        <v>8.6786154362040582E-2</v>
      </c>
      <c r="J21" s="62">
        <f>J14*(1+'Real Cost Escalation'!I21)</f>
        <v>8.6759219382818664E-2</v>
      </c>
      <c r="K21" s="69">
        <f t="shared" si="4"/>
        <v>0.43185783547988654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1.2691224534303105</v>
      </c>
      <c r="G22" s="43">
        <f t="shared" ref="G22:J22" si="5">SUM(G19:G21)</f>
        <v>1.2762155448906067</v>
      </c>
      <c r="H22" s="43">
        <f t="shared" si="5"/>
        <v>1.2900534382698983</v>
      </c>
      <c r="I22" s="43">
        <f t="shared" si="5"/>
        <v>1.3187807848768731</v>
      </c>
      <c r="J22" s="44">
        <f t="shared" si="5"/>
        <v>1.3424903074111934</v>
      </c>
      <c r="K22" s="43">
        <f>SUM(K19:K21)</f>
        <v>6.4966625288788826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0.16752352295557882</v>
      </c>
      <c r="G25" s="236">
        <f>G$17*'[1]AGN overheads'!D$63</f>
        <v>0.16859782438290777</v>
      </c>
      <c r="H25" s="236">
        <f>H$17*'[1]AGN overheads'!E$63</f>
        <v>0.17233243894745226</v>
      </c>
      <c r="I25" s="236">
        <f>I$17*'[1]AGN overheads'!F$63</f>
        <v>0.18346176235992229</v>
      </c>
      <c r="J25" s="237">
        <f>J$17*'[1]AGN overheads'!G$63</f>
        <v>0.17861258825069323</v>
      </c>
      <c r="K25" s="69">
        <f>SUM(F25:J25)</f>
        <v>0.87052813689655439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1.4366459763858894</v>
      </c>
      <c r="G26" s="43">
        <f t="shared" ref="G26:J26" si="6">G22+G25</f>
        <v>1.4448133692735146</v>
      </c>
      <c r="H26" s="43">
        <f t="shared" si="6"/>
        <v>1.4623858772173506</v>
      </c>
      <c r="I26" s="43">
        <f t="shared" si="6"/>
        <v>1.5022425472367953</v>
      </c>
      <c r="J26" s="44">
        <f t="shared" si="6"/>
        <v>1.5211028956618866</v>
      </c>
      <c r="K26" s="43">
        <f>SUM(F26:J26)</f>
        <v>7.3671906657754365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97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241">
        <v>0.70723707067789243</v>
      </c>
      <c r="G9" s="241">
        <v>0.62488294918882858</v>
      </c>
      <c r="H9" s="241">
        <v>0.74367745381782413</v>
      </c>
      <c r="I9" s="241">
        <v>0.75535613496378184</v>
      </c>
      <c r="J9" s="241">
        <v>0.75356732115394398</v>
      </c>
      <c r="K9" s="45">
        <f>SUM(F9:J9)</f>
        <v>3.5847209298022706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5.0924610824633995E-2</v>
      </c>
      <c r="D12" s="38"/>
      <c r="E12" s="36"/>
      <c r="F12" s="69">
        <f>$C12*F$9</f>
        <v>3.6015772585025842E-2</v>
      </c>
      <c r="G12" s="69">
        <f t="shared" ref="G12:J14" si="0">$C12*G$9</f>
        <v>3.1821920998390638E-2</v>
      </c>
      <c r="H12" s="69">
        <f t="shared" si="0"/>
        <v>3.7871484914727416E-2</v>
      </c>
      <c r="I12" s="69">
        <f t="shared" si="0"/>
        <v>3.84662172070303E-2</v>
      </c>
      <c r="J12" s="69">
        <f t="shared" si="0"/>
        <v>3.8375122559926575E-2</v>
      </c>
      <c r="K12" s="40">
        <f>SUM(F12:J12)</f>
        <v>0.18255051826510077</v>
      </c>
      <c r="L12" s="22"/>
    </row>
    <row r="13" spans="1:12" x14ac:dyDescent="0.25">
      <c r="A13" s="22"/>
      <c r="B13" s="66" t="s">
        <v>1</v>
      </c>
      <c r="C13" s="86">
        <v>0.79598105292104959</v>
      </c>
      <c r="D13" s="38"/>
      <c r="E13" s="36"/>
      <c r="F13" s="69">
        <f>$C13*F$9</f>
        <v>0.56294730818298755</v>
      </c>
      <c r="G13" s="69">
        <f t="shared" si="0"/>
        <v>0.4973949878477345</v>
      </c>
      <c r="H13" s="69">
        <f t="shared" si="0"/>
        <v>0.59195316272355691</v>
      </c>
      <c r="I13" s="69">
        <f t="shared" si="0"/>
        <v>0.6012491716388455</v>
      </c>
      <c r="J13" s="69">
        <f t="shared" si="0"/>
        <v>0.59982530973901105</v>
      </c>
      <c r="K13" s="40">
        <f t="shared" ref="K13:K14" si="1">SUM(F13:J13)</f>
        <v>2.8533699401321355</v>
      </c>
      <c r="L13" s="22"/>
    </row>
    <row r="14" spans="1:12" x14ac:dyDescent="0.25">
      <c r="A14" s="22"/>
      <c r="B14" s="66" t="s">
        <v>44</v>
      </c>
      <c r="C14" s="87">
        <v>0.15309433625431648</v>
      </c>
      <c r="D14" s="38"/>
      <c r="E14" s="39"/>
      <c r="F14" s="69">
        <f>$C14*F$9</f>
        <v>0.10827398990987906</v>
      </c>
      <c r="G14" s="69">
        <f t="shared" si="0"/>
        <v>9.5666040342703484E-2</v>
      </c>
      <c r="H14" s="69">
        <f t="shared" si="0"/>
        <v>0.11385280617953988</v>
      </c>
      <c r="I14" s="69">
        <f t="shared" si="0"/>
        <v>0.11564074611790608</v>
      </c>
      <c r="J14" s="69">
        <f t="shared" si="0"/>
        <v>0.1153668888550064</v>
      </c>
      <c r="K14" s="40">
        <f t="shared" si="1"/>
        <v>0.54880047140503496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0.70723707067789243</v>
      </c>
      <c r="G15" s="43">
        <f t="shared" ref="G15:J15" si="2">SUM(G12:G14)</f>
        <v>0.62488294918882858</v>
      </c>
      <c r="H15" s="43">
        <f t="shared" si="2"/>
        <v>0.74367745381782413</v>
      </c>
      <c r="I15" s="43">
        <f t="shared" si="2"/>
        <v>0.75535613496378184</v>
      </c>
      <c r="J15" s="43">
        <f t="shared" si="2"/>
        <v>0.75356732115394398</v>
      </c>
      <c r="K15" s="45">
        <f>SUM(K12:K14)</f>
        <v>3.5847209298022711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1.0048159128499717E-2</v>
      </c>
      <c r="G17" s="233">
        <f>G$15/'Capex Summary Forecast - Unesc'!G$47</f>
        <v>8.5823866699791754E-3</v>
      </c>
      <c r="H17" s="233">
        <f>H$15/'Capex Summary Forecast - Unesc'!H$47</f>
        <v>1.0834938972939297E-2</v>
      </c>
      <c r="I17" s="233">
        <f>I$15/'Capex Summary Forecast - Unesc'!I$47</f>
        <v>1.1860608299720297E-2</v>
      </c>
      <c r="J17" s="234">
        <f>J$15/'Capex Summary Forecast - Unesc'!J$47</f>
        <v>1.1827604780205427E-2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3.6449177388370897E-2</v>
      </c>
      <c r="G19" s="55">
        <f>G12*(1+'Real Cost Escalation'!F19)</f>
        <v>3.2530127106411094E-2</v>
      </c>
      <c r="H19" s="55">
        <f>H12*(1+'Real Cost Escalation'!G19)</f>
        <v>3.9192447751340904E-2</v>
      </c>
      <c r="I19" s="55">
        <f>I12*(1+'Real Cost Escalation'!H19)</f>
        <v>4.0359264144294527E-2</v>
      </c>
      <c r="J19" s="62">
        <f>J12*(1+'Real Cost Escalation'!I19)</f>
        <v>4.0863615362915356E-2</v>
      </c>
      <c r="K19" s="69">
        <f>SUM(F19:J19)</f>
        <v>0.18939463175333277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0.56694022794152654</v>
      </c>
      <c r="G20" s="55">
        <f>G13*(1+'Real Cost Escalation'!F20)</f>
        <v>0.50594974047164498</v>
      </c>
      <c r="H20" s="55">
        <f>H13*(1+'Real Cost Escalation'!G20)</f>
        <v>0.60913013915640379</v>
      </c>
      <c r="I20" s="55">
        <f>I13*(1+'Real Cost Escalation'!H20)</f>
        <v>0.62727756244107902</v>
      </c>
      <c r="J20" s="62">
        <f>J13*(1+'Real Cost Escalation'!I20)</f>
        <v>0.63825405284199177</v>
      </c>
      <c r="K20" s="69">
        <f t="shared" ref="K20:K21" si="4">SUM(F20:J20)</f>
        <v>2.947551722852646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0.10827398990987906</v>
      </c>
      <c r="G21" s="55">
        <f>G14*(1+'Real Cost Escalation'!F21)</f>
        <v>9.5666040342703484E-2</v>
      </c>
      <c r="H21" s="55">
        <f>H14*(1+'Real Cost Escalation'!G21)</f>
        <v>0.11385280617953988</v>
      </c>
      <c r="I21" s="55">
        <f>I14*(1+'Real Cost Escalation'!H21)</f>
        <v>0.11564074611790608</v>
      </c>
      <c r="J21" s="62">
        <f>J14*(1+'Real Cost Escalation'!I21)</f>
        <v>0.1153668888550064</v>
      </c>
      <c r="K21" s="69">
        <f t="shared" si="4"/>
        <v>0.54880047140503496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0.71166339523977651</v>
      </c>
      <c r="G22" s="43">
        <f t="shared" ref="G22:J22" si="5">SUM(G19:G21)</f>
        <v>0.63414590792075964</v>
      </c>
      <c r="H22" s="43">
        <f t="shared" si="5"/>
        <v>0.76217539308728455</v>
      </c>
      <c r="I22" s="43">
        <f t="shared" si="5"/>
        <v>0.78327757270327969</v>
      </c>
      <c r="J22" s="44">
        <f t="shared" si="5"/>
        <v>0.7944845570599135</v>
      </c>
      <c r="K22" s="43">
        <f>SUM(K19:K21)</f>
        <v>3.6857468260110138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9.3999943849693235E-2</v>
      </c>
      <c r="G25" s="236">
        <f>G$17*'[1]AGN overheads'!D$63</f>
        <v>8.3899911718532227E-2</v>
      </c>
      <c r="H25" s="236">
        <f>H$17*'[1]AGN overheads'!E$63</f>
        <v>0.10206543669106287</v>
      </c>
      <c r="I25" s="236">
        <f>I$17*'[1]AGN overheads'!F$63</f>
        <v>0.10935664967225912</v>
      </c>
      <c r="J25" s="237">
        <f>J$17*'[1]AGN overheads'!G$63</f>
        <v>0.10624703122382226</v>
      </c>
      <c r="K25" s="69">
        <f>SUM(F25:J25)</f>
        <v>0.49556897315536974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0.80566333908946974</v>
      </c>
      <c r="G26" s="43">
        <f t="shared" ref="G26:J26" si="6">G22+G25</f>
        <v>0.71804581963929182</v>
      </c>
      <c r="H26" s="43">
        <f t="shared" si="6"/>
        <v>0.86424082977834737</v>
      </c>
      <c r="I26" s="43">
        <f t="shared" si="6"/>
        <v>0.8926342223755388</v>
      </c>
      <c r="J26" s="44">
        <f t="shared" si="6"/>
        <v>0.90073158828373578</v>
      </c>
      <c r="K26" s="43">
        <f>SUM(F26:J26)</f>
        <v>4.1813157991663834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98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241">
        <v>2.0115762752796074</v>
      </c>
      <c r="G9" s="241">
        <v>1.9149125743399122</v>
      </c>
      <c r="H9" s="241">
        <v>1.9704416204254844</v>
      </c>
      <c r="I9" s="241">
        <v>2.0871249364471964</v>
      </c>
      <c r="J9" s="241">
        <v>2.064119919574491</v>
      </c>
      <c r="K9" s="45">
        <f>SUM(F9:J9)</f>
        <v>10.048175326066691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0.1532979467136075</v>
      </c>
      <c r="D12" s="38"/>
      <c r="E12" s="36"/>
      <c r="F12" s="69">
        <f>$C12*F$9</f>
        <v>0.30837051265817028</v>
      </c>
      <c r="G12" s="69">
        <f t="shared" ref="G12:J14" si="0">$C12*G$9</f>
        <v>0.29355216578237681</v>
      </c>
      <c r="H12" s="69">
        <f t="shared" si="0"/>
        <v>0.30206465453026032</v>
      </c>
      <c r="I12" s="69">
        <f t="shared" si="0"/>
        <v>0.31995196729212377</v>
      </c>
      <c r="J12" s="69">
        <f t="shared" si="0"/>
        <v>0.31642534544142614</v>
      </c>
      <c r="K12" s="40">
        <f>SUM(F12:J12)</f>
        <v>1.5403646457043574</v>
      </c>
      <c r="L12" s="22"/>
    </row>
    <row r="13" spans="1:12" x14ac:dyDescent="0.25">
      <c r="A13" s="22"/>
      <c r="B13" s="66" t="s">
        <v>1</v>
      </c>
      <c r="C13" s="86">
        <v>2.4488525258980553E-2</v>
      </c>
      <c r="D13" s="38"/>
      <c r="E13" s="36"/>
      <c r="F13" s="69">
        <f>$C13*F$9</f>
        <v>4.9260536427550683E-2</v>
      </c>
      <c r="G13" s="69">
        <f t="shared" si="0"/>
        <v>4.689338494546242E-2</v>
      </c>
      <c r="H13" s="69">
        <f t="shared" si="0"/>
        <v>4.825320939313605E-2</v>
      </c>
      <c r="I13" s="69">
        <f t="shared" si="0"/>
        <v>5.1110611724835352E-2</v>
      </c>
      <c r="J13" s="69">
        <f t="shared" si="0"/>
        <v>5.054725278806483E-2</v>
      </c>
      <c r="K13" s="40">
        <f t="shared" ref="K13:K14" si="1">SUM(F13:J13)</f>
        <v>0.24606499527904932</v>
      </c>
      <c r="L13" s="22"/>
    </row>
    <row r="14" spans="1:12" x14ac:dyDescent="0.25">
      <c r="A14" s="22"/>
      <c r="B14" s="66" t="s">
        <v>44</v>
      </c>
      <c r="C14" s="87">
        <v>0.8222135280274121</v>
      </c>
      <c r="D14" s="38"/>
      <c r="E14" s="39"/>
      <c r="F14" s="69">
        <f>$C14*F$9</f>
        <v>1.6539452261938867</v>
      </c>
      <c r="G14" s="69">
        <f t="shared" si="0"/>
        <v>1.5744670236120732</v>
      </c>
      <c r="H14" s="69">
        <f t="shared" si="0"/>
        <v>1.6201237565020883</v>
      </c>
      <c r="I14" s="69">
        <f t="shared" si="0"/>
        <v>1.7160623574302376</v>
      </c>
      <c r="J14" s="69">
        <f t="shared" si="0"/>
        <v>1.6971473213450003</v>
      </c>
      <c r="K14" s="40">
        <f t="shared" si="1"/>
        <v>8.2617456850832856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2.0115762752796078</v>
      </c>
      <c r="G15" s="43">
        <f t="shared" ref="G15:J15" si="2">SUM(G12:G14)</f>
        <v>1.9149125743399125</v>
      </c>
      <c r="H15" s="43">
        <f t="shared" si="2"/>
        <v>1.9704416204254847</v>
      </c>
      <c r="I15" s="43">
        <f t="shared" si="2"/>
        <v>2.0871249364471969</v>
      </c>
      <c r="J15" s="43">
        <f t="shared" si="2"/>
        <v>2.0641199195744915</v>
      </c>
      <c r="K15" s="45">
        <f>SUM(K12:K14)</f>
        <v>10.048175326066692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2.8579721498125481E-2</v>
      </c>
      <c r="G17" s="233">
        <f>G$15/'Capex Summary Forecast - Unesc'!G$47</f>
        <v>2.6300157771186279E-2</v>
      </c>
      <c r="H17" s="233">
        <f>H$15/'Capex Summary Forecast - Unesc'!H$47</f>
        <v>2.8708164537525001E-2</v>
      </c>
      <c r="I17" s="233">
        <f>I$15/'Capex Summary Forecast - Unesc'!I$47</f>
        <v>3.2772053072642034E-2</v>
      </c>
      <c r="J17" s="234">
        <f>J$15/'Capex Summary Forecast - Unesc'!J$47</f>
        <v>3.2397363768762892E-2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0.31208136631487055</v>
      </c>
      <c r="G19" s="55">
        <f>G12*(1+'Real Cost Escalation'!F19)</f>
        <v>0.30008525461884983</v>
      </c>
      <c r="H19" s="55">
        <f>H12*(1+'Real Cost Escalation'!G19)</f>
        <v>0.31260071309219428</v>
      </c>
      <c r="I19" s="55">
        <f>I12*(1+'Real Cost Escalation'!H19)</f>
        <v>0.3356978382337385</v>
      </c>
      <c r="J19" s="62">
        <f>J12*(1+'Real Cost Escalation'!I19)</f>
        <v>0.33694442505047728</v>
      </c>
      <c r="K19" s="69">
        <f>SUM(F19:J19)</f>
        <v>1.5974095973101305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4.9609935681013066E-2</v>
      </c>
      <c r="G20" s="55">
        <f>G13*(1+'Real Cost Escalation'!F20)</f>
        <v>4.7699909574192789E-2</v>
      </c>
      <c r="H20" s="55">
        <f>H13*(1+'Real Cost Escalation'!G20)</f>
        <v>4.9653394902309841E-2</v>
      </c>
      <c r="I20" s="55">
        <f>I13*(1+'Real Cost Escalation'!H20)</f>
        <v>5.3323216812488305E-2</v>
      </c>
      <c r="J20" s="62">
        <f>J13*(1+'Real Cost Escalation'!I20)</f>
        <v>5.3785641299545203E-2</v>
      </c>
      <c r="K20" s="69">
        <f t="shared" ref="K20:K21" si="4">SUM(F20:J20)</f>
        <v>0.25407209826954924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1.6539452261938867</v>
      </c>
      <c r="G21" s="55">
        <f>G14*(1+'Real Cost Escalation'!F21)</f>
        <v>1.5744670236120732</v>
      </c>
      <c r="H21" s="55">
        <f>H14*(1+'Real Cost Escalation'!G21)</f>
        <v>1.6201237565020883</v>
      </c>
      <c r="I21" s="55">
        <f>I14*(1+'Real Cost Escalation'!H21)</f>
        <v>1.7160623574302376</v>
      </c>
      <c r="J21" s="62">
        <f>J14*(1+'Real Cost Escalation'!I21)</f>
        <v>1.6971473213450003</v>
      </c>
      <c r="K21" s="69">
        <f t="shared" si="4"/>
        <v>8.2617456850832856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2.0156365281897703</v>
      </c>
      <c r="G22" s="43">
        <f t="shared" ref="G22:J22" si="5">SUM(G19:G21)</f>
        <v>1.9222521878051158</v>
      </c>
      <c r="H22" s="43">
        <f t="shared" si="5"/>
        <v>1.9823778644965924</v>
      </c>
      <c r="I22" s="43">
        <f t="shared" si="5"/>
        <v>2.1050834124764646</v>
      </c>
      <c r="J22" s="44">
        <f t="shared" si="5"/>
        <v>2.087877387695023</v>
      </c>
      <c r="K22" s="43">
        <f>SUM(K19:K21)</f>
        <v>10.113227380662966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0.26736163129064461</v>
      </c>
      <c r="G25" s="236">
        <f>G$17*'[1]AGN overheads'!D$63</f>
        <v>0.25710574459486019</v>
      </c>
      <c r="H25" s="236">
        <f>H$17*'[1]AGN overheads'!E$63</f>
        <v>0.27043173546611077</v>
      </c>
      <c r="I25" s="236">
        <f>I$17*'[1]AGN overheads'!F$63</f>
        <v>0.30216341660908863</v>
      </c>
      <c r="J25" s="237">
        <f>J$17*'[1]AGN overheads'!G$63</f>
        <v>0.29102458053637253</v>
      </c>
      <c r="K25" s="69">
        <f>SUM(F25:J25)</f>
        <v>1.3880871084970767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2.2829981594804147</v>
      </c>
      <c r="G26" s="43">
        <f t="shared" ref="G26:J26" si="6">G22+G25</f>
        <v>2.1793579323999759</v>
      </c>
      <c r="H26" s="43">
        <f t="shared" si="6"/>
        <v>2.2528095999627031</v>
      </c>
      <c r="I26" s="43">
        <f t="shared" si="6"/>
        <v>2.4072468290855533</v>
      </c>
      <c r="J26" s="44">
        <f t="shared" si="6"/>
        <v>2.3789019682313954</v>
      </c>
      <c r="K26" s="43">
        <f>SUM(F26:J26)</f>
        <v>11.501314489160041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99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241">
        <v>0.98928974113501567</v>
      </c>
      <c r="G9" s="241">
        <v>0.87409203599884977</v>
      </c>
      <c r="H9" s="241">
        <v>1.0402628853578002</v>
      </c>
      <c r="I9" s="241">
        <v>1.0565991323203761</v>
      </c>
      <c r="J9" s="241">
        <v>1.054096923055275</v>
      </c>
      <c r="K9" s="45">
        <f>SUM(F9:J9)</f>
        <v>5.0143407178673174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0.45603561234671747</v>
      </c>
      <c r="D12" s="38"/>
      <c r="E12" s="36"/>
      <c r="F12" s="69">
        <f>$C12*F$9</f>
        <v>0.4511513528868325</v>
      </c>
      <c r="G12" s="69">
        <f t="shared" ref="G12:J14" si="0">$C12*G$9</f>
        <v>0.39861709688412444</v>
      </c>
      <c r="H12" s="69">
        <f t="shared" si="0"/>
        <v>0.47439692192570759</v>
      </c>
      <c r="I12" s="69">
        <f t="shared" si="0"/>
        <v>0.48184683231273306</v>
      </c>
      <c r="J12" s="69">
        <f t="shared" si="0"/>
        <v>0.48070573577830306</v>
      </c>
      <c r="K12" s="40">
        <f>SUM(F12:J12)</f>
        <v>2.2867179397877009</v>
      </c>
      <c r="L12" s="22"/>
    </row>
    <row r="13" spans="1:12" x14ac:dyDescent="0.25">
      <c r="A13" s="22"/>
      <c r="B13" s="66" t="s">
        <v>1</v>
      </c>
      <c r="C13" s="86">
        <v>7.9090973878427159E-2</v>
      </c>
      <c r="D13" s="38"/>
      <c r="E13" s="36"/>
      <c r="F13" s="69">
        <f>$C13*F$9</f>
        <v>7.8243889074305489E-2</v>
      </c>
      <c r="G13" s="69">
        <f t="shared" si="0"/>
        <v>6.9132790386526241E-2</v>
      </c>
      <c r="H13" s="69">
        <f t="shared" si="0"/>
        <v>8.2275404692531043E-2</v>
      </c>
      <c r="I13" s="69">
        <f t="shared" si="0"/>
        <v>8.3567454374319658E-2</v>
      </c>
      <c r="J13" s="69">
        <f t="shared" si="0"/>
        <v>8.3369552206695202E-2</v>
      </c>
      <c r="K13" s="40">
        <f t="shared" ref="K13:K14" si="1">SUM(F13:J13)</f>
        <v>0.39658909073437765</v>
      </c>
      <c r="L13" s="22"/>
    </row>
    <row r="14" spans="1:12" x14ac:dyDescent="0.25">
      <c r="A14" s="22"/>
      <c r="B14" s="66" t="s">
        <v>44</v>
      </c>
      <c r="C14" s="87">
        <v>0.4648734137748553</v>
      </c>
      <c r="D14" s="38"/>
      <c r="E14" s="39"/>
      <c r="F14" s="69">
        <f>$C14*F$9</f>
        <v>0.45989449917387765</v>
      </c>
      <c r="G14" s="69">
        <f t="shared" si="0"/>
        <v>0.40634214872819902</v>
      </c>
      <c r="H14" s="69">
        <f t="shared" si="0"/>
        <v>0.48359055873956153</v>
      </c>
      <c r="I14" s="69">
        <f t="shared" si="0"/>
        <v>0.49118484563332326</v>
      </c>
      <c r="J14" s="69">
        <f t="shared" si="0"/>
        <v>0.49002163507027668</v>
      </c>
      <c r="K14" s="40">
        <f t="shared" si="1"/>
        <v>2.3310336873452382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0.98928974113501567</v>
      </c>
      <c r="G15" s="43">
        <f t="shared" ref="G15:J15" si="2">SUM(G12:G14)</f>
        <v>0.87409203599884977</v>
      </c>
      <c r="H15" s="43">
        <f t="shared" si="2"/>
        <v>1.0402628853578002</v>
      </c>
      <c r="I15" s="43">
        <f t="shared" si="2"/>
        <v>1.0565991323203761</v>
      </c>
      <c r="J15" s="43">
        <f t="shared" si="2"/>
        <v>1.054096923055275</v>
      </c>
      <c r="K15" s="45">
        <f>SUM(K12:K14)</f>
        <v>5.0143407178673165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1.4055457717436732E-2</v>
      </c>
      <c r="G17" s="233">
        <f>G$15/'Capex Summary Forecast - Unesc'!G$47</f>
        <v>1.2005121675714943E-2</v>
      </c>
      <c r="H17" s="233">
        <f>H$15/'Capex Summary Forecast - Unesc'!H$47</f>
        <v>1.5156012624562603E-2</v>
      </c>
      <c r="I17" s="233">
        <f>I$15/'Capex Summary Forecast - Unesc'!I$47</f>
        <v>1.6590728344156761E-2</v>
      </c>
      <c r="J17" s="234">
        <f>J$15/'Capex Summary Forecast - Unesc'!J$47</f>
        <v>1.6544562716489488E-2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0.45658039547963447</v>
      </c>
      <c r="G19" s="55">
        <f>G12*(1+'Real Cost Escalation'!F19)</f>
        <v>0.40748843632302867</v>
      </c>
      <c r="H19" s="55">
        <f>H12*(1+'Real Cost Escalation'!G19)</f>
        <v>0.49094395474152402</v>
      </c>
      <c r="I19" s="55">
        <f>I12*(1+'Real Cost Escalation'!H19)</f>
        <v>0.50556007308269835</v>
      </c>
      <c r="J19" s="62">
        <f>J12*(1+'Real Cost Escalation'!I19)</f>
        <v>0.51187782550835403</v>
      </c>
      <c r="K19" s="69">
        <f>SUM(F19:J19)</f>
        <v>2.3724506851352398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7.8798863875904804E-2</v>
      </c>
      <c r="G20" s="55">
        <f>G13*(1+'Real Cost Escalation'!F20)</f>
        <v>7.032181306348663E-2</v>
      </c>
      <c r="H20" s="55">
        <f>H13*(1+'Real Cost Escalation'!G20)</f>
        <v>8.4662827847606786E-2</v>
      </c>
      <c r="I20" s="55">
        <f>I13*(1+'Real Cost Escalation'!H20)</f>
        <v>8.7185133139470877E-2</v>
      </c>
      <c r="J20" s="62">
        <f>J13*(1+'Real Cost Escalation'!I20)</f>
        <v>8.871075247341223E-2</v>
      </c>
      <c r="K20" s="69">
        <f t="shared" ref="K20:K21" si="4">SUM(F20:J20)</f>
        <v>0.40967939039988133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0.45989449917387765</v>
      </c>
      <c r="G21" s="55">
        <f>G14*(1+'Real Cost Escalation'!F21)</f>
        <v>0.40634214872819902</v>
      </c>
      <c r="H21" s="55">
        <f>H14*(1+'Real Cost Escalation'!G21)</f>
        <v>0.48359055873956153</v>
      </c>
      <c r="I21" s="55">
        <f>I14*(1+'Real Cost Escalation'!H21)</f>
        <v>0.49118484563332326</v>
      </c>
      <c r="J21" s="62">
        <f>J14*(1+'Real Cost Escalation'!I21)</f>
        <v>0.49002163507027668</v>
      </c>
      <c r="K21" s="69">
        <f t="shared" si="4"/>
        <v>2.3310336873452382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0.99527375852941691</v>
      </c>
      <c r="G22" s="43">
        <f t="shared" ref="G22:J22" si="5">SUM(G19:G21)</f>
        <v>0.88415239811471436</v>
      </c>
      <c r="H22" s="43">
        <f t="shared" si="5"/>
        <v>1.0591973413286924</v>
      </c>
      <c r="I22" s="43">
        <f t="shared" si="5"/>
        <v>1.0839300518554924</v>
      </c>
      <c r="J22" s="44">
        <f t="shared" si="5"/>
        <v>1.090610213052043</v>
      </c>
      <c r="K22" s="43">
        <f>SUM(K19:K21)</f>
        <v>5.1131637628803599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0.13148798892659053</v>
      </c>
      <c r="G25" s="236">
        <f>G$17*'[1]AGN overheads'!D$63</f>
        <v>0.11735997077432604</v>
      </c>
      <c r="H25" s="236">
        <f>H$17*'[1]AGN overheads'!E$63</f>
        <v>0.14277007474474038</v>
      </c>
      <c r="I25" s="236">
        <f>I$17*'[1]AGN overheads'!F$63</f>
        <v>0.15296909074911078</v>
      </c>
      <c r="J25" s="237">
        <f>J$17*'[1]AGN overheads'!G$63</f>
        <v>0.14861932776661599</v>
      </c>
      <c r="K25" s="69">
        <f>SUM(F25:J25)</f>
        <v>0.69320645296138372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1.1267617474560074</v>
      </c>
      <c r="G26" s="43">
        <f t="shared" ref="G26:J26" si="6">G22+G25</f>
        <v>1.0015123688890404</v>
      </c>
      <c r="H26" s="43">
        <f t="shared" si="6"/>
        <v>1.2019674160734328</v>
      </c>
      <c r="I26" s="43">
        <f t="shared" si="6"/>
        <v>1.2368991426046032</v>
      </c>
      <c r="J26" s="44">
        <f t="shared" si="6"/>
        <v>1.2392295408186589</v>
      </c>
      <c r="K26" s="43">
        <f>SUM(F26:J26)</f>
        <v>5.806370215841743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topLeftCell="C1"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100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 t="s">
        <v>245</v>
      </c>
      <c r="E5" s="29"/>
      <c r="F5" s="29"/>
      <c r="G5" s="28">
        <f>0.025*0.15</f>
        <v>3.7499999999999999E-3</v>
      </c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241">
        <v>5.8487237286565961</v>
      </c>
      <c r="G9" s="241">
        <v>5.4971957324668574</v>
      </c>
      <c r="H9" s="241">
        <v>5.7229167100086125</v>
      </c>
      <c r="I9" s="241">
        <v>6.0963942582171837</v>
      </c>
      <c r="J9" s="241">
        <v>6.2937306640799751</v>
      </c>
      <c r="K9" s="45">
        <f>SUM(F9:J9)</f>
        <v>29.458961093429224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6.748848789638312E-2</v>
      </c>
      <c r="D12" s="38"/>
      <c r="E12" s="36"/>
      <c r="F12" s="69">
        <f>$C12*F$9</f>
        <v>0.39472152057072946</v>
      </c>
      <c r="G12" s="69">
        <f t="shared" ref="G12:J14" si="0">$C12*G$9</f>
        <v>0.37099742765463845</v>
      </c>
      <c r="H12" s="69">
        <f t="shared" si="0"/>
        <v>0.38623099511542497</v>
      </c>
      <c r="I12" s="69">
        <f t="shared" si="0"/>
        <v>0.41143643010726993</v>
      </c>
      <c r="J12" s="69">
        <f t="shared" si="0"/>
        <v>0.42475436574585668</v>
      </c>
      <c r="K12" s="40">
        <f>SUM(F12:J12)</f>
        <v>1.9881407391939194</v>
      </c>
      <c r="L12" s="22"/>
    </row>
    <row r="13" spans="1:12" x14ac:dyDescent="0.25">
      <c r="A13" s="22"/>
      <c r="B13" s="66" t="s">
        <v>1</v>
      </c>
      <c r="C13" s="86">
        <v>0.79718494159702169</v>
      </c>
      <c r="D13" s="38"/>
      <c r="E13" s="36"/>
      <c r="F13" s="69">
        <f>$C13*F$9</f>
        <v>4.6625144840462234</v>
      </c>
      <c r="G13" s="69">
        <f t="shared" si="0"/>
        <v>4.382281658933989</v>
      </c>
      <c r="H13" s="69">
        <f t="shared" si="0"/>
        <v>4.5622230232328356</v>
      </c>
      <c r="I13" s="69">
        <f t="shared" si="0"/>
        <v>4.8599537006892843</v>
      </c>
      <c r="J13" s="69">
        <f t="shared" si="0"/>
        <v>5.0172673118719793</v>
      </c>
      <c r="K13" s="40">
        <f t="shared" ref="K13:K14" si="1">SUM(F13:J13)</f>
        <v>23.484240178774311</v>
      </c>
      <c r="L13" s="22"/>
    </row>
    <row r="14" spans="1:12" x14ac:dyDescent="0.25">
      <c r="A14" s="22"/>
      <c r="B14" s="66" t="s">
        <v>44</v>
      </c>
      <c r="C14" s="87">
        <v>0.13532657050659519</v>
      </c>
      <c r="D14" s="38"/>
      <c r="E14" s="39"/>
      <c r="F14" s="69">
        <f>$C14*F$9</f>
        <v>0.79148772403964318</v>
      </c>
      <c r="G14" s="69">
        <f t="shared" si="0"/>
        <v>0.74391664587823036</v>
      </c>
      <c r="H14" s="69">
        <f t="shared" si="0"/>
        <v>0.77446269166035231</v>
      </c>
      <c r="I14" s="69">
        <f t="shared" si="0"/>
        <v>0.82500412742062978</v>
      </c>
      <c r="J14" s="69">
        <f t="shared" si="0"/>
        <v>0.85170898646213888</v>
      </c>
      <c r="K14" s="40">
        <f t="shared" si="1"/>
        <v>3.9865801754609946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5.8487237286565961</v>
      </c>
      <c r="G15" s="43">
        <f t="shared" ref="G15:J15" si="2">SUM(G12:G14)</f>
        <v>5.4971957324668583</v>
      </c>
      <c r="H15" s="43">
        <f t="shared" si="2"/>
        <v>5.7229167100086134</v>
      </c>
      <c r="I15" s="43">
        <f t="shared" si="2"/>
        <v>6.0963942582171837</v>
      </c>
      <c r="J15" s="43">
        <f t="shared" si="2"/>
        <v>6.2937306640799751</v>
      </c>
      <c r="K15" s="45">
        <f>SUM(K12:K14)</f>
        <v>29.458961093429224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8.3096473814421534E-2</v>
      </c>
      <c r="G17" s="233">
        <f>G$15/'Capex Summary Forecast - Unesc'!G$47</f>
        <v>7.550063485943076E-2</v>
      </c>
      <c r="H17" s="233">
        <f>H$15/'Capex Summary Forecast - Unesc'!H$47</f>
        <v>8.3379498708518879E-2</v>
      </c>
      <c r="I17" s="233">
        <f>I$15/'Capex Summary Forecast - Unesc'!I$47</f>
        <v>9.5725633235036731E-2</v>
      </c>
      <c r="J17" s="234">
        <f>J$15/'Capex Summary Forecast - Unesc'!J$47</f>
        <v>9.8783156856918311E-2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235">
        <f>F12</f>
        <v>0.39472152057072946</v>
      </c>
      <c r="G19" s="242">
        <f>G12*(1-$G$5)</f>
        <v>0.36960618730093353</v>
      </c>
      <c r="H19" s="242">
        <f t="shared" ref="H19:J20" si="4">H12*(1-$G$5)</f>
        <v>0.38478262888374209</v>
      </c>
      <c r="I19" s="242">
        <f t="shared" si="4"/>
        <v>0.40989354349436768</v>
      </c>
      <c r="J19" s="243">
        <f>J12*(1-$G$5)</f>
        <v>0.42316153687430968</v>
      </c>
      <c r="K19" s="69">
        <f>SUM(F19:J19)</f>
        <v>1.9821654171240826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235">
        <f>F13</f>
        <v>4.6625144840462234</v>
      </c>
      <c r="G20" s="242">
        <f>G13*(1-$G$5)</f>
        <v>4.3658481027129863</v>
      </c>
      <c r="H20" s="242">
        <f t="shared" si="4"/>
        <v>4.5451146868957126</v>
      </c>
      <c r="I20" s="242">
        <f t="shared" si="4"/>
        <v>4.8417288743116993</v>
      </c>
      <c r="J20" s="243">
        <f t="shared" si="4"/>
        <v>4.9984525594524589</v>
      </c>
      <c r="K20" s="69">
        <f t="shared" ref="K20:K21" si="5">SUM(F20:J20)</f>
        <v>23.413658707419081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0.79148772403964318</v>
      </c>
      <c r="G21" s="55">
        <f>G14*(1+'Real Cost Escalation'!F21)</f>
        <v>0.74391664587823036</v>
      </c>
      <c r="H21" s="55">
        <f>H14*(1+'Real Cost Escalation'!G21)</f>
        <v>0.77446269166035231</v>
      </c>
      <c r="I21" s="55">
        <f>I14*(1+'Real Cost Escalation'!H21)</f>
        <v>0.82500412742062978</v>
      </c>
      <c r="J21" s="62">
        <f>J14*(1+'Real Cost Escalation'!I21)</f>
        <v>0.85170898646213888</v>
      </c>
      <c r="K21" s="69">
        <f t="shared" si="5"/>
        <v>3.9865801754609946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5.8487237286565961</v>
      </c>
      <c r="G22" s="43">
        <f t="shared" ref="G22:J22" si="6">SUM(G19:G21)</f>
        <v>5.4793709358921499</v>
      </c>
      <c r="H22" s="43">
        <f t="shared" si="6"/>
        <v>5.7043600074398064</v>
      </c>
      <c r="I22" s="43">
        <f t="shared" si="6"/>
        <v>6.0766265452266968</v>
      </c>
      <c r="J22" s="44">
        <f t="shared" si="6"/>
        <v>6.2733230827889077</v>
      </c>
      <c r="K22" s="43">
        <f>SUM(K19:K21)</f>
        <v>29.382404300004158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0.77736267636412248</v>
      </c>
      <c r="G25" s="236">
        <f>G$17*'[1]AGN overheads'!D$63</f>
        <v>0.73808100741454341</v>
      </c>
      <c r="H25" s="236">
        <f>H$17*'[1]AGN overheads'!E$63</f>
        <v>0.78543727546794462</v>
      </c>
      <c r="I25" s="236">
        <f>I$17*'[1]AGN overheads'!F$63</f>
        <v>0.88260519813186511</v>
      </c>
      <c r="J25" s="237">
        <f>J$17*'[1]AGN overheads'!G$63</f>
        <v>0.88736623737460085</v>
      </c>
      <c r="K25" s="69">
        <f>SUM(F25:J25)</f>
        <v>4.0708523947530759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6.6260864050207182</v>
      </c>
      <c r="G26" s="43">
        <f t="shared" ref="G26:J26" si="7">G22+G25</f>
        <v>6.2174519433066937</v>
      </c>
      <c r="H26" s="43">
        <f t="shared" si="7"/>
        <v>6.4897972829077508</v>
      </c>
      <c r="I26" s="43">
        <f t="shared" si="7"/>
        <v>6.9592317433585622</v>
      </c>
      <c r="J26" s="44">
        <f t="shared" si="7"/>
        <v>7.1606893201635087</v>
      </c>
      <c r="K26" s="43">
        <f>SUM(F26:J26)</f>
        <v>33.453256694757229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101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2.5815649999999999</v>
      </c>
      <c r="G9" s="43">
        <v>2.5815649999999999</v>
      </c>
      <c r="H9" s="43">
        <v>2.5815649999999999</v>
      </c>
      <c r="I9" s="43">
        <v>2.5815649999999999</v>
      </c>
      <c r="J9" s="43">
        <v>2.5815649999999999</v>
      </c>
      <c r="K9" s="45">
        <f>SUM(F9:J9)</f>
        <v>12.907824999999999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9.4640950901785426E-2</v>
      </c>
      <c r="D12" s="38"/>
      <c r="E12" s="36"/>
      <c r="F12" s="69">
        <f>$C12*F$9</f>
        <v>0.24432176641476769</v>
      </c>
      <c r="G12" s="69">
        <f t="shared" ref="G12:J14" si="0">$C12*G$9</f>
        <v>0.24432176641476769</v>
      </c>
      <c r="H12" s="69">
        <f t="shared" si="0"/>
        <v>0.24432176641476769</v>
      </c>
      <c r="I12" s="69">
        <f t="shared" si="0"/>
        <v>0.24432176641476769</v>
      </c>
      <c r="J12" s="69">
        <f t="shared" si="0"/>
        <v>0.24432176641476769</v>
      </c>
      <c r="K12" s="40">
        <f>SUM(F12:J12)</f>
        <v>1.2216088320738385</v>
      </c>
      <c r="L12" s="22"/>
    </row>
    <row r="13" spans="1:12" x14ac:dyDescent="0.25">
      <c r="A13" s="22"/>
      <c r="B13" s="66" t="s">
        <v>1</v>
      </c>
      <c r="C13" s="86">
        <v>0.83330298266664971</v>
      </c>
      <c r="D13" s="38"/>
      <c r="E13" s="36"/>
      <c r="F13" s="69">
        <f>$C13*F$9</f>
        <v>2.1512258144478293</v>
      </c>
      <c r="G13" s="69">
        <f t="shared" si="0"/>
        <v>2.1512258144478293</v>
      </c>
      <c r="H13" s="69">
        <f t="shared" si="0"/>
        <v>2.1512258144478293</v>
      </c>
      <c r="I13" s="69">
        <f t="shared" si="0"/>
        <v>2.1512258144478293</v>
      </c>
      <c r="J13" s="69">
        <f t="shared" si="0"/>
        <v>2.1512258144478293</v>
      </c>
      <c r="K13" s="40">
        <f t="shared" ref="K13:K14" si="1">SUM(F13:J13)</f>
        <v>10.756129072239148</v>
      </c>
      <c r="L13" s="22"/>
    </row>
    <row r="14" spans="1:12" x14ac:dyDescent="0.25">
      <c r="A14" s="22"/>
      <c r="B14" s="66" t="s">
        <v>44</v>
      </c>
      <c r="C14" s="87">
        <v>7.205606643156473E-2</v>
      </c>
      <c r="D14" s="38"/>
      <c r="E14" s="39"/>
      <c r="F14" s="69">
        <f>$C14*F$9</f>
        <v>0.18601741913740238</v>
      </c>
      <c r="G14" s="69">
        <f t="shared" si="0"/>
        <v>0.18601741913740238</v>
      </c>
      <c r="H14" s="69">
        <f t="shared" si="0"/>
        <v>0.18601741913740238</v>
      </c>
      <c r="I14" s="69">
        <f t="shared" si="0"/>
        <v>0.18601741913740238</v>
      </c>
      <c r="J14" s="69">
        <f t="shared" si="0"/>
        <v>0.18601741913740238</v>
      </c>
      <c r="K14" s="40">
        <f t="shared" si="1"/>
        <v>0.93008709568701198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2.5815649999999994</v>
      </c>
      <c r="G15" s="43">
        <f t="shared" ref="G15:J15" si="2">SUM(G12:G14)</f>
        <v>2.5815649999999994</v>
      </c>
      <c r="H15" s="43">
        <f t="shared" si="2"/>
        <v>2.5815649999999994</v>
      </c>
      <c r="I15" s="43">
        <f t="shared" si="2"/>
        <v>2.5815649999999994</v>
      </c>
      <c r="J15" s="43">
        <f t="shared" si="2"/>
        <v>2.5815649999999994</v>
      </c>
      <c r="K15" s="45">
        <f>SUM(K12:K14)</f>
        <v>12.907824999999999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3.6677907587199431E-2</v>
      </c>
      <c r="G17" s="233">
        <f>G$15/'Capex Summary Forecast - Unesc'!G$47</f>
        <v>3.5456222757311362E-2</v>
      </c>
      <c r="H17" s="233">
        <f>H$15/'Capex Summary Forecast - Unesc'!H$47</f>
        <v>3.7611869347498071E-2</v>
      </c>
      <c r="I17" s="233">
        <f>I$15/'Capex Summary Forecast - Unesc'!I$47</f>
        <v>4.0535755053787377E-2</v>
      </c>
      <c r="J17" s="234">
        <f>J$15/'Capex Summary Forecast - Unesc'!J$47</f>
        <v>4.0518915400490636E-2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0.24726187347136142</v>
      </c>
      <c r="G19" s="55">
        <f>G12*(1+'Real Cost Escalation'!F19)</f>
        <v>0.24975921839342216</v>
      </c>
      <c r="H19" s="55">
        <f>H12*(1+'Real Cost Escalation'!G19)</f>
        <v>0.25284374474058091</v>
      </c>
      <c r="I19" s="55">
        <f>I12*(1+'Real Cost Escalation'!H19)</f>
        <v>0.25634563060523796</v>
      </c>
      <c r="J19" s="62">
        <f>J12*(1+'Real Cost Escalation'!I19)</f>
        <v>0.26016518050125598</v>
      </c>
      <c r="K19" s="69">
        <f>SUM(F19:J19)</f>
        <v>1.2663756477118584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2.1664842088565575</v>
      </c>
      <c r="G20" s="55">
        <f>G13*(1+'Real Cost Escalation'!F20)</f>
        <v>2.1882249904154114</v>
      </c>
      <c r="H20" s="55">
        <f>H13*(1+'Real Cost Escalation'!G20)</f>
        <v>2.2136489206045549</v>
      </c>
      <c r="I20" s="55">
        <f>I13*(1+'Real Cost Escalation'!H20)</f>
        <v>2.2443535040040232</v>
      </c>
      <c r="J20" s="62">
        <f>J13*(1+'Real Cost Escalation'!I20)</f>
        <v>2.2890474482429854</v>
      </c>
      <c r="K20" s="69">
        <f t="shared" ref="K20:K21" si="4">SUM(F20:J20)</f>
        <v>11.101759072123533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0.18601741913740238</v>
      </c>
      <c r="G21" s="55">
        <f>G14*(1+'Real Cost Escalation'!F21)</f>
        <v>0.18601741913740238</v>
      </c>
      <c r="H21" s="55">
        <f>H14*(1+'Real Cost Escalation'!G21)</f>
        <v>0.18601741913740238</v>
      </c>
      <c r="I21" s="55">
        <f>I14*(1+'Real Cost Escalation'!H21)</f>
        <v>0.18601741913740238</v>
      </c>
      <c r="J21" s="62">
        <f>J14*(1+'Real Cost Escalation'!I21)</f>
        <v>0.18601741913740238</v>
      </c>
      <c r="K21" s="69">
        <f t="shared" si="4"/>
        <v>0.93008709568701198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2.5997635014653211</v>
      </c>
      <c r="G22" s="43">
        <f t="shared" ref="G22:J22" si="5">SUM(G19:G21)</f>
        <v>2.6240016279462357</v>
      </c>
      <c r="H22" s="43">
        <f t="shared" si="5"/>
        <v>2.6525100844825382</v>
      </c>
      <c r="I22" s="43">
        <f t="shared" si="5"/>
        <v>2.6867165537466633</v>
      </c>
      <c r="J22" s="44">
        <f t="shared" si="5"/>
        <v>2.7352300478816436</v>
      </c>
      <c r="K22" s="43">
        <f>SUM(K19:K21)</f>
        <v>13.298221815522405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0.34311969084388505</v>
      </c>
      <c r="G25" s="236">
        <f>G$17*'[1]AGN overheads'!D$63</f>
        <v>0.34661383524196948</v>
      </c>
      <c r="H25" s="236">
        <f>H$17*'[1]AGN overheads'!E$63</f>
        <v>0.35430489080809147</v>
      </c>
      <c r="I25" s="236">
        <f>I$17*'[1]AGN overheads'!F$63</f>
        <v>0.37374595405212663</v>
      </c>
      <c r="J25" s="237">
        <f>J$17*'[1]AGN overheads'!G$63</f>
        <v>0.36398024365137521</v>
      </c>
      <c r="K25" s="69">
        <f>SUM(F25:J25)</f>
        <v>1.7817646145974479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2.942883192309206</v>
      </c>
      <c r="G26" s="43">
        <f t="shared" ref="G26:J26" si="6">G22+G25</f>
        <v>2.9706154631882051</v>
      </c>
      <c r="H26" s="43">
        <f t="shared" si="6"/>
        <v>3.0068149752906299</v>
      </c>
      <c r="I26" s="43">
        <f t="shared" si="6"/>
        <v>3.0604625077987899</v>
      </c>
      <c r="J26" s="44">
        <f t="shared" si="6"/>
        <v>3.0992102915330189</v>
      </c>
      <c r="K26" s="43">
        <f>SUM(F26:J26)</f>
        <v>15.079986430119849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105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0.7877058541496802</v>
      </c>
      <c r="G9" s="43">
        <v>0.73387916868703673</v>
      </c>
      <c r="H9" s="43">
        <v>0.73334375643773431</v>
      </c>
      <c r="I9" s="43">
        <v>0.86557830006319147</v>
      </c>
      <c r="J9" s="43">
        <v>0.86107852748980163</v>
      </c>
      <c r="K9" s="45">
        <f>SUM(F9:J9)</f>
        <v>3.9815856068274442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8.261275837119729E-2</v>
      </c>
      <c r="D12" s="38"/>
      <c r="E12" s="36"/>
      <c r="F12" s="69">
        <f>$C12*F$9</f>
        <v>6.5074553396445106E-2</v>
      </c>
      <c r="G12" s="69">
        <f t="shared" ref="G12:J14" si="0">$C12*G$9</f>
        <v>6.0627782436397298E-2</v>
      </c>
      <c r="H12" s="69">
        <f t="shared" si="0"/>
        <v>6.0583550553616701E-2</v>
      </c>
      <c r="I12" s="69">
        <f t="shared" si="0"/>
        <v>7.1507810954472145E-2</v>
      </c>
      <c r="J12" s="69">
        <f t="shared" si="0"/>
        <v>7.1136072330141339E-2</v>
      </c>
      <c r="K12" s="40">
        <f>SUM(F12:J12)</f>
        <v>0.32892976967107262</v>
      </c>
      <c r="L12" s="22"/>
    </row>
    <row r="13" spans="1:12" x14ac:dyDescent="0.25">
      <c r="A13" s="22"/>
      <c r="B13" s="66" t="s">
        <v>1</v>
      </c>
      <c r="C13" s="86">
        <v>0.74370828896049535</v>
      </c>
      <c r="D13" s="38"/>
      <c r="E13" s="36"/>
      <c r="F13" s="69">
        <f>$C13*F$9</f>
        <v>0.58582337299382414</v>
      </c>
      <c r="G13" s="69">
        <f t="shared" si="0"/>
        <v>0.54579202084798684</v>
      </c>
      <c r="H13" s="69">
        <f t="shared" si="0"/>
        <v>0.54539383032016964</v>
      </c>
      <c r="I13" s="69">
        <f t="shared" si="0"/>
        <v>0.64373775650133036</v>
      </c>
      <c r="J13" s="69">
        <f t="shared" si="0"/>
        <v>0.64039123834006317</v>
      </c>
      <c r="K13" s="40">
        <f t="shared" ref="K13:K14" si="1">SUM(F13:J13)</f>
        <v>2.9611382190033737</v>
      </c>
      <c r="L13" s="22"/>
    </row>
    <row r="14" spans="1:12" x14ac:dyDescent="0.25">
      <c r="A14" s="22"/>
      <c r="B14" s="66" t="s">
        <v>44</v>
      </c>
      <c r="C14" s="87">
        <v>0.17367895266830735</v>
      </c>
      <c r="D14" s="38"/>
      <c r="E14" s="39"/>
      <c r="F14" s="69">
        <f>$C14*F$9</f>
        <v>0.13680792775941092</v>
      </c>
      <c r="G14" s="69">
        <f t="shared" si="0"/>
        <v>0.1274593654026526</v>
      </c>
      <c r="H14" s="69">
        <f t="shared" si="0"/>
        <v>0.12736637556394798</v>
      </c>
      <c r="I14" s="69">
        <f t="shared" si="0"/>
        <v>0.15033273260738897</v>
      </c>
      <c r="J14" s="69">
        <f t="shared" si="0"/>
        <v>0.14955121681959704</v>
      </c>
      <c r="K14" s="40">
        <f t="shared" si="1"/>
        <v>0.6915176181529975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0.7877058541496802</v>
      </c>
      <c r="G15" s="43">
        <f t="shared" ref="G15:J15" si="2">SUM(G12:G14)</f>
        <v>0.73387916868703673</v>
      </c>
      <c r="H15" s="43">
        <f t="shared" si="2"/>
        <v>0.73334375643773431</v>
      </c>
      <c r="I15" s="43">
        <f t="shared" si="2"/>
        <v>0.86557830006319147</v>
      </c>
      <c r="J15" s="43">
        <f t="shared" si="2"/>
        <v>0.86107852748980152</v>
      </c>
      <c r="K15" s="45">
        <f>SUM(K12:K14)</f>
        <v>3.9815856068274438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1.119142943307566E-2</v>
      </c>
      <c r="G17" s="233">
        <f>G$15/'Capex Summary Forecast - Unesc'!G$47</f>
        <v>1.0079383351539885E-2</v>
      </c>
      <c r="H17" s="233">
        <f>H$15/'Capex Summary Forecast - Unesc'!H$47</f>
        <v>1.0684383137337048E-2</v>
      </c>
      <c r="I17" s="233">
        <f>I$15/'Capex Summary Forecast - Unesc'!I$47</f>
        <v>1.3591317650818479E-2</v>
      </c>
      <c r="J17" s="234">
        <f>J$15/'Capex Summary Forecast - Unesc'!J$47</f>
        <v>1.3515045334337243E-2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6.5857644303379578E-2</v>
      </c>
      <c r="G19" s="55">
        <f>G12*(1+'Real Cost Escalation'!F19)</f>
        <v>6.1977071369625533E-2</v>
      </c>
      <c r="H19" s="55">
        <f>H12*(1+'Real Cost Escalation'!G19)</f>
        <v>6.2696713503831547E-2</v>
      </c>
      <c r="I19" s="55">
        <f>I12*(1+'Real Cost Escalation'!H19)</f>
        <v>7.5026941566907104E-2</v>
      </c>
      <c r="J19" s="62">
        <f>J12*(1+'Real Cost Escalation'!I19)</f>
        <v>7.5748998419172306E-2</v>
      </c>
      <c r="K19" s="69">
        <f>SUM(F19:J19)</f>
        <v>0.3413073691629161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0.58997855001845723</v>
      </c>
      <c r="G20" s="55">
        <f>G13*(1+'Real Cost Escalation'!F20)</f>
        <v>0.55517915951350161</v>
      </c>
      <c r="H20" s="55">
        <f>H13*(1+'Real Cost Escalation'!G20)</f>
        <v>0.56121977324938177</v>
      </c>
      <c r="I20" s="55">
        <f>I13*(1+'Real Cost Escalation'!H20)</f>
        <v>0.67160550034320343</v>
      </c>
      <c r="J20" s="62">
        <f>J13*(1+'Real Cost Escalation'!I20)</f>
        <v>0.68141890086780443</v>
      </c>
      <c r="K20" s="69">
        <f t="shared" ref="K20:K21" si="4">SUM(F20:J20)</f>
        <v>3.059401883992348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0.13680792775941092</v>
      </c>
      <c r="G21" s="55">
        <f>G14*(1+'Real Cost Escalation'!F21)</f>
        <v>0.1274593654026526</v>
      </c>
      <c r="H21" s="55">
        <f>H14*(1+'Real Cost Escalation'!G21)</f>
        <v>0.12736637556394798</v>
      </c>
      <c r="I21" s="55">
        <f>I14*(1+'Real Cost Escalation'!H21)</f>
        <v>0.15033273260738897</v>
      </c>
      <c r="J21" s="62">
        <f>J14*(1+'Real Cost Escalation'!I21)</f>
        <v>0.14955121681959704</v>
      </c>
      <c r="K21" s="69">
        <f t="shared" si="4"/>
        <v>0.6915176181529975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0.79264412208124768</v>
      </c>
      <c r="G22" s="43">
        <f t="shared" ref="G22:J22" si="5">SUM(G19:G21)</f>
        <v>0.74461559628577967</v>
      </c>
      <c r="H22" s="43">
        <f t="shared" si="5"/>
        <v>0.75128286231716124</v>
      </c>
      <c r="I22" s="43">
        <f t="shared" si="5"/>
        <v>0.89696517451749957</v>
      </c>
      <c r="J22" s="44">
        <f t="shared" si="5"/>
        <v>0.90671911610657374</v>
      </c>
      <c r="K22" s="43">
        <f>SUM(K19:K21)</f>
        <v>4.0922268713082621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0.10469517101128838</v>
      </c>
      <c r="G25" s="236">
        <f>G$17*'[1]AGN overheads'!D$63</f>
        <v>9.853428957349597E-2</v>
      </c>
      <c r="H25" s="236">
        <f>H$17*'[1]AGN overheads'!E$63</f>
        <v>0.10064719639035513</v>
      </c>
      <c r="I25" s="236">
        <f>I$17*'[1]AGN overheads'!F$63</f>
        <v>0.12531405855128014</v>
      </c>
      <c r="J25" s="237">
        <f>J$17*'[1]AGN overheads'!G$63</f>
        <v>0.1214052608548324</v>
      </c>
      <c r="K25" s="69">
        <f>SUM(F25:J25)</f>
        <v>0.55059597638125202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0.89733929309253602</v>
      </c>
      <c r="G26" s="43">
        <f t="shared" ref="G26:J26" si="6">G22+G25</f>
        <v>0.84314988585927564</v>
      </c>
      <c r="H26" s="43">
        <f t="shared" si="6"/>
        <v>0.85193005870751637</v>
      </c>
      <c r="I26" s="43">
        <f t="shared" si="6"/>
        <v>1.0222792330687798</v>
      </c>
      <c r="J26" s="44">
        <f t="shared" si="6"/>
        <v>1.0281243769614061</v>
      </c>
      <c r="K26" s="43">
        <f>SUM(F26:J26)</f>
        <v>4.6428228476895139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C19" sqref="C19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106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241">
        <v>1.1185527892697034</v>
      </c>
      <c r="G9" s="241">
        <v>0.98830306662556522</v>
      </c>
      <c r="H9" s="241">
        <v>1.1761862107816135</v>
      </c>
      <c r="I9" s="241">
        <v>1.1946569922386447</v>
      </c>
      <c r="J9" s="241">
        <v>1.1918278381127725</v>
      </c>
      <c r="K9" s="45">
        <f>SUM(F9:J9)</f>
        <v>5.6695268970282999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9.8229695398940581E-2</v>
      </c>
      <c r="D12" s="38"/>
      <c r="E12" s="36"/>
      <c r="F12" s="69">
        <f>$C12*F$9</f>
        <v>0.10987509977759834</v>
      </c>
      <c r="G12" s="69">
        <f t="shared" ref="G12:J14" si="0">$C12*G$9</f>
        <v>9.7080709196468148E-2</v>
      </c>
      <c r="H12" s="69">
        <f t="shared" si="0"/>
        <v>0.11553641321751201</v>
      </c>
      <c r="I12" s="69">
        <f t="shared" si="0"/>
        <v>0.11735079245381659</v>
      </c>
      <c r="J12" s="69">
        <f t="shared" si="0"/>
        <v>0.1170728855057955</v>
      </c>
      <c r="K12" s="40">
        <f>SUM(F12:J12)</f>
        <v>0.55691590015119052</v>
      </c>
      <c r="L12" s="22"/>
    </row>
    <row r="13" spans="1:12" x14ac:dyDescent="0.25">
      <c r="A13" s="22"/>
      <c r="B13" s="66" t="s">
        <v>1</v>
      </c>
      <c r="C13" s="86">
        <v>0.74841133160922835</v>
      </c>
      <c r="D13" s="38"/>
      <c r="E13" s="36"/>
      <c r="F13" s="69">
        <f>$C13*F$9</f>
        <v>0.83713758249255532</v>
      </c>
      <c r="G13" s="69">
        <f t="shared" si="0"/>
        <v>0.73965721412672314</v>
      </c>
      <c r="H13" s="69">
        <f t="shared" si="0"/>
        <v>0.88027108823147981</v>
      </c>
      <c r="I13" s="69">
        <f t="shared" si="0"/>
        <v>0.89409483037759974</v>
      </c>
      <c r="J13" s="69">
        <f t="shared" si="0"/>
        <v>0.89197745937092787</v>
      </c>
      <c r="K13" s="40">
        <f t="shared" ref="K13:K14" si="1">SUM(F13:J13)</f>
        <v>4.2431381745992862</v>
      </c>
      <c r="L13" s="22"/>
    </row>
    <row r="14" spans="1:12" x14ac:dyDescent="0.25">
      <c r="A14" s="22"/>
      <c r="B14" s="66" t="s">
        <v>44</v>
      </c>
      <c r="C14" s="87">
        <v>0.15335897299183132</v>
      </c>
      <c r="D14" s="38"/>
      <c r="E14" s="39"/>
      <c r="F14" s="69">
        <f>$C14*F$9</f>
        <v>0.17154010699955002</v>
      </c>
      <c r="G14" s="69">
        <f t="shared" si="0"/>
        <v>0.15156514330237414</v>
      </c>
      <c r="H14" s="69">
        <f t="shared" si="0"/>
        <v>0.18037870933262187</v>
      </c>
      <c r="I14" s="69">
        <f t="shared" si="0"/>
        <v>0.18321136940722876</v>
      </c>
      <c r="J14" s="69">
        <f t="shared" si="0"/>
        <v>0.18277749323604939</v>
      </c>
      <c r="K14" s="40">
        <f t="shared" si="1"/>
        <v>0.86947282227782419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1.1185527892697036</v>
      </c>
      <c r="G15" s="43">
        <f t="shared" ref="G15:J15" si="2">SUM(G12:G14)</f>
        <v>0.98830306662556544</v>
      </c>
      <c r="H15" s="43">
        <f t="shared" si="2"/>
        <v>1.1761862107816137</v>
      </c>
      <c r="I15" s="43">
        <f t="shared" si="2"/>
        <v>1.1946569922386452</v>
      </c>
      <c r="J15" s="43">
        <f t="shared" si="2"/>
        <v>1.1918278381127727</v>
      </c>
      <c r="K15" s="45">
        <f>SUM(K12:K14)</f>
        <v>5.6695268970283017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1.5891978639406078E-2</v>
      </c>
      <c r="G17" s="233">
        <f>G$15/'Capex Summary Forecast - Unesc'!G$47</f>
        <v>1.3573740611609621E-2</v>
      </c>
      <c r="H17" s="233">
        <f>H$15/'Capex Summary Forecast - Unesc'!H$47</f>
        <v>1.7136334776868642E-2</v>
      </c>
      <c r="I17" s="233">
        <f>I$15/'Capex Summary Forecast - Unesc'!I$47</f>
        <v>1.8758514006302417E-2</v>
      </c>
      <c r="J17" s="234">
        <f>J$15/'Capex Summary Forecast - Unesc'!J$47</f>
        <v>1.87063162633678E-2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0.11119730925954702</v>
      </c>
      <c r="G19" s="55">
        <f>G12*(1+'Real Cost Escalation'!F19)</f>
        <v>9.9241268617986836E-2</v>
      </c>
      <c r="H19" s="55">
        <f>H12*(1+'Real Cost Escalation'!G19)</f>
        <v>0.11956633991512092</v>
      </c>
      <c r="I19" s="55">
        <f>I12*(1+'Real Cost Escalation'!H19)</f>
        <v>0.12312600442864073</v>
      </c>
      <c r="J19" s="62">
        <f>J12*(1+'Real Cost Escalation'!I19)</f>
        <v>0.12466465365067511</v>
      </c>
      <c r="K19" s="69">
        <f>SUM(F19:J19)</f>
        <v>0.57779557587197061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0.84307530196498515</v>
      </c>
      <c r="G20" s="55">
        <f>G13*(1+'Real Cost Escalation'!F20)</f>
        <v>0.75237866216689109</v>
      </c>
      <c r="H20" s="55">
        <f>H13*(1+'Real Cost Escalation'!G20)</f>
        <v>0.90581431815105673</v>
      </c>
      <c r="I20" s="55">
        <f>I13*(1+'Real Cost Escalation'!H20)</f>
        <v>0.93280066276301821</v>
      </c>
      <c r="J20" s="62">
        <f>J13*(1+'Real Cost Escalation'!I20)</f>
        <v>0.94912338516510497</v>
      </c>
      <c r="K20" s="69">
        <f t="shared" ref="K20:K21" si="4">SUM(F20:J20)</f>
        <v>4.383192330211056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0.17154010699955002</v>
      </c>
      <c r="G21" s="55">
        <f>G14*(1+'Real Cost Escalation'!F21)</f>
        <v>0.15156514330237414</v>
      </c>
      <c r="H21" s="55">
        <f>H14*(1+'Real Cost Escalation'!G21)</f>
        <v>0.18037870933262187</v>
      </c>
      <c r="I21" s="55">
        <f>I14*(1+'Real Cost Escalation'!H21)</f>
        <v>0.18321136940722876</v>
      </c>
      <c r="J21" s="62">
        <f>J14*(1+'Real Cost Escalation'!I21)</f>
        <v>0.18277749323604939</v>
      </c>
      <c r="K21" s="69">
        <f t="shared" si="4"/>
        <v>0.86947282227782419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1.1258127182240822</v>
      </c>
      <c r="G22" s="43">
        <f t="shared" ref="G22:J22" si="5">SUM(G19:G21)</f>
        <v>1.0031850740872521</v>
      </c>
      <c r="H22" s="43">
        <f t="shared" si="5"/>
        <v>1.2057593673987996</v>
      </c>
      <c r="I22" s="43">
        <f t="shared" si="5"/>
        <v>1.2391380365988878</v>
      </c>
      <c r="J22" s="44">
        <f t="shared" si="5"/>
        <v>1.2565655320518294</v>
      </c>
      <c r="K22" s="43">
        <f>SUM(K19:K21)</f>
        <v>5.8304607283608512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0.14866853526709031</v>
      </c>
      <c r="G25" s="236">
        <f>G$17*'[1]AGN overheads'!D$63</f>
        <v>0.13269451526670334</v>
      </c>
      <c r="H25" s="236">
        <f>H$17*'[1]AGN overheads'!E$63</f>
        <v>0.16142476636496181</v>
      </c>
      <c r="I25" s="236">
        <f>I$17*'[1]AGN overheads'!F$63</f>
        <v>0.17295641106432594</v>
      </c>
      <c r="J25" s="237">
        <f>J$17*'[1]AGN overheads'!G$63</f>
        <v>0.16803829727579156</v>
      </c>
      <c r="K25" s="69">
        <f>SUM(F25:J25)</f>
        <v>0.78378252523887293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1.2744812534911725</v>
      </c>
      <c r="G26" s="43">
        <f t="shared" ref="G26:J26" si="6">G22+G25</f>
        <v>1.1358795893539555</v>
      </c>
      <c r="H26" s="43">
        <f t="shared" si="6"/>
        <v>1.3671841337637614</v>
      </c>
      <c r="I26" s="43">
        <f t="shared" si="6"/>
        <v>1.4120944476632138</v>
      </c>
      <c r="J26" s="44">
        <f t="shared" si="6"/>
        <v>1.4246038293276211</v>
      </c>
      <c r="K26" s="43">
        <f>SUM(F26:J26)</f>
        <v>6.6142432535997244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107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4.5622533394805799E-2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0.80904080054571625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0.14533666605947793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119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43">
        <v>0.30980000000000002</v>
      </c>
      <c r="G7" s="43">
        <v>0.23880000000000001</v>
      </c>
      <c r="H7" s="43">
        <v>0.2072</v>
      </c>
      <c r="I7" s="43">
        <v>0.21509999999999999</v>
      </c>
      <c r="J7" s="43">
        <v>0.1409</v>
      </c>
      <c r="K7" s="45">
        <f>SUM(F7:J7)</f>
        <v>1.1117999999999999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0.32491683145129679</v>
      </c>
      <c r="D10" s="38"/>
      <c r="E10" s="36"/>
      <c r="F10" s="69">
        <f>$C10*F$7</f>
        <v>0.10065923438361175</v>
      </c>
      <c r="G10" s="69">
        <f t="shared" ref="G10:J12" si="0">$C10*G$7</f>
        <v>7.7590139350569673E-2</v>
      </c>
      <c r="H10" s="69">
        <f t="shared" si="0"/>
        <v>6.7322767476708692E-2</v>
      </c>
      <c r="I10" s="69">
        <f t="shared" si="0"/>
        <v>6.988961044517393E-2</v>
      </c>
      <c r="J10" s="69">
        <f t="shared" si="0"/>
        <v>4.5780781551487716E-2</v>
      </c>
      <c r="K10" s="40">
        <f>SUM(F10:J10)</f>
        <v>0.36124253320755179</v>
      </c>
      <c r="L10" s="22"/>
    </row>
    <row r="11" spans="1:12" x14ac:dyDescent="0.25">
      <c r="A11" s="22"/>
      <c r="B11" s="66" t="s">
        <v>1</v>
      </c>
      <c r="C11" s="86">
        <v>0.22055816909627796</v>
      </c>
      <c r="D11" s="38"/>
      <c r="E11" s="36"/>
      <c r="F11" s="69">
        <f>$C11*F$7</f>
        <v>6.8328920786026912E-2</v>
      </c>
      <c r="G11" s="69">
        <f t="shared" si="0"/>
        <v>5.2669290780191176E-2</v>
      </c>
      <c r="H11" s="69">
        <f t="shared" si="0"/>
        <v>4.5699652636748793E-2</v>
      </c>
      <c r="I11" s="69">
        <f t="shared" si="0"/>
        <v>4.7442062172609385E-2</v>
      </c>
      <c r="J11" s="69">
        <f t="shared" si="0"/>
        <v>3.1076646025665563E-2</v>
      </c>
      <c r="K11" s="40">
        <f t="shared" ref="K11:K12" si="1">SUM(F11:J11)</f>
        <v>0.24521657240124184</v>
      </c>
      <c r="L11" s="22"/>
    </row>
    <row r="12" spans="1:12" x14ac:dyDescent="0.25">
      <c r="A12" s="22"/>
      <c r="B12" s="66" t="s">
        <v>44</v>
      </c>
      <c r="C12" s="87">
        <v>0.45452499945242536</v>
      </c>
      <c r="D12" s="38"/>
      <c r="E12" s="39"/>
      <c r="F12" s="69">
        <f>$C12*F$7</f>
        <v>0.14081184483036138</v>
      </c>
      <c r="G12" s="69">
        <f t="shared" si="0"/>
        <v>0.10854056986923918</v>
      </c>
      <c r="H12" s="69">
        <f t="shared" si="0"/>
        <v>9.4177579886542531E-2</v>
      </c>
      <c r="I12" s="69">
        <f t="shared" si="0"/>
        <v>9.7768327382216691E-2</v>
      </c>
      <c r="J12" s="69">
        <f t="shared" si="0"/>
        <v>6.4042572422846736E-2</v>
      </c>
      <c r="K12" s="40">
        <f t="shared" si="1"/>
        <v>0.50534089439120655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0.30980000000000008</v>
      </c>
      <c r="G13" s="43">
        <f t="shared" ref="G13:J13" si="2">SUM(G10:G12)</f>
        <v>0.23880000000000004</v>
      </c>
      <c r="H13" s="43">
        <f t="shared" si="2"/>
        <v>0.2072</v>
      </c>
      <c r="I13" s="43">
        <f t="shared" si="2"/>
        <v>0.21510000000000001</v>
      </c>
      <c r="J13" s="43">
        <f t="shared" si="2"/>
        <v>0.14090000000000003</v>
      </c>
      <c r="K13" s="45">
        <f>SUM(K10:K12)</f>
        <v>1.1118000000000001</v>
      </c>
      <c r="L13" s="22"/>
    </row>
    <row r="14" spans="1:12" x14ac:dyDescent="0.25">
      <c r="A14" s="22"/>
      <c r="B14" s="46" t="s">
        <v>24</v>
      </c>
      <c r="C14" s="50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4.4015222434896613E-3</v>
      </c>
      <c r="G15" s="233">
        <f>G$13/'Capex Summary Forecast - Unesc'!G$47</f>
        <v>3.279772538923466E-3</v>
      </c>
      <c r="H15" s="233">
        <f>H$13/'Capex Summary Forecast - Unesc'!H$47</f>
        <v>3.0187809831639344E-3</v>
      </c>
      <c r="I15" s="233">
        <f>I$13/'Capex Summary Forecast - Unesc'!I$47</f>
        <v>3.3775019850631953E-3</v>
      </c>
      <c r="J15" s="234">
        <f>J$13/'Capex Summary Forecast - Unesc'!J$47</f>
        <v>2.2114938728752262E-3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0.10187054244537555</v>
      </c>
      <c r="G17" s="55">
        <f>G10*(1+'Real Cost Escalation'!F19)</f>
        <v>7.9316930470848382E-2</v>
      </c>
      <c r="H17" s="55">
        <f>H10*(1+'Real Cost Escalation'!G19)</f>
        <v>6.9670995281743087E-2</v>
      </c>
      <c r="I17" s="55">
        <f>I10*(1+'Real Cost Escalation'!H19)</f>
        <v>7.332910417775873E-2</v>
      </c>
      <c r="J17" s="62">
        <f>J10*(1+'Real Cost Escalation'!I19)</f>
        <v>4.8749505500920665E-2</v>
      </c>
      <c r="K17" s="69">
        <f>SUM(F17:J17)</f>
        <v>0.37293707787664643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6.8813569871154945E-2</v>
      </c>
      <c r="G18" s="55">
        <f>G11*(1+'Real Cost Escalation'!F20)</f>
        <v>5.357515586630917E-2</v>
      </c>
      <c r="H18" s="55">
        <f>H11*(1+'Real Cost Escalation'!G20)</f>
        <v>4.7025740418287193E-2</v>
      </c>
      <c r="I18" s="55">
        <f>I11*(1+'Real Cost Escalation'!H20)</f>
        <v>4.9495853833272617E-2</v>
      </c>
      <c r="J18" s="62">
        <f>J11*(1+'Real Cost Escalation'!I20)</f>
        <v>3.3067619776243361E-2</v>
      </c>
      <c r="K18" s="69">
        <f t="shared" ref="K18:K19" si="4">SUM(F18:J18)</f>
        <v>0.25197793976526728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0.14081184483036138</v>
      </c>
      <c r="G19" s="55">
        <f>G12*(1+'Real Cost Escalation'!F21)</f>
        <v>0.10854056986923918</v>
      </c>
      <c r="H19" s="55">
        <f>H12*(1+'Real Cost Escalation'!G21)</f>
        <v>9.4177579886542531E-2</v>
      </c>
      <c r="I19" s="55">
        <f>I12*(1+'Real Cost Escalation'!H21)</f>
        <v>9.7768327382216691E-2</v>
      </c>
      <c r="J19" s="62">
        <f>J12*(1+'Real Cost Escalation'!I21)</f>
        <v>6.4042572422846736E-2</v>
      </c>
      <c r="K19" s="69">
        <f t="shared" si="4"/>
        <v>0.50534089439120655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0.31149595714689188</v>
      </c>
      <c r="G20" s="43">
        <f t="shared" ref="G20:J20" si="5">SUM(G17:G19)</f>
        <v>0.24143265620639673</v>
      </c>
      <c r="H20" s="43">
        <f t="shared" si="5"/>
        <v>0.21087431558657282</v>
      </c>
      <c r="I20" s="43">
        <f t="shared" si="5"/>
        <v>0.22059328539324805</v>
      </c>
      <c r="J20" s="44">
        <f t="shared" si="5"/>
        <v>0.14585969770001078</v>
      </c>
      <c r="K20" s="43">
        <f>SUM(K17:K19)</f>
        <v>1.1302559120331201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4.1175984421634018E-2</v>
      </c>
      <c r="G23" s="236">
        <f>G$15*'[1]AGN overheads'!D$63</f>
        <v>3.2062482972841026E-2</v>
      </c>
      <c r="H23" s="236">
        <f>H$15*'[1]AGN overheads'!E$63</f>
        <v>2.8437003668486584E-2</v>
      </c>
      <c r="I23" s="236">
        <f>I$15*'[1]AGN overheads'!F$63</f>
        <v>3.1141092599493898E-2</v>
      </c>
      <c r="J23" s="237">
        <f>J$15*'[1]AGN overheads'!G$63</f>
        <v>1.9865785417170899E-2</v>
      </c>
      <c r="K23" s="69">
        <f>SUM(F23:J23)</f>
        <v>0.15268234907962644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0.35267194156852588</v>
      </c>
      <c r="G24" s="58">
        <f t="shared" ref="G24:J24" si="6">G20+G23</f>
        <v>0.27349513917923773</v>
      </c>
      <c r="H24" s="58">
        <f t="shared" si="6"/>
        <v>0.23931131925505941</v>
      </c>
      <c r="I24" s="58">
        <f t="shared" si="6"/>
        <v>0.25173437799274195</v>
      </c>
      <c r="J24" s="44">
        <f t="shared" si="6"/>
        <v>0.16572548311718169</v>
      </c>
      <c r="K24" s="43">
        <f>SUM(F24:J24)</f>
        <v>1.2829382611127467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9"/>
  <sheetViews>
    <sheetView topLeftCell="C1" zoomScaleNormal="100" workbookViewId="0">
      <selection activeCell="D12" sqref="D12:I12"/>
    </sheetView>
  </sheetViews>
  <sheetFormatPr defaultRowHeight="15" x14ac:dyDescent="0.25"/>
  <cols>
    <col min="1" max="1" width="2.28515625" style="3" customWidth="1"/>
    <col min="2" max="2" width="20.28515625" style="3" customWidth="1"/>
    <col min="3" max="3" width="72" style="3" bestFit="1" customWidth="1"/>
    <col min="4" max="9" width="8.140625" style="3" bestFit="1" customWidth="1"/>
    <col min="10" max="16384" width="9.140625" style="3"/>
  </cols>
  <sheetData>
    <row r="1" spans="1:11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</row>
    <row r="2" spans="1:11" ht="27.95" customHeight="1" x14ac:dyDescent="0.25">
      <c r="A2" s="1"/>
      <c r="B2" s="70" t="s">
        <v>78</v>
      </c>
      <c r="C2" s="70"/>
      <c r="D2" s="72"/>
      <c r="E2" s="72"/>
      <c r="F2" s="72"/>
      <c r="G2" s="72"/>
      <c r="H2" s="72"/>
      <c r="I2" s="72"/>
      <c r="J2" s="72"/>
      <c r="K2" s="4"/>
    </row>
    <row r="3" spans="1:11" s="74" customFormat="1" ht="18" customHeight="1" x14ac:dyDescent="0.2">
      <c r="A3" s="73"/>
      <c r="B3" s="20" t="s">
        <v>40</v>
      </c>
      <c r="C3" s="20"/>
      <c r="D3" s="73"/>
      <c r="E3" s="73"/>
      <c r="F3" s="73"/>
      <c r="G3" s="73"/>
      <c r="H3" s="73"/>
      <c r="I3" s="73"/>
      <c r="J3" s="73"/>
      <c r="K3" s="73"/>
    </row>
    <row r="4" spans="1:11" s="74" customFormat="1" ht="18" customHeight="1" x14ac:dyDescent="0.2">
      <c r="A4" s="73"/>
      <c r="B4" s="75"/>
      <c r="C4" s="75"/>
      <c r="D4" s="22"/>
      <c r="E4" s="22"/>
      <c r="F4" s="22"/>
      <c r="G4" s="22"/>
      <c r="H4" s="22"/>
      <c r="I4" s="22"/>
      <c r="J4" s="22"/>
      <c r="K4" s="22"/>
    </row>
    <row r="5" spans="1:11" s="79" customFormat="1" ht="20.100000000000001" customHeight="1" x14ac:dyDescent="0.25">
      <c r="A5" s="76"/>
      <c r="B5" s="30" t="s">
        <v>78</v>
      </c>
      <c r="C5" s="30"/>
      <c r="D5" s="77"/>
      <c r="E5" s="77"/>
      <c r="F5" s="77"/>
      <c r="G5" s="77"/>
      <c r="H5" s="77"/>
      <c r="I5" s="77"/>
      <c r="J5" s="77"/>
      <c r="K5" s="78"/>
    </row>
    <row r="6" spans="1:11" s="74" customFormat="1" ht="18" customHeight="1" x14ac:dyDescent="0.2">
      <c r="A6" s="73"/>
      <c r="B6" s="22"/>
      <c r="C6" s="22"/>
      <c r="D6" s="22"/>
      <c r="E6" s="22"/>
      <c r="F6" s="22"/>
      <c r="G6" s="22"/>
      <c r="H6" s="22"/>
      <c r="I6" s="22"/>
      <c r="J6" s="22"/>
      <c r="K6" s="22"/>
    </row>
    <row r="7" spans="1:11" s="74" customFormat="1" ht="18" customHeight="1" x14ac:dyDescent="0.2">
      <c r="A7" s="73"/>
      <c r="B7" s="173" t="s">
        <v>234</v>
      </c>
      <c r="C7" s="80"/>
      <c r="D7" s="22"/>
      <c r="E7" s="22"/>
      <c r="F7" s="22"/>
      <c r="G7" s="22"/>
      <c r="H7" s="22"/>
      <c r="I7" s="22"/>
      <c r="J7" s="22"/>
      <c r="K7" s="22"/>
    </row>
    <row r="8" spans="1:11" s="74" customFormat="1" ht="18" customHeight="1" x14ac:dyDescent="0.2">
      <c r="A8" s="73"/>
      <c r="B8" s="81"/>
      <c r="C8" s="81"/>
      <c r="D8" s="22"/>
      <c r="E8" s="22"/>
      <c r="F8" s="22"/>
      <c r="G8" s="22"/>
      <c r="H8" s="22"/>
      <c r="I8" s="22"/>
      <c r="J8" s="22"/>
      <c r="K8" s="22"/>
    </row>
    <row r="9" spans="1:11" s="74" customFormat="1" ht="18" customHeight="1" x14ac:dyDescent="0.2">
      <c r="A9" s="73"/>
      <c r="B9" s="207" t="s">
        <v>79</v>
      </c>
      <c r="C9" s="208"/>
      <c r="D9" s="209" t="s">
        <v>0</v>
      </c>
      <c r="E9" s="209" t="s">
        <v>19</v>
      </c>
      <c r="F9" s="209" t="s">
        <v>20</v>
      </c>
      <c r="G9" s="209" t="s">
        <v>21</v>
      </c>
      <c r="H9" s="209" t="s">
        <v>22</v>
      </c>
      <c r="I9" s="210" t="s">
        <v>23</v>
      </c>
      <c r="J9" s="22"/>
      <c r="K9" s="22"/>
    </row>
    <row r="10" spans="1:11" s="74" customFormat="1" ht="18" customHeight="1" x14ac:dyDescent="0.2">
      <c r="A10" s="73"/>
      <c r="B10" s="223" t="s">
        <v>43</v>
      </c>
      <c r="C10" s="204"/>
      <c r="D10" s="205">
        <f>AVERAGE(D11:D12)</f>
        <v>4.4999999999999997E-3</v>
      </c>
      <c r="E10" s="205">
        <f t="shared" ref="E10:I10" si="0">AVERAGE(E11:E12)</f>
        <v>7.4999999999999997E-3</v>
      </c>
      <c r="F10" s="205">
        <f t="shared" si="0"/>
        <v>1.01E-2</v>
      </c>
      <c r="G10" s="205">
        <f t="shared" si="0"/>
        <v>1.235E-2</v>
      </c>
      <c r="H10" s="205">
        <f t="shared" si="0"/>
        <v>1.3849999999999999E-2</v>
      </c>
      <c r="I10" s="206">
        <f t="shared" si="0"/>
        <v>1.49E-2</v>
      </c>
      <c r="J10" s="22"/>
      <c r="K10" s="22"/>
    </row>
    <row r="11" spans="1:11" s="74" customFormat="1" ht="18" customHeight="1" x14ac:dyDescent="0.2">
      <c r="A11" s="73"/>
      <c r="B11" s="166" t="s">
        <v>213</v>
      </c>
      <c r="C11" s="174" t="s">
        <v>218</v>
      </c>
      <c r="D11" s="167">
        <v>8.9999999999999993E-3</v>
      </c>
      <c r="E11" s="168">
        <v>1.4E-2</v>
      </c>
      <c r="F11" s="168">
        <v>1.32E-2</v>
      </c>
      <c r="G11" s="168">
        <v>1.47E-2</v>
      </c>
      <c r="H11" s="168">
        <v>1.67E-2</v>
      </c>
      <c r="I11" s="169">
        <v>1.8800000000000001E-2</v>
      </c>
      <c r="J11" s="22"/>
      <c r="K11" s="22"/>
    </row>
    <row r="12" spans="1:11" s="74" customFormat="1" ht="18" customHeight="1" x14ac:dyDescent="0.2">
      <c r="A12" s="73"/>
      <c r="B12" s="166" t="s">
        <v>214</v>
      </c>
      <c r="C12" s="170" t="s">
        <v>215</v>
      </c>
      <c r="D12" s="247">
        <v>0</v>
      </c>
      <c r="E12" s="248">
        <v>1E-3</v>
      </c>
      <c r="F12" s="248">
        <v>7.0000000000000001E-3</v>
      </c>
      <c r="G12" s="248">
        <v>0.01</v>
      </c>
      <c r="H12" s="248">
        <v>1.0999999999999999E-2</v>
      </c>
      <c r="I12" s="249">
        <v>1.0999999999999999E-2</v>
      </c>
      <c r="J12" s="22"/>
      <c r="K12" s="22"/>
    </row>
    <row r="13" spans="1:11" s="74" customFormat="1" ht="18" customHeight="1" x14ac:dyDescent="0.2">
      <c r="A13" s="73"/>
      <c r="B13" s="223" t="s">
        <v>1</v>
      </c>
      <c r="C13" s="204"/>
      <c r="D13" s="215">
        <f>AVERAGE(D14:D15)</f>
        <v>1.3725408555258088E-3</v>
      </c>
      <c r="E13" s="215">
        <f t="shared" ref="E13:I13" si="1">AVERAGE(E14:E15)</f>
        <v>5.7125021527992381E-3</v>
      </c>
      <c r="F13" s="215">
        <f t="shared" si="1"/>
        <v>1.0035051938056101E-2</v>
      </c>
      <c r="G13" s="215">
        <f t="shared" si="1"/>
        <v>1.1618517428739168E-2</v>
      </c>
      <c r="H13" s="215">
        <f t="shared" si="1"/>
        <v>1.3870575010188575E-2</v>
      </c>
      <c r="I13" s="222">
        <f t="shared" si="1"/>
        <v>1.9913950346603721E-2</v>
      </c>
      <c r="J13" s="22"/>
      <c r="K13" s="22"/>
    </row>
    <row r="14" spans="1:11" s="74" customFormat="1" ht="18" customHeight="1" x14ac:dyDescent="0.2">
      <c r="A14" s="73"/>
      <c r="B14" s="166" t="s">
        <v>213</v>
      </c>
      <c r="C14" s="174" t="s">
        <v>218</v>
      </c>
      <c r="D14" s="167">
        <v>4.7450817110516177E-3</v>
      </c>
      <c r="E14" s="167">
        <v>8.4250043055984752E-3</v>
      </c>
      <c r="F14" s="167">
        <v>1.1070103876112203E-2</v>
      </c>
      <c r="G14" s="167">
        <v>1.5237034857478333E-2</v>
      </c>
      <c r="H14" s="167">
        <v>1.974115002037715E-2</v>
      </c>
      <c r="I14" s="177">
        <v>1.9913950346603721E-2</v>
      </c>
      <c r="J14" s="22"/>
      <c r="K14" s="22"/>
    </row>
    <row r="15" spans="1:11" s="74" customFormat="1" ht="18" customHeight="1" x14ac:dyDescent="0.2">
      <c r="A15" s="73"/>
      <c r="B15" s="166" t="s">
        <v>214</v>
      </c>
      <c r="C15" s="170" t="s">
        <v>215</v>
      </c>
      <c r="D15" s="167">
        <v>-2E-3</v>
      </c>
      <c r="E15" s="168">
        <v>3.0000000000000001E-3</v>
      </c>
      <c r="F15" s="168">
        <v>8.9999999999999993E-3</v>
      </c>
      <c r="G15" s="168">
        <v>8.0000000000000002E-3</v>
      </c>
      <c r="H15" s="168">
        <v>8.0000000000000002E-3</v>
      </c>
      <c r="I15" s="169"/>
      <c r="J15" s="22"/>
      <c r="K15" s="22"/>
    </row>
    <row r="16" spans="1:11" s="74" customFormat="1" ht="18" customHeight="1" x14ac:dyDescent="0.2">
      <c r="A16" s="73"/>
      <c r="B16" s="224" t="s">
        <v>44</v>
      </c>
      <c r="C16" s="219"/>
      <c r="D16" s="220">
        <v>0</v>
      </c>
      <c r="E16" s="220">
        <v>0</v>
      </c>
      <c r="F16" s="220">
        <v>0</v>
      </c>
      <c r="G16" s="220">
        <v>0</v>
      </c>
      <c r="H16" s="220">
        <v>0</v>
      </c>
      <c r="I16" s="221">
        <v>0</v>
      </c>
      <c r="J16" s="22"/>
      <c r="K16" s="22"/>
    </row>
    <row r="17" spans="1:11" s="74" customFormat="1" ht="18" customHeight="1" x14ac:dyDescent="0.2">
      <c r="A17" s="73"/>
      <c r="B17" s="22"/>
      <c r="C17" s="22"/>
      <c r="D17" s="22"/>
      <c r="E17" s="22"/>
      <c r="F17" s="22"/>
      <c r="G17" s="22"/>
      <c r="H17" s="22"/>
      <c r="I17" s="22"/>
      <c r="J17" s="22"/>
      <c r="K17" s="22"/>
    </row>
    <row r="18" spans="1:11" s="74" customFormat="1" ht="18" customHeight="1" x14ac:dyDescent="0.2">
      <c r="A18" s="73"/>
      <c r="B18" s="207" t="s">
        <v>80</v>
      </c>
      <c r="C18" s="208"/>
      <c r="D18" s="209" t="str">
        <f t="shared" ref="D18:I18" si="2">D9</f>
        <v>2015/16</v>
      </c>
      <c r="E18" s="209" t="str">
        <f t="shared" si="2"/>
        <v>2016/17</v>
      </c>
      <c r="F18" s="209" t="str">
        <f t="shared" si="2"/>
        <v>2017/18</v>
      </c>
      <c r="G18" s="209" t="str">
        <f t="shared" si="2"/>
        <v>2018/19</v>
      </c>
      <c r="H18" s="209" t="str">
        <f t="shared" si="2"/>
        <v>2019/20</v>
      </c>
      <c r="I18" s="210" t="str">
        <f t="shared" si="2"/>
        <v>2020/21</v>
      </c>
      <c r="J18" s="22"/>
      <c r="K18" s="22"/>
    </row>
    <row r="19" spans="1:11" s="74" customFormat="1" ht="18" customHeight="1" x14ac:dyDescent="0.2">
      <c r="A19" s="73"/>
      <c r="B19" s="211" t="s">
        <v>43</v>
      </c>
      <c r="C19" s="212"/>
      <c r="D19" s="205">
        <f>D10</f>
        <v>4.4999999999999997E-3</v>
      </c>
      <c r="E19" s="213">
        <f>(1+D10)*(1+E10)-1</f>
        <v>1.2033750000000065E-2</v>
      </c>
      <c r="F19" s="213">
        <f>(1+D10)*(1+E10)*(1+F10)-1</f>
        <v>2.2255290875E-2</v>
      </c>
      <c r="G19" s="213">
        <f>(1+D10)*(1+E10)*(1+F10)*(1+G10)-1</f>
        <v>3.48801437173063E-2</v>
      </c>
      <c r="H19" s="213">
        <f>(1+D10)*(1+E10)*(1+F10)*(1+G10)*(1+H10)-1</f>
        <v>4.9213233707790849E-2</v>
      </c>
      <c r="I19" s="214">
        <f>(1+D10)*(1+E10)*(1+F10)*(1+G10)*(1+H10)*(1+I10)-1</f>
        <v>6.4846510890036901E-2</v>
      </c>
      <c r="J19" s="22"/>
      <c r="K19" s="22"/>
    </row>
    <row r="20" spans="1:11" s="74" customFormat="1" ht="18" customHeight="1" x14ac:dyDescent="0.2">
      <c r="A20" s="73"/>
      <c r="B20" s="203" t="s">
        <v>1</v>
      </c>
      <c r="C20" s="204"/>
      <c r="D20" s="215">
        <f>D13</f>
        <v>1.3725408555258088E-3</v>
      </c>
      <c r="E20" s="216">
        <f>(1+D13)*(1+E13)-1</f>
        <v>7.0928836509172033E-3</v>
      </c>
      <c r="F20" s="216">
        <f>(1+D13)*(1+E13)*(1+F13)-1</f>
        <v>1.7199113044800818E-2</v>
      </c>
      <c r="G20" s="216">
        <f>(1+D13)*(1+E13)*(1+F13)*(1+G13)-1</f>
        <v>2.9017458668209706E-2</v>
      </c>
      <c r="H20" s="216">
        <f>(1+D13)*(1+E13)*(1+F13)*(1+G13)*(1+H13)-1</f>
        <v>4.3290522515460728E-2</v>
      </c>
      <c r="I20" s="217">
        <f>(1+D13)*(1+E13)*(1+F13)*(1+G13)*(1+H13)*(1+I13)-1</f>
        <v>6.4066558177915844E-2</v>
      </c>
      <c r="J20" s="22"/>
      <c r="K20" s="22"/>
    </row>
    <row r="21" spans="1:11" s="74" customFormat="1" ht="18" customHeight="1" x14ac:dyDescent="0.2">
      <c r="A21" s="73"/>
      <c r="B21" s="218" t="s">
        <v>44</v>
      </c>
      <c r="C21" s="219"/>
      <c r="D21" s="220">
        <f>D16</f>
        <v>0</v>
      </c>
      <c r="E21" s="220">
        <f>(1+D16)*(1+E16)-1</f>
        <v>0</v>
      </c>
      <c r="F21" s="220">
        <f>(1+D16)*(1+E16)*(1+F16)-1</f>
        <v>0</v>
      </c>
      <c r="G21" s="220">
        <f>(1+D16)*(1+E16)*(1+F16)*(1+G16)-1</f>
        <v>0</v>
      </c>
      <c r="H21" s="220">
        <f>(1+D16)*(1+E16)*(1+F16)*(1+G16)*(1+H16)-1</f>
        <v>0</v>
      </c>
      <c r="I21" s="221">
        <f>(1+D16)*(1+E16)*(1+F16)*(1+G16)*(1+H16)*(1+I16)-1</f>
        <v>0</v>
      </c>
      <c r="J21" s="22"/>
      <c r="K21" s="22"/>
    </row>
    <row r="22" spans="1:11" s="74" customFormat="1" ht="18" customHeight="1" x14ac:dyDescent="0.2">
      <c r="A22" s="73"/>
      <c r="B22" s="22"/>
      <c r="C22" s="22"/>
      <c r="D22" s="22"/>
      <c r="E22" s="22"/>
      <c r="F22" s="22"/>
      <c r="G22" s="22"/>
      <c r="H22" s="22"/>
      <c r="I22" s="22"/>
      <c r="J22" s="22"/>
      <c r="K22" s="22"/>
    </row>
    <row r="26" spans="1:11" x14ac:dyDescent="0.25">
      <c r="B26" s="82"/>
      <c r="C26" s="82"/>
      <c r="D26" s="2"/>
      <c r="E26" s="2"/>
      <c r="F26" s="2"/>
      <c r="G26" s="2"/>
      <c r="H26" s="2"/>
      <c r="I26" s="2"/>
    </row>
    <row r="27" spans="1:11" x14ac:dyDescent="0.25">
      <c r="B27" s="82"/>
      <c r="C27" s="82"/>
      <c r="D27" s="83"/>
      <c r="E27" s="83"/>
      <c r="F27" s="83"/>
      <c r="G27" s="83"/>
      <c r="H27" s="83"/>
      <c r="I27" s="83"/>
    </row>
    <row r="28" spans="1:11" x14ac:dyDescent="0.25">
      <c r="D28" s="2"/>
      <c r="E28" s="2"/>
      <c r="F28" s="2"/>
      <c r="G28" s="2"/>
      <c r="H28" s="2"/>
      <c r="I28" s="2"/>
    </row>
    <row r="29" spans="1:11" x14ac:dyDescent="0.25">
      <c r="E29" s="84"/>
      <c r="F29" s="84"/>
      <c r="G29" s="84"/>
      <c r="H29" s="84"/>
      <c r="I29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120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241">
        <v>2.0922399999999994</v>
      </c>
      <c r="G7" s="241">
        <v>2.1122399999999999</v>
      </c>
      <c r="H7" s="241">
        <v>2.2972399999999995</v>
      </c>
      <c r="I7" s="241">
        <v>2.3191399999999991</v>
      </c>
      <c r="J7" s="241">
        <v>2.1323400000000001</v>
      </c>
      <c r="K7" s="45">
        <f>SUM(F7:J7)</f>
        <v>10.953199999999999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0.11234104824456215</v>
      </c>
      <c r="D10" s="38"/>
      <c r="E10" s="36"/>
      <c r="F10" s="69">
        <f>$C10*F$7</f>
        <v>0.23504443477920264</v>
      </c>
      <c r="G10" s="69">
        <f t="shared" ref="G10:J12" si="0">$C10*G$7</f>
        <v>0.23729125574409393</v>
      </c>
      <c r="H10" s="69">
        <f t="shared" si="0"/>
        <v>0.2580743496693379</v>
      </c>
      <c r="I10" s="69">
        <f t="shared" si="0"/>
        <v>0.26053461862589378</v>
      </c>
      <c r="J10" s="69">
        <f t="shared" si="0"/>
        <v>0.23954931081380967</v>
      </c>
      <c r="K10" s="40">
        <f>SUM(F10:J10)</f>
        <v>1.230493969632338</v>
      </c>
      <c r="L10" s="22"/>
    </row>
    <row r="11" spans="1:12" x14ac:dyDescent="0.25">
      <c r="A11" s="22"/>
      <c r="B11" s="66" t="s">
        <v>1</v>
      </c>
      <c r="C11" s="86">
        <v>0.27541265254726055</v>
      </c>
      <c r="D11" s="38"/>
      <c r="E11" s="36"/>
      <c r="F11" s="69">
        <f>$C11*F$7</f>
        <v>0.5762293681654802</v>
      </c>
      <c r="G11" s="69">
        <f t="shared" si="0"/>
        <v>0.58173762121642558</v>
      </c>
      <c r="H11" s="69">
        <f t="shared" si="0"/>
        <v>0.63268896193766866</v>
      </c>
      <c r="I11" s="69">
        <f t="shared" si="0"/>
        <v>0.63872049902845363</v>
      </c>
      <c r="J11" s="69">
        <f t="shared" si="0"/>
        <v>0.58727341553262558</v>
      </c>
      <c r="K11" s="40">
        <f t="shared" ref="K11:K12" si="1">SUM(F11:J11)</f>
        <v>3.0166498658806535</v>
      </c>
      <c r="L11" s="22"/>
    </row>
    <row r="12" spans="1:12" x14ac:dyDescent="0.25">
      <c r="A12" s="22"/>
      <c r="B12" s="66" t="s">
        <v>44</v>
      </c>
      <c r="C12" s="87">
        <v>0.61224629920817719</v>
      </c>
      <c r="D12" s="38"/>
      <c r="E12" s="39"/>
      <c r="F12" s="69">
        <f>$C12*F$7</f>
        <v>1.2809661970553163</v>
      </c>
      <c r="G12" s="69">
        <f t="shared" si="0"/>
        <v>1.29321112303948</v>
      </c>
      <c r="H12" s="69">
        <f t="shared" si="0"/>
        <v>1.4064766883929927</v>
      </c>
      <c r="I12" s="69">
        <f t="shared" si="0"/>
        <v>1.4198848823456516</v>
      </c>
      <c r="J12" s="69">
        <f t="shared" si="0"/>
        <v>1.3055172736535647</v>
      </c>
      <c r="K12" s="40">
        <f t="shared" si="1"/>
        <v>6.7060561644870056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2.0922399999999994</v>
      </c>
      <c r="G13" s="43">
        <f t="shared" ref="G13:J13" si="2">SUM(G10:G12)</f>
        <v>2.1122399999999995</v>
      </c>
      <c r="H13" s="43">
        <f t="shared" si="2"/>
        <v>2.2972399999999995</v>
      </c>
      <c r="I13" s="43">
        <f t="shared" si="2"/>
        <v>2.3191399999999991</v>
      </c>
      <c r="J13" s="43">
        <f t="shared" si="2"/>
        <v>2.1323400000000001</v>
      </c>
      <c r="K13" s="45">
        <f>SUM(K10:K12)</f>
        <v>10.953199999999997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2.9725761454870252E-2</v>
      </c>
      <c r="G15" s="233">
        <f>G$13/'Capex Summary Forecast - Unesc'!G$47</f>
        <v>2.9010329763884835E-2</v>
      </c>
      <c r="H15" s="233">
        <f>H$13/'Capex Summary Forecast - Unesc'!H$47</f>
        <v>3.3469422904264072E-2</v>
      </c>
      <c r="I15" s="233">
        <f>I$13/'Capex Summary Forecast - Unesc'!I$47</f>
        <v>3.6415155525985378E-2</v>
      </c>
      <c r="J15" s="234">
        <f>J$13/'Capex Summary Forecast - Unesc'!J$47</f>
        <v>3.3468111035392184E-2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0.23787290074622688</v>
      </c>
      <c r="G17" s="55">
        <f>G10*(1+'Real Cost Escalation'!F19)</f>
        <v>0.24257224166277275</v>
      </c>
      <c r="H17" s="55">
        <f>H10*(1+'Real Cost Escalation'!G19)</f>
        <v>0.26707602007555475</v>
      </c>
      <c r="I17" s="55">
        <f>I10*(1+'Real Cost Escalation'!H19)</f>
        <v>0.27335636970130006</v>
      </c>
      <c r="J17" s="62">
        <f>J10*(1+'Real Cost Escalation'!I19)</f>
        <v>0.25508324780619823</v>
      </c>
      <c r="K17" s="69">
        <f>SUM(F17:J17)</f>
        <v>1.2759607799920527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0.58031649603011948</v>
      </c>
      <c r="G18" s="55">
        <f>G11*(1+'Real Cost Escalation'!F20)</f>
        <v>0.59174299232614036</v>
      </c>
      <c r="H18" s="55">
        <f>H11*(1+'Real Cost Escalation'!G20)</f>
        <v>0.65104798774052741</v>
      </c>
      <c r="I18" s="55">
        <f>I11*(1+'Real Cost Escalation'!H20)</f>
        <v>0.66637104317273121</v>
      </c>
      <c r="J18" s="62">
        <f>J11*(1+'Real Cost Escalation'!I20)</f>
        <v>0.62489800197518985</v>
      </c>
      <c r="K18" s="69">
        <f t="shared" ref="K18:K19" si="4">SUM(F18:J18)</f>
        <v>3.1143765212447079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1.2809661970553163</v>
      </c>
      <c r="G19" s="55">
        <f>G12*(1+'Real Cost Escalation'!F21)</f>
        <v>1.29321112303948</v>
      </c>
      <c r="H19" s="55">
        <f>H12*(1+'Real Cost Escalation'!G21)</f>
        <v>1.4064766883929927</v>
      </c>
      <c r="I19" s="55">
        <f>I12*(1+'Real Cost Escalation'!H21)</f>
        <v>1.4198848823456516</v>
      </c>
      <c r="J19" s="62">
        <f>J12*(1+'Real Cost Escalation'!I21)</f>
        <v>1.3055172736535647</v>
      </c>
      <c r="K19" s="69">
        <f t="shared" si="4"/>
        <v>6.7060561644870056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2.0991555938316626</v>
      </c>
      <c r="G20" s="43">
        <f t="shared" ref="G20:J20" si="5">SUM(G17:G19)</f>
        <v>2.1275263570283931</v>
      </c>
      <c r="H20" s="43">
        <f t="shared" si="5"/>
        <v>2.3246006962090746</v>
      </c>
      <c r="I20" s="43">
        <f t="shared" si="5"/>
        <v>2.3596122952196827</v>
      </c>
      <c r="J20" s="44">
        <f t="shared" si="5"/>
        <v>2.1854985234349531</v>
      </c>
      <c r="K20" s="43">
        <f>SUM(K17:K19)</f>
        <v>11.096393465723766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0.27808276838708684</v>
      </c>
      <c r="G23" s="236">
        <f>G$15*'[1]AGN overheads'!D$63</f>
        <v>0.28359991220499875</v>
      </c>
      <c r="H23" s="236">
        <f>H$15*'[1]AGN overheads'!E$63</f>
        <v>0.31528292619398701</v>
      </c>
      <c r="I23" s="236">
        <f>I$15*'[1]AGN overheads'!F$63</f>
        <v>0.33575338675588212</v>
      </c>
      <c r="J23" s="237">
        <f>J$15*'[1]AGN overheads'!G$63</f>
        <v>0.30064307222462872</v>
      </c>
      <c r="K23" s="69">
        <f>SUM(F23:J23)</f>
        <v>1.5133620657665834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2.3772383622187494</v>
      </c>
      <c r="G24" s="43">
        <f t="shared" ref="G24:J24" si="6">G20+G23</f>
        <v>2.4111262692333919</v>
      </c>
      <c r="H24" s="43">
        <f t="shared" si="6"/>
        <v>2.6398836224030617</v>
      </c>
      <c r="I24" s="43">
        <f t="shared" si="6"/>
        <v>2.6953656819755647</v>
      </c>
      <c r="J24" s="44">
        <f t="shared" si="6"/>
        <v>2.486141595659582</v>
      </c>
      <c r="K24" s="43">
        <f>SUM(F24:J24)</f>
        <v>12.60975553149035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121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241">
        <v>9.0950000000000006</v>
      </c>
      <c r="G7" s="241">
        <v>13.274000000000001</v>
      </c>
      <c r="H7" s="241">
        <v>8.0259999999999998</v>
      </c>
      <c r="I7" s="241">
        <v>2.6160000000000001</v>
      </c>
      <c r="J7" s="241">
        <v>4.8390000000000004</v>
      </c>
      <c r="K7" s="45">
        <f>SUM(F7:J7)</f>
        <v>37.85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0.13725604504693484</v>
      </c>
      <c r="D10" s="38"/>
      <c r="E10" s="36"/>
      <c r="F10" s="69">
        <f>$C10*F$7</f>
        <v>1.2483437297018725</v>
      </c>
      <c r="G10" s="69">
        <f t="shared" ref="G10:J12" si="0">$C10*G$7</f>
        <v>1.8219367419530133</v>
      </c>
      <c r="H10" s="69">
        <f t="shared" si="0"/>
        <v>1.1016170175466991</v>
      </c>
      <c r="I10" s="69">
        <f t="shared" si="0"/>
        <v>0.35906181384278157</v>
      </c>
      <c r="J10" s="69">
        <f t="shared" si="0"/>
        <v>0.66418200198211774</v>
      </c>
      <c r="K10" s="40">
        <f>SUM(F10:J10)</f>
        <v>5.1951413050264836</v>
      </c>
      <c r="L10" s="22"/>
    </row>
    <row r="11" spans="1:12" x14ac:dyDescent="0.25">
      <c r="A11" s="22"/>
      <c r="B11" s="66" t="s">
        <v>1</v>
      </c>
      <c r="C11" s="86">
        <v>0.51241692063706523</v>
      </c>
      <c r="D11" s="38"/>
      <c r="E11" s="36"/>
      <c r="F11" s="69">
        <f>$C11*F$7</f>
        <v>4.6604318931941089</v>
      </c>
      <c r="G11" s="69">
        <f t="shared" si="0"/>
        <v>6.8018222045364043</v>
      </c>
      <c r="H11" s="69">
        <f t="shared" si="0"/>
        <v>4.1126582050330853</v>
      </c>
      <c r="I11" s="69">
        <f t="shared" si="0"/>
        <v>1.3404826643865626</v>
      </c>
      <c r="J11" s="69">
        <f t="shared" si="0"/>
        <v>2.4795854789627589</v>
      </c>
      <c r="K11" s="40">
        <f t="shared" ref="K11:K12" si="1">SUM(F11:J11)</f>
        <v>19.394980446112918</v>
      </c>
      <c r="L11" s="22"/>
    </row>
    <row r="12" spans="1:12" x14ac:dyDescent="0.25">
      <c r="A12" s="22"/>
      <c r="B12" s="66" t="s">
        <v>44</v>
      </c>
      <c r="C12" s="87">
        <v>0.35032703431599999</v>
      </c>
      <c r="D12" s="38"/>
      <c r="E12" s="39"/>
      <c r="F12" s="69">
        <f>$C12*F$7</f>
        <v>3.1862243771040202</v>
      </c>
      <c r="G12" s="69">
        <f t="shared" si="0"/>
        <v>4.6502410535105838</v>
      </c>
      <c r="H12" s="69">
        <f t="shared" si="0"/>
        <v>2.8117247774202156</v>
      </c>
      <c r="I12" s="69">
        <f t="shared" si="0"/>
        <v>0.91645552177065603</v>
      </c>
      <c r="J12" s="69">
        <f t="shared" si="0"/>
        <v>1.6952325190551241</v>
      </c>
      <c r="K12" s="40">
        <f t="shared" si="1"/>
        <v>13.259878248860598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9.0950000000000024</v>
      </c>
      <c r="G13" s="43">
        <f t="shared" ref="G13:J13" si="2">SUM(G10:G12)</f>
        <v>13.274000000000001</v>
      </c>
      <c r="H13" s="43">
        <f t="shared" si="2"/>
        <v>8.0259999999999998</v>
      </c>
      <c r="I13" s="43">
        <f t="shared" si="2"/>
        <v>2.6160000000000001</v>
      </c>
      <c r="J13" s="43">
        <f t="shared" si="2"/>
        <v>4.8390000000000004</v>
      </c>
      <c r="K13" s="45">
        <f>SUM(K10:K12)</f>
        <v>37.849999999999994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0.129218349917813</v>
      </c>
      <c r="G15" s="233">
        <f>G$13/'Capex Summary Forecast - Unesc'!G$47</f>
        <v>0.18231030436210252</v>
      </c>
      <c r="H15" s="233">
        <f>H$13/'Capex Summary Forecast - Unesc'!H$47</f>
        <v>0.11693405487873425</v>
      </c>
      <c r="I15" s="233">
        <f>I$13/'Capex Summary Forecast - Unesc'!I$47</f>
        <v>4.1076453709555177E-2</v>
      </c>
      <c r="J15" s="234">
        <f>J$13/'Capex Summary Forecast - Unesc'!J$47</f>
        <v>7.5950453164252793E-2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1.2633659860591724</v>
      </c>
      <c r="G17" s="55">
        <f>G10*(1+'Real Cost Escalation'!F19)</f>
        <v>1.8624844741010274</v>
      </c>
      <c r="H17" s="55">
        <f>H10*(1+'Real Cost Escalation'!G19)</f>
        <v>1.1400415774401582</v>
      </c>
      <c r="I17" s="55">
        <f>I10*(1+'Real Cost Escalation'!H19)</f>
        <v>0.37673240680296965</v>
      </c>
      <c r="J17" s="62">
        <f>J10*(1+'Real Cost Escalation'!I19)</f>
        <v>0.7072518874066176</v>
      </c>
      <c r="K17" s="69">
        <f>SUM(F17:J17)</f>
        <v>5.3498763318099449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4.6934877943755584</v>
      </c>
      <c r="G18" s="55">
        <f>G11*(1+'Real Cost Escalation'!F20)</f>
        <v>6.9188075135428626</v>
      </c>
      <c r="H18" s="55">
        <f>H11*(1+'Real Cost Escalation'!G20)</f>
        <v>4.2319970945141065</v>
      </c>
      <c r="I18" s="55">
        <f>I11*(1+'Real Cost Escalation'!H20)</f>
        <v>1.3985128593507739</v>
      </c>
      <c r="J18" s="62">
        <f>J11*(1+'Real Cost Escalation'!I20)</f>
        <v>2.6384439863078417</v>
      </c>
      <c r="K18" s="69">
        <f t="shared" ref="K18:K19" si="4">SUM(F18:J18)</f>
        <v>19.881249248091144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3.1862243771040202</v>
      </c>
      <c r="G19" s="55">
        <f>G12*(1+'Real Cost Escalation'!F21)</f>
        <v>4.6502410535105838</v>
      </c>
      <c r="H19" s="55">
        <f>H12*(1+'Real Cost Escalation'!G21)</f>
        <v>2.8117247774202156</v>
      </c>
      <c r="I19" s="55">
        <f>I12*(1+'Real Cost Escalation'!H21)</f>
        <v>0.91645552177065603</v>
      </c>
      <c r="J19" s="62">
        <f>J12*(1+'Real Cost Escalation'!I21)</f>
        <v>1.6952325190551241</v>
      </c>
      <c r="K19" s="69">
        <f t="shared" si="4"/>
        <v>13.259878248860598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9.143078157538751</v>
      </c>
      <c r="G20" s="43">
        <f t="shared" ref="G20:J20" si="5">SUM(G17:G19)</f>
        <v>13.431533041154474</v>
      </c>
      <c r="H20" s="43">
        <f t="shared" si="5"/>
        <v>8.1837634493744797</v>
      </c>
      <c r="I20" s="43">
        <f t="shared" si="5"/>
        <v>2.6917007879243995</v>
      </c>
      <c r="J20" s="44">
        <f t="shared" si="5"/>
        <v>5.0409283927695832</v>
      </c>
      <c r="K20" s="43">
        <f>SUM(K17:K19)</f>
        <v>38.491003828761691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1.208830143043129</v>
      </c>
      <c r="G23" s="236">
        <f>G$15*'[1]AGN overheads'!D$63</f>
        <v>1.7822336640765986</v>
      </c>
      <c r="H23" s="236">
        <f>H$15*'[1]AGN overheads'!E$63</f>
        <v>1.1015221594752573</v>
      </c>
      <c r="I23" s="236">
        <f>I$15*'[1]AGN overheads'!F$63</f>
        <v>0.37873127959217123</v>
      </c>
      <c r="J23" s="237">
        <f>J$15*'[1]AGN overheads'!G$63</f>
        <v>0.68226072131788484</v>
      </c>
      <c r="K23" s="69">
        <f>SUM(F23:J23)</f>
        <v>5.1535779675050408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10.351908300581879</v>
      </c>
      <c r="G24" s="43">
        <f t="shared" ref="G24:J24" si="6">G20+G23</f>
        <v>15.213766705231071</v>
      </c>
      <c r="H24" s="43">
        <f t="shared" si="6"/>
        <v>9.2852856088497369</v>
      </c>
      <c r="I24" s="43">
        <f t="shared" si="6"/>
        <v>3.0704320675165708</v>
      </c>
      <c r="J24" s="44">
        <f t="shared" si="6"/>
        <v>5.723189114087468</v>
      </c>
      <c r="K24" s="43">
        <f>SUM(F24:J24)</f>
        <v>43.644581796266721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122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241">
        <v>2.1991199999999989</v>
      </c>
      <c r="G7" s="241">
        <v>2.0231199999999987</v>
      </c>
      <c r="H7" s="241">
        <v>2.0229199999999992</v>
      </c>
      <c r="I7" s="241">
        <v>1.8988199999999988</v>
      </c>
      <c r="J7" s="241">
        <v>1.89872</v>
      </c>
      <c r="K7" s="45">
        <f>SUM(F7:J7)</f>
        <v>10.042699999999996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0.10489997642403127</v>
      </c>
      <c r="D10" s="38"/>
      <c r="E10" s="36"/>
      <c r="F10" s="69">
        <f>$C10*F$7</f>
        <v>0.23068763615361554</v>
      </c>
      <c r="G10" s="69">
        <f t="shared" ref="G10:J12" si="0">$C10*G$7</f>
        <v>0.21222524030298601</v>
      </c>
      <c r="H10" s="69">
        <f t="shared" si="0"/>
        <v>0.21220426030770126</v>
      </c>
      <c r="I10" s="69">
        <f t="shared" si="0"/>
        <v>0.19918617323347895</v>
      </c>
      <c r="J10" s="69">
        <f t="shared" si="0"/>
        <v>0.19917568323583665</v>
      </c>
      <c r="K10" s="40">
        <f>SUM(F10:J10)</f>
        <v>1.0534789932336184</v>
      </c>
      <c r="L10" s="22"/>
    </row>
    <row r="11" spans="1:12" x14ac:dyDescent="0.25">
      <c r="A11" s="22"/>
      <c r="B11" s="66" t="s">
        <v>1</v>
      </c>
      <c r="C11" s="86">
        <v>0.35304584471992978</v>
      </c>
      <c r="D11" s="38"/>
      <c r="E11" s="36"/>
      <c r="F11" s="69">
        <f>$C11*F$7</f>
        <v>0.7763901780404916</v>
      </c>
      <c r="G11" s="69">
        <f t="shared" si="0"/>
        <v>0.71425410936978384</v>
      </c>
      <c r="H11" s="69">
        <f t="shared" si="0"/>
        <v>0.71418350020084009</v>
      </c>
      <c r="I11" s="69">
        <f t="shared" si="0"/>
        <v>0.67037051087109667</v>
      </c>
      <c r="J11" s="69">
        <f t="shared" si="0"/>
        <v>0.67033520628662502</v>
      </c>
      <c r="K11" s="40">
        <f t="shared" ref="K11:K12" si="1">SUM(F11:J11)</f>
        <v>3.5455335047688372</v>
      </c>
      <c r="L11" s="22"/>
    </row>
    <row r="12" spans="1:12" x14ac:dyDescent="0.25">
      <c r="A12" s="22"/>
      <c r="B12" s="66" t="s">
        <v>44</v>
      </c>
      <c r="C12" s="87">
        <v>0.5420541788560389</v>
      </c>
      <c r="D12" s="38"/>
      <c r="E12" s="39"/>
      <c r="F12" s="69">
        <f>$C12*F$7</f>
        <v>1.1920421858058916</v>
      </c>
      <c r="G12" s="69">
        <f t="shared" si="0"/>
        <v>1.0966406503272288</v>
      </c>
      <c r="H12" s="69">
        <f t="shared" si="0"/>
        <v>1.0965322394914578</v>
      </c>
      <c r="I12" s="69">
        <f t="shared" si="0"/>
        <v>1.0292633158954232</v>
      </c>
      <c r="J12" s="69">
        <f t="shared" si="0"/>
        <v>1.0292091104775383</v>
      </c>
      <c r="K12" s="40">
        <f t="shared" si="1"/>
        <v>5.4436875019975393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2.1991199999999989</v>
      </c>
      <c r="G13" s="43">
        <f t="shared" ref="G13:J13" si="2">SUM(G10:G12)</f>
        <v>2.0231199999999987</v>
      </c>
      <c r="H13" s="43">
        <f t="shared" si="2"/>
        <v>2.0229199999999992</v>
      </c>
      <c r="I13" s="43">
        <f t="shared" si="2"/>
        <v>1.8988199999999988</v>
      </c>
      <c r="J13" s="43">
        <f t="shared" si="2"/>
        <v>1.89872</v>
      </c>
      <c r="K13" s="45">
        <f>SUM(K10:K12)</f>
        <v>10.042699999999995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3.1244272421249119E-2</v>
      </c>
      <c r="G15" s="233">
        <f>G$13/'Capex Summary Forecast - Unesc'!G$47</f>
        <v>2.7786320849861126E-2</v>
      </c>
      <c r="H15" s="233">
        <f>H$13/'Capex Summary Forecast - Unesc'!H$47</f>
        <v>2.9472743370955519E-2</v>
      </c>
      <c r="I15" s="233">
        <f>I$13/'Capex Summary Forecast - Unesc'!I$47</f>
        <v>2.9815287397850731E-2</v>
      </c>
      <c r="J15" s="234">
        <f>J$13/'Capex Summary Forecast - Unesc'!J$47</f>
        <v>2.9801331769380046E-2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0.23346367349517913</v>
      </c>
      <c r="G17" s="55">
        <f>G10*(1+'Real Cost Escalation'!F19)</f>
        <v>0.21694837475694573</v>
      </c>
      <c r="H17" s="55">
        <f>H10*(1+'Real Cost Escalation'!G19)</f>
        <v>0.21960597540465857</v>
      </c>
      <c r="I17" s="55">
        <f>I10*(1+'Real Cost Escalation'!H19)</f>
        <v>0.20898876892817866</v>
      </c>
      <c r="J17" s="62">
        <f>J10*(1+'Real Cost Escalation'!I19)</f>
        <v>0.21209153134781986</v>
      </c>
      <c r="K17" s="69">
        <f>SUM(F17:J17)</f>
        <v>1.0910983239327818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0.78189702324104771</v>
      </c>
      <c r="G18" s="55">
        <f>G11*(1+'Real Cost Escalation'!F20)</f>
        <v>0.72653864653954825</v>
      </c>
      <c r="H18" s="55">
        <f>H11*(1+'Real Cost Escalation'!G20)</f>
        <v>0.73490729039943525</v>
      </c>
      <c r="I18" s="55">
        <f>I11*(1+'Real Cost Escalation'!H20)</f>
        <v>0.69939120056566284</v>
      </c>
      <c r="J18" s="62">
        <f>J11*(1+'Real Cost Escalation'!I20)</f>
        <v>0.71328127577889233</v>
      </c>
      <c r="K18" s="69">
        <f t="shared" ref="K18:K19" si="4">SUM(F18:J18)</f>
        <v>3.6560154365245863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1.1920421858058916</v>
      </c>
      <c r="G19" s="55">
        <f>G12*(1+'Real Cost Escalation'!F21)</f>
        <v>1.0966406503272288</v>
      </c>
      <c r="H19" s="55">
        <f>H12*(1+'Real Cost Escalation'!G21)</f>
        <v>1.0965322394914578</v>
      </c>
      <c r="I19" s="55">
        <f>I12*(1+'Real Cost Escalation'!H21)</f>
        <v>1.0292633158954232</v>
      </c>
      <c r="J19" s="62">
        <f>J12*(1+'Real Cost Escalation'!I21)</f>
        <v>1.0292091104775383</v>
      </c>
      <c r="K19" s="69">
        <f t="shared" si="4"/>
        <v>5.4436875019975393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2.2074028825421186</v>
      </c>
      <c r="G20" s="43">
        <f t="shared" ref="G20:J20" si="5">SUM(G17:G19)</f>
        <v>2.0401276716237229</v>
      </c>
      <c r="H20" s="43">
        <f t="shared" si="5"/>
        <v>2.0510455052955514</v>
      </c>
      <c r="I20" s="43">
        <f t="shared" si="5"/>
        <v>1.9376432853892647</v>
      </c>
      <c r="J20" s="44">
        <f t="shared" si="5"/>
        <v>1.9545819176042505</v>
      </c>
      <c r="K20" s="43">
        <f>SUM(K17:K19)</f>
        <v>10.190801262454908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0.29228835010104498</v>
      </c>
      <c r="G23" s="236">
        <f>G$15*'[1]AGN overheads'!D$63</f>
        <v>0.27163421504193502</v>
      </c>
      <c r="H23" s="236">
        <f>H$15*'[1]AGN overheads'!E$63</f>
        <v>0.27763409006300604</v>
      </c>
      <c r="I23" s="236">
        <f>I$15*'[1]AGN overheads'!F$63</f>
        <v>0.274901578102143</v>
      </c>
      <c r="J23" s="237">
        <f>J$15*'[1]AGN overheads'!G$63</f>
        <v>0.26770450026466092</v>
      </c>
      <c r="K23" s="69">
        <f>SUM(F23:J23)</f>
        <v>1.38416273357279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2.4996912326431637</v>
      </c>
      <c r="G24" s="43">
        <f t="shared" ref="G24:J24" si="6">G20+G23</f>
        <v>2.311761886665658</v>
      </c>
      <c r="H24" s="43">
        <f t="shared" si="6"/>
        <v>2.3286795953585573</v>
      </c>
      <c r="I24" s="43">
        <f t="shared" si="6"/>
        <v>2.2125448634914076</v>
      </c>
      <c r="J24" s="44">
        <f t="shared" si="6"/>
        <v>2.2222864178689115</v>
      </c>
      <c r="K24" s="43">
        <f>SUM(F24:J24)</f>
        <v>11.574963996027698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123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43">
        <v>1.347</v>
      </c>
      <c r="G7" s="43">
        <v>1.0469999999999999</v>
      </c>
      <c r="H7" s="43">
        <v>0.88</v>
      </c>
      <c r="I7" s="43">
        <v>0.88</v>
      </c>
      <c r="J7" s="43">
        <v>0.88</v>
      </c>
      <c r="K7" s="45">
        <f>SUM(F7:J7)</f>
        <v>5.0339999999999998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4.4734306600773769E-3</v>
      </c>
      <c r="D10" s="38"/>
      <c r="E10" s="36"/>
      <c r="F10" s="69">
        <f>$C10*F$7</f>
        <v>6.0257110991242266E-3</v>
      </c>
      <c r="G10" s="69">
        <f t="shared" ref="G10:J12" si="0">$C10*G$7</f>
        <v>4.6836819011010136E-3</v>
      </c>
      <c r="H10" s="69">
        <f t="shared" si="0"/>
        <v>3.9366189808680918E-3</v>
      </c>
      <c r="I10" s="69">
        <f t="shared" si="0"/>
        <v>3.9366189808680918E-3</v>
      </c>
      <c r="J10" s="69">
        <f t="shared" si="0"/>
        <v>3.9366189808680918E-3</v>
      </c>
      <c r="K10" s="40">
        <f>SUM(F10:J10)</f>
        <v>2.2519249942829514E-2</v>
      </c>
      <c r="L10" s="22"/>
    </row>
    <row r="11" spans="1:12" x14ac:dyDescent="0.25">
      <c r="A11" s="22"/>
      <c r="B11" s="66" t="s">
        <v>1</v>
      </c>
      <c r="C11" s="86">
        <v>0.15937702049676847</v>
      </c>
      <c r="D11" s="38"/>
      <c r="E11" s="36"/>
      <c r="F11" s="69">
        <f>$C11*F$7</f>
        <v>0.21468084660914713</v>
      </c>
      <c r="G11" s="69">
        <f t="shared" si="0"/>
        <v>0.16686774046011657</v>
      </c>
      <c r="H11" s="69">
        <f t="shared" si="0"/>
        <v>0.14025177803715624</v>
      </c>
      <c r="I11" s="69">
        <f t="shared" si="0"/>
        <v>0.14025177803715624</v>
      </c>
      <c r="J11" s="69">
        <f t="shared" si="0"/>
        <v>0.14025177803715624</v>
      </c>
      <c r="K11" s="40">
        <f t="shared" ref="K11:K12" si="1">SUM(F11:J11)</f>
        <v>0.80230392118073246</v>
      </c>
      <c r="L11" s="22"/>
    </row>
    <row r="12" spans="1:12" x14ac:dyDescent="0.25">
      <c r="A12" s="22"/>
      <c r="B12" s="66" t="s">
        <v>44</v>
      </c>
      <c r="C12" s="87">
        <v>0.83614954884315429</v>
      </c>
      <c r="D12" s="38"/>
      <c r="E12" s="39"/>
      <c r="F12" s="69">
        <f>$C12*F$7</f>
        <v>1.1262934422917288</v>
      </c>
      <c r="G12" s="69">
        <f t="shared" si="0"/>
        <v>0.87544857763878248</v>
      </c>
      <c r="H12" s="69">
        <f t="shared" si="0"/>
        <v>0.73581160298197579</v>
      </c>
      <c r="I12" s="69">
        <f t="shared" si="0"/>
        <v>0.73581160298197579</v>
      </c>
      <c r="J12" s="69">
        <f t="shared" si="0"/>
        <v>0.73581160298197579</v>
      </c>
      <c r="K12" s="40">
        <f t="shared" si="1"/>
        <v>4.2091768288764388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1.3470000000000002</v>
      </c>
      <c r="G13" s="43">
        <f t="shared" ref="G13:J13" si="2">SUM(G10:G12)</f>
        <v>1.0470000000000002</v>
      </c>
      <c r="H13" s="43">
        <f t="shared" si="2"/>
        <v>0.88000000000000012</v>
      </c>
      <c r="I13" s="43">
        <f t="shared" si="2"/>
        <v>0.88000000000000012</v>
      </c>
      <c r="J13" s="43">
        <f t="shared" si="2"/>
        <v>0.88000000000000012</v>
      </c>
      <c r="K13" s="45">
        <f>SUM(K10:K12)</f>
        <v>5.0340000000000007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1.9137670955392424E-2</v>
      </c>
      <c r="G15" s="233">
        <f>G$13/'Capex Summary Forecast - Unesc'!G$47</f>
        <v>1.4379907237239819E-2</v>
      </c>
      <c r="H15" s="233">
        <f>H$13/'Capex Summary Forecast - Unesc'!H$47</f>
        <v>1.2821077534673082E-2</v>
      </c>
      <c r="I15" s="233">
        <f>I$13/'Capex Summary Forecast - Unesc'!I$47</f>
        <v>1.3817767302908471E-2</v>
      </c>
      <c r="J15" s="234">
        <f>J$13/'Capex Summary Forecast - Unesc'!J$47</f>
        <v>1.381202702718381E-2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6.0982230000633129E-3</v>
      </c>
      <c r="G17" s="55">
        <f>G10*(1+'Real Cost Escalation'!F19)</f>
        <v>4.78791860417599E-3</v>
      </c>
      <c r="H17" s="55">
        <f>H10*(1+'Real Cost Escalation'!G19)</f>
        <v>4.0739288166810467E-3</v>
      </c>
      <c r="I17" s="55">
        <f>I10*(1+'Real Cost Escalation'!H19)</f>
        <v>4.1303527307920791E-3</v>
      </c>
      <c r="J17" s="62">
        <f>J10*(1+'Real Cost Escalation'!I19)</f>
        <v>4.1918949864808803E-3</v>
      </c>
      <c r="K17" s="69">
        <f>SUM(F17:J17)</f>
        <v>2.3282318138193311E-2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0.21620355287622622</v>
      </c>
      <c r="G18" s="55">
        <f>G11*(1+'Real Cost Escalation'!F20)</f>
        <v>0.1697377175918206</v>
      </c>
      <c r="H18" s="55">
        <f>H11*(1+'Real Cost Escalation'!G20)</f>
        <v>0.14432152820949234</v>
      </c>
      <c r="I18" s="55">
        <f>I11*(1+'Real Cost Escalation'!H20)</f>
        <v>0.14632335079210715</v>
      </c>
      <c r="J18" s="62">
        <f>J11*(1+'Real Cost Escalation'!I20)</f>
        <v>0.14923722673432985</v>
      </c>
      <c r="K18" s="69">
        <f t="shared" ref="K18:K19" si="4">SUM(F18:J18)</f>
        <v>0.82582337620397617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1.1262934422917288</v>
      </c>
      <c r="G19" s="55">
        <f>G12*(1+'Real Cost Escalation'!F21)</f>
        <v>0.87544857763878248</v>
      </c>
      <c r="H19" s="55">
        <f>H12*(1+'Real Cost Escalation'!G21)</f>
        <v>0.73581160298197579</v>
      </c>
      <c r="I19" s="55">
        <f>I12*(1+'Real Cost Escalation'!H21)</f>
        <v>0.73581160298197579</v>
      </c>
      <c r="J19" s="62">
        <f>J12*(1+'Real Cost Escalation'!I21)</f>
        <v>0.73581160298197579</v>
      </c>
      <c r="K19" s="69">
        <f t="shared" si="4"/>
        <v>4.2091768288764388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1.3485952181680183</v>
      </c>
      <c r="G20" s="43">
        <f t="shared" ref="G20:J20" si="5">SUM(G17:G19)</f>
        <v>1.049974213834779</v>
      </c>
      <c r="H20" s="43">
        <f t="shared" si="5"/>
        <v>0.88420706000814919</v>
      </c>
      <c r="I20" s="43">
        <f t="shared" si="5"/>
        <v>0.88626530650487501</v>
      </c>
      <c r="J20" s="44">
        <f t="shared" si="5"/>
        <v>0.88924072470278648</v>
      </c>
      <c r="K20" s="43">
        <f>SUM(K17:K19)</f>
        <v>5.0582825232186082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0.17903179798560689</v>
      </c>
      <c r="G23" s="236">
        <f>G$15*'[1]AGN overheads'!D$63</f>
        <v>0.1405754592653457</v>
      </c>
      <c r="H23" s="236">
        <f>H$15*'[1]AGN overheads'!E$63</f>
        <v>0.12077491905534844</v>
      </c>
      <c r="I23" s="236">
        <f>I$15*'[1]AGN overheads'!F$63</f>
        <v>0.12740195949583744</v>
      </c>
      <c r="J23" s="237">
        <f>J$15*'[1]AGN overheads'!G$63</f>
        <v>0.12407303880135123</v>
      </c>
      <c r="K23" s="69">
        <f>SUM(F23:J23)</f>
        <v>0.69185717460348972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1.5276270161536252</v>
      </c>
      <c r="G24" s="43">
        <f t="shared" ref="G24:J24" si="6">G20+G23</f>
        <v>1.1905496731001246</v>
      </c>
      <c r="H24" s="43">
        <f t="shared" si="6"/>
        <v>1.0049819790634977</v>
      </c>
      <c r="I24" s="43">
        <f t="shared" si="6"/>
        <v>1.0136672660007124</v>
      </c>
      <c r="J24" s="44">
        <f t="shared" si="6"/>
        <v>1.0133137635041378</v>
      </c>
      <c r="K24" s="43">
        <f>SUM(F24:J24)</f>
        <v>5.7501396978220978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124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43">
        <v>0.25</v>
      </c>
      <c r="G7" s="43">
        <v>0.25</v>
      </c>
      <c r="H7" s="43">
        <v>0.25</v>
      </c>
      <c r="I7" s="43">
        <v>0.25</v>
      </c>
      <c r="J7" s="43">
        <v>0.25</v>
      </c>
      <c r="K7" s="45">
        <f>SUM(F7:J7)</f>
        <v>1.25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6.3535271629605108E-2</v>
      </c>
      <c r="D10" s="38"/>
      <c r="E10" s="36"/>
      <c r="F10" s="69">
        <f>$C10*F$7</f>
        <v>1.5883817907401277E-2</v>
      </c>
      <c r="G10" s="69">
        <f t="shared" ref="G10:J12" si="0">$C10*G$7</f>
        <v>1.5883817907401277E-2</v>
      </c>
      <c r="H10" s="69">
        <f t="shared" si="0"/>
        <v>1.5883817907401277E-2</v>
      </c>
      <c r="I10" s="69">
        <f t="shared" si="0"/>
        <v>1.5883817907401277E-2</v>
      </c>
      <c r="J10" s="69">
        <f t="shared" si="0"/>
        <v>1.5883817907401277E-2</v>
      </c>
      <c r="K10" s="40">
        <f>SUM(F10:J10)</f>
        <v>7.9419089537006382E-2</v>
      </c>
      <c r="L10" s="22"/>
    </row>
    <row r="11" spans="1:12" x14ac:dyDescent="0.25">
      <c r="A11" s="22"/>
      <c r="B11" s="66" t="s">
        <v>1</v>
      </c>
      <c r="C11" s="86">
        <v>0.78538645395450102</v>
      </c>
      <c r="D11" s="38"/>
      <c r="E11" s="36"/>
      <c r="F11" s="69">
        <f>$C11*F$7</f>
        <v>0.19634661348862525</v>
      </c>
      <c r="G11" s="69">
        <f t="shared" si="0"/>
        <v>0.19634661348862525</v>
      </c>
      <c r="H11" s="69">
        <f t="shared" si="0"/>
        <v>0.19634661348862525</v>
      </c>
      <c r="I11" s="69">
        <f t="shared" si="0"/>
        <v>0.19634661348862525</v>
      </c>
      <c r="J11" s="69">
        <f t="shared" si="0"/>
        <v>0.19634661348862525</v>
      </c>
      <c r="K11" s="40">
        <f t="shared" ref="K11:K12" si="1">SUM(F11:J11)</f>
        <v>0.98173306744312627</v>
      </c>
      <c r="L11" s="22"/>
    </row>
    <row r="12" spans="1:12" x14ac:dyDescent="0.25">
      <c r="A12" s="22"/>
      <c r="B12" s="66" t="s">
        <v>44</v>
      </c>
      <c r="C12" s="87">
        <v>0.15107827441589403</v>
      </c>
      <c r="D12" s="38"/>
      <c r="E12" s="39"/>
      <c r="F12" s="69">
        <f>$C12*F$7</f>
        <v>3.7769568603973507E-2</v>
      </c>
      <c r="G12" s="69">
        <f t="shared" si="0"/>
        <v>3.7769568603973507E-2</v>
      </c>
      <c r="H12" s="69">
        <f t="shared" si="0"/>
        <v>3.7769568603973507E-2</v>
      </c>
      <c r="I12" s="69">
        <f t="shared" si="0"/>
        <v>3.7769568603973507E-2</v>
      </c>
      <c r="J12" s="69">
        <f t="shared" si="0"/>
        <v>3.7769568603973507E-2</v>
      </c>
      <c r="K12" s="40">
        <f t="shared" si="1"/>
        <v>0.18884784301986754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0.25000000000000006</v>
      </c>
      <c r="G13" s="43">
        <f t="shared" ref="G13:J13" si="2">SUM(G10:G12)</f>
        <v>0.25000000000000006</v>
      </c>
      <c r="H13" s="43">
        <f t="shared" si="2"/>
        <v>0.25000000000000006</v>
      </c>
      <c r="I13" s="43">
        <f t="shared" si="2"/>
        <v>0.25000000000000006</v>
      </c>
      <c r="J13" s="43">
        <f t="shared" si="2"/>
        <v>0.25000000000000006</v>
      </c>
      <c r="K13" s="45">
        <f>SUM(K10:K12)</f>
        <v>1.2500000000000002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3.5519062649206432E-3</v>
      </c>
      <c r="G15" s="233">
        <f>G$13/'Capex Summary Forecast - Unesc'!G$47</f>
        <v>3.433597716628419E-3</v>
      </c>
      <c r="H15" s="233">
        <f>H$13/'Capex Summary Forecast - Unesc'!H$47</f>
        <v>3.6423515723503076E-3</v>
      </c>
      <c r="I15" s="233">
        <f>I$13/'Capex Summary Forecast - Unesc'!I$47</f>
        <v>3.925502074689907E-3</v>
      </c>
      <c r="J15" s="234">
        <f>J$13/'Capex Summary Forecast - Unesc'!J$47</f>
        <v>3.9238713145408558E-3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1.607495980114447E-2</v>
      </c>
      <c r="G17" s="55">
        <f>G10*(1+'Real Cost Escalation'!F19)</f>
        <v>1.6237316895136026E-2</v>
      </c>
      <c r="H17" s="55">
        <f>H10*(1+'Real Cost Escalation'!G19)</f>
        <v>1.6437847758790956E-2</v>
      </c>
      <c r="I17" s="55">
        <f>I10*(1+'Real Cost Escalation'!H19)</f>
        <v>1.6665511950250209E-2</v>
      </c>
      <c r="J17" s="62">
        <f>J10*(1+'Real Cost Escalation'!I19)</f>
        <v>1.6913828078308938E-2</v>
      </c>
      <c r="K17" s="69">
        <f>SUM(F17:J17)</f>
        <v>8.2329464483630585E-2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0.19773927717335169</v>
      </c>
      <c r="G18" s="55">
        <f>G11*(1+'Real Cost Escalation'!F20)</f>
        <v>0.19972360108997994</v>
      </c>
      <c r="H18" s="55">
        <f>H11*(1+'Real Cost Escalation'!G20)</f>
        <v>0.20204409323017439</v>
      </c>
      <c r="I18" s="55">
        <f>I11*(1+'Real Cost Escalation'!H20)</f>
        <v>0.20484656098068904</v>
      </c>
      <c r="J18" s="62">
        <f>J11*(1+'Real Cost Escalation'!I20)</f>
        <v>0.20892586522473103</v>
      </c>
      <c r="K18" s="69">
        <f t="shared" ref="K18:K19" si="4">SUM(F18:J18)</f>
        <v>1.0132793976989261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3.7769568603973507E-2</v>
      </c>
      <c r="G19" s="55">
        <f>G12*(1+'Real Cost Escalation'!F21)</f>
        <v>3.7769568603973507E-2</v>
      </c>
      <c r="H19" s="55">
        <f>H12*(1+'Real Cost Escalation'!G21)</f>
        <v>3.7769568603973507E-2</v>
      </c>
      <c r="I19" s="55">
        <f>I12*(1+'Real Cost Escalation'!H21)</f>
        <v>3.7769568603973507E-2</v>
      </c>
      <c r="J19" s="62">
        <f>J12*(1+'Real Cost Escalation'!I21)</f>
        <v>3.7769568603973507E-2</v>
      </c>
      <c r="K19" s="69">
        <f t="shared" si="4"/>
        <v>0.18884784301986754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0.25158380557846965</v>
      </c>
      <c r="G20" s="43">
        <f t="shared" ref="G20:J20" si="5">SUM(G17:G19)</f>
        <v>0.25373048658908948</v>
      </c>
      <c r="H20" s="43">
        <f t="shared" si="5"/>
        <v>0.25625150959293885</v>
      </c>
      <c r="I20" s="43">
        <f t="shared" si="5"/>
        <v>0.25928164153491273</v>
      </c>
      <c r="J20" s="44">
        <f t="shared" si="5"/>
        <v>0.26360926190701345</v>
      </c>
      <c r="K20" s="43">
        <f>SUM(K17:K19)</f>
        <v>1.2844567052024241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3.3227876389310858E-2</v>
      </c>
      <c r="G23" s="236">
        <f>G$15*'[1]AGN overheads'!D$63</f>
        <v>3.3566251018468413E-2</v>
      </c>
      <c r="H23" s="236">
        <f>H$15*'[1]AGN overheads'!E$63</f>
        <v>3.4311056549814901E-2</v>
      </c>
      <c r="I23" s="236">
        <f>I$15*'[1]AGN overheads'!F$63</f>
        <v>3.619373849313564E-2</v>
      </c>
      <c r="J23" s="237">
        <f>J$15*'[1]AGN overheads'!G$63</f>
        <v>3.5248022386747513E-2</v>
      </c>
      <c r="K23" s="69">
        <f>SUM(F23:J23)</f>
        <v>0.17254694483747732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0.28481168196778051</v>
      </c>
      <c r="G24" s="43">
        <f t="shared" ref="G24:J24" si="6">G20+G23</f>
        <v>0.28729673760755792</v>
      </c>
      <c r="H24" s="43">
        <f t="shared" si="6"/>
        <v>0.29056256614275378</v>
      </c>
      <c r="I24" s="43">
        <f t="shared" si="6"/>
        <v>0.29547538002804835</v>
      </c>
      <c r="J24" s="44">
        <f t="shared" si="6"/>
        <v>0.29885728429376096</v>
      </c>
      <c r="K24" s="43">
        <f>SUM(F24:J24)</f>
        <v>1.4570036500399015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125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241">
        <v>0.61820000000000008</v>
      </c>
      <c r="G7" s="241">
        <v>0.50529999999999831</v>
      </c>
      <c r="H7" s="241">
        <v>1.1493000000000002</v>
      </c>
      <c r="I7" s="241">
        <v>1.6751</v>
      </c>
      <c r="J7" s="241">
        <v>0.1633</v>
      </c>
      <c r="K7" s="45">
        <f>SUM(F7:J7)</f>
        <v>4.1111999999999984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2.6081072657690718E-2</v>
      </c>
      <c r="D10" s="38"/>
      <c r="E10" s="36"/>
      <c r="F10" s="69">
        <f>$C10*F$7</f>
        <v>1.6123319116984405E-2</v>
      </c>
      <c r="G10" s="69">
        <f t="shared" ref="G10:J12" si="0">$C10*G$7</f>
        <v>1.3178766013931077E-2</v>
      </c>
      <c r="H10" s="69">
        <f t="shared" si="0"/>
        <v>2.9974976805483947E-2</v>
      </c>
      <c r="I10" s="69">
        <f t="shared" si="0"/>
        <v>4.368840480889772E-2</v>
      </c>
      <c r="J10" s="69">
        <f t="shared" si="0"/>
        <v>4.2590391650008941E-3</v>
      </c>
      <c r="K10" s="40">
        <f>SUM(F10:J10)</f>
        <v>0.10722450591029804</v>
      </c>
      <c r="L10" s="22"/>
    </row>
    <row r="11" spans="1:12" x14ac:dyDescent="0.25">
      <c r="A11" s="22"/>
      <c r="B11" s="66" t="s">
        <v>1</v>
      </c>
      <c r="C11" s="86">
        <v>0.84649640049701558</v>
      </c>
      <c r="D11" s="38"/>
      <c r="E11" s="36"/>
      <c r="F11" s="69">
        <f>$C11*F$7</f>
        <v>0.52330407478725505</v>
      </c>
      <c r="G11" s="69">
        <f t="shared" si="0"/>
        <v>0.42773463117114052</v>
      </c>
      <c r="H11" s="69">
        <f t="shared" si="0"/>
        <v>0.97287831309122019</v>
      </c>
      <c r="I11" s="69">
        <f t="shared" si="0"/>
        <v>1.4179661204725509</v>
      </c>
      <c r="J11" s="69">
        <f t="shared" si="0"/>
        <v>0.13823286220116265</v>
      </c>
      <c r="K11" s="40">
        <f t="shared" ref="K11:K12" si="1">SUM(F11:J11)</f>
        <v>3.4801160017233292</v>
      </c>
      <c r="L11" s="22"/>
    </row>
    <row r="12" spans="1:12" x14ac:dyDescent="0.25">
      <c r="A12" s="22"/>
      <c r="B12" s="66" t="s">
        <v>44</v>
      </c>
      <c r="C12" s="87">
        <v>0.12742252684529368</v>
      </c>
      <c r="D12" s="38"/>
      <c r="E12" s="39"/>
      <c r="F12" s="69">
        <f>$C12*F$7</f>
        <v>7.8772606095760561E-2</v>
      </c>
      <c r="G12" s="69">
        <f t="shared" si="0"/>
        <v>6.4386602814926683E-2</v>
      </c>
      <c r="H12" s="69">
        <f t="shared" si="0"/>
        <v>0.14644671010329605</v>
      </c>
      <c r="I12" s="69">
        <f t="shared" si="0"/>
        <v>0.21344547471855144</v>
      </c>
      <c r="J12" s="69">
        <f t="shared" si="0"/>
        <v>2.0808098633836456E-2</v>
      </c>
      <c r="K12" s="40">
        <f t="shared" si="1"/>
        <v>0.52385949236637119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0.61819999999999997</v>
      </c>
      <c r="G13" s="43">
        <f t="shared" ref="G13:J13" si="2">SUM(G10:G12)</f>
        <v>0.50529999999999831</v>
      </c>
      <c r="H13" s="43">
        <f t="shared" si="2"/>
        <v>1.1493000000000002</v>
      </c>
      <c r="I13" s="43">
        <f t="shared" si="2"/>
        <v>1.6751</v>
      </c>
      <c r="J13" s="43">
        <f t="shared" si="2"/>
        <v>0.1633</v>
      </c>
      <c r="K13" s="45">
        <f>SUM(K10:K12)</f>
        <v>4.1111999999999984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8.7831538118957643E-3</v>
      </c>
      <c r="G15" s="233">
        <f>G$13/'Capex Summary Forecast - Unesc'!G$47</f>
        <v>6.9399877048493359E-3</v>
      </c>
      <c r="H15" s="233">
        <f>H$13/'Capex Summary Forecast - Unesc'!H$47</f>
        <v>1.6744618648408833E-2</v>
      </c>
      <c r="I15" s="233">
        <f>I$13/'Capex Summary Forecast - Unesc'!I$47</f>
        <v>2.6302434101252246E-2</v>
      </c>
      <c r="J15" s="234">
        <f>J$13/'Capex Summary Forecast - Unesc'!J$47</f>
        <v>2.5630727426580861E-3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1.6317343108408419E-2</v>
      </c>
      <c r="G17" s="55">
        <f>G10*(1+'Real Cost Escalation'!F19)</f>
        <v>1.3472063284944677E-2</v>
      </c>
      <c r="H17" s="55">
        <f>H10*(1+'Real Cost Escalation'!G19)</f>
        <v>3.102050830438215E-2</v>
      </c>
      <c r="I17" s="55">
        <f>I10*(1+'Real Cost Escalation'!H19)</f>
        <v>4.5838452485078576E-2</v>
      </c>
      <c r="J17" s="62">
        <f>J10*(1+'Real Cost Escalation'!I19)</f>
        <v>4.535222994595218E-3</v>
      </c>
      <c r="K17" s="69">
        <f>SUM(F17:J17)</f>
        <v>0.11118359017740904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0.52701580970377193</v>
      </c>
      <c r="G18" s="55">
        <f>G11*(1+'Real Cost Escalation'!F20)</f>
        <v>0.43509128744582914</v>
      </c>
      <c r="H18" s="55">
        <f>H11*(1+'Real Cost Escalation'!G20)</f>
        <v>1.0011087693305423</v>
      </c>
      <c r="I18" s="55">
        <f>I11*(1+'Real Cost Escalation'!H20)</f>
        <v>1.4793506147370283</v>
      </c>
      <c r="J18" s="62">
        <f>J11*(1+'Real Cost Escalation'!I20)</f>
        <v>0.14708896590947326</v>
      </c>
      <c r="K18" s="69">
        <f t="shared" ref="K18:K19" si="4">SUM(F18:J18)</f>
        <v>3.5896554471266451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7.8772606095760561E-2</v>
      </c>
      <c r="G19" s="55">
        <f>G12*(1+'Real Cost Escalation'!F21)</f>
        <v>6.4386602814926683E-2</v>
      </c>
      <c r="H19" s="55">
        <f>H12*(1+'Real Cost Escalation'!G21)</f>
        <v>0.14644671010329605</v>
      </c>
      <c r="I19" s="55">
        <f>I12*(1+'Real Cost Escalation'!H21)</f>
        <v>0.21344547471855144</v>
      </c>
      <c r="J19" s="62">
        <f>J12*(1+'Real Cost Escalation'!I21)</f>
        <v>2.0808098633836456E-2</v>
      </c>
      <c r="K19" s="69">
        <f t="shared" si="4"/>
        <v>0.52385949236637119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0.62210575890794084</v>
      </c>
      <c r="G20" s="43">
        <f t="shared" ref="G20:J20" si="5">SUM(G17:G19)</f>
        <v>0.5129499535457005</v>
      </c>
      <c r="H20" s="43">
        <f t="shared" si="5"/>
        <v>1.1785759877382205</v>
      </c>
      <c r="I20" s="43">
        <f t="shared" si="5"/>
        <v>1.7386345419406584</v>
      </c>
      <c r="J20" s="44">
        <f t="shared" si="5"/>
        <v>0.17243228753790493</v>
      </c>
      <c r="K20" s="43">
        <f>SUM(K17:K19)</f>
        <v>4.2246985296704258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8.2165892735487869E-2</v>
      </c>
      <c r="G23" s="236">
        <f>G$15*'[1]AGN overheads'!D$63</f>
        <v>6.7844106558528114E-2</v>
      </c>
      <c r="H23" s="236">
        <f>H$15*'[1]AGN overheads'!E$63</f>
        <v>0.15773478917080905</v>
      </c>
      <c r="I23" s="236">
        <f>I$15*'[1]AGN overheads'!F$63</f>
        <v>0.24251252539940596</v>
      </c>
      <c r="J23" s="237">
        <f>J$15*'[1]AGN overheads'!G$63</f>
        <v>2.302400822302347E-2</v>
      </c>
      <c r="K23" s="69">
        <f>SUM(F23:J23)</f>
        <v>0.57328132208725435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0.70427165164342875</v>
      </c>
      <c r="G24" s="43">
        <f t="shared" ref="G24:J24" si="6">G20+G23</f>
        <v>0.58079406010422863</v>
      </c>
      <c r="H24" s="43">
        <f t="shared" si="6"/>
        <v>1.3363107769090294</v>
      </c>
      <c r="I24" s="43">
        <f t="shared" si="6"/>
        <v>1.9811470673400644</v>
      </c>
      <c r="J24" s="44">
        <f t="shared" si="6"/>
        <v>0.19545629576092841</v>
      </c>
      <c r="K24" s="43">
        <f>SUM(F24:J24)</f>
        <v>4.7979798517576802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5" sqref="B15:E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126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43">
        <v>0</v>
      </c>
      <c r="G7" s="43">
        <v>0</v>
      </c>
      <c r="H7" s="43">
        <v>0</v>
      </c>
      <c r="I7" s="241">
        <v>0</v>
      </c>
      <c r="J7" s="43">
        <v>0</v>
      </c>
      <c r="K7" s="45">
        <f>SUM(F7:J7)</f>
        <v>0</v>
      </c>
      <c r="L7" s="22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"/>
    </row>
    <row r="10" spans="1:12" x14ac:dyDescent="0.25">
      <c r="A10" s="22"/>
      <c r="B10" s="66" t="s">
        <v>43</v>
      </c>
      <c r="C10" s="86">
        <v>5.0380871087554013E-2</v>
      </c>
      <c r="D10" s="38"/>
      <c r="E10" s="36"/>
      <c r="F10" s="69">
        <f>$C10*F$7</f>
        <v>0</v>
      </c>
      <c r="G10" s="69">
        <f t="shared" ref="G10:J12" si="0">$C10*G$7</f>
        <v>0</v>
      </c>
      <c r="H10" s="69">
        <f t="shared" si="0"/>
        <v>0</v>
      </c>
      <c r="I10" s="69">
        <f t="shared" si="0"/>
        <v>0</v>
      </c>
      <c r="J10" s="69">
        <f t="shared" si="0"/>
        <v>0</v>
      </c>
      <c r="K10" s="40">
        <f>SUM(F10:J10)</f>
        <v>0</v>
      </c>
      <c r="L10" s="22"/>
    </row>
    <row r="11" spans="1:12" x14ac:dyDescent="0.25">
      <c r="A11" s="22"/>
      <c r="B11" s="66" t="s">
        <v>1</v>
      </c>
      <c r="C11" s="86">
        <v>0.68458576958446304</v>
      </c>
      <c r="D11" s="38"/>
      <c r="E11" s="36"/>
      <c r="F11" s="69">
        <f>$C11*F$7</f>
        <v>0</v>
      </c>
      <c r="G11" s="69">
        <f t="shared" si="0"/>
        <v>0</v>
      </c>
      <c r="H11" s="69">
        <f t="shared" si="0"/>
        <v>0</v>
      </c>
      <c r="I11" s="69">
        <f t="shared" si="0"/>
        <v>0</v>
      </c>
      <c r="J11" s="69">
        <f t="shared" si="0"/>
        <v>0</v>
      </c>
      <c r="K11" s="40">
        <f t="shared" ref="K11:K12" si="1">SUM(F11:J11)</f>
        <v>0</v>
      </c>
      <c r="L11" s="22"/>
    </row>
    <row r="12" spans="1:12" x14ac:dyDescent="0.25">
      <c r="A12" s="22"/>
      <c r="B12" s="66" t="s">
        <v>44</v>
      </c>
      <c r="C12" s="87">
        <v>0.26503335932798289</v>
      </c>
      <c r="D12" s="38"/>
      <c r="E12" s="39"/>
      <c r="F12" s="69">
        <f>$C12*F$7</f>
        <v>0</v>
      </c>
      <c r="G12" s="69">
        <f t="shared" si="0"/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 t="shared" si="1"/>
        <v>0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0</v>
      </c>
      <c r="G13" s="43">
        <f t="shared" ref="G13:J13" si="2">SUM(G10:G12)</f>
        <v>0</v>
      </c>
      <c r="H13" s="43">
        <f t="shared" si="2"/>
        <v>0</v>
      </c>
      <c r="I13" s="43">
        <f t="shared" si="2"/>
        <v>0</v>
      </c>
      <c r="J13" s="43">
        <f t="shared" si="2"/>
        <v>0</v>
      </c>
      <c r="K13" s="45">
        <f>SUM(K10:K12)</f>
        <v>0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246</v>
      </c>
      <c r="C15" s="231"/>
      <c r="D15" s="232"/>
      <c r="E15" s="232"/>
      <c r="F15" s="233">
        <f>F$13/'Capex Summary Forecast - Unesc'!F$47</f>
        <v>0</v>
      </c>
      <c r="G15" s="233">
        <f>G$13/'Capex Summary Forecast - Unesc'!G$47</f>
        <v>0</v>
      </c>
      <c r="H15" s="233">
        <f>H$13/'Capex Summary Forecast - Unesc'!H$47</f>
        <v>0</v>
      </c>
      <c r="I15" s="233">
        <f>I$13/'Capex Summary Forecast - Unesc'!I$47</f>
        <v>0</v>
      </c>
      <c r="J15" s="234">
        <f>J$13/'Capex Summary Forecast - Unesc'!J$47</f>
        <v>0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F10*(1+'Real Cost Escalation'!E19)</f>
        <v>0</v>
      </c>
      <c r="G17" s="55">
        <f>G10*(1+'Real Cost Escalation'!F19)</f>
        <v>0</v>
      </c>
      <c r="H17" s="55">
        <f>H10*(1+'Real Cost Escalation'!G19)</f>
        <v>0</v>
      </c>
      <c r="I17" s="55">
        <f>I10*(1+'Real Cost Escalation'!H19)</f>
        <v>0</v>
      </c>
      <c r="J17" s="62">
        <f>J10*(1+'Real Cost Escalation'!I19)</f>
        <v>0</v>
      </c>
      <c r="K17" s="69">
        <f>SUM(F17:J17)</f>
        <v>0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F11*(1+'Real Cost Escalation'!E20)</f>
        <v>0</v>
      </c>
      <c r="G18" s="55">
        <f>G11*(1+'Real Cost Escalation'!F20)</f>
        <v>0</v>
      </c>
      <c r="H18" s="55">
        <f>H11*(1+'Real Cost Escalation'!G20)</f>
        <v>0</v>
      </c>
      <c r="I18" s="55">
        <f>I11*(1+'Real Cost Escalation'!H20)</f>
        <v>0</v>
      </c>
      <c r="J18" s="62">
        <f>J11*(1+'Real Cost Escalation'!I20)</f>
        <v>0</v>
      </c>
      <c r="K18" s="69">
        <f t="shared" ref="K18:K19" si="4">SUM(F18:J18)</f>
        <v>0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F12*(1+'Real Cost Escalation'!E21)</f>
        <v>0</v>
      </c>
      <c r="G19" s="55">
        <f>G12*(1+'Real Cost Escalation'!F21)</f>
        <v>0</v>
      </c>
      <c r="H19" s="55">
        <f>H12*(1+'Real Cost Escalation'!G21)</f>
        <v>0</v>
      </c>
      <c r="I19" s="55">
        <f>I12*(1+'Real Cost Escalation'!H21)</f>
        <v>0</v>
      </c>
      <c r="J19" s="62">
        <f>J12*(1+'Real Cost Escalation'!I21)</f>
        <v>0</v>
      </c>
      <c r="K19" s="69">
        <f t="shared" si="4"/>
        <v>0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0</v>
      </c>
      <c r="G20" s="43">
        <f t="shared" ref="G20:J20" si="5">SUM(G17:G19)</f>
        <v>0</v>
      </c>
      <c r="H20" s="43">
        <f t="shared" si="5"/>
        <v>0</v>
      </c>
      <c r="I20" s="43">
        <f t="shared" si="5"/>
        <v>0</v>
      </c>
      <c r="J20" s="44">
        <f t="shared" si="5"/>
        <v>0</v>
      </c>
      <c r="K20" s="43">
        <f>SUM(K17:K19)</f>
        <v>0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Overheads!$H$21</f>
        <v>9.6406085291957822E-2</v>
      </c>
      <c r="F23" s="235">
        <f>F$15*'[1]AGN overheads'!C$63</f>
        <v>0</v>
      </c>
      <c r="G23" s="236">
        <f>G$15*'[1]AGN overheads'!D$63</f>
        <v>0</v>
      </c>
      <c r="H23" s="236">
        <f>H$15*'[1]AGN overheads'!E$63</f>
        <v>0</v>
      </c>
      <c r="I23" s="236">
        <f>I$15*'[1]AGN overheads'!F$63</f>
        <v>0</v>
      </c>
      <c r="J23" s="237">
        <f>J$15*'[1]AGN overheads'!G$63</f>
        <v>0</v>
      </c>
      <c r="K23" s="69">
        <f>SUM(F23:J23)</f>
        <v>0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0</v>
      </c>
      <c r="G24" s="43">
        <f t="shared" ref="G24:J24" si="6">G20+G23</f>
        <v>0</v>
      </c>
      <c r="H24" s="43">
        <f t="shared" si="6"/>
        <v>0</v>
      </c>
      <c r="I24" s="43">
        <f t="shared" si="6"/>
        <v>0</v>
      </c>
      <c r="J24" s="44">
        <f t="shared" si="6"/>
        <v>0</v>
      </c>
      <c r="K24" s="43">
        <f>SUM(F24:J24)</f>
        <v>0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F15" sqref="F15:J15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240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113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ht="15.75" thickBot="1" x14ac:dyDescent="0.3">
      <c r="A7" s="22"/>
      <c r="B7" s="41" t="s">
        <v>114</v>
      </c>
      <c r="C7" s="42"/>
      <c r="D7" s="43"/>
      <c r="E7" s="44"/>
      <c r="F7" s="43">
        <f>577/1273*'[2]Mains replacement'!$G$26/5</f>
        <v>33.533615426023275</v>
      </c>
      <c r="G7" s="43">
        <f>577/1273*'[2]Mains replacement'!$G$26/5</f>
        <v>33.533615426023275</v>
      </c>
      <c r="H7" s="43">
        <f>577/1273*'[2]Mains replacement'!$G$26/5</f>
        <v>33.533615426023275</v>
      </c>
      <c r="I7" s="43">
        <f>577/1273*'[2]Mains replacement'!$G$26/5</f>
        <v>33.533615426023275</v>
      </c>
      <c r="J7" s="43">
        <f>577/1273*'[2]Mains replacement'!$G$26/5</f>
        <v>33.533615426023275</v>
      </c>
      <c r="K7" s="45">
        <f>SUM(F7:J7)</f>
        <v>167.66807713011639</v>
      </c>
      <c r="L7" s="227"/>
    </row>
    <row r="8" spans="1:12" x14ac:dyDescent="0.25">
      <c r="A8" s="22"/>
      <c r="B8" s="46"/>
      <c r="C8" s="47"/>
      <c r="D8" s="48"/>
      <c r="E8" s="48"/>
      <c r="F8" s="48"/>
      <c r="G8" s="48"/>
      <c r="H8" s="48"/>
      <c r="I8" s="48"/>
      <c r="J8" s="49"/>
      <c r="K8" s="50"/>
      <c r="L8" s="228"/>
    </row>
    <row r="9" spans="1:12" x14ac:dyDescent="0.25">
      <c r="A9" s="22"/>
      <c r="B9" s="30" t="s">
        <v>47</v>
      </c>
      <c r="C9" s="31"/>
      <c r="D9" s="32"/>
      <c r="E9" s="33"/>
      <c r="F9" s="33"/>
      <c r="G9" s="32"/>
      <c r="H9" s="32"/>
      <c r="I9" s="32"/>
      <c r="J9" s="32"/>
      <c r="K9" s="34"/>
      <c r="L9" s="229"/>
    </row>
    <row r="10" spans="1:12" x14ac:dyDescent="0.25">
      <c r="A10" s="22"/>
      <c r="B10" s="66" t="s">
        <v>43</v>
      </c>
      <c r="C10" s="86">
        <f>'[3]06'!C12</f>
        <v>4.5622533394805799E-2</v>
      </c>
      <c r="D10" s="38"/>
      <c r="E10" s="36"/>
      <c r="F10" s="69">
        <f>$C10*F$7</f>
        <v>1.5298884896223217</v>
      </c>
      <c r="G10" s="69">
        <f t="shared" ref="G10:J12" si="0">$C10*G$7</f>
        <v>1.5298884896223217</v>
      </c>
      <c r="H10" s="69">
        <f t="shared" si="0"/>
        <v>1.5298884896223217</v>
      </c>
      <c r="I10" s="69">
        <f t="shared" si="0"/>
        <v>1.5298884896223217</v>
      </c>
      <c r="J10" s="69">
        <f t="shared" si="0"/>
        <v>1.5298884896223217</v>
      </c>
      <c r="K10" s="40">
        <f>SUM(F10:J10)</f>
        <v>7.6494424481116088</v>
      </c>
      <c r="L10" s="22"/>
    </row>
    <row r="11" spans="1:12" x14ac:dyDescent="0.25">
      <c r="A11" s="22"/>
      <c r="B11" s="66" t="s">
        <v>1</v>
      </c>
      <c r="C11" s="86">
        <f>'[3]06'!C13</f>
        <v>0.80904080054571625</v>
      </c>
      <c r="D11" s="38"/>
      <c r="E11" s="36"/>
      <c r="F11" s="69">
        <f>$C11*F$7</f>
        <v>27.13006306946205</v>
      </c>
      <c r="G11" s="69">
        <f t="shared" si="0"/>
        <v>27.13006306946205</v>
      </c>
      <c r="H11" s="69">
        <f t="shared" si="0"/>
        <v>27.13006306946205</v>
      </c>
      <c r="I11" s="69">
        <f t="shared" si="0"/>
        <v>27.13006306946205</v>
      </c>
      <c r="J11" s="69">
        <f t="shared" si="0"/>
        <v>27.13006306946205</v>
      </c>
      <c r="K11" s="40">
        <f t="shared" ref="K11:K12" si="1">SUM(F11:J11)</f>
        <v>135.65031534731025</v>
      </c>
      <c r="L11" s="22"/>
    </row>
    <row r="12" spans="1:12" x14ac:dyDescent="0.25">
      <c r="A12" s="22"/>
      <c r="B12" s="66" t="s">
        <v>44</v>
      </c>
      <c r="C12" s="86">
        <f>'[3]06'!C14</f>
        <v>0.14533666605947793</v>
      </c>
      <c r="D12" s="38"/>
      <c r="E12" s="39"/>
      <c r="F12" s="69">
        <f>$C12*F$7</f>
        <v>4.8736638669389025</v>
      </c>
      <c r="G12" s="69">
        <f t="shared" si="0"/>
        <v>4.8736638669389025</v>
      </c>
      <c r="H12" s="69">
        <f t="shared" si="0"/>
        <v>4.8736638669389025</v>
      </c>
      <c r="I12" s="69">
        <f t="shared" si="0"/>
        <v>4.8736638669389025</v>
      </c>
      <c r="J12" s="69">
        <f t="shared" si="0"/>
        <v>4.8736638669389025</v>
      </c>
      <c r="K12" s="40">
        <f t="shared" si="1"/>
        <v>24.368319334694512</v>
      </c>
      <c r="L12" s="22"/>
    </row>
    <row r="13" spans="1:12" ht="15.75" thickBot="1" x14ac:dyDescent="0.3">
      <c r="A13" s="22"/>
      <c r="B13" s="41" t="s">
        <v>49</v>
      </c>
      <c r="C13" s="42"/>
      <c r="D13" s="43"/>
      <c r="E13" s="44"/>
      <c r="F13" s="43">
        <f>SUM(F10:F12)</f>
        <v>33.533615426023275</v>
      </c>
      <c r="G13" s="43">
        <f t="shared" ref="G13:J13" si="2">SUM(G10:G12)</f>
        <v>33.533615426023275</v>
      </c>
      <c r="H13" s="43">
        <f t="shared" si="2"/>
        <v>33.533615426023275</v>
      </c>
      <c r="I13" s="43">
        <f t="shared" si="2"/>
        <v>33.533615426023275</v>
      </c>
      <c r="J13" s="43">
        <f t="shared" si="2"/>
        <v>33.533615426023275</v>
      </c>
      <c r="K13" s="45">
        <f>SUM(K10:K12)</f>
        <v>167.66807713011639</v>
      </c>
      <c r="L13" s="22"/>
    </row>
    <row r="14" spans="1:12" x14ac:dyDescent="0.25">
      <c r="A14" s="22"/>
      <c r="B14" s="46" t="s">
        <v>24</v>
      </c>
      <c r="C14" s="131">
        <f>1-SUM(C10:C12)</f>
        <v>0</v>
      </c>
      <c r="D14" s="48"/>
      <c r="E14" s="48"/>
      <c r="F14" s="50">
        <f>F7-F13</f>
        <v>0</v>
      </c>
      <c r="G14" s="50">
        <f t="shared" ref="G14:K14" si="3">G7-G13</f>
        <v>0</v>
      </c>
      <c r="H14" s="50">
        <f t="shared" si="3"/>
        <v>0</v>
      </c>
      <c r="I14" s="50">
        <f t="shared" si="3"/>
        <v>0</v>
      </c>
      <c r="J14" s="50">
        <f t="shared" si="3"/>
        <v>0</v>
      </c>
      <c r="K14" s="50">
        <f t="shared" si="3"/>
        <v>0</v>
      </c>
      <c r="L14" s="22"/>
    </row>
    <row r="15" spans="1:12" x14ac:dyDescent="0.25">
      <c r="A15" s="22"/>
      <c r="B15" s="230" t="s">
        <v>241</v>
      </c>
      <c r="C15" s="231"/>
      <c r="D15" s="232"/>
      <c r="E15" s="232"/>
      <c r="F15" s="233">
        <f>F$13/'Capex Summary Forecast - Unesc'!F$47</f>
        <v>0.47643303486852628</v>
      </c>
      <c r="G15" s="233">
        <f>G$13/'Capex Summary Forecast - Unesc'!G$47</f>
        <v>0.46056378142835608</v>
      </c>
      <c r="H15" s="233">
        <f>H$13/'Capex Summary Forecast - Unesc'!H$47</f>
        <v>0.48856486749426553</v>
      </c>
      <c r="I15" s="233">
        <f>I$13/'Capex Summary Forecast - Unesc'!I$47</f>
        <v>0.52654510770683116</v>
      </c>
      <c r="J15" s="234">
        <f>J$13/'Capex Summary Forecast - Unesc'!J$47</f>
        <v>0.52632636657206966</v>
      </c>
      <c r="K15" s="50"/>
      <c r="L15" s="22"/>
    </row>
    <row r="16" spans="1:12" x14ac:dyDescent="0.25">
      <c r="A16" s="22"/>
      <c r="B16" s="30" t="s">
        <v>48</v>
      </c>
      <c r="C16" s="52"/>
      <c r="D16" s="52"/>
      <c r="E16" s="52"/>
      <c r="F16" s="52"/>
      <c r="G16" s="52"/>
      <c r="H16" s="52"/>
      <c r="I16" s="52"/>
      <c r="J16" s="52"/>
      <c r="K16" s="52"/>
      <c r="L16" s="22"/>
    </row>
    <row r="17" spans="1:12" x14ac:dyDescent="0.25">
      <c r="A17" s="22"/>
      <c r="B17" s="63" t="str">
        <f>B10</f>
        <v>Labour</v>
      </c>
      <c r="C17" s="22"/>
      <c r="D17" s="22"/>
      <c r="E17" s="53"/>
      <c r="F17" s="54">
        <f>F10*(1+'[3]Real Cost Escalation'!E19)</f>
        <v>1.5482987852343144</v>
      </c>
      <c r="G17" s="55">
        <f>G10*(1+'[3]Real Cost Escalation'!F19)</f>
        <v>1.5639366029651809</v>
      </c>
      <c r="H17" s="55">
        <f>H10*(1+'[3]Real Cost Escalation'!G19)</f>
        <v>1.583251220011801</v>
      </c>
      <c r="I17" s="55">
        <f>I10*(1+'[3]Real Cost Escalation'!H19)</f>
        <v>1.6051792494089643</v>
      </c>
      <c r="J17" s="62">
        <f>J10*(1+'[3]Real Cost Escalation'!I19)</f>
        <v>1.6290964202251577</v>
      </c>
      <c r="K17" s="69">
        <f>SUM(F17:J17)</f>
        <v>7.929762277845418</v>
      </c>
      <c r="L17" s="22"/>
    </row>
    <row r="18" spans="1:12" x14ac:dyDescent="0.25">
      <c r="A18" s="22"/>
      <c r="B18" s="63" t="str">
        <f>B11</f>
        <v>Construction</v>
      </c>
      <c r="C18" s="22"/>
      <c r="D18" s="22"/>
      <c r="E18" s="53"/>
      <c r="F18" s="54">
        <f>F11*(1+'[3]Real Cost Escalation'!E20)</f>
        <v>27.322493450255791</v>
      </c>
      <c r="G18" s="55">
        <f>G11*(1+'[3]Real Cost Escalation'!F20)</f>
        <v>27.596676091106303</v>
      </c>
      <c r="H18" s="55">
        <f>H11*(1+'[3]Real Cost Escalation'!G20)</f>
        <v>27.917308553246087</v>
      </c>
      <c r="I18" s="55">
        <f>I11*(1+'[3]Real Cost Escalation'!H20)</f>
        <v>28.304537675616466</v>
      </c>
      <c r="J18" s="62">
        <f>J11*(1+'[3]Real Cost Escalation'!I20)</f>
        <v>28.868192833472268</v>
      </c>
      <c r="K18" s="69">
        <f t="shared" ref="K18:K19" si="4">SUM(F18:J18)</f>
        <v>140.00920860369692</v>
      </c>
      <c r="L18" s="22"/>
    </row>
    <row r="19" spans="1:12" x14ac:dyDescent="0.25">
      <c r="A19" s="22"/>
      <c r="B19" s="63" t="str">
        <f>B12</f>
        <v>Materials</v>
      </c>
      <c r="C19" s="22"/>
      <c r="D19" s="22"/>
      <c r="E19" s="53"/>
      <c r="F19" s="54">
        <f>F12*(1+'[3]Real Cost Escalation'!E21)</f>
        <v>4.8736638669389025</v>
      </c>
      <c r="G19" s="55">
        <f>G12*(1+'[3]Real Cost Escalation'!F21)</f>
        <v>4.8736638669389025</v>
      </c>
      <c r="H19" s="55">
        <f>H12*(1+'[3]Real Cost Escalation'!G21)</f>
        <v>4.8736638669389025</v>
      </c>
      <c r="I19" s="55">
        <f>I12*(1+'[3]Real Cost Escalation'!H21)</f>
        <v>4.8736638669389025</v>
      </c>
      <c r="J19" s="62">
        <f>J12*(1+'[3]Real Cost Escalation'!I21)</f>
        <v>4.8736638669389025</v>
      </c>
      <c r="K19" s="69">
        <f t="shared" si="4"/>
        <v>24.368319334694512</v>
      </c>
      <c r="L19" s="22"/>
    </row>
    <row r="20" spans="1:12" ht="15.75" thickBot="1" x14ac:dyDescent="0.3">
      <c r="A20" s="22"/>
      <c r="B20" s="57" t="s">
        <v>50</v>
      </c>
      <c r="C20" s="57"/>
      <c r="D20" s="57"/>
      <c r="E20" s="43"/>
      <c r="F20" s="45">
        <f>SUM(F17:F19)</f>
        <v>33.744456102429012</v>
      </c>
      <c r="G20" s="43">
        <f t="shared" ref="G20:J20" si="5">SUM(G17:G19)</f>
        <v>34.034276561010387</v>
      </c>
      <c r="H20" s="43">
        <f t="shared" si="5"/>
        <v>34.374223640196789</v>
      </c>
      <c r="I20" s="43">
        <f t="shared" si="5"/>
        <v>34.783380791964333</v>
      </c>
      <c r="J20" s="44">
        <f t="shared" si="5"/>
        <v>35.370953120636329</v>
      </c>
      <c r="K20" s="43">
        <f>SUM(K17:K19)</f>
        <v>172.30729021623685</v>
      </c>
      <c r="L20" s="22"/>
    </row>
    <row r="21" spans="1:12" x14ac:dyDescent="0.25">
      <c r="A21" s="22"/>
      <c r="B21" s="59"/>
      <c r="C21" s="59"/>
      <c r="D21" s="59"/>
      <c r="E21" s="59"/>
      <c r="F21" s="60"/>
      <c r="G21" s="59"/>
      <c r="H21" s="59"/>
      <c r="I21" s="59"/>
      <c r="J21" s="59"/>
      <c r="K21" s="61"/>
      <c r="L21" s="22"/>
    </row>
    <row r="22" spans="1:12" x14ac:dyDescent="0.25">
      <c r="A22" s="22"/>
      <c r="B22" s="30" t="s">
        <v>51</v>
      </c>
      <c r="C22" s="52"/>
      <c r="D22" s="52"/>
      <c r="E22" s="52"/>
      <c r="F22" s="52"/>
      <c r="G22" s="52"/>
      <c r="H22" s="52"/>
      <c r="I22" s="52"/>
      <c r="J22" s="52"/>
      <c r="K22" s="52"/>
      <c r="L22" s="22"/>
    </row>
    <row r="23" spans="1:12" x14ac:dyDescent="0.25">
      <c r="A23" s="22"/>
      <c r="B23" s="63" t="s">
        <v>195</v>
      </c>
      <c r="C23" s="22"/>
      <c r="D23" s="22"/>
      <c r="E23" s="165">
        <f>[3]Overheads!$H$21</f>
        <v>9.6406085291957822E-2</v>
      </c>
      <c r="F23" s="235">
        <f>F$15*'[1]AGN overheads'!C$63</f>
        <v>4.4570033130503557</v>
      </c>
      <c r="G23" s="236">
        <f>G$15*'[1]AGN overheads'!D$63</f>
        <v>4.5023910117867256</v>
      </c>
      <c r="H23" s="236">
        <f>H$15*'[1]AGN overheads'!E$63</f>
        <v>4.602295100808119</v>
      </c>
      <c r="I23" s="236">
        <f>I$15*'[1]AGN overheads'!F$63</f>
        <v>4.8548276298354613</v>
      </c>
      <c r="J23" s="237">
        <f>J$15*'[1]AGN overheads'!G$63</f>
        <v>4.727974508980199</v>
      </c>
      <c r="K23" s="69">
        <f>SUM(F23:J23)</f>
        <v>23.144491564460861</v>
      </c>
      <c r="L23" s="22"/>
    </row>
    <row r="24" spans="1:12" ht="15.75" thickBot="1" x14ac:dyDescent="0.3">
      <c r="A24" s="22"/>
      <c r="B24" s="57" t="s">
        <v>52</v>
      </c>
      <c r="C24" s="57"/>
      <c r="D24" s="57"/>
      <c r="E24" s="43"/>
      <c r="F24" s="45">
        <f>F20+F23</f>
        <v>38.20145941547937</v>
      </c>
      <c r="G24" s="43">
        <f t="shared" ref="G24:J24" si="6">G20+G23</f>
        <v>38.536667572797114</v>
      </c>
      <c r="H24" s="43">
        <f t="shared" si="6"/>
        <v>38.976518741004909</v>
      </c>
      <c r="I24" s="43">
        <f t="shared" si="6"/>
        <v>39.638208421799796</v>
      </c>
      <c r="J24" s="44">
        <f t="shared" si="6"/>
        <v>40.098927629616526</v>
      </c>
      <c r="K24" s="43">
        <f>SUM(F24:J24)</f>
        <v>195.45178178069773</v>
      </c>
      <c r="L24" s="22"/>
    </row>
    <row r="25" spans="1:12" x14ac:dyDescent="0.25">
      <c r="A25" s="22"/>
      <c r="B25" s="59"/>
      <c r="C25" s="59"/>
      <c r="D25" s="59"/>
      <c r="E25" s="59"/>
      <c r="F25" s="60"/>
      <c r="G25" s="59"/>
      <c r="H25" s="59"/>
      <c r="I25" s="59"/>
      <c r="J25" s="59"/>
      <c r="K25" s="61"/>
      <c r="L25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16" workbookViewId="0">
      <selection activeCell="F45" sqref="F45:J45"/>
    </sheetView>
  </sheetViews>
  <sheetFormatPr defaultRowHeight="15" x14ac:dyDescent="0.25"/>
  <cols>
    <col min="1" max="2" width="3.85546875" style="3" customWidth="1"/>
    <col min="3" max="3" width="32" style="3" customWidth="1"/>
    <col min="4" max="10" width="9.140625" style="3"/>
    <col min="11" max="11" width="13.8554687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.75" x14ac:dyDescent="0.3">
      <c r="A2" s="1"/>
      <c r="B2" s="70" t="s">
        <v>165</v>
      </c>
      <c r="C2" s="71"/>
      <c r="D2" s="71"/>
      <c r="E2" s="72"/>
      <c r="F2" s="72"/>
      <c r="G2" s="72"/>
      <c r="H2" s="72"/>
      <c r="I2" s="72"/>
      <c r="J2" s="72"/>
      <c r="K2" s="6"/>
      <c r="L2" s="1"/>
    </row>
    <row r="3" spans="1:12" x14ac:dyDescent="0.25">
      <c r="A3" s="4"/>
      <c r="B3" s="4"/>
      <c r="C3" s="20" t="s">
        <v>40</v>
      </c>
      <c r="D3" s="4"/>
      <c r="E3" s="4"/>
      <c r="F3" s="4"/>
      <c r="G3" s="4"/>
      <c r="H3" s="4"/>
      <c r="I3" s="4"/>
      <c r="J3" s="4"/>
      <c r="K3" s="4"/>
      <c r="L3" s="4"/>
    </row>
    <row r="4" spans="1:12" ht="34.5" x14ac:dyDescent="0.25">
      <c r="A4" s="4"/>
      <c r="B4" s="4"/>
      <c r="C4" s="7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4"/>
    </row>
    <row r="5" spans="1:12" x14ac:dyDescent="0.25">
      <c r="A5" s="4"/>
      <c r="B5" s="4"/>
      <c r="C5" s="73"/>
      <c r="D5" s="73"/>
      <c r="E5" s="73"/>
      <c r="F5" s="73"/>
      <c r="G5" s="73"/>
      <c r="H5" s="73"/>
      <c r="I5" s="73"/>
      <c r="J5" s="73"/>
      <c r="K5" s="73"/>
      <c r="L5" s="4"/>
    </row>
    <row r="6" spans="1:12" x14ac:dyDescent="0.25">
      <c r="A6" s="76"/>
      <c r="B6" s="30" t="s">
        <v>127</v>
      </c>
      <c r="C6" s="30"/>
      <c r="D6" s="30"/>
      <c r="E6" s="30"/>
      <c r="F6" s="30"/>
      <c r="G6" s="30"/>
      <c r="H6" s="30"/>
      <c r="I6" s="30"/>
      <c r="J6" s="30"/>
      <c r="K6" s="30"/>
      <c r="L6" s="76"/>
    </row>
    <row r="7" spans="1:12" x14ac:dyDescent="0.25">
      <c r="A7" s="4"/>
      <c r="B7" s="4"/>
      <c r="C7" s="22"/>
      <c r="D7" s="38"/>
      <c r="E7" s="38"/>
      <c r="F7" s="40"/>
      <c r="G7" s="69"/>
      <c r="H7" s="69"/>
      <c r="I7" s="69"/>
      <c r="J7" s="88"/>
      <c r="K7" s="38"/>
      <c r="L7" s="19"/>
    </row>
    <row r="8" spans="1:12" x14ac:dyDescent="0.25">
      <c r="A8" s="4"/>
      <c r="B8" s="91" t="s">
        <v>128</v>
      </c>
      <c r="C8" s="22"/>
      <c r="D8" s="38"/>
      <c r="E8" s="38"/>
      <c r="F8" s="40"/>
      <c r="G8" s="69"/>
      <c r="H8" s="69"/>
      <c r="I8" s="69"/>
      <c r="J8" s="88"/>
      <c r="K8" s="38"/>
      <c r="L8" s="19"/>
    </row>
    <row r="9" spans="1:12" x14ac:dyDescent="0.25">
      <c r="A9" s="4"/>
      <c r="B9" s="104" t="str">
        <f>Contents!B10</f>
        <v>01</v>
      </c>
      <c r="C9" s="104" t="str">
        <f>Contents!C10</f>
        <v>PMC Meters Domestic</v>
      </c>
      <c r="D9" s="105"/>
      <c r="E9" s="38"/>
      <c r="F9" s="40">
        <f>'01'!F$15</f>
        <v>3.8467410000000006</v>
      </c>
      <c r="G9" s="69">
        <f>'01'!G$15</f>
        <v>3.6115919999999999</v>
      </c>
      <c r="H9" s="69">
        <f>'01'!H$15</f>
        <v>3.2034030000000002</v>
      </c>
      <c r="I9" s="69">
        <f>'01'!I$15</f>
        <v>2.4799310000000006</v>
      </c>
      <c r="J9" s="88">
        <f>'01'!J$15</f>
        <v>1.7155680000000002</v>
      </c>
      <c r="K9" s="38">
        <f>SUM(F9:J9)</f>
        <v>14.857235000000003</v>
      </c>
      <c r="L9" s="19"/>
    </row>
    <row r="10" spans="1:12" x14ac:dyDescent="0.25">
      <c r="A10" s="4"/>
      <c r="B10" s="104" t="str">
        <f>Contents!B11</f>
        <v>02</v>
      </c>
      <c r="C10" s="104" t="str">
        <f>Contents!C11</f>
        <v>PMC Meters I&amp;C&lt;10TJ</v>
      </c>
      <c r="D10" s="38"/>
      <c r="E10" s="38"/>
      <c r="F10" s="40">
        <f>'02'!F$15</f>
        <v>0.37065999999999999</v>
      </c>
      <c r="G10" s="69">
        <f>'02'!G$15</f>
        <v>0.41160499999999994</v>
      </c>
      <c r="H10" s="69">
        <f>'02'!H$15</f>
        <v>0.45642899999999997</v>
      </c>
      <c r="I10" s="69">
        <f>'02'!I$15</f>
        <v>0.43660299999999996</v>
      </c>
      <c r="J10" s="88">
        <f>'02'!J$15</f>
        <v>0.56719600000000003</v>
      </c>
      <c r="K10" s="38">
        <f t="shared" ref="K10:K32" si="0">SUM(F10:J10)</f>
        <v>2.2424930000000001</v>
      </c>
      <c r="L10" s="19"/>
    </row>
    <row r="11" spans="1:12" x14ac:dyDescent="0.25">
      <c r="A11" s="4"/>
      <c r="B11" s="104" t="str">
        <f>Contents!B12</f>
        <v>03</v>
      </c>
      <c r="C11" s="104" t="str">
        <f>Contents!C12</f>
        <v>Mains Renewal - Trunk (MP)</v>
      </c>
      <c r="D11" s="38"/>
      <c r="E11" s="38"/>
      <c r="F11" s="40">
        <f>'03'!F$15</f>
        <v>0</v>
      </c>
      <c r="G11" s="69">
        <f>'03'!G$15</f>
        <v>0</v>
      </c>
      <c r="H11" s="69">
        <f>'03'!H$15</f>
        <v>0</v>
      </c>
      <c r="I11" s="69">
        <f>'03'!I$15</f>
        <v>0</v>
      </c>
      <c r="J11" s="88">
        <f>'03'!J$15</f>
        <v>0</v>
      </c>
      <c r="K11" s="38">
        <f t="shared" si="0"/>
        <v>0</v>
      </c>
      <c r="L11" s="19"/>
    </row>
    <row r="12" spans="1:12" x14ac:dyDescent="0.25">
      <c r="A12" s="4"/>
      <c r="B12" s="104" t="str">
        <f>Contents!B13</f>
        <v>04</v>
      </c>
      <c r="C12" s="104" t="str">
        <f>Contents!C13</f>
        <v>Mains Renewal - Trunk (MP) Abandoned</v>
      </c>
      <c r="D12" s="38"/>
      <c r="E12" s="38"/>
      <c r="F12" s="40">
        <f>'04'!F$15</f>
        <v>0</v>
      </c>
      <c r="G12" s="69">
        <f>'04'!G$15</f>
        <v>0</v>
      </c>
      <c r="H12" s="69">
        <f>'04'!H$15</f>
        <v>0</v>
      </c>
      <c r="I12" s="69">
        <f>'04'!I$15</f>
        <v>0</v>
      </c>
      <c r="J12" s="88">
        <f>'04'!J$15</f>
        <v>0</v>
      </c>
      <c r="K12" s="38">
        <f t="shared" si="0"/>
        <v>0</v>
      </c>
      <c r="L12" s="19"/>
    </row>
    <row r="13" spans="1:12" x14ac:dyDescent="0.25">
      <c r="A13" s="4"/>
      <c r="B13" s="104" t="str">
        <f>Contents!B14</f>
        <v>05</v>
      </c>
      <c r="C13" s="104" t="str">
        <f>Contents!C14</f>
        <v>Mains Renewal - Piece (CI &amp; UPS)</v>
      </c>
      <c r="D13" s="38"/>
      <c r="E13" s="38"/>
      <c r="F13" s="40">
        <f>'05'!F$15</f>
        <v>0</v>
      </c>
      <c r="G13" s="69">
        <f>'05'!G$15</f>
        <v>0</v>
      </c>
      <c r="H13" s="69">
        <f>'05'!H$15</f>
        <v>0</v>
      </c>
      <c r="I13" s="69">
        <f>'05'!I$15</f>
        <v>0</v>
      </c>
      <c r="J13" s="88">
        <f>'05'!J$15</f>
        <v>0</v>
      </c>
      <c r="K13" s="38">
        <f t="shared" si="0"/>
        <v>0</v>
      </c>
      <c r="L13" s="19"/>
    </row>
    <row r="14" spans="1:12" x14ac:dyDescent="0.25">
      <c r="A14" s="4"/>
      <c r="B14" s="104" t="str">
        <f>Contents!B15</f>
        <v>06</v>
      </c>
      <c r="C14" s="104" t="str">
        <f>Contents!C15</f>
        <v>Mains Renewal - HDPE Class 250</v>
      </c>
      <c r="D14" s="38"/>
      <c r="E14" s="38"/>
      <c r="F14" s="40">
        <f>'06'!F$15</f>
        <v>0</v>
      </c>
      <c r="G14" s="69">
        <f>'06'!G$15</f>
        <v>0</v>
      </c>
      <c r="H14" s="69">
        <f>'06'!H$15</f>
        <v>0</v>
      </c>
      <c r="I14" s="69">
        <f>'06'!I$15</f>
        <v>0</v>
      </c>
      <c r="J14" s="88">
        <f>'06'!J$15</f>
        <v>0</v>
      </c>
      <c r="K14" s="38">
        <f t="shared" si="0"/>
        <v>0</v>
      </c>
      <c r="L14" s="19"/>
    </row>
    <row r="15" spans="1:12" x14ac:dyDescent="0.25">
      <c r="A15" s="4"/>
      <c r="B15" s="104" t="str">
        <f>Contents!B16</f>
        <v>07</v>
      </c>
      <c r="C15" s="104" t="str">
        <f>Contents!C16</f>
        <v>Mains Renewal - HDPE Class 575</v>
      </c>
      <c r="D15" s="38"/>
      <c r="E15" s="38"/>
      <c r="F15" s="40">
        <f>'07'!F$15</f>
        <v>0</v>
      </c>
      <c r="G15" s="69">
        <f>'07'!G$15</f>
        <v>0</v>
      </c>
      <c r="H15" s="69">
        <f>'07'!H$15</f>
        <v>0</v>
      </c>
      <c r="I15" s="69">
        <f>'07'!I$15</f>
        <v>0</v>
      </c>
      <c r="J15" s="88">
        <f>'07'!J$15</f>
        <v>0</v>
      </c>
      <c r="K15" s="38">
        <f t="shared" si="0"/>
        <v>0</v>
      </c>
      <c r="L15" s="19"/>
    </row>
    <row r="16" spans="1:12" x14ac:dyDescent="0.25">
      <c r="A16" s="4"/>
      <c r="B16" s="104" t="str">
        <f>Contents!B17</f>
        <v>08</v>
      </c>
      <c r="C16" s="104" t="str">
        <f>Contents!C17</f>
        <v>Mains Renewal - Block</v>
      </c>
      <c r="D16" s="38"/>
      <c r="E16" s="38"/>
      <c r="F16" s="40">
        <f>'08'!F$15</f>
        <v>0</v>
      </c>
      <c r="G16" s="69">
        <f>'08'!G$15</f>
        <v>0</v>
      </c>
      <c r="H16" s="69">
        <f>'08'!H$15</f>
        <v>0</v>
      </c>
      <c r="I16" s="69">
        <f>'08'!I$15</f>
        <v>0</v>
      </c>
      <c r="J16" s="88">
        <f>'08'!J$15</f>
        <v>0</v>
      </c>
      <c r="K16" s="38">
        <f t="shared" si="0"/>
        <v>0</v>
      </c>
      <c r="L16" s="19"/>
    </row>
    <row r="17" spans="1:12" x14ac:dyDescent="0.25">
      <c r="A17" s="4"/>
      <c r="B17" s="104" t="str">
        <f>Contents!B18</f>
        <v>09</v>
      </c>
      <c r="C17" s="104" t="str">
        <f>Contents!C18</f>
        <v>Mains Renewal - Block CBD - Trunk</v>
      </c>
      <c r="D17" s="38"/>
      <c r="E17" s="38"/>
      <c r="F17" s="40">
        <f>'09'!F$15</f>
        <v>0</v>
      </c>
      <c r="G17" s="69">
        <f>'09'!G$15</f>
        <v>0</v>
      </c>
      <c r="H17" s="69">
        <f>'09'!H$15</f>
        <v>0</v>
      </c>
      <c r="I17" s="69">
        <f>'09'!I$15</f>
        <v>0</v>
      </c>
      <c r="J17" s="88">
        <f>'09'!J$15</f>
        <v>0</v>
      </c>
      <c r="K17" s="38">
        <f t="shared" si="0"/>
        <v>0</v>
      </c>
      <c r="L17" s="19"/>
    </row>
    <row r="18" spans="1:12" x14ac:dyDescent="0.25">
      <c r="A18" s="4"/>
      <c r="B18" s="104" t="str">
        <f>Contents!B19</f>
        <v>10</v>
      </c>
      <c r="C18" s="104" t="str">
        <f>Contents!C19</f>
        <v>Mains Renewal - Piece (HDPE)</v>
      </c>
      <c r="D18" s="38"/>
      <c r="E18" s="38"/>
      <c r="F18" s="40">
        <f>'10'!F$15</f>
        <v>0</v>
      </c>
      <c r="G18" s="69">
        <f>'10'!G$15</f>
        <v>0</v>
      </c>
      <c r="H18" s="69">
        <f>'10'!H$15</f>
        <v>0</v>
      </c>
      <c r="I18" s="69">
        <f>'10'!I$15</f>
        <v>0</v>
      </c>
      <c r="J18" s="88">
        <f>'10'!J$15</f>
        <v>0</v>
      </c>
      <c r="K18" s="38">
        <f t="shared" si="0"/>
        <v>0</v>
      </c>
      <c r="L18" s="19"/>
    </row>
    <row r="19" spans="1:12" x14ac:dyDescent="0.25">
      <c r="A19" s="4"/>
      <c r="B19" s="104" t="str">
        <f>Contents!B20</f>
        <v>11</v>
      </c>
      <c r="C19" s="104" t="str">
        <f>Contents!C20</f>
        <v>Mains Renewal - SA CBD Abandoned</v>
      </c>
      <c r="D19" s="38"/>
      <c r="E19" s="38"/>
      <c r="F19" s="40">
        <f>'11'!F$15</f>
        <v>0</v>
      </c>
      <c r="G19" s="69">
        <f>'11'!G$15</f>
        <v>0</v>
      </c>
      <c r="H19" s="69">
        <f>'11'!H$15</f>
        <v>0</v>
      </c>
      <c r="I19" s="69">
        <f>'11'!I$15</f>
        <v>0</v>
      </c>
      <c r="J19" s="88">
        <f>'11'!J$15</f>
        <v>0</v>
      </c>
      <c r="K19" s="38">
        <f t="shared" si="0"/>
        <v>0</v>
      </c>
      <c r="L19" s="19"/>
    </row>
    <row r="20" spans="1:12" x14ac:dyDescent="0.25">
      <c r="A20" s="4"/>
      <c r="B20" s="104" t="str">
        <f>Contents!B21</f>
        <v>12</v>
      </c>
      <c r="C20" s="104" t="str">
        <f>Contents!C21</f>
        <v>Mains Renewal - Block CBD - Retic</v>
      </c>
      <c r="D20" s="38"/>
      <c r="E20" s="38"/>
      <c r="F20" s="40">
        <f>'12'!F$15</f>
        <v>0</v>
      </c>
      <c r="G20" s="69">
        <f>'12'!G$15</f>
        <v>0</v>
      </c>
      <c r="H20" s="69">
        <f>'12'!H$15</f>
        <v>0</v>
      </c>
      <c r="I20" s="69">
        <f>'12'!I$15</f>
        <v>0</v>
      </c>
      <c r="J20" s="88">
        <f>'12'!J$15</f>
        <v>0</v>
      </c>
      <c r="K20" s="38">
        <f t="shared" si="0"/>
        <v>0</v>
      </c>
      <c r="L20" s="19"/>
    </row>
    <row r="21" spans="1:12" x14ac:dyDescent="0.25">
      <c r="A21" s="4"/>
      <c r="B21" s="104" t="str">
        <f>Contents!B22</f>
        <v>13</v>
      </c>
      <c r="C21" s="104" t="str">
        <f>Contents!C22</f>
        <v>Service Renewal - Multi User</v>
      </c>
      <c r="D21" s="38"/>
      <c r="E21" s="38"/>
      <c r="F21" s="40">
        <f>'13'!F$15</f>
        <v>0</v>
      </c>
      <c r="G21" s="69">
        <f>'13'!G$15</f>
        <v>0</v>
      </c>
      <c r="H21" s="69">
        <f>'13'!H$15</f>
        <v>0</v>
      </c>
      <c r="I21" s="69">
        <f>'13'!I$15</f>
        <v>0</v>
      </c>
      <c r="J21" s="88">
        <f>'13'!J$15</f>
        <v>0</v>
      </c>
      <c r="K21" s="38">
        <f t="shared" si="0"/>
        <v>0</v>
      </c>
      <c r="L21" s="19"/>
    </row>
    <row r="22" spans="1:12" x14ac:dyDescent="0.25">
      <c r="A22" s="4"/>
      <c r="B22" s="104" t="str">
        <f>Contents!B23</f>
        <v>14</v>
      </c>
      <c r="C22" s="104" t="str">
        <f>Contents!C23</f>
        <v>Service Renewal - Non AMRP</v>
      </c>
      <c r="D22" s="38"/>
      <c r="E22" s="38"/>
      <c r="F22" s="40">
        <f>'14'!F$15</f>
        <v>0</v>
      </c>
      <c r="G22" s="69">
        <f>'14'!G$15</f>
        <v>0</v>
      </c>
      <c r="H22" s="69">
        <f>'14'!H$15</f>
        <v>0</v>
      </c>
      <c r="I22" s="69">
        <f>'14'!I$15</f>
        <v>0</v>
      </c>
      <c r="J22" s="88">
        <f>'14'!J$15</f>
        <v>0</v>
      </c>
      <c r="K22" s="38">
        <f t="shared" si="0"/>
        <v>0</v>
      </c>
      <c r="L22" s="19"/>
    </row>
    <row r="23" spans="1:12" x14ac:dyDescent="0.25">
      <c r="A23" s="4"/>
      <c r="B23" s="104" t="str">
        <f>Contents!B24</f>
        <v>15</v>
      </c>
      <c r="C23" s="104" t="str">
        <f>Contents!C24</f>
        <v>New Main - Estate</v>
      </c>
      <c r="D23" s="38"/>
      <c r="E23" s="38"/>
      <c r="F23" s="40">
        <f>'15'!F$15</f>
        <v>1.4172994029403638</v>
      </c>
      <c r="G23" s="69">
        <f>'15'!G$15</f>
        <v>1.3321149349725163</v>
      </c>
      <c r="H23" s="69">
        <f>'15'!H$15</f>
        <v>1.386813057425041</v>
      </c>
      <c r="I23" s="69">
        <f>'15'!I$15</f>
        <v>1.4773164784524557</v>
      </c>
      <c r="J23" s="88">
        <f>'15'!J$15</f>
        <v>1.5251362735365317</v>
      </c>
      <c r="K23" s="38">
        <f t="shared" si="0"/>
        <v>7.1386801473269088</v>
      </c>
      <c r="L23" s="19"/>
    </row>
    <row r="24" spans="1:12" x14ac:dyDescent="0.25">
      <c r="A24" s="4"/>
      <c r="B24" s="104" t="str">
        <f>Contents!B25</f>
        <v>16</v>
      </c>
      <c r="C24" s="104" t="str">
        <f>Contents!C25</f>
        <v>New Main - Existing Domestic</v>
      </c>
      <c r="D24" s="38"/>
      <c r="E24" s="38"/>
      <c r="F24" s="40">
        <f>'16'!F$15</f>
        <v>1.2604140044401833</v>
      </c>
      <c r="G24" s="69">
        <f>'16'!G$15</f>
        <v>1.2557093752452722</v>
      </c>
      <c r="H24" s="69">
        <f>'16'!H$15</f>
        <v>1.2556625784552091</v>
      </c>
      <c r="I24" s="69">
        <f>'16'!I$15</f>
        <v>1.2672203121177781</v>
      </c>
      <c r="J24" s="88">
        <f>'16'!J$15</f>
        <v>1.2668270172076925</v>
      </c>
      <c r="K24" s="38">
        <f t="shared" si="0"/>
        <v>6.3058332874661351</v>
      </c>
      <c r="L24" s="19"/>
    </row>
    <row r="25" spans="1:12" x14ac:dyDescent="0.25">
      <c r="A25" s="4"/>
      <c r="B25" s="104" t="str">
        <f>Contents!B26</f>
        <v>17</v>
      </c>
      <c r="C25" s="104" t="str">
        <f>Contents!C26</f>
        <v>New Main - I&amp;C&lt;10TJ</v>
      </c>
      <c r="D25" s="38"/>
      <c r="E25" s="38"/>
      <c r="F25" s="40">
        <f>'17'!F$15</f>
        <v>0.70723707067789243</v>
      </c>
      <c r="G25" s="69">
        <f>'17'!G$15</f>
        <v>0.62488294918882858</v>
      </c>
      <c r="H25" s="69">
        <f>'17'!H$15</f>
        <v>0.74367745381782413</v>
      </c>
      <c r="I25" s="69">
        <f>'17'!I$15</f>
        <v>0.75535613496378184</v>
      </c>
      <c r="J25" s="88">
        <f>'17'!J$15</f>
        <v>0.75356732115394398</v>
      </c>
      <c r="K25" s="38">
        <f t="shared" si="0"/>
        <v>3.5847209298022706</v>
      </c>
      <c r="L25" s="19"/>
    </row>
    <row r="26" spans="1:12" x14ac:dyDescent="0.25">
      <c r="A26" s="4"/>
      <c r="B26" s="104" t="str">
        <f>Contents!B27</f>
        <v>18</v>
      </c>
      <c r="C26" s="104" t="str">
        <f>Contents!C27</f>
        <v>Meter - Growth - Domestic</v>
      </c>
      <c r="D26" s="38"/>
      <c r="E26" s="38"/>
      <c r="F26" s="40">
        <f>'18'!F$15</f>
        <v>2.0115762752796078</v>
      </c>
      <c r="G26" s="69">
        <f>'18'!G$15</f>
        <v>1.9149125743399125</v>
      </c>
      <c r="H26" s="69">
        <f>'18'!H$15</f>
        <v>1.9704416204254847</v>
      </c>
      <c r="I26" s="69">
        <f>'18'!I$15</f>
        <v>2.0871249364471969</v>
      </c>
      <c r="J26" s="88">
        <f>'18'!J$15</f>
        <v>2.0641199195744915</v>
      </c>
      <c r="K26" s="38">
        <f t="shared" si="0"/>
        <v>10.048175326066692</v>
      </c>
      <c r="L26" s="19"/>
    </row>
    <row r="27" spans="1:12" x14ac:dyDescent="0.25">
      <c r="A27" s="4"/>
      <c r="B27" s="104" t="str">
        <f>Contents!B28</f>
        <v>19</v>
      </c>
      <c r="C27" s="104" t="str">
        <f>Contents!C28</f>
        <v>I&amp;C Meters&lt;10TJ</v>
      </c>
      <c r="D27" s="38"/>
      <c r="E27" s="38"/>
      <c r="F27" s="40">
        <f>'19'!F$15</f>
        <v>0.98928974113501567</v>
      </c>
      <c r="G27" s="69">
        <f>'19'!G$15</f>
        <v>0.87409203599884977</v>
      </c>
      <c r="H27" s="69">
        <f>'19'!H$15</f>
        <v>1.0402628853578002</v>
      </c>
      <c r="I27" s="69">
        <f>'19'!I$15</f>
        <v>1.0565991323203761</v>
      </c>
      <c r="J27" s="88">
        <f>'19'!J$15</f>
        <v>1.054096923055275</v>
      </c>
      <c r="K27" s="38">
        <f t="shared" si="0"/>
        <v>5.0143407178673174</v>
      </c>
      <c r="L27" s="19"/>
    </row>
    <row r="28" spans="1:12" x14ac:dyDescent="0.25">
      <c r="A28" s="4"/>
      <c r="B28" s="104" t="str">
        <f>Contents!B29</f>
        <v>20</v>
      </c>
      <c r="C28" s="104" t="str">
        <f>Contents!C29</f>
        <v>New Service - New Home</v>
      </c>
      <c r="D28" s="38"/>
      <c r="E28" s="38"/>
      <c r="F28" s="40">
        <f>'20'!F$15</f>
        <v>5.8487237286565961</v>
      </c>
      <c r="G28" s="69">
        <f>'20'!G$15</f>
        <v>5.4971957324668583</v>
      </c>
      <c r="H28" s="69">
        <f>'20'!H$15</f>
        <v>5.7229167100086134</v>
      </c>
      <c r="I28" s="69">
        <f>'20'!I$15</f>
        <v>6.0963942582171837</v>
      </c>
      <c r="J28" s="88">
        <f>'20'!J$15</f>
        <v>6.2937306640799751</v>
      </c>
      <c r="K28" s="38">
        <f t="shared" si="0"/>
        <v>29.458961093429231</v>
      </c>
      <c r="L28" s="19"/>
    </row>
    <row r="29" spans="1:12" x14ac:dyDescent="0.25">
      <c r="A29" s="4"/>
      <c r="B29" s="104" t="str">
        <f>Contents!B30</f>
        <v>21</v>
      </c>
      <c r="C29" s="104" t="str">
        <f>Contents!C30</f>
        <v>New Service - Exist Home</v>
      </c>
      <c r="D29" s="38"/>
      <c r="E29" s="38"/>
      <c r="F29" s="40">
        <f>'21'!F$15</f>
        <v>2.5815649999999994</v>
      </c>
      <c r="G29" s="69">
        <f>'21'!G$15</f>
        <v>2.5815649999999994</v>
      </c>
      <c r="H29" s="69">
        <f>'21'!H$15</f>
        <v>2.5815649999999994</v>
      </c>
      <c r="I29" s="69">
        <f>'21'!I$15</f>
        <v>2.5815649999999994</v>
      </c>
      <c r="J29" s="88">
        <f>'21'!J$15</f>
        <v>2.5815649999999994</v>
      </c>
      <c r="K29" s="38">
        <f t="shared" si="0"/>
        <v>12.907824999999997</v>
      </c>
      <c r="L29" s="19"/>
    </row>
    <row r="30" spans="1:12" x14ac:dyDescent="0.25">
      <c r="A30" s="4"/>
      <c r="B30" s="104" t="str">
        <f>Contents!B31</f>
        <v>22</v>
      </c>
      <c r="C30" s="104" t="str">
        <f>Contents!C31</f>
        <v>New Service - Multi User</v>
      </c>
      <c r="D30" s="38"/>
      <c r="E30" s="38"/>
      <c r="F30" s="40">
        <f>'22'!F$15</f>
        <v>0.7877058541496802</v>
      </c>
      <c r="G30" s="69">
        <f>'22'!G$15</f>
        <v>0.73387916868703673</v>
      </c>
      <c r="H30" s="69">
        <f>'22'!H$15</f>
        <v>0.73334375643773431</v>
      </c>
      <c r="I30" s="69">
        <f>'22'!I$15</f>
        <v>0.86557830006319147</v>
      </c>
      <c r="J30" s="88">
        <f>'22'!J$15</f>
        <v>0.86107852748980152</v>
      </c>
      <c r="K30" s="38">
        <f t="shared" si="0"/>
        <v>3.9815856068274442</v>
      </c>
      <c r="L30" s="19"/>
    </row>
    <row r="31" spans="1:12" x14ac:dyDescent="0.25">
      <c r="A31" s="4"/>
      <c r="B31" s="104" t="str">
        <f>Contents!B32</f>
        <v>23</v>
      </c>
      <c r="C31" s="104" t="str">
        <f>Contents!C32</f>
        <v>New Service - I&amp;C &lt; 10 Tj</v>
      </c>
      <c r="D31" s="38"/>
      <c r="E31" s="38"/>
      <c r="F31" s="40">
        <f>'23'!F$15</f>
        <v>1.1185527892697036</v>
      </c>
      <c r="G31" s="69">
        <f>'23'!G$15</f>
        <v>0.98830306662556544</v>
      </c>
      <c r="H31" s="69">
        <f>'23'!H$15</f>
        <v>1.1761862107816137</v>
      </c>
      <c r="I31" s="69">
        <f>'23'!I$15</f>
        <v>1.1946569922386452</v>
      </c>
      <c r="J31" s="88">
        <f>'23'!J$15</f>
        <v>1.1918278381127727</v>
      </c>
      <c r="K31" s="38">
        <f t="shared" si="0"/>
        <v>5.6695268970283008</v>
      </c>
      <c r="L31" s="120"/>
    </row>
    <row r="32" spans="1:12" x14ac:dyDescent="0.25">
      <c r="A32" s="4"/>
      <c r="B32" s="104" t="str">
        <f>Contents!B33</f>
        <v>24</v>
      </c>
      <c r="C32" s="104" t="str">
        <f>Contents!C33</f>
        <v>MAINS RENEWAL - BLOCK (SA CBD - UPGRADE)</v>
      </c>
      <c r="D32" s="38"/>
      <c r="E32" s="38"/>
      <c r="F32" s="40">
        <f>'24'!F$15</f>
        <v>0</v>
      </c>
      <c r="G32" s="69">
        <f>'24'!G$15</f>
        <v>0</v>
      </c>
      <c r="H32" s="69">
        <f>'24'!H$15</f>
        <v>0</v>
      </c>
      <c r="I32" s="69">
        <f>'24'!I$15</f>
        <v>0</v>
      </c>
      <c r="J32" s="88">
        <f>'24'!J$15</f>
        <v>0</v>
      </c>
      <c r="K32" s="38">
        <f t="shared" si="0"/>
        <v>0</v>
      </c>
      <c r="L32" s="120"/>
    </row>
    <row r="33" spans="1:12" ht="15.75" thickBot="1" x14ac:dyDescent="0.3">
      <c r="A33" s="4"/>
      <c r="B33" s="106"/>
      <c r="C33" s="106" t="s">
        <v>131</v>
      </c>
      <c r="D33" s="107"/>
      <c r="E33" s="107"/>
      <c r="F33" s="111">
        <f>SUM(F9:F32)</f>
        <v>20.939764866549041</v>
      </c>
      <c r="G33" s="107">
        <f t="shared" ref="G33:J33" si="1">SUM(G9:G32)</f>
        <v>19.825851837524837</v>
      </c>
      <c r="H33" s="107">
        <f t="shared" si="1"/>
        <v>20.270701272709317</v>
      </c>
      <c r="I33" s="107">
        <f t="shared" si="1"/>
        <v>20.298345544820609</v>
      </c>
      <c r="J33" s="112">
        <f t="shared" si="1"/>
        <v>19.874713484210481</v>
      </c>
      <c r="K33" s="107">
        <f>SUM(F33:J33)</f>
        <v>101.20937700581428</v>
      </c>
      <c r="L33" s="121"/>
    </row>
    <row r="34" spans="1:12" x14ac:dyDescent="0.25">
      <c r="A34" s="4"/>
      <c r="B34" s="89"/>
      <c r="C34" s="89"/>
      <c r="D34" s="38"/>
      <c r="E34" s="38"/>
      <c r="F34" s="40"/>
      <c r="G34" s="69"/>
      <c r="H34" s="69"/>
      <c r="I34" s="69"/>
      <c r="J34" s="88"/>
      <c r="K34" s="38"/>
      <c r="L34" s="120"/>
    </row>
    <row r="35" spans="1:12" x14ac:dyDescent="0.25">
      <c r="A35" s="4"/>
      <c r="B35" s="92" t="s">
        <v>129</v>
      </c>
      <c r="C35" s="90"/>
      <c r="D35" s="38"/>
      <c r="E35" s="38"/>
      <c r="F35" s="40"/>
      <c r="G35" s="69"/>
      <c r="H35" s="69"/>
      <c r="I35" s="69"/>
      <c r="J35" s="88"/>
      <c r="K35" s="38"/>
      <c r="L35" s="120"/>
    </row>
    <row r="36" spans="1:12" x14ac:dyDescent="0.25">
      <c r="A36" s="4"/>
      <c r="B36" s="104" t="str">
        <f>Contents!B35</f>
        <v>25</v>
      </c>
      <c r="C36" s="104" t="str">
        <f>Contents!C35</f>
        <v>Telemetry</v>
      </c>
      <c r="D36" s="38"/>
      <c r="E36" s="38"/>
      <c r="F36" s="40">
        <f>'25'!F$13</f>
        <v>0.30980000000000008</v>
      </c>
      <c r="G36" s="69">
        <f>'25'!G$13</f>
        <v>0.23880000000000004</v>
      </c>
      <c r="H36" s="69">
        <f>'25'!H$13</f>
        <v>0.2072</v>
      </c>
      <c r="I36" s="69">
        <f>'25'!I$13</f>
        <v>0.21510000000000001</v>
      </c>
      <c r="J36" s="88">
        <f>'25'!J$13</f>
        <v>0.14090000000000003</v>
      </c>
      <c r="K36" s="38">
        <f>SUM(F36:J36)</f>
        <v>1.1118000000000001</v>
      </c>
      <c r="L36" s="120"/>
    </row>
    <row r="37" spans="1:12" x14ac:dyDescent="0.25">
      <c r="A37" s="4"/>
      <c r="B37" s="104" t="str">
        <f>Contents!B36</f>
        <v>26</v>
      </c>
      <c r="C37" s="104" t="str">
        <f>Contents!C36</f>
        <v>Regulator - S I B</v>
      </c>
      <c r="D37" s="38"/>
      <c r="E37" s="38"/>
      <c r="F37" s="40">
        <f>'26'!F$13</f>
        <v>2.0922399999999994</v>
      </c>
      <c r="G37" s="69">
        <f>'26'!G$13</f>
        <v>2.1122399999999995</v>
      </c>
      <c r="H37" s="69">
        <f>'26'!H$13</f>
        <v>2.2972399999999995</v>
      </c>
      <c r="I37" s="69">
        <f>'26'!I$13</f>
        <v>2.3191399999999991</v>
      </c>
      <c r="J37" s="88">
        <f>'26'!J$13</f>
        <v>2.1323400000000001</v>
      </c>
      <c r="K37" s="38">
        <f t="shared" ref="K37:K44" si="2">SUM(F37:J37)</f>
        <v>10.953199999999995</v>
      </c>
      <c r="L37" s="120"/>
    </row>
    <row r="38" spans="1:12" x14ac:dyDescent="0.25">
      <c r="A38" s="4"/>
      <c r="B38" s="104" t="str">
        <f>Contents!B37</f>
        <v>27</v>
      </c>
      <c r="C38" s="104" t="str">
        <f>Contents!C37</f>
        <v>Information Technology</v>
      </c>
      <c r="D38" s="38"/>
      <c r="E38" s="38"/>
      <c r="F38" s="40">
        <f>'27'!F$13</f>
        <v>9.0950000000000024</v>
      </c>
      <c r="G38" s="69">
        <f>'27'!G$13</f>
        <v>13.274000000000001</v>
      </c>
      <c r="H38" s="69">
        <f>'27'!H$13</f>
        <v>8.0259999999999998</v>
      </c>
      <c r="I38" s="69">
        <f>'27'!I$13</f>
        <v>2.6160000000000001</v>
      </c>
      <c r="J38" s="88">
        <f>'27'!J$13</f>
        <v>4.8390000000000004</v>
      </c>
      <c r="K38" s="38">
        <f t="shared" si="2"/>
        <v>37.85</v>
      </c>
      <c r="L38" s="120"/>
    </row>
    <row r="39" spans="1:12" x14ac:dyDescent="0.25">
      <c r="A39" s="4"/>
      <c r="B39" s="104" t="str">
        <f>Contents!B38</f>
        <v>28</v>
      </c>
      <c r="C39" s="104" t="str">
        <f>Contents!C38</f>
        <v>Other Dist.System</v>
      </c>
      <c r="D39" s="38"/>
      <c r="E39" s="38"/>
      <c r="F39" s="40">
        <f>'28'!F$13</f>
        <v>2.1991199999999989</v>
      </c>
      <c r="G39" s="69">
        <f>'28'!G$13</f>
        <v>2.0231199999999987</v>
      </c>
      <c r="H39" s="69">
        <f>'28'!H$13</f>
        <v>2.0229199999999992</v>
      </c>
      <c r="I39" s="69">
        <f>'28'!I$13</f>
        <v>1.8988199999999988</v>
      </c>
      <c r="J39" s="88">
        <f>'28'!J$13</f>
        <v>1.89872</v>
      </c>
      <c r="K39" s="38">
        <f t="shared" si="2"/>
        <v>10.042699999999996</v>
      </c>
      <c r="L39" s="120"/>
    </row>
    <row r="40" spans="1:12" x14ac:dyDescent="0.25">
      <c r="A40" s="4"/>
      <c r="B40" s="104" t="str">
        <f>Contents!B39</f>
        <v>29</v>
      </c>
      <c r="C40" s="104" t="str">
        <f>Contents!C39</f>
        <v>Other - Non-Dist.System</v>
      </c>
      <c r="D40" s="38"/>
      <c r="E40" s="38"/>
      <c r="F40" s="40">
        <f>'29'!F$13</f>
        <v>1.3470000000000002</v>
      </c>
      <c r="G40" s="69">
        <f>'29'!G$13</f>
        <v>1.0470000000000002</v>
      </c>
      <c r="H40" s="69">
        <f>'29'!H$13</f>
        <v>0.88000000000000012</v>
      </c>
      <c r="I40" s="69">
        <f>'29'!I$13</f>
        <v>0.88000000000000012</v>
      </c>
      <c r="J40" s="88">
        <f>'29'!J$13</f>
        <v>0.88000000000000012</v>
      </c>
      <c r="K40" s="38">
        <f t="shared" si="2"/>
        <v>5.0339999999999998</v>
      </c>
      <c r="L40" s="120"/>
    </row>
    <row r="41" spans="1:12" x14ac:dyDescent="0.25">
      <c r="A41" s="4"/>
      <c r="B41" s="104" t="str">
        <f>Contents!B40</f>
        <v>30</v>
      </c>
      <c r="C41" s="104" t="str">
        <f>Contents!C40</f>
        <v>Large Consumers</v>
      </c>
      <c r="D41" s="38"/>
      <c r="E41" s="38"/>
      <c r="F41" s="40">
        <f>'30'!F$13</f>
        <v>0.25000000000000006</v>
      </c>
      <c r="G41" s="69">
        <f>'30'!G$13</f>
        <v>0.25000000000000006</v>
      </c>
      <c r="H41" s="69">
        <f>'30'!H$13</f>
        <v>0.25000000000000006</v>
      </c>
      <c r="I41" s="69">
        <f>'30'!I$13</f>
        <v>0.25000000000000006</v>
      </c>
      <c r="J41" s="88">
        <f>'30'!J$13</f>
        <v>0.25000000000000006</v>
      </c>
      <c r="K41" s="38">
        <f t="shared" si="2"/>
        <v>1.2500000000000002</v>
      </c>
      <c r="L41" s="120"/>
    </row>
    <row r="42" spans="1:12" x14ac:dyDescent="0.25">
      <c r="A42" s="4"/>
      <c r="B42" s="104" t="str">
        <f>Contents!B41</f>
        <v>31</v>
      </c>
      <c r="C42" s="104" t="str">
        <f>Contents!C41</f>
        <v>Mains Augmentation</v>
      </c>
      <c r="D42" s="38"/>
      <c r="E42" s="38"/>
      <c r="F42" s="40">
        <f>'31'!F$13</f>
        <v>0.61819999999999997</v>
      </c>
      <c r="G42" s="69">
        <f>'31'!G$13</f>
        <v>0.50529999999999831</v>
      </c>
      <c r="H42" s="69">
        <f>'31'!H$13</f>
        <v>1.1493000000000002</v>
      </c>
      <c r="I42" s="69">
        <f>'31'!I$13</f>
        <v>1.6751</v>
      </c>
      <c r="J42" s="88">
        <f>'31'!J$13</f>
        <v>0.1633</v>
      </c>
      <c r="K42" s="38">
        <f t="shared" si="2"/>
        <v>4.1111999999999984</v>
      </c>
      <c r="L42" s="120"/>
    </row>
    <row r="43" spans="1:12" x14ac:dyDescent="0.25">
      <c r="A43" s="4"/>
      <c r="B43" s="104" t="str">
        <f>Contents!B42</f>
        <v>32</v>
      </c>
      <c r="C43" s="104" t="str">
        <f>Contents!C42</f>
        <v>Growth New Areas</v>
      </c>
      <c r="D43" s="38"/>
      <c r="E43" s="38"/>
      <c r="F43" s="40">
        <f>'32'!F$13</f>
        <v>0</v>
      </c>
      <c r="G43" s="69">
        <f>'32'!G$13</f>
        <v>0</v>
      </c>
      <c r="H43" s="69">
        <f>'32'!H$13</f>
        <v>0</v>
      </c>
      <c r="I43" s="69">
        <f>'32'!I$13</f>
        <v>0</v>
      </c>
      <c r="J43" s="88">
        <f>'32'!J$13</f>
        <v>0</v>
      </c>
      <c r="K43" s="38">
        <f t="shared" si="2"/>
        <v>0</v>
      </c>
      <c r="L43" s="120"/>
    </row>
    <row r="44" spans="1:12" x14ac:dyDescent="0.25">
      <c r="A44" s="4"/>
      <c r="B44" s="240" t="s">
        <v>242</v>
      </c>
      <c r="C44" s="240" t="s">
        <v>243</v>
      </c>
      <c r="D44" s="38"/>
      <c r="E44" s="38"/>
      <c r="F44" s="40">
        <f>'33'!F13</f>
        <v>33.533615426023275</v>
      </c>
      <c r="G44" s="69">
        <f>'33'!G13</f>
        <v>33.533615426023275</v>
      </c>
      <c r="H44" s="69">
        <f>'33'!H13</f>
        <v>33.533615426023275</v>
      </c>
      <c r="I44" s="69">
        <f>'33'!I13</f>
        <v>33.533615426023275</v>
      </c>
      <c r="J44" s="88">
        <f>'33'!J13</f>
        <v>33.533615426023275</v>
      </c>
      <c r="K44" s="38">
        <f t="shared" si="2"/>
        <v>167.66807713011639</v>
      </c>
      <c r="L44" s="120"/>
    </row>
    <row r="45" spans="1:12" ht="15.75" thickBot="1" x14ac:dyDescent="0.3">
      <c r="A45" s="4"/>
      <c r="B45" s="106"/>
      <c r="C45" s="106" t="s">
        <v>131</v>
      </c>
      <c r="D45" s="107"/>
      <c r="E45" s="107"/>
      <c r="F45" s="111">
        <f t="shared" ref="F45:J45" si="3">SUM(F36:F44)</f>
        <v>49.444975426023277</v>
      </c>
      <c r="G45" s="107">
        <f t="shared" si="3"/>
        <v>52.984075426023267</v>
      </c>
      <c r="H45" s="107">
        <f t="shared" si="3"/>
        <v>48.366275426023272</v>
      </c>
      <c r="I45" s="107">
        <f t="shared" si="3"/>
        <v>43.387775426023275</v>
      </c>
      <c r="J45" s="112">
        <f t="shared" si="3"/>
        <v>43.837875426023274</v>
      </c>
      <c r="K45" s="107">
        <f>SUM(F45:J45)</f>
        <v>238.02097713011636</v>
      </c>
      <c r="L45" s="121"/>
    </row>
    <row r="46" spans="1:12" x14ac:dyDescent="0.25">
      <c r="A46" s="4"/>
      <c r="B46" s="94"/>
      <c r="C46" s="94"/>
      <c r="D46" s="51"/>
      <c r="E46" s="51"/>
      <c r="F46" s="51"/>
      <c r="G46" s="51"/>
      <c r="H46" s="51"/>
      <c r="I46" s="51"/>
      <c r="J46" s="51"/>
      <c r="K46" s="51"/>
      <c r="L46" s="95"/>
    </row>
    <row r="47" spans="1:12" ht="15.75" thickBot="1" x14ac:dyDescent="0.3">
      <c r="A47" s="4"/>
      <c r="B47" s="93"/>
      <c r="C47" s="93" t="s">
        <v>130</v>
      </c>
      <c r="D47" s="122"/>
      <c r="E47" s="122"/>
      <c r="F47" s="123">
        <f>F33+F45</f>
        <v>70.384740292572317</v>
      </c>
      <c r="G47" s="122">
        <f>G33+G45</f>
        <v>72.809927263548104</v>
      </c>
      <c r="H47" s="122">
        <f>H33+H45</f>
        <v>68.636976698732582</v>
      </c>
      <c r="I47" s="122">
        <f>I33+I45</f>
        <v>63.686120970843888</v>
      </c>
      <c r="J47" s="124">
        <f>J33+J45</f>
        <v>63.712588910233755</v>
      </c>
      <c r="K47" s="122">
        <f>SUM(F47:J47)</f>
        <v>339.23035413593061</v>
      </c>
      <c r="L47" s="95"/>
    </row>
    <row r="48" spans="1:12" x14ac:dyDescent="0.25">
      <c r="A48" s="4"/>
      <c r="B48" s="94"/>
      <c r="C48" s="94"/>
      <c r="D48" s="51"/>
      <c r="E48" s="51"/>
      <c r="F48" s="51"/>
      <c r="G48" s="51"/>
      <c r="H48" s="51"/>
      <c r="I48" s="51"/>
      <c r="J48" s="51"/>
      <c r="K48" s="51"/>
      <c r="L48" s="95"/>
    </row>
    <row r="49" spans="2:12" x14ac:dyDescent="0.25">
      <c r="B49" s="113"/>
      <c r="C49" s="113"/>
      <c r="D49" s="114"/>
      <c r="E49" s="114"/>
      <c r="F49" s="114"/>
      <c r="G49" s="114"/>
      <c r="H49" s="114"/>
      <c r="I49" s="114"/>
      <c r="J49" s="114"/>
      <c r="K49" s="114"/>
      <c r="L49" s="115"/>
    </row>
    <row r="50" spans="2:12" x14ac:dyDescent="0.25">
      <c r="B50" s="116"/>
      <c r="C50" s="116"/>
      <c r="D50" s="117"/>
      <c r="E50" s="117"/>
      <c r="F50" s="118"/>
      <c r="G50" s="118"/>
      <c r="H50" s="118"/>
      <c r="I50" s="118"/>
      <c r="J50" s="118"/>
      <c r="K50" s="117"/>
      <c r="L50" s="119"/>
    </row>
  </sheetData>
  <hyperlinks>
    <hyperlink ref="C3" location="Contents!A1" display="Contents!A1"/>
  </hyperlink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0"/>
  <sheetViews>
    <sheetView topLeftCell="A31" workbookViewId="0">
      <selection activeCell="F9" sqref="F9"/>
    </sheetView>
  </sheetViews>
  <sheetFormatPr defaultRowHeight="15" x14ac:dyDescent="0.25"/>
  <cols>
    <col min="1" max="1" width="2.85546875" style="3" customWidth="1"/>
    <col min="2" max="2" width="3.85546875" style="3" customWidth="1"/>
    <col min="3" max="3" width="32.5703125" style="3" customWidth="1"/>
    <col min="4" max="10" width="9.140625" style="3"/>
    <col min="11" max="11" width="13.710937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.75" x14ac:dyDescent="0.3">
      <c r="A2" s="1"/>
      <c r="B2" s="70" t="s">
        <v>166</v>
      </c>
      <c r="C2" s="71"/>
      <c r="D2" s="71"/>
      <c r="E2" s="72"/>
      <c r="F2" s="72"/>
      <c r="G2" s="72"/>
      <c r="H2" s="72"/>
      <c r="I2" s="72"/>
      <c r="J2" s="72"/>
      <c r="K2" s="6"/>
      <c r="L2" s="1"/>
    </row>
    <row r="3" spans="1:12" x14ac:dyDescent="0.25">
      <c r="A3" s="4"/>
      <c r="B3" s="4"/>
      <c r="C3" s="20" t="s">
        <v>40</v>
      </c>
      <c r="D3" s="4"/>
      <c r="E3" s="4"/>
      <c r="F3" s="4"/>
      <c r="G3" s="4"/>
      <c r="H3" s="4"/>
      <c r="I3" s="4"/>
      <c r="J3" s="4"/>
      <c r="K3" s="4"/>
      <c r="L3" s="4"/>
    </row>
    <row r="4" spans="1:12" ht="34.5" x14ac:dyDescent="0.25">
      <c r="A4" s="4"/>
      <c r="B4" s="4"/>
      <c r="C4" s="7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4"/>
    </row>
    <row r="5" spans="1:12" x14ac:dyDescent="0.25">
      <c r="A5" s="4"/>
      <c r="B5" s="4"/>
      <c r="C5" s="73"/>
      <c r="D5" s="73"/>
      <c r="E5" s="73"/>
      <c r="F5" s="73"/>
      <c r="G5" s="73"/>
      <c r="H5" s="73"/>
      <c r="I5" s="73"/>
      <c r="J5" s="73"/>
      <c r="K5" s="73"/>
      <c r="L5" s="4"/>
    </row>
    <row r="6" spans="1:12" x14ac:dyDescent="0.25">
      <c r="A6" s="76"/>
      <c r="B6" s="30" t="s">
        <v>132</v>
      </c>
      <c r="C6" s="30"/>
      <c r="D6" s="30"/>
      <c r="E6" s="30"/>
      <c r="F6" s="30"/>
      <c r="G6" s="30"/>
      <c r="H6" s="30"/>
      <c r="I6" s="30"/>
      <c r="J6" s="30"/>
      <c r="K6" s="30"/>
      <c r="L6" s="76"/>
    </row>
    <row r="7" spans="1:12" x14ac:dyDescent="0.25">
      <c r="A7" s="4"/>
      <c r="B7" s="4"/>
      <c r="C7" s="22"/>
      <c r="D7" s="38"/>
      <c r="E7" s="69"/>
      <c r="F7" s="40"/>
      <c r="G7" s="69"/>
      <c r="H7" s="69"/>
      <c r="I7" s="69"/>
      <c r="J7" s="88"/>
      <c r="K7" s="69"/>
      <c r="L7" s="19"/>
    </row>
    <row r="8" spans="1:12" x14ac:dyDescent="0.25">
      <c r="A8" s="4"/>
      <c r="B8" s="91" t="s">
        <v>128</v>
      </c>
      <c r="C8" s="22"/>
      <c r="D8" s="38"/>
      <c r="E8" s="38"/>
      <c r="F8" s="40"/>
      <c r="G8" s="69"/>
      <c r="H8" s="69"/>
      <c r="I8" s="69"/>
      <c r="J8" s="88"/>
      <c r="K8" s="38"/>
      <c r="L8" s="19"/>
    </row>
    <row r="9" spans="1:12" x14ac:dyDescent="0.25">
      <c r="A9" s="4"/>
      <c r="B9" s="104" t="str">
        <f>Contents!B10</f>
        <v>01</v>
      </c>
      <c r="C9" s="104" t="str">
        <f>Contents!C10</f>
        <v>PMC Meters Domestic</v>
      </c>
      <c r="D9" s="105"/>
      <c r="E9" s="38"/>
      <c r="F9" s="40">
        <f>'01'!F$26</f>
        <v>4.3759457313819663</v>
      </c>
      <c r="G9" s="69">
        <f>'01'!G$26</f>
        <v>4.1285976811080083</v>
      </c>
      <c r="H9" s="69">
        <f>'01'!H$26</f>
        <v>3.6881007354240882</v>
      </c>
      <c r="I9" s="69">
        <f>'01'!I$26</f>
        <v>2.8885502724342196</v>
      </c>
      <c r="J9" s="88">
        <f>'01'!J$26</f>
        <v>2.0034389179440848</v>
      </c>
      <c r="K9" s="38">
        <f>SUM(F9:J9)</f>
        <v>17.084633338292367</v>
      </c>
      <c r="L9" s="19"/>
    </row>
    <row r="10" spans="1:12" x14ac:dyDescent="0.25">
      <c r="A10" s="4"/>
      <c r="B10" s="104" t="str">
        <f>Contents!B11</f>
        <v>02</v>
      </c>
      <c r="C10" s="104" t="str">
        <f>Contents!C11</f>
        <v>PMC Meters I&amp;C&lt;10TJ</v>
      </c>
      <c r="D10" s="38"/>
      <c r="E10" s="38"/>
      <c r="F10" s="40">
        <f>'02'!F$26</f>
        <v>0.42187029019057126</v>
      </c>
      <c r="G10" s="69">
        <f>'02'!G$26</f>
        <v>0.47095911646151517</v>
      </c>
      <c r="H10" s="69">
        <f>'02'!H$26</f>
        <v>0.52623256021119669</v>
      </c>
      <c r="I10" s="69">
        <f>'02'!I$26</f>
        <v>0.50953528379138258</v>
      </c>
      <c r="J10" s="88">
        <f>'02'!J$26</f>
        <v>0.6640351024964527</v>
      </c>
      <c r="K10" s="38">
        <f t="shared" ref="K10:K32" si="0">SUM(F10:J10)</f>
        <v>2.5926323531511186</v>
      </c>
      <c r="L10" s="19"/>
    </row>
    <row r="11" spans="1:12" x14ac:dyDescent="0.25">
      <c r="A11" s="4"/>
      <c r="B11" s="104" t="str">
        <f>Contents!B12</f>
        <v>03</v>
      </c>
      <c r="C11" s="104" t="str">
        <f>Contents!C12</f>
        <v>Mains Renewal - Trunk (MP)</v>
      </c>
      <c r="D11" s="38"/>
      <c r="E11" s="38"/>
      <c r="F11" s="40">
        <f>'03'!F$26</f>
        <v>0</v>
      </c>
      <c r="G11" s="69">
        <f>'03'!G$26</f>
        <v>0</v>
      </c>
      <c r="H11" s="69">
        <f>'03'!H$26</f>
        <v>0</v>
      </c>
      <c r="I11" s="69">
        <f>'03'!I$26</f>
        <v>0</v>
      </c>
      <c r="J11" s="88">
        <f>'03'!J$26</f>
        <v>0</v>
      </c>
      <c r="K11" s="38">
        <f t="shared" si="0"/>
        <v>0</v>
      </c>
      <c r="L11" s="19"/>
    </row>
    <row r="12" spans="1:12" x14ac:dyDescent="0.25">
      <c r="A12" s="4"/>
      <c r="B12" s="104" t="str">
        <f>Contents!B13</f>
        <v>04</v>
      </c>
      <c r="C12" s="104" t="str">
        <f>Contents!C13</f>
        <v>Mains Renewal - Trunk (MP) Abandoned</v>
      </c>
      <c r="D12" s="38"/>
      <c r="E12" s="38"/>
      <c r="F12" s="40">
        <f>'04'!F$26</f>
        <v>0</v>
      </c>
      <c r="G12" s="69">
        <f>'04'!G$26</f>
        <v>0</v>
      </c>
      <c r="H12" s="69">
        <f>'04'!H$26</f>
        <v>0</v>
      </c>
      <c r="I12" s="69">
        <f>'04'!I$26</f>
        <v>0</v>
      </c>
      <c r="J12" s="88">
        <f>'04'!J$26</f>
        <v>0</v>
      </c>
      <c r="K12" s="38">
        <f t="shared" si="0"/>
        <v>0</v>
      </c>
      <c r="L12" s="19"/>
    </row>
    <row r="13" spans="1:12" x14ac:dyDescent="0.25">
      <c r="A13" s="4"/>
      <c r="B13" s="104" t="str">
        <f>Contents!B14</f>
        <v>05</v>
      </c>
      <c r="C13" s="104" t="str">
        <f>Contents!C14</f>
        <v>Mains Renewal - Piece (CI &amp; UPS)</v>
      </c>
      <c r="D13" s="38"/>
      <c r="E13" s="38"/>
      <c r="F13" s="40">
        <f>'05'!F$26</f>
        <v>0</v>
      </c>
      <c r="G13" s="69">
        <f>'05'!G$26</f>
        <v>0</v>
      </c>
      <c r="H13" s="69">
        <f>'05'!H$26</f>
        <v>0</v>
      </c>
      <c r="I13" s="69">
        <f>'05'!I$26</f>
        <v>0</v>
      </c>
      <c r="J13" s="88">
        <f>'05'!J$26</f>
        <v>0</v>
      </c>
      <c r="K13" s="38">
        <f t="shared" si="0"/>
        <v>0</v>
      </c>
      <c r="L13" s="19"/>
    </row>
    <row r="14" spans="1:12" x14ac:dyDescent="0.25">
      <c r="A14" s="4"/>
      <c r="B14" s="104" t="str">
        <f>Contents!B15</f>
        <v>06</v>
      </c>
      <c r="C14" s="104" t="str">
        <f>Contents!C15</f>
        <v>Mains Renewal - HDPE Class 250</v>
      </c>
      <c r="D14" s="38"/>
      <c r="E14" s="38"/>
      <c r="F14" s="40">
        <f>'06'!F$26</f>
        <v>0</v>
      </c>
      <c r="G14" s="69">
        <f>'06'!G$26</f>
        <v>0</v>
      </c>
      <c r="H14" s="69">
        <f>'06'!H$26</f>
        <v>0</v>
      </c>
      <c r="I14" s="69">
        <f>'06'!I$26</f>
        <v>0</v>
      </c>
      <c r="J14" s="88">
        <f>'06'!J$26</f>
        <v>0</v>
      </c>
      <c r="K14" s="38">
        <f t="shared" si="0"/>
        <v>0</v>
      </c>
      <c r="L14" s="19"/>
    </row>
    <row r="15" spans="1:12" x14ac:dyDescent="0.25">
      <c r="A15" s="4"/>
      <c r="B15" s="104" t="str">
        <f>Contents!B16</f>
        <v>07</v>
      </c>
      <c r="C15" s="104" t="str">
        <f>Contents!C16</f>
        <v>Mains Renewal - HDPE Class 575</v>
      </c>
      <c r="D15" s="38"/>
      <c r="E15" s="38"/>
      <c r="F15" s="40">
        <f>'07'!F$26</f>
        <v>0</v>
      </c>
      <c r="G15" s="69">
        <f>'07'!G$26</f>
        <v>0</v>
      </c>
      <c r="H15" s="69">
        <f>'07'!H$26</f>
        <v>0</v>
      </c>
      <c r="I15" s="69">
        <f>'07'!I$26</f>
        <v>0</v>
      </c>
      <c r="J15" s="88">
        <f>'07'!J$26</f>
        <v>0</v>
      </c>
      <c r="K15" s="38">
        <f t="shared" si="0"/>
        <v>0</v>
      </c>
      <c r="L15" s="19"/>
    </row>
    <row r="16" spans="1:12" x14ac:dyDescent="0.25">
      <c r="A16" s="4"/>
      <c r="B16" s="104" t="str">
        <f>Contents!B17</f>
        <v>08</v>
      </c>
      <c r="C16" s="104" t="str">
        <f>Contents!C17</f>
        <v>Mains Renewal - Block</v>
      </c>
      <c r="D16" s="38"/>
      <c r="E16" s="38"/>
      <c r="F16" s="40">
        <f>'08'!F$26</f>
        <v>0</v>
      </c>
      <c r="G16" s="69">
        <f>'08'!G$26</f>
        <v>0</v>
      </c>
      <c r="H16" s="69">
        <f>'08'!H$26</f>
        <v>0</v>
      </c>
      <c r="I16" s="69">
        <f>'08'!I$26</f>
        <v>0</v>
      </c>
      <c r="J16" s="88">
        <f>'08'!J$26</f>
        <v>0</v>
      </c>
      <c r="K16" s="38">
        <f t="shared" si="0"/>
        <v>0</v>
      </c>
      <c r="L16" s="19"/>
    </row>
    <row r="17" spans="1:12" x14ac:dyDescent="0.25">
      <c r="A17" s="4"/>
      <c r="B17" s="104" t="str">
        <f>Contents!B18</f>
        <v>09</v>
      </c>
      <c r="C17" s="104" t="str">
        <f>Contents!C18</f>
        <v>Mains Renewal - Block CBD - Trunk</v>
      </c>
      <c r="D17" s="38"/>
      <c r="E17" s="38"/>
      <c r="F17" s="40">
        <f>'09'!F$26</f>
        <v>0</v>
      </c>
      <c r="G17" s="69">
        <f>'09'!G$26</f>
        <v>0</v>
      </c>
      <c r="H17" s="69">
        <f>'09'!H$26</f>
        <v>0</v>
      </c>
      <c r="I17" s="69">
        <f>'09'!I$26</f>
        <v>0</v>
      </c>
      <c r="J17" s="88">
        <f>'09'!J$26</f>
        <v>0</v>
      </c>
      <c r="K17" s="38">
        <f t="shared" si="0"/>
        <v>0</v>
      </c>
      <c r="L17" s="19"/>
    </row>
    <row r="18" spans="1:12" x14ac:dyDescent="0.25">
      <c r="A18" s="4"/>
      <c r="B18" s="104" t="str">
        <f>Contents!B19</f>
        <v>10</v>
      </c>
      <c r="C18" s="104" t="str">
        <f>Contents!C19</f>
        <v>Mains Renewal - Piece (HDPE)</v>
      </c>
      <c r="D18" s="38"/>
      <c r="E18" s="38"/>
      <c r="F18" s="40">
        <f>'10'!F$26</f>
        <v>0</v>
      </c>
      <c r="G18" s="69">
        <f>'10'!G$26</f>
        <v>0</v>
      </c>
      <c r="H18" s="69">
        <f>'10'!H$26</f>
        <v>0</v>
      </c>
      <c r="I18" s="69">
        <f>'10'!I$26</f>
        <v>0</v>
      </c>
      <c r="J18" s="88">
        <f>'10'!J$26</f>
        <v>0</v>
      </c>
      <c r="K18" s="38">
        <f t="shared" si="0"/>
        <v>0</v>
      </c>
      <c r="L18" s="19"/>
    </row>
    <row r="19" spans="1:12" x14ac:dyDescent="0.25">
      <c r="A19" s="4"/>
      <c r="B19" s="104" t="str">
        <f>Contents!B20</f>
        <v>11</v>
      </c>
      <c r="C19" s="104" t="str">
        <f>Contents!C20</f>
        <v>Mains Renewal - SA CBD Abandoned</v>
      </c>
      <c r="D19" s="38"/>
      <c r="E19" s="38"/>
      <c r="F19" s="40">
        <f>'11'!F$26</f>
        <v>0</v>
      </c>
      <c r="G19" s="69">
        <f>'11'!G$26</f>
        <v>0</v>
      </c>
      <c r="H19" s="69">
        <f>'11'!H$26</f>
        <v>0</v>
      </c>
      <c r="I19" s="69">
        <f>'11'!I$26</f>
        <v>0</v>
      </c>
      <c r="J19" s="88">
        <f>'11'!J$26</f>
        <v>0</v>
      </c>
      <c r="K19" s="38">
        <f t="shared" si="0"/>
        <v>0</v>
      </c>
      <c r="L19" s="19"/>
    </row>
    <row r="20" spans="1:12" x14ac:dyDescent="0.25">
      <c r="A20" s="4"/>
      <c r="B20" s="104" t="str">
        <f>Contents!B21</f>
        <v>12</v>
      </c>
      <c r="C20" s="104" t="str">
        <f>Contents!C21</f>
        <v>Mains Renewal - Block CBD - Retic</v>
      </c>
      <c r="D20" s="38"/>
      <c r="E20" s="38"/>
      <c r="F20" s="40">
        <f>'12'!F$26</f>
        <v>0</v>
      </c>
      <c r="G20" s="69">
        <f>'12'!G$26</f>
        <v>0</v>
      </c>
      <c r="H20" s="69">
        <f>'12'!H$26</f>
        <v>0</v>
      </c>
      <c r="I20" s="69">
        <f>'12'!I$26</f>
        <v>0</v>
      </c>
      <c r="J20" s="88">
        <f>'12'!J$26</f>
        <v>0</v>
      </c>
      <c r="K20" s="38">
        <f t="shared" si="0"/>
        <v>0</v>
      </c>
      <c r="L20" s="19"/>
    </row>
    <row r="21" spans="1:12" x14ac:dyDescent="0.25">
      <c r="A21" s="4"/>
      <c r="B21" s="104" t="str">
        <f>Contents!B22</f>
        <v>13</v>
      </c>
      <c r="C21" s="104" t="str">
        <f>Contents!C22</f>
        <v>Service Renewal - Multi User</v>
      </c>
      <c r="D21" s="38"/>
      <c r="E21" s="38"/>
      <c r="F21" s="40">
        <f>'13'!F$26</f>
        <v>0</v>
      </c>
      <c r="G21" s="69">
        <f>'13'!G$26</f>
        <v>0</v>
      </c>
      <c r="H21" s="69">
        <f>'13'!H$26</f>
        <v>0</v>
      </c>
      <c r="I21" s="69">
        <f>'13'!I$26</f>
        <v>0</v>
      </c>
      <c r="J21" s="88">
        <f>'13'!J$26</f>
        <v>0</v>
      </c>
      <c r="K21" s="38">
        <f t="shared" si="0"/>
        <v>0</v>
      </c>
      <c r="L21" s="19"/>
    </row>
    <row r="22" spans="1:12" x14ac:dyDescent="0.25">
      <c r="A22" s="4"/>
      <c r="B22" s="104" t="str">
        <f>Contents!B23</f>
        <v>14</v>
      </c>
      <c r="C22" s="104" t="str">
        <f>Contents!C23</f>
        <v>Service Renewal - Non AMRP</v>
      </c>
      <c r="D22" s="38"/>
      <c r="E22" s="38"/>
      <c r="F22" s="40">
        <f>'14'!F$26</f>
        <v>0</v>
      </c>
      <c r="G22" s="69">
        <f>'14'!G$26</f>
        <v>0</v>
      </c>
      <c r="H22" s="69">
        <f>'14'!H$26</f>
        <v>0</v>
      </c>
      <c r="I22" s="69">
        <f>'14'!I$26</f>
        <v>0</v>
      </c>
      <c r="J22" s="88">
        <f>'14'!J$26</f>
        <v>0</v>
      </c>
      <c r="K22" s="38">
        <f t="shared" si="0"/>
        <v>0</v>
      </c>
      <c r="L22" s="19"/>
    </row>
    <row r="23" spans="1:12" x14ac:dyDescent="0.25">
      <c r="A23" s="4"/>
      <c r="B23" s="104" t="str">
        <f>Contents!B24</f>
        <v>15</v>
      </c>
      <c r="C23" s="104" t="str">
        <f>Contents!C24</f>
        <v>New Main - Estate</v>
      </c>
      <c r="D23" s="38"/>
      <c r="E23" s="38"/>
      <c r="F23" s="40">
        <f>'15'!F$26</f>
        <v>1.6056748004105499</v>
      </c>
      <c r="G23" s="69">
        <f>'15'!G$26</f>
        <v>1.5063883422315558</v>
      </c>
      <c r="H23" s="69">
        <f>'15'!H$26</f>
        <v>1.572373948972593</v>
      </c>
      <c r="I23" s="69">
        <f>'15'!I$26</f>
        <v>1.6861123421370157</v>
      </c>
      <c r="J23" s="88">
        <f>'15'!J$26</f>
        <v>1.734921342816423</v>
      </c>
      <c r="K23" s="38">
        <f t="shared" si="0"/>
        <v>8.1054707765681364</v>
      </c>
      <c r="L23" s="19"/>
    </row>
    <row r="24" spans="1:12" x14ac:dyDescent="0.25">
      <c r="A24" s="4"/>
      <c r="B24" s="104" t="str">
        <f>Contents!B25</f>
        <v>16</v>
      </c>
      <c r="C24" s="104" t="str">
        <f>Contents!C25</f>
        <v>New Main - Existing Domestic</v>
      </c>
      <c r="D24" s="38"/>
      <c r="E24" s="38"/>
      <c r="F24" s="40">
        <f>'16'!F$26</f>
        <v>1.4366459763858894</v>
      </c>
      <c r="G24" s="69">
        <f>'16'!G$26</f>
        <v>1.4448133692735146</v>
      </c>
      <c r="H24" s="69">
        <f>'16'!H$26</f>
        <v>1.4623858772173506</v>
      </c>
      <c r="I24" s="69">
        <f>'16'!I$26</f>
        <v>1.5022425472367953</v>
      </c>
      <c r="J24" s="88">
        <f>'16'!J$26</f>
        <v>1.5211028956618866</v>
      </c>
      <c r="K24" s="38">
        <f t="shared" si="0"/>
        <v>7.3671906657754365</v>
      </c>
      <c r="L24" s="19"/>
    </row>
    <row r="25" spans="1:12" x14ac:dyDescent="0.25">
      <c r="A25" s="4"/>
      <c r="B25" s="104" t="str">
        <f>Contents!B26</f>
        <v>17</v>
      </c>
      <c r="C25" s="104" t="str">
        <f>Contents!C26</f>
        <v>New Main - I&amp;C&lt;10TJ</v>
      </c>
      <c r="D25" s="38"/>
      <c r="E25" s="38"/>
      <c r="F25" s="40">
        <f>'17'!F$26</f>
        <v>0.80566333908946974</v>
      </c>
      <c r="G25" s="69">
        <f>'17'!G$26</f>
        <v>0.71804581963929182</v>
      </c>
      <c r="H25" s="69">
        <f>'17'!H$26</f>
        <v>0.86424082977834737</v>
      </c>
      <c r="I25" s="69">
        <f>'17'!I$26</f>
        <v>0.8926342223755388</v>
      </c>
      <c r="J25" s="88">
        <f>'17'!J$26</f>
        <v>0.90073158828373578</v>
      </c>
      <c r="K25" s="38">
        <f t="shared" si="0"/>
        <v>4.1813157991663834</v>
      </c>
      <c r="L25" s="19"/>
    </row>
    <row r="26" spans="1:12" x14ac:dyDescent="0.25">
      <c r="A26" s="4"/>
      <c r="B26" s="104" t="str">
        <f>Contents!B27</f>
        <v>18</v>
      </c>
      <c r="C26" s="104" t="str">
        <f>Contents!C27</f>
        <v>Meter - Growth - Domestic</v>
      </c>
      <c r="D26" s="38"/>
      <c r="E26" s="38"/>
      <c r="F26" s="40">
        <f>'18'!F$26</f>
        <v>2.2829981594804147</v>
      </c>
      <c r="G26" s="69">
        <f>'18'!G$26</f>
        <v>2.1793579323999759</v>
      </c>
      <c r="H26" s="69">
        <f>'18'!H$26</f>
        <v>2.2528095999627031</v>
      </c>
      <c r="I26" s="69">
        <f>'18'!I$26</f>
        <v>2.4072468290855533</v>
      </c>
      <c r="J26" s="88">
        <f>'18'!J$26</f>
        <v>2.3789019682313954</v>
      </c>
      <c r="K26" s="38">
        <f t="shared" si="0"/>
        <v>11.501314489160041</v>
      </c>
      <c r="L26" s="19"/>
    </row>
    <row r="27" spans="1:12" x14ac:dyDescent="0.25">
      <c r="A27" s="4"/>
      <c r="B27" s="104" t="str">
        <f>Contents!B28</f>
        <v>19</v>
      </c>
      <c r="C27" s="104" t="str">
        <f>Contents!C28</f>
        <v>I&amp;C Meters&lt;10TJ</v>
      </c>
      <c r="D27" s="38"/>
      <c r="E27" s="38"/>
      <c r="F27" s="40">
        <f>'19'!F$26</f>
        <v>1.1267617474560074</v>
      </c>
      <c r="G27" s="69">
        <f>'19'!G$26</f>
        <v>1.0015123688890404</v>
      </c>
      <c r="H27" s="69">
        <f>'19'!H$26</f>
        <v>1.2019674160734328</v>
      </c>
      <c r="I27" s="69">
        <f>'19'!I$26</f>
        <v>1.2368991426046032</v>
      </c>
      <c r="J27" s="88">
        <f>'19'!J$26</f>
        <v>1.2392295408186589</v>
      </c>
      <c r="K27" s="38">
        <f t="shared" si="0"/>
        <v>5.806370215841743</v>
      </c>
      <c r="L27" s="19"/>
    </row>
    <row r="28" spans="1:12" x14ac:dyDescent="0.25">
      <c r="A28" s="4"/>
      <c r="B28" s="104" t="str">
        <f>Contents!B29</f>
        <v>20</v>
      </c>
      <c r="C28" s="104" t="str">
        <f>Contents!C29</f>
        <v>New Service - New Home</v>
      </c>
      <c r="D28" s="38"/>
      <c r="E28" s="38"/>
      <c r="F28" s="40">
        <f>'20'!F$26</f>
        <v>6.6260864050207182</v>
      </c>
      <c r="G28" s="69">
        <f>'20'!G$26</f>
        <v>6.2174519433066937</v>
      </c>
      <c r="H28" s="69">
        <f>'20'!H$26</f>
        <v>6.4897972829077508</v>
      </c>
      <c r="I28" s="69">
        <f>'20'!I$26</f>
        <v>6.9592317433585622</v>
      </c>
      <c r="J28" s="88">
        <f>'20'!J$26</f>
        <v>7.1606893201635087</v>
      </c>
      <c r="K28" s="38">
        <f t="shared" si="0"/>
        <v>33.453256694757229</v>
      </c>
      <c r="L28" s="19"/>
    </row>
    <row r="29" spans="1:12" x14ac:dyDescent="0.25">
      <c r="A29" s="4"/>
      <c r="B29" s="104" t="str">
        <f>Contents!B30</f>
        <v>21</v>
      </c>
      <c r="C29" s="104" t="str">
        <f>Contents!C30</f>
        <v>New Service - Exist Home</v>
      </c>
      <c r="D29" s="38"/>
      <c r="E29" s="38"/>
      <c r="F29" s="40">
        <f>'21'!F$26</f>
        <v>2.942883192309206</v>
      </c>
      <c r="G29" s="69">
        <f>'21'!G$26</f>
        <v>2.9706154631882051</v>
      </c>
      <c r="H29" s="69">
        <f>'21'!H$26</f>
        <v>3.0068149752906299</v>
      </c>
      <c r="I29" s="69">
        <f>'21'!I$26</f>
        <v>3.0604625077987899</v>
      </c>
      <c r="J29" s="88">
        <f>'21'!J$26</f>
        <v>3.0992102915330189</v>
      </c>
      <c r="K29" s="38">
        <f t="shared" si="0"/>
        <v>15.079986430119849</v>
      </c>
      <c r="L29" s="19"/>
    </row>
    <row r="30" spans="1:12" x14ac:dyDescent="0.25">
      <c r="A30" s="4"/>
      <c r="B30" s="104" t="str">
        <f>Contents!B31</f>
        <v>22</v>
      </c>
      <c r="C30" s="104" t="str">
        <f>Contents!C31</f>
        <v>New Service - Multi User</v>
      </c>
      <c r="D30" s="38"/>
      <c r="E30" s="38"/>
      <c r="F30" s="40">
        <f>'22'!F$26</f>
        <v>0.89733929309253602</v>
      </c>
      <c r="G30" s="69">
        <f>'22'!G$26</f>
        <v>0.84314988585927564</v>
      </c>
      <c r="H30" s="69">
        <f>'22'!H$26</f>
        <v>0.85193005870751637</v>
      </c>
      <c r="I30" s="69">
        <f>'22'!I$26</f>
        <v>1.0222792330687798</v>
      </c>
      <c r="J30" s="88">
        <f>'22'!J$26</f>
        <v>1.0281243769614061</v>
      </c>
      <c r="K30" s="38">
        <f t="shared" si="0"/>
        <v>4.6428228476895139</v>
      </c>
      <c r="L30" s="19"/>
    </row>
    <row r="31" spans="1:12" x14ac:dyDescent="0.25">
      <c r="A31" s="4"/>
      <c r="B31" s="104" t="str">
        <f>Contents!B32</f>
        <v>23</v>
      </c>
      <c r="C31" s="104" t="str">
        <f>Contents!C32</f>
        <v>New Service - I&amp;C &lt; 10 Tj</v>
      </c>
      <c r="D31" s="38"/>
      <c r="E31" s="38"/>
      <c r="F31" s="40">
        <f>'23'!F$26</f>
        <v>1.2744812534911725</v>
      </c>
      <c r="G31" s="69">
        <f>'23'!G$26</f>
        <v>1.1358795893539555</v>
      </c>
      <c r="H31" s="69">
        <f>'23'!H$26</f>
        <v>1.3671841337637614</v>
      </c>
      <c r="I31" s="69">
        <f>'23'!I$26</f>
        <v>1.4120944476632138</v>
      </c>
      <c r="J31" s="88">
        <f>'23'!J$26</f>
        <v>1.4246038293276211</v>
      </c>
      <c r="K31" s="38">
        <f t="shared" si="0"/>
        <v>6.6142432535997244</v>
      </c>
      <c r="L31" s="19"/>
    </row>
    <row r="32" spans="1:12" x14ac:dyDescent="0.25">
      <c r="A32" s="4"/>
      <c r="B32" s="104" t="str">
        <f>Contents!B33</f>
        <v>24</v>
      </c>
      <c r="C32" s="104" t="str">
        <f>Contents!C33</f>
        <v>MAINS RENEWAL - BLOCK (SA CBD - UPGRADE)</v>
      </c>
      <c r="D32" s="38"/>
      <c r="E32" s="38"/>
      <c r="F32" s="56">
        <f>'24'!F$26</f>
        <v>0</v>
      </c>
      <c r="G32" s="85">
        <f>'24'!G$26</f>
        <v>0</v>
      </c>
      <c r="H32" s="85">
        <f>'24'!H$26</f>
        <v>0</v>
      </c>
      <c r="I32" s="85">
        <f>'24'!I$26</f>
        <v>0</v>
      </c>
      <c r="J32" s="96">
        <f>'24'!J$26</f>
        <v>0</v>
      </c>
      <c r="K32" s="38">
        <f t="shared" si="0"/>
        <v>0</v>
      </c>
      <c r="L32" s="120"/>
    </row>
    <row r="33" spans="1:12" ht="15.75" thickBot="1" x14ac:dyDescent="0.3">
      <c r="A33" s="4"/>
      <c r="B33" s="106"/>
      <c r="C33" s="106" t="s">
        <v>131</v>
      </c>
      <c r="D33" s="107"/>
      <c r="E33" s="107"/>
      <c r="F33" s="108">
        <f>SUM(F9:F32)</f>
        <v>23.796350188308502</v>
      </c>
      <c r="G33" s="109">
        <f t="shared" ref="G33:J33" si="1">SUM(G9:G32)</f>
        <v>22.616771511711033</v>
      </c>
      <c r="H33" s="109">
        <f t="shared" si="1"/>
        <v>23.283837418309371</v>
      </c>
      <c r="I33" s="109">
        <f t="shared" si="1"/>
        <v>23.577288571554455</v>
      </c>
      <c r="J33" s="110">
        <f t="shared" si="1"/>
        <v>23.154989174238196</v>
      </c>
      <c r="K33" s="107">
        <f>SUM(F33:J33)</f>
        <v>116.42923686412156</v>
      </c>
      <c r="L33" s="121"/>
    </row>
    <row r="34" spans="1:12" x14ac:dyDescent="0.25">
      <c r="A34" s="4"/>
      <c r="B34" s="89"/>
      <c r="C34" s="89"/>
      <c r="D34" s="38"/>
      <c r="E34" s="38"/>
      <c r="F34" s="40"/>
      <c r="G34" s="69"/>
      <c r="H34" s="69"/>
      <c r="I34" s="69"/>
      <c r="J34" s="88"/>
      <c r="K34" s="38"/>
      <c r="L34" s="120"/>
    </row>
    <row r="35" spans="1:12" x14ac:dyDescent="0.25">
      <c r="A35" s="4"/>
      <c r="B35" s="91" t="s">
        <v>129</v>
      </c>
      <c r="C35" s="90"/>
      <c r="D35" s="38"/>
      <c r="E35" s="38"/>
      <c r="F35" s="40"/>
      <c r="G35" s="69"/>
      <c r="H35" s="69"/>
      <c r="I35" s="69"/>
      <c r="J35" s="88"/>
      <c r="K35" s="38"/>
      <c r="L35" s="120"/>
    </row>
    <row r="36" spans="1:12" x14ac:dyDescent="0.25">
      <c r="A36" s="4"/>
      <c r="B36" s="104" t="str">
        <f>Contents!B35</f>
        <v>25</v>
      </c>
      <c r="C36" s="104" t="str">
        <f>Contents!C35</f>
        <v>Telemetry</v>
      </c>
      <c r="D36" s="38"/>
      <c r="E36" s="38"/>
      <c r="F36" s="40">
        <f>'25'!F$24</f>
        <v>0.35267194156852588</v>
      </c>
      <c r="G36" s="69">
        <f>'25'!G$24</f>
        <v>0.27349513917923773</v>
      </c>
      <c r="H36" s="69">
        <f>'25'!H$24</f>
        <v>0.23931131925505941</v>
      </c>
      <c r="I36" s="69">
        <f>'25'!I$24</f>
        <v>0.25173437799274195</v>
      </c>
      <c r="J36" s="88">
        <f>'25'!J$24</f>
        <v>0.16572548311718169</v>
      </c>
      <c r="K36" s="38">
        <f>SUM(F36:J36)</f>
        <v>1.2829382611127467</v>
      </c>
      <c r="L36" s="120"/>
    </row>
    <row r="37" spans="1:12" x14ac:dyDescent="0.25">
      <c r="A37" s="4"/>
      <c r="B37" s="104" t="str">
        <f>Contents!B36</f>
        <v>26</v>
      </c>
      <c r="C37" s="104" t="str">
        <f>Contents!C36</f>
        <v>Regulator - S I B</v>
      </c>
      <c r="D37" s="38"/>
      <c r="E37" s="38"/>
      <c r="F37" s="40">
        <f>'26'!F$24</f>
        <v>2.3772383622187494</v>
      </c>
      <c r="G37" s="69">
        <f>'26'!G$24</f>
        <v>2.4111262692333919</v>
      </c>
      <c r="H37" s="69">
        <f>'26'!H$24</f>
        <v>2.6398836224030617</v>
      </c>
      <c r="I37" s="69">
        <f>'26'!I$24</f>
        <v>2.6953656819755647</v>
      </c>
      <c r="J37" s="88">
        <f>'26'!J$24</f>
        <v>2.486141595659582</v>
      </c>
      <c r="K37" s="38">
        <f t="shared" ref="K37:K44" si="2">SUM(F37:J37)</f>
        <v>12.60975553149035</v>
      </c>
      <c r="L37" s="120"/>
    </row>
    <row r="38" spans="1:12" x14ac:dyDescent="0.25">
      <c r="A38" s="4"/>
      <c r="B38" s="104" t="str">
        <f>Contents!B37</f>
        <v>27</v>
      </c>
      <c r="C38" s="104" t="str">
        <f>Contents!C37</f>
        <v>Information Technology</v>
      </c>
      <c r="D38" s="38"/>
      <c r="E38" s="38"/>
      <c r="F38" s="40">
        <f>'27'!F$24</f>
        <v>10.351908300581879</v>
      </c>
      <c r="G38" s="69">
        <f>'27'!G$24</f>
        <v>15.213766705231071</v>
      </c>
      <c r="H38" s="69">
        <f>'27'!H$24</f>
        <v>9.2852856088497369</v>
      </c>
      <c r="I38" s="69">
        <f>'27'!I$24</f>
        <v>3.0704320675165708</v>
      </c>
      <c r="J38" s="88">
        <f>'27'!J$24</f>
        <v>5.723189114087468</v>
      </c>
      <c r="K38" s="38">
        <f t="shared" si="2"/>
        <v>43.644581796266721</v>
      </c>
      <c r="L38" s="120"/>
    </row>
    <row r="39" spans="1:12" x14ac:dyDescent="0.25">
      <c r="A39" s="4"/>
      <c r="B39" s="104" t="str">
        <f>Contents!B38</f>
        <v>28</v>
      </c>
      <c r="C39" s="104" t="str">
        <f>Contents!C38</f>
        <v>Other Dist.System</v>
      </c>
      <c r="D39" s="38"/>
      <c r="E39" s="38"/>
      <c r="F39" s="40">
        <f>'28'!F$24</f>
        <v>2.4996912326431637</v>
      </c>
      <c r="G39" s="69">
        <f>'28'!G$24</f>
        <v>2.311761886665658</v>
      </c>
      <c r="H39" s="69">
        <f>'28'!H$24</f>
        <v>2.3286795953585573</v>
      </c>
      <c r="I39" s="69">
        <f>'28'!I$24</f>
        <v>2.2125448634914076</v>
      </c>
      <c r="J39" s="88">
        <f>'28'!J$24</f>
        <v>2.2222864178689115</v>
      </c>
      <c r="K39" s="38">
        <f t="shared" si="2"/>
        <v>11.574963996027698</v>
      </c>
      <c r="L39" s="120"/>
    </row>
    <row r="40" spans="1:12" x14ac:dyDescent="0.25">
      <c r="A40" s="4"/>
      <c r="B40" s="104" t="str">
        <f>Contents!B39</f>
        <v>29</v>
      </c>
      <c r="C40" s="104" t="str">
        <f>Contents!C39</f>
        <v>Other - Non-Dist.System</v>
      </c>
      <c r="D40" s="38"/>
      <c r="E40" s="38"/>
      <c r="F40" s="40">
        <f>'29'!F$24</f>
        <v>1.5276270161536252</v>
      </c>
      <c r="G40" s="69">
        <f>'29'!G$24</f>
        <v>1.1905496731001246</v>
      </c>
      <c r="H40" s="69">
        <f>'29'!H$24</f>
        <v>1.0049819790634977</v>
      </c>
      <c r="I40" s="69">
        <f>'29'!I$24</f>
        <v>1.0136672660007124</v>
      </c>
      <c r="J40" s="88">
        <f>'29'!J$24</f>
        <v>1.0133137635041378</v>
      </c>
      <c r="K40" s="38">
        <f t="shared" si="2"/>
        <v>5.7501396978220978</v>
      </c>
      <c r="L40" s="120"/>
    </row>
    <row r="41" spans="1:12" x14ac:dyDescent="0.25">
      <c r="A41" s="4"/>
      <c r="B41" s="104" t="str">
        <f>Contents!B40</f>
        <v>30</v>
      </c>
      <c r="C41" s="104" t="str">
        <f>Contents!C40</f>
        <v>Large Consumers</v>
      </c>
      <c r="D41" s="38"/>
      <c r="E41" s="38"/>
      <c r="F41" s="40">
        <f>'30'!F$24</f>
        <v>0.28481168196778051</v>
      </c>
      <c r="G41" s="69">
        <f>'30'!G$24</f>
        <v>0.28729673760755792</v>
      </c>
      <c r="H41" s="69">
        <f>'30'!H$24</f>
        <v>0.29056256614275378</v>
      </c>
      <c r="I41" s="69">
        <f>'30'!I$24</f>
        <v>0.29547538002804835</v>
      </c>
      <c r="J41" s="88">
        <f>'30'!J$24</f>
        <v>0.29885728429376096</v>
      </c>
      <c r="K41" s="38">
        <f t="shared" si="2"/>
        <v>1.4570036500399015</v>
      </c>
      <c r="L41" s="120"/>
    </row>
    <row r="42" spans="1:12" x14ac:dyDescent="0.25">
      <c r="A42" s="4"/>
      <c r="B42" s="104" t="str">
        <f>Contents!B41</f>
        <v>31</v>
      </c>
      <c r="C42" s="104" t="str">
        <f>Contents!C41</f>
        <v>Mains Augmentation</v>
      </c>
      <c r="D42" s="38"/>
      <c r="E42" s="38"/>
      <c r="F42" s="40">
        <f>'31'!F$24</f>
        <v>0.70427165164342875</v>
      </c>
      <c r="G42" s="69">
        <f>'31'!G$24</f>
        <v>0.58079406010422863</v>
      </c>
      <c r="H42" s="69">
        <f>'31'!H$24</f>
        <v>1.3363107769090294</v>
      </c>
      <c r="I42" s="69">
        <f>'31'!I$24</f>
        <v>1.9811470673400644</v>
      </c>
      <c r="J42" s="88">
        <f>'31'!J$24</f>
        <v>0.19545629576092841</v>
      </c>
      <c r="K42" s="38">
        <f t="shared" si="2"/>
        <v>4.7979798517576802</v>
      </c>
      <c r="L42" s="120"/>
    </row>
    <row r="43" spans="1:12" x14ac:dyDescent="0.25">
      <c r="A43" s="4"/>
      <c r="B43" s="104" t="str">
        <f>Contents!B42</f>
        <v>32</v>
      </c>
      <c r="C43" s="104" t="str">
        <f>Contents!C42</f>
        <v>Growth New Areas</v>
      </c>
      <c r="D43" s="38"/>
      <c r="E43" s="38"/>
      <c r="F43" s="40">
        <f>'32'!F$24</f>
        <v>0</v>
      </c>
      <c r="G43" s="69">
        <f>'32'!G$24</f>
        <v>0</v>
      </c>
      <c r="H43" s="69">
        <f>'32'!H$24</f>
        <v>0</v>
      </c>
      <c r="I43" s="69">
        <f>'32'!I$24</f>
        <v>0</v>
      </c>
      <c r="J43" s="88">
        <f>'32'!J$24</f>
        <v>0</v>
      </c>
      <c r="K43" s="38">
        <f t="shared" si="2"/>
        <v>0</v>
      </c>
      <c r="L43" s="120"/>
    </row>
    <row r="44" spans="1:12" x14ac:dyDescent="0.25">
      <c r="A44" s="4"/>
      <c r="B44" s="104" t="s">
        <v>242</v>
      </c>
      <c r="C44" s="104" t="s">
        <v>243</v>
      </c>
      <c r="D44" s="38"/>
      <c r="E44" s="38"/>
      <c r="F44" s="56">
        <f>'33'!F24</f>
        <v>38.20145941547937</v>
      </c>
      <c r="G44" s="85">
        <f>'33'!G24</f>
        <v>38.536667572797114</v>
      </c>
      <c r="H44" s="85">
        <f>'33'!H24</f>
        <v>38.976518741004909</v>
      </c>
      <c r="I44" s="85">
        <f>'33'!I24</f>
        <v>39.638208421799796</v>
      </c>
      <c r="J44" s="96">
        <f>'33'!J24</f>
        <v>40.098927629616526</v>
      </c>
      <c r="K44" s="38">
        <f t="shared" si="2"/>
        <v>195.45178178069773</v>
      </c>
      <c r="L44" s="120"/>
    </row>
    <row r="45" spans="1:12" ht="15.75" thickBot="1" x14ac:dyDescent="0.3">
      <c r="A45" s="4"/>
      <c r="B45" s="106"/>
      <c r="C45" s="106" t="s">
        <v>131</v>
      </c>
      <c r="D45" s="107"/>
      <c r="E45" s="107"/>
      <c r="F45" s="111">
        <f t="shared" ref="F45:J45" si="3">SUM(F36:F44)</f>
        <v>56.299679602256518</v>
      </c>
      <c r="G45" s="107">
        <f t="shared" si="3"/>
        <v>60.805458043918385</v>
      </c>
      <c r="H45" s="107">
        <f t="shared" si="3"/>
        <v>56.101534208986607</v>
      </c>
      <c r="I45" s="107">
        <f t="shared" si="3"/>
        <v>51.158575126144903</v>
      </c>
      <c r="J45" s="112">
        <f t="shared" si="3"/>
        <v>52.2038975839085</v>
      </c>
      <c r="K45" s="107">
        <f>SUM(F45:J45)</f>
        <v>276.56914456521491</v>
      </c>
      <c r="L45" s="121"/>
    </row>
    <row r="46" spans="1:12" x14ac:dyDescent="0.25">
      <c r="A46" s="4"/>
      <c r="B46" s="94"/>
      <c r="C46" s="94"/>
      <c r="D46" s="51"/>
      <c r="E46" s="51"/>
      <c r="F46" s="51"/>
      <c r="G46" s="51"/>
      <c r="H46" s="51"/>
      <c r="I46" s="51"/>
      <c r="J46" s="51"/>
      <c r="K46" s="51"/>
      <c r="L46" s="95"/>
    </row>
    <row r="47" spans="1:12" ht="15.75" thickBot="1" x14ac:dyDescent="0.3">
      <c r="A47" s="4"/>
      <c r="B47" s="93"/>
      <c r="C47" s="93" t="s">
        <v>130</v>
      </c>
      <c r="D47" s="122"/>
      <c r="E47" s="122"/>
      <c r="F47" s="123">
        <f>F33+F45</f>
        <v>80.096029790565012</v>
      </c>
      <c r="G47" s="122">
        <f t="shared" ref="G47:J47" si="4">G33+G45</f>
        <v>83.422229555629414</v>
      </c>
      <c r="H47" s="122">
        <f t="shared" si="4"/>
        <v>79.385371627295982</v>
      </c>
      <c r="I47" s="122">
        <f t="shared" si="4"/>
        <v>74.735863697699358</v>
      </c>
      <c r="J47" s="124">
        <f t="shared" si="4"/>
        <v>75.358886758146696</v>
      </c>
      <c r="K47" s="122">
        <f>SUM(F47:J47)</f>
        <v>392.99838142933646</v>
      </c>
      <c r="L47" s="95"/>
    </row>
    <row r="48" spans="1:12" x14ac:dyDescent="0.25">
      <c r="A48" s="4"/>
      <c r="B48" s="94"/>
      <c r="C48" s="94"/>
      <c r="D48" s="51"/>
      <c r="E48" s="51"/>
      <c r="F48" s="51"/>
      <c r="G48" s="51"/>
      <c r="H48" s="51"/>
      <c r="I48" s="51"/>
      <c r="J48" s="51"/>
      <c r="K48" s="51"/>
      <c r="L48" s="95"/>
    </row>
    <row r="49" spans="2:12" x14ac:dyDescent="0.25">
      <c r="B49" s="113"/>
      <c r="C49" s="113"/>
      <c r="D49" s="114"/>
      <c r="E49" s="114"/>
      <c r="F49" s="114"/>
      <c r="G49" s="114"/>
      <c r="H49" s="114"/>
      <c r="I49" s="114"/>
      <c r="J49" s="114"/>
      <c r="K49" s="114"/>
      <c r="L49" s="115"/>
    </row>
    <row r="50" spans="2:12" x14ac:dyDescent="0.25">
      <c r="B50" s="116"/>
      <c r="C50" s="116"/>
      <c r="D50" s="117"/>
      <c r="E50" s="117"/>
      <c r="F50" s="118"/>
      <c r="G50" s="118"/>
      <c r="H50" s="118"/>
      <c r="I50" s="118"/>
      <c r="J50" s="118"/>
      <c r="K50" s="117"/>
      <c r="L50" s="119"/>
    </row>
  </sheetData>
  <hyperlinks>
    <hyperlink ref="C3" location="Contents!A1" display="Contents!A1"/>
  </hyperlink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zoomScaleNormal="100" workbookViewId="0">
      <selection activeCell="H19" sqref="H19"/>
    </sheetView>
  </sheetViews>
  <sheetFormatPr defaultRowHeight="15" x14ac:dyDescent="0.25"/>
  <cols>
    <col min="1" max="1" width="2.28515625" style="3" customWidth="1"/>
    <col min="2" max="2" width="15.85546875" style="3" bestFit="1" customWidth="1"/>
    <col min="3" max="3" width="5" style="3" customWidth="1"/>
    <col min="4" max="4" width="3.42578125" style="3" customWidth="1"/>
    <col min="5" max="6" width="8.140625" style="3" bestFit="1" customWidth="1"/>
    <col min="7" max="7" width="8.140625" style="3" customWidth="1"/>
    <col min="8" max="9" width="8.140625" style="3" bestFit="1" customWidth="1"/>
    <col min="10" max="16384" width="9.140625" style="3"/>
  </cols>
  <sheetData>
    <row r="1" spans="1:9" x14ac:dyDescent="0.25">
      <c r="A1" s="4"/>
      <c r="B1" s="4"/>
      <c r="C1" s="4"/>
      <c r="D1" s="4"/>
      <c r="E1" s="4"/>
      <c r="F1" s="4"/>
      <c r="G1" s="4"/>
      <c r="H1" s="4"/>
      <c r="I1" s="22"/>
    </row>
    <row r="2" spans="1:9" ht="27.95" customHeight="1" x14ac:dyDescent="0.3">
      <c r="A2" s="1"/>
      <c r="B2" s="70" t="s">
        <v>195</v>
      </c>
      <c r="C2" s="71"/>
      <c r="D2" s="71"/>
      <c r="E2" s="72"/>
      <c r="F2" s="72"/>
      <c r="G2" s="72"/>
      <c r="H2" s="72"/>
      <c r="I2" s="22"/>
    </row>
    <row r="3" spans="1:9" s="74" customFormat="1" ht="18" customHeight="1" x14ac:dyDescent="0.2">
      <c r="A3" s="73"/>
      <c r="B3" s="20" t="s">
        <v>40</v>
      </c>
      <c r="C3" s="73"/>
      <c r="D3" s="73"/>
      <c r="E3" s="73"/>
      <c r="F3" s="73"/>
      <c r="G3" s="73"/>
      <c r="H3" s="73"/>
      <c r="I3" s="22"/>
    </row>
    <row r="4" spans="1:9" s="74" customFormat="1" ht="18" customHeight="1" x14ac:dyDescent="0.2">
      <c r="A4" s="73"/>
      <c r="B4" s="75"/>
      <c r="C4" s="22"/>
      <c r="D4" s="22"/>
      <c r="E4" s="22"/>
      <c r="F4" s="22"/>
      <c r="G4" s="22"/>
      <c r="H4" s="22"/>
      <c r="I4" s="22"/>
    </row>
    <row r="5" spans="1:9" s="79" customFormat="1" ht="20.100000000000001" customHeight="1" x14ac:dyDescent="0.25">
      <c r="A5" s="76"/>
      <c r="B5" s="30" t="s">
        <v>196</v>
      </c>
      <c r="C5" s="30"/>
      <c r="D5" s="30"/>
      <c r="E5" s="77"/>
      <c r="F5" s="77"/>
      <c r="G5" s="77"/>
      <c r="H5" s="77"/>
      <c r="I5" s="22"/>
    </row>
    <row r="6" spans="1:9" s="74" customFormat="1" ht="18" customHeight="1" x14ac:dyDescent="0.2">
      <c r="A6" s="73"/>
      <c r="B6" s="22"/>
      <c r="C6" s="22"/>
      <c r="D6" s="22"/>
      <c r="E6" s="22"/>
      <c r="F6" s="22"/>
      <c r="G6" s="22"/>
      <c r="H6" s="22"/>
      <c r="I6" s="22"/>
    </row>
    <row r="7" spans="1:9" s="74" customFormat="1" ht="18" customHeight="1" x14ac:dyDescent="0.2">
      <c r="A7" s="73"/>
      <c r="B7" s="162" t="s">
        <v>197</v>
      </c>
      <c r="C7" s="163"/>
      <c r="D7" s="163"/>
      <c r="E7" s="164" t="s">
        <v>204</v>
      </c>
      <c r="F7" s="164" t="s">
        <v>205</v>
      </c>
      <c r="G7" s="164" t="s">
        <v>206</v>
      </c>
      <c r="H7" s="22"/>
      <c r="I7" s="22"/>
    </row>
    <row r="8" spans="1:9" s="74" customFormat="1" ht="18" customHeight="1" x14ac:dyDescent="0.2">
      <c r="A8" s="73"/>
      <c r="B8" s="22" t="s">
        <v>198</v>
      </c>
      <c r="C8" s="22"/>
      <c r="D8" s="22"/>
      <c r="E8" s="151">
        <v>1.3440225462509712</v>
      </c>
      <c r="F8" s="151">
        <v>1.8496162016698936</v>
      </c>
      <c r="G8" s="151">
        <v>2.1245805539988232</v>
      </c>
      <c r="H8" s="22"/>
      <c r="I8" s="22"/>
    </row>
    <row r="9" spans="1:9" s="74" customFormat="1" ht="18" customHeight="1" x14ac:dyDescent="0.2">
      <c r="A9" s="73"/>
      <c r="B9" s="22" t="s">
        <v>199</v>
      </c>
      <c r="C9" s="22"/>
      <c r="D9" s="22"/>
      <c r="E9" s="151">
        <v>2.648150852017225</v>
      </c>
      <c r="F9" s="151">
        <v>3.2624903206401212</v>
      </c>
      <c r="G9" s="151">
        <v>3.4403730409378031</v>
      </c>
      <c r="H9" s="22"/>
      <c r="I9" s="22"/>
    </row>
    <row r="10" spans="1:9" s="74" customFormat="1" ht="18" customHeight="1" x14ac:dyDescent="0.2">
      <c r="A10" s="73"/>
      <c r="B10" s="22" t="s">
        <v>200</v>
      </c>
      <c r="C10" s="22"/>
      <c r="D10" s="22"/>
      <c r="E10" s="151">
        <v>0.2956364991537323</v>
      </c>
      <c r="F10" s="151">
        <v>0.42586058086408202</v>
      </c>
      <c r="G10" s="151">
        <v>0.39449972387141946</v>
      </c>
      <c r="H10" s="22"/>
      <c r="I10" s="22"/>
    </row>
    <row r="11" spans="1:9" s="74" customFormat="1" ht="18" customHeight="1" x14ac:dyDescent="0.2">
      <c r="A11" s="73"/>
      <c r="B11" s="22" t="s">
        <v>201</v>
      </c>
      <c r="C11" s="22"/>
      <c r="D11" s="22"/>
      <c r="E11" s="151">
        <v>0.27637668246730618</v>
      </c>
      <c r="F11" s="151">
        <v>0.36424021210443186</v>
      </c>
      <c r="G11" s="151">
        <v>0.42964633310970907</v>
      </c>
      <c r="H11" s="22"/>
      <c r="I11" s="22"/>
    </row>
    <row r="12" spans="1:9" s="74" customFormat="1" ht="18" customHeight="1" x14ac:dyDescent="0.2">
      <c r="A12" s="73"/>
      <c r="B12" s="22" t="s">
        <v>202</v>
      </c>
      <c r="C12" s="22"/>
      <c r="D12" s="22"/>
      <c r="E12" s="151">
        <v>0.18669514230182485</v>
      </c>
      <c r="F12" s="151">
        <v>0.29294884944210475</v>
      </c>
      <c r="G12" s="151">
        <v>0.32180092751038503</v>
      </c>
      <c r="H12" s="22"/>
      <c r="I12" s="22"/>
    </row>
    <row r="13" spans="1:9" s="74" customFormat="1" ht="18" customHeight="1" x14ac:dyDescent="0.2">
      <c r="A13" s="73"/>
      <c r="B13" s="22" t="s">
        <v>203</v>
      </c>
      <c r="C13" s="22"/>
      <c r="D13" s="22"/>
      <c r="E13" s="151">
        <v>0.71461527780894085</v>
      </c>
      <c r="F13" s="151">
        <v>0.94884783527936645</v>
      </c>
      <c r="G13" s="151">
        <v>1.2416244205718596</v>
      </c>
      <c r="H13" s="22"/>
      <c r="I13" s="22"/>
    </row>
    <row r="14" spans="1:9" s="74" customFormat="1" ht="18" customHeight="1" x14ac:dyDescent="0.2">
      <c r="A14" s="73"/>
      <c r="B14" s="152" t="s">
        <v>207</v>
      </c>
      <c r="C14" s="153"/>
      <c r="D14" s="153"/>
      <c r="E14" s="154">
        <f>SUM(E8:E13)</f>
        <v>5.465497</v>
      </c>
      <c r="F14" s="154">
        <f t="shared" ref="F14:G14" si="0">SUM(F8:F13)</f>
        <v>7.1440039999999998</v>
      </c>
      <c r="G14" s="154">
        <f t="shared" si="0"/>
        <v>7.9525249999999996</v>
      </c>
      <c r="H14" s="22"/>
      <c r="I14" s="22"/>
    </row>
    <row r="15" spans="1:9" s="74" customFormat="1" ht="18" customHeight="1" x14ac:dyDescent="0.2">
      <c r="A15" s="73"/>
      <c r="B15" s="152" t="s">
        <v>208</v>
      </c>
      <c r="C15" s="153"/>
      <c r="D15" s="153"/>
      <c r="E15" s="154">
        <v>55.789368859999989</v>
      </c>
      <c r="F15" s="154">
        <v>81.820569008941845</v>
      </c>
      <c r="G15" s="154">
        <v>101.57126734363523</v>
      </c>
      <c r="H15" s="22"/>
      <c r="I15" s="22"/>
    </row>
    <row r="16" spans="1:9" s="74" customFormat="1" ht="18" customHeight="1" x14ac:dyDescent="0.2">
      <c r="A16" s="73"/>
      <c r="B16" s="152" t="s">
        <v>219</v>
      </c>
      <c r="C16" s="153"/>
      <c r="D16" s="153"/>
      <c r="E16" s="154">
        <f>E15-E14</f>
        <v>50.32387185999999</v>
      </c>
      <c r="F16" s="154">
        <f t="shared" ref="F16:G16" si="1">F15-F14</f>
        <v>74.67656500894185</v>
      </c>
      <c r="G16" s="154">
        <f t="shared" si="1"/>
        <v>93.618742343635233</v>
      </c>
      <c r="H16" s="22"/>
      <c r="I16" s="22"/>
    </row>
    <row r="17" spans="1:9" s="74" customFormat="1" ht="18" customHeight="1" x14ac:dyDescent="0.2">
      <c r="A17" s="73"/>
      <c r="B17" s="81"/>
      <c r="C17" s="81"/>
      <c r="D17" s="81"/>
      <c r="E17" s="171"/>
      <c r="F17" s="171"/>
      <c r="G17" s="171"/>
      <c r="H17" s="22"/>
      <c r="I17" s="22"/>
    </row>
    <row r="18" spans="1:9" s="74" customFormat="1" ht="18" customHeight="1" x14ac:dyDescent="0.2">
      <c r="A18" s="73"/>
      <c r="B18" s="81"/>
      <c r="C18" s="81"/>
      <c r="D18" s="81"/>
      <c r="E18" s="172"/>
      <c r="F18" s="172"/>
      <c r="G18" s="172"/>
      <c r="H18" s="157" t="s">
        <v>210</v>
      </c>
      <c r="I18" s="22"/>
    </row>
    <row r="19" spans="1:9" s="74" customFormat="1" ht="18" customHeight="1" x14ac:dyDescent="0.2">
      <c r="A19" s="73"/>
      <c r="B19" s="152" t="s">
        <v>209</v>
      </c>
      <c r="C19" s="153"/>
      <c r="D19" s="153"/>
      <c r="E19" s="155">
        <f>E14/E16</f>
        <v>0.10860644855000236</v>
      </c>
      <c r="F19" s="155">
        <f t="shared" ref="F19:G19" si="2">F14/F16</f>
        <v>9.5665942844914864E-2</v>
      </c>
      <c r="G19" s="155">
        <f t="shared" si="2"/>
        <v>8.4945864480956257E-2</v>
      </c>
      <c r="H19" s="156">
        <f>AVERAGE(E19:G19)</f>
        <v>9.6406085291957822E-2</v>
      </c>
      <c r="I19" s="22"/>
    </row>
    <row r="20" spans="1:9" s="74" customFormat="1" ht="18" customHeight="1" x14ac:dyDescent="0.2">
      <c r="A20" s="73"/>
      <c r="B20" s="81"/>
      <c r="C20" s="81"/>
      <c r="D20" s="81"/>
      <c r="E20" s="171"/>
      <c r="F20" s="22"/>
      <c r="G20" s="22"/>
      <c r="H20" s="22"/>
      <c r="I20" s="22"/>
    </row>
    <row r="21" spans="1:9" s="74" customFormat="1" ht="18" customHeight="1" x14ac:dyDescent="0.2">
      <c r="A21" s="73"/>
      <c r="B21" s="161" t="s">
        <v>235</v>
      </c>
      <c r="C21" s="158"/>
      <c r="D21" s="158"/>
      <c r="E21" s="159"/>
      <c r="F21" s="159"/>
      <c r="G21" s="159"/>
      <c r="H21" s="160">
        <f>H19</f>
        <v>9.6406085291957822E-2</v>
      </c>
      <c r="I21" s="22"/>
    </row>
    <row r="22" spans="1:9" s="74" customFormat="1" ht="18" customHeight="1" x14ac:dyDescent="0.2">
      <c r="A22" s="73"/>
      <c r="B22" s="81"/>
      <c r="C22" s="81"/>
      <c r="D22" s="81"/>
      <c r="E22" s="22"/>
      <c r="F22" s="22"/>
      <c r="G22" s="22"/>
      <c r="H22" s="22"/>
      <c r="I22" s="22"/>
    </row>
    <row r="26" spans="1:9" x14ac:dyDescent="0.25">
      <c r="B26" s="82"/>
      <c r="C26" s="82"/>
      <c r="D26" s="82"/>
      <c r="E26" s="2"/>
      <c r="F26" s="2"/>
      <c r="G26" s="2"/>
      <c r="H26" s="2"/>
      <c r="I26" s="2"/>
    </row>
    <row r="27" spans="1:9" x14ac:dyDescent="0.25">
      <c r="B27" s="82"/>
      <c r="C27" s="82"/>
      <c r="D27" s="82"/>
      <c r="E27" s="83"/>
      <c r="F27" s="83"/>
      <c r="G27" s="83"/>
      <c r="H27" s="83"/>
      <c r="I27" s="83"/>
    </row>
    <row r="28" spans="1:9" x14ac:dyDescent="0.25">
      <c r="E28" s="2"/>
      <c r="F28" s="2"/>
      <c r="G28" s="2"/>
      <c r="H28" s="2"/>
      <c r="I28" s="2"/>
    </row>
    <row r="29" spans="1:9" x14ac:dyDescent="0.25">
      <c r="F29" s="84"/>
      <c r="G29" s="84"/>
      <c r="H29" s="84"/>
      <c r="I29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"/>
  <sheetViews>
    <sheetView workbookViewId="0">
      <selection activeCell="F26" sqref="F26"/>
    </sheetView>
  </sheetViews>
  <sheetFormatPr defaultRowHeight="15" x14ac:dyDescent="0.25"/>
  <cols>
    <col min="1" max="1" width="2.85546875" style="3" customWidth="1"/>
    <col min="2" max="2" width="3.85546875" style="3" customWidth="1"/>
    <col min="3" max="3" width="32.5703125" style="3" customWidth="1"/>
    <col min="4" max="10" width="9.140625" style="3"/>
    <col min="11" max="11" width="13.710937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.75" x14ac:dyDescent="0.3">
      <c r="A2" s="1"/>
      <c r="B2" s="70" t="s">
        <v>193</v>
      </c>
      <c r="C2" s="71"/>
      <c r="D2" s="71"/>
      <c r="E2" s="72"/>
      <c r="F2" s="72"/>
      <c r="G2" s="72"/>
      <c r="H2" s="72"/>
      <c r="I2" s="72"/>
      <c r="J2" s="72"/>
      <c r="K2" s="6"/>
      <c r="L2" s="1"/>
    </row>
    <row r="3" spans="1:12" x14ac:dyDescent="0.25">
      <c r="A3" s="4"/>
      <c r="B3" s="4"/>
      <c r="C3" s="20" t="s">
        <v>40</v>
      </c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4"/>
      <c r="B4" s="4"/>
      <c r="C4" s="7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4"/>
    </row>
    <row r="5" spans="1:12" x14ac:dyDescent="0.25">
      <c r="A5" s="4"/>
      <c r="B5" s="4"/>
      <c r="C5" s="73"/>
      <c r="D5" s="73"/>
      <c r="E5" s="73"/>
      <c r="F5" s="73"/>
      <c r="G5" s="73"/>
      <c r="H5" s="73"/>
      <c r="I5" s="73"/>
      <c r="J5" s="73"/>
      <c r="K5" s="73"/>
      <c r="L5" s="4"/>
    </row>
    <row r="6" spans="1:12" x14ac:dyDescent="0.25">
      <c r="A6" s="4"/>
      <c r="B6" s="30" t="s">
        <v>216</v>
      </c>
      <c r="C6" s="30"/>
      <c r="D6" s="30"/>
      <c r="E6" s="30"/>
      <c r="F6" s="30"/>
      <c r="G6" s="30"/>
      <c r="H6" s="30"/>
      <c r="I6" s="30"/>
      <c r="J6" s="30"/>
      <c r="K6" s="30"/>
      <c r="L6" s="4"/>
    </row>
    <row r="7" spans="1:12" x14ac:dyDescent="0.25">
      <c r="A7" s="4"/>
      <c r="B7" s="4"/>
      <c r="C7" s="22"/>
      <c r="D7" s="38"/>
      <c r="E7" s="69"/>
      <c r="F7" s="40"/>
      <c r="G7" s="69"/>
      <c r="H7" s="69"/>
      <c r="I7" s="69"/>
      <c r="J7" s="88"/>
      <c r="K7" s="69"/>
      <c r="L7" s="4"/>
    </row>
    <row r="8" spans="1:12" x14ac:dyDescent="0.25">
      <c r="A8" s="4"/>
      <c r="B8" s="103"/>
      <c r="C8" s="22" t="s">
        <v>180</v>
      </c>
      <c r="D8" s="38"/>
      <c r="E8" s="38"/>
      <c r="F8" s="244">
        <f>'33'!F20</f>
        <v>33.744456102429012</v>
      </c>
      <c r="G8" s="245">
        <f>'33'!G20</f>
        <v>34.034276561010387</v>
      </c>
      <c r="H8" s="245">
        <f>'33'!H20</f>
        <v>34.374223640196789</v>
      </c>
      <c r="I8" s="245">
        <f>'33'!I20</f>
        <v>34.783380791964333</v>
      </c>
      <c r="J8" s="246">
        <f>'33'!J20</f>
        <v>35.370953120636329</v>
      </c>
      <c r="K8" s="38">
        <f>SUM(F8:J8)</f>
        <v>172.30729021623685</v>
      </c>
      <c r="L8" s="4"/>
    </row>
    <row r="9" spans="1:12" x14ac:dyDescent="0.25">
      <c r="A9" s="4"/>
      <c r="B9" s="104"/>
      <c r="C9" s="104" t="s">
        <v>181</v>
      </c>
      <c r="D9" s="105"/>
      <c r="E9" s="38"/>
      <c r="F9" s="40">
        <f>'01'!F22+'02'!F22</f>
        <v>4.2372749051239129</v>
      </c>
      <c r="G9" s="69">
        <f>'01'!G22+'02'!G22</f>
        <v>4.0593822359745273</v>
      </c>
      <c r="H9" s="69">
        <f>'01'!H22+'02'!H22</f>
        <v>3.7120424847759961</v>
      </c>
      <c r="I9" s="69">
        <f>'01'!I22+'02'!I22</f>
        <v>2.9758444806162472</v>
      </c>
      <c r="J9" s="88">
        <f>'01'!J22+'02'!J22</f>
        <v>2.3456223541378924</v>
      </c>
      <c r="K9" s="38">
        <f>SUM(F9:J9)</f>
        <v>17.330166460628575</v>
      </c>
      <c r="L9" s="4"/>
    </row>
    <row r="10" spans="1:12" x14ac:dyDescent="0.25">
      <c r="A10" s="4"/>
      <c r="B10" s="104"/>
      <c r="C10" s="104" t="s">
        <v>182</v>
      </c>
      <c r="D10" s="38"/>
      <c r="E10" s="38"/>
      <c r="F10" s="40">
        <f>'31'!F20</f>
        <v>0.62210575890794084</v>
      </c>
      <c r="G10" s="69">
        <f>'31'!G20</f>
        <v>0.5129499535457005</v>
      </c>
      <c r="H10" s="69">
        <f>'31'!H20</f>
        <v>1.1785759877382205</v>
      </c>
      <c r="I10" s="69">
        <f>'31'!I20</f>
        <v>1.7386345419406584</v>
      </c>
      <c r="J10" s="88">
        <f>'31'!J20</f>
        <v>0.17243228753790493</v>
      </c>
      <c r="K10" s="38">
        <f t="shared" ref="K10:K14" si="0">SUM(F10:J10)</f>
        <v>4.2246985296704249</v>
      </c>
      <c r="L10" s="4"/>
    </row>
    <row r="11" spans="1:12" x14ac:dyDescent="0.25">
      <c r="A11" s="4"/>
      <c r="B11" s="104"/>
      <c r="C11" s="104" t="s">
        <v>3</v>
      </c>
      <c r="D11" s="38"/>
      <c r="E11" s="38"/>
      <c r="F11" s="40">
        <f>'25'!F20</f>
        <v>0.31149595714689188</v>
      </c>
      <c r="G11" s="69">
        <f>'25'!G20</f>
        <v>0.24143265620639673</v>
      </c>
      <c r="H11" s="69">
        <f>'25'!H20</f>
        <v>0.21087431558657282</v>
      </c>
      <c r="I11" s="69">
        <f>'25'!I20</f>
        <v>0.22059328539324805</v>
      </c>
      <c r="J11" s="88">
        <f>'25'!J20</f>
        <v>0.14585969770001078</v>
      </c>
      <c r="K11" s="38">
        <f t="shared" si="0"/>
        <v>1.1302559120331201</v>
      </c>
      <c r="L11" s="4"/>
    </row>
    <row r="12" spans="1:12" x14ac:dyDescent="0.25">
      <c r="A12" s="4"/>
      <c r="B12" s="104"/>
      <c r="C12" s="104" t="s">
        <v>183</v>
      </c>
      <c r="D12" s="38"/>
      <c r="E12" s="38"/>
      <c r="F12" s="40">
        <f>'26'!F20</f>
        <v>2.0991555938316626</v>
      </c>
      <c r="G12" s="69">
        <f>'26'!G20</f>
        <v>2.1275263570283931</v>
      </c>
      <c r="H12" s="69">
        <f>'26'!H20</f>
        <v>2.3246006962090746</v>
      </c>
      <c r="I12" s="69">
        <f>'26'!I20</f>
        <v>2.3596122952196827</v>
      </c>
      <c r="J12" s="88">
        <f>'26'!J20</f>
        <v>2.1854985234349531</v>
      </c>
      <c r="K12" s="38">
        <f t="shared" si="0"/>
        <v>11.096393465723766</v>
      </c>
      <c r="L12" s="4"/>
    </row>
    <row r="13" spans="1:12" x14ac:dyDescent="0.25">
      <c r="A13" s="4"/>
      <c r="B13" s="104"/>
      <c r="C13" s="104" t="s">
        <v>184</v>
      </c>
      <c r="D13" s="38"/>
      <c r="E13" s="38"/>
      <c r="F13" s="40">
        <f>'27'!F20</f>
        <v>9.143078157538751</v>
      </c>
      <c r="G13" s="69">
        <f>'27'!G20</f>
        <v>13.431533041154474</v>
      </c>
      <c r="H13" s="69">
        <f>'27'!H20</f>
        <v>8.1837634493744797</v>
      </c>
      <c r="I13" s="69">
        <f>'27'!I20</f>
        <v>2.6917007879243995</v>
      </c>
      <c r="J13" s="88">
        <f>'27'!J20</f>
        <v>5.0409283927695832</v>
      </c>
      <c r="K13" s="38">
        <f t="shared" si="0"/>
        <v>38.491003828761691</v>
      </c>
      <c r="L13" s="4"/>
    </row>
    <row r="14" spans="1:12" x14ac:dyDescent="0.25">
      <c r="A14" s="4"/>
      <c r="B14" s="104"/>
      <c r="C14" s="104" t="s">
        <v>185</v>
      </c>
      <c r="D14" s="38"/>
      <c r="E14" s="38"/>
      <c r="F14" s="40">
        <f>SUM(F15:F19)</f>
        <v>17.027523414335356</v>
      </c>
      <c r="G14" s="69">
        <f t="shared" ref="G14:J14" si="1">SUM(G15:G19)</f>
        <v>16.149201684592306</v>
      </c>
      <c r="H14" s="69">
        <f t="shared" si="1"/>
        <v>17.046009732436975</v>
      </c>
      <c r="I14" s="69">
        <f t="shared" si="1"/>
        <v>17.92203369050295</v>
      </c>
      <c r="J14" s="88">
        <f t="shared" si="1"/>
        <v>18.270798698720739</v>
      </c>
      <c r="K14" s="38">
        <f t="shared" si="0"/>
        <v>86.415567220588315</v>
      </c>
      <c r="L14" s="4"/>
    </row>
    <row r="15" spans="1:12" x14ac:dyDescent="0.25">
      <c r="A15" s="4"/>
      <c r="B15" s="104"/>
      <c r="C15" s="139" t="s">
        <v>186</v>
      </c>
      <c r="D15" s="140"/>
      <c r="E15" s="140"/>
      <c r="F15" s="142">
        <f>'15'!F22+'16'!F22+'17'!F22</f>
        <v>3.3980852516104507</v>
      </c>
      <c r="G15" s="143">
        <f>'15'!G22+'16'!G22+'17'!G22</f>
        <v>3.2378933778719694</v>
      </c>
      <c r="H15" s="143">
        <f>'15'!H22+'16'!H22+'17'!H22</f>
        <v>3.4342706953804467</v>
      </c>
      <c r="I15" s="143">
        <f>'15'!I22+'16'!I22+'17'!I22</f>
        <v>3.5742922745463357</v>
      </c>
      <c r="J15" s="144">
        <f>'15'!J22+'16'!J22+'17'!J22</f>
        <v>3.6568640572377045</v>
      </c>
      <c r="K15" s="140"/>
      <c r="L15" s="4"/>
    </row>
    <row r="16" spans="1:12" x14ac:dyDescent="0.25">
      <c r="A16" s="4"/>
      <c r="B16" s="104"/>
      <c r="C16" s="137" t="s">
        <v>187</v>
      </c>
      <c r="D16" s="69"/>
      <c r="E16" s="69"/>
      <c r="F16" s="145">
        <f>'20'!F22+'21'!F22+'22'!F22+'23'!F22</f>
        <v>10.366944070427246</v>
      </c>
      <c r="G16" s="50">
        <f>'20'!G22+'21'!G22+'22'!G22+'23'!G22</f>
        <v>9.8511732342114176</v>
      </c>
      <c r="H16" s="50">
        <f>'20'!H22+'21'!H22+'22'!H22+'23'!H22</f>
        <v>10.313912321638306</v>
      </c>
      <c r="I16" s="50">
        <f>'20'!I22+'21'!I22+'22'!I22+'23'!I22</f>
        <v>10.899446310089747</v>
      </c>
      <c r="J16" s="146">
        <f>'20'!J22+'21'!J22+'22'!J22+'23'!J22</f>
        <v>11.171837778828955</v>
      </c>
      <c r="K16" s="69"/>
      <c r="L16" s="4"/>
    </row>
    <row r="17" spans="1:12" x14ac:dyDescent="0.25">
      <c r="A17" s="4"/>
      <c r="B17" s="104"/>
      <c r="C17" s="137" t="s">
        <v>188</v>
      </c>
      <c r="D17" s="69"/>
      <c r="E17" s="69"/>
      <c r="F17" s="145">
        <f>'18'!F22+'19'!F22</f>
        <v>3.010910286719187</v>
      </c>
      <c r="G17" s="50">
        <f>'18'!G22+'19'!G22</f>
        <v>2.8064045859198301</v>
      </c>
      <c r="H17" s="50">
        <f>'18'!H22+'19'!H22</f>
        <v>3.0415752058252847</v>
      </c>
      <c r="I17" s="50">
        <f>'18'!I22+'19'!I22</f>
        <v>3.189013464331957</v>
      </c>
      <c r="J17" s="146">
        <f>'18'!J22+'19'!J22</f>
        <v>3.1784876007470659</v>
      </c>
      <c r="K17" s="69"/>
      <c r="L17" s="4"/>
    </row>
    <row r="18" spans="1:12" x14ac:dyDescent="0.25">
      <c r="A18" s="4"/>
      <c r="B18" s="104"/>
      <c r="C18" s="137" t="s">
        <v>189</v>
      </c>
      <c r="D18" s="69"/>
      <c r="E18" s="69"/>
      <c r="F18" s="145">
        <f>'30'!F20</f>
        <v>0.25158380557846965</v>
      </c>
      <c r="G18" s="50">
        <f>'30'!G20</f>
        <v>0.25373048658908948</v>
      </c>
      <c r="H18" s="50">
        <f>'30'!H20</f>
        <v>0.25625150959293885</v>
      </c>
      <c r="I18" s="50">
        <f>'30'!I20</f>
        <v>0.25928164153491273</v>
      </c>
      <c r="J18" s="146">
        <f>'30'!J20</f>
        <v>0.26360926190701345</v>
      </c>
      <c r="K18" s="69"/>
      <c r="L18" s="4"/>
    </row>
    <row r="19" spans="1:12" x14ac:dyDescent="0.25">
      <c r="A19" s="4"/>
      <c r="B19" s="104"/>
      <c r="C19" s="138" t="s">
        <v>190</v>
      </c>
      <c r="D19" s="85"/>
      <c r="E19" s="85"/>
      <c r="F19" s="147">
        <f>'32'!F20</f>
        <v>0</v>
      </c>
      <c r="G19" s="50">
        <f>'32'!G20</f>
        <v>0</v>
      </c>
      <c r="H19" s="50">
        <f>'32'!H20</f>
        <v>0</v>
      </c>
      <c r="I19" s="50">
        <f>'32'!I20</f>
        <v>0</v>
      </c>
      <c r="J19" s="148">
        <f>'32'!J20</f>
        <v>0</v>
      </c>
      <c r="K19" s="85"/>
      <c r="L19" s="4"/>
    </row>
    <row r="20" spans="1:12" x14ac:dyDescent="0.25">
      <c r="A20" s="4"/>
      <c r="B20" s="104"/>
      <c r="C20" s="104" t="s">
        <v>191</v>
      </c>
      <c r="D20" s="38"/>
      <c r="E20" s="38"/>
      <c r="F20" s="40">
        <f>'28'!F20</f>
        <v>2.2074028825421186</v>
      </c>
      <c r="G20" s="140">
        <f>'28'!G20</f>
        <v>2.0401276716237229</v>
      </c>
      <c r="H20" s="140">
        <f>'28'!H20</f>
        <v>2.0510455052955514</v>
      </c>
      <c r="I20" s="140">
        <f>'28'!I20</f>
        <v>1.9376432853892647</v>
      </c>
      <c r="J20" s="141">
        <f>'28'!J20</f>
        <v>1.9545819176042505</v>
      </c>
      <c r="K20" s="38">
        <f t="shared" ref="K20:K21" si="2">SUM(F20:J20)</f>
        <v>10.190801262454908</v>
      </c>
      <c r="L20" s="4"/>
    </row>
    <row r="21" spans="1:12" x14ac:dyDescent="0.25">
      <c r="A21" s="4"/>
      <c r="B21" s="104"/>
      <c r="C21" s="104" t="s">
        <v>192</v>
      </c>
      <c r="D21" s="38"/>
      <c r="E21" s="38"/>
      <c r="F21" s="40">
        <f>'29'!F20</f>
        <v>1.3485952181680183</v>
      </c>
      <c r="G21" s="69">
        <f>'29'!G20</f>
        <v>1.049974213834779</v>
      </c>
      <c r="H21" s="69">
        <f>'29'!H20</f>
        <v>0.88420706000814919</v>
      </c>
      <c r="I21" s="69">
        <f>'29'!I20</f>
        <v>0.88626530650487501</v>
      </c>
      <c r="J21" s="88">
        <f>'29'!J20</f>
        <v>0.88924072470278648</v>
      </c>
      <c r="K21" s="38">
        <f t="shared" si="2"/>
        <v>5.0582825232186082</v>
      </c>
      <c r="L21" s="4"/>
    </row>
    <row r="22" spans="1:12" ht="15.75" thickBot="1" x14ac:dyDescent="0.3">
      <c r="A22" s="4"/>
      <c r="B22" s="93"/>
      <c r="C22" s="93" t="s">
        <v>130</v>
      </c>
      <c r="D22" s="122"/>
      <c r="E22" s="122"/>
      <c r="F22" s="123">
        <f>SUM(F8:F14,F20:F21)</f>
        <v>70.741087990023658</v>
      </c>
      <c r="G22" s="122">
        <f t="shared" ref="G22:J22" si="3">SUM(G8:G14,G20:G21)</f>
        <v>73.646404374970672</v>
      </c>
      <c r="H22" s="122">
        <f t="shared" si="3"/>
        <v>69.965342871621814</v>
      </c>
      <c r="I22" s="122">
        <f t="shared" si="3"/>
        <v>65.51570846545566</v>
      </c>
      <c r="J22" s="122">
        <f t="shared" si="3"/>
        <v>66.375915717244439</v>
      </c>
      <c r="K22" s="123">
        <f>SUM(F22:J22)</f>
        <v>346.24445941931623</v>
      </c>
      <c r="L22" s="4"/>
    </row>
    <row r="23" spans="1:12" x14ac:dyDescent="0.25">
      <c r="A23" s="4"/>
      <c r="B23" s="4"/>
      <c r="C23" s="73"/>
      <c r="D23" s="73"/>
      <c r="E23" s="73"/>
      <c r="F23" s="73"/>
      <c r="G23" s="73"/>
      <c r="H23" s="73"/>
      <c r="I23" s="73"/>
      <c r="J23" s="73"/>
      <c r="K23" s="73"/>
      <c r="L23" s="4"/>
    </row>
    <row r="24" spans="1:12" x14ac:dyDescent="0.25">
      <c r="A24" s="76"/>
      <c r="B24" s="30" t="s">
        <v>217</v>
      </c>
      <c r="C24" s="30"/>
      <c r="D24" s="30"/>
      <c r="E24" s="30"/>
      <c r="F24" s="30"/>
      <c r="G24" s="30"/>
      <c r="H24" s="30"/>
      <c r="I24" s="30"/>
      <c r="J24" s="30"/>
      <c r="K24" s="30"/>
      <c r="L24" s="76"/>
    </row>
    <row r="25" spans="1:12" x14ac:dyDescent="0.25">
      <c r="A25" s="4"/>
      <c r="B25" s="4"/>
      <c r="C25" s="22"/>
      <c r="D25" s="38"/>
      <c r="E25" s="69"/>
      <c r="F25" s="40"/>
      <c r="G25" s="69"/>
      <c r="H25" s="69"/>
      <c r="I25" s="69"/>
      <c r="J25" s="88"/>
      <c r="K25" s="69"/>
      <c r="L25" s="19"/>
    </row>
    <row r="26" spans="1:12" x14ac:dyDescent="0.25">
      <c r="A26" s="4"/>
      <c r="B26" s="103"/>
      <c r="C26" s="22" t="s">
        <v>180</v>
      </c>
      <c r="D26" s="38"/>
      <c r="E26" s="38"/>
      <c r="F26" s="252">
        <f>'33'!F24</f>
        <v>38.20145941547937</v>
      </c>
      <c r="G26" s="253">
        <f>'33'!G24</f>
        <v>38.536667572797114</v>
      </c>
      <c r="H26" s="253">
        <f>'33'!H24</f>
        <v>38.976518741004909</v>
      </c>
      <c r="I26" s="253">
        <f>'33'!I24</f>
        <v>39.638208421799796</v>
      </c>
      <c r="J26" s="254">
        <f>'33'!J24</f>
        <v>40.098927629616526</v>
      </c>
      <c r="K26" s="181">
        <f>SUM(F26:J26)</f>
        <v>195.45178178069773</v>
      </c>
      <c r="L26" s="19"/>
    </row>
    <row r="27" spans="1:12" x14ac:dyDescent="0.25">
      <c r="A27" s="4"/>
      <c r="B27" s="104"/>
      <c r="C27" s="104" t="s">
        <v>181</v>
      </c>
      <c r="D27" s="105"/>
      <c r="E27" s="38"/>
      <c r="F27" s="178">
        <f>'01'!F26+'02'!F26</f>
        <v>4.7978160215725376</v>
      </c>
      <c r="G27" s="179">
        <f>'01'!G26+'02'!G26</f>
        <v>4.5995567975695231</v>
      </c>
      <c r="H27" s="179">
        <f>'01'!H26+'02'!H26</f>
        <v>4.214333295635285</v>
      </c>
      <c r="I27" s="179">
        <f>'01'!I26+'02'!I26</f>
        <v>3.398085556225602</v>
      </c>
      <c r="J27" s="180">
        <f>'01'!J26+'02'!J26</f>
        <v>2.6674740204405376</v>
      </c>
      <c r="K27" s="181">
        <f>SUM(F27:J27)</f>
        <v>19.677265691443484</v>
      </c>
      <c r="L27" s="19"/>
    </row>
    <row r="28" spans="1:12" x14ac:dyDescent="0.25">
      <c r="A28" s="4"/>
      <c r="B28" s="104"/>
      <c r="C28" s="104" t="s">
        <v>182</v>
      </c>
      <c r="D28" s="38"/>
      <c r="E28" s="38"/>
      <c r="F28" s="178">
        <f>'31'!F24</f>
        <v>0.70427165164342875</v>
      </c>
      <c r="G28" s="179">
        <f>'31'!G24</f>
        <v>0.58079406010422863</v>
      </c>
      <c r="H28" s="179">
        <f>'31'!H24</f>
        <v>1.3363107769090294</v>
      </c>
      <c r="I28" s="179">
        <f>'31'!I24</f>
        <v>1.9811470673400644</v>
      </c>
      <c r="J28" s="180">
        <f>'31'!J24</f>
        <v>0.19545629576092841</v>
      </c>
      <c r="K28" s="181">
        <f t="shared" ref="K28:K39" si="4">SUM(F28:J28)</f>
        <v>4.7979798517576802</v>
      </c>
      <c r="L28" s="19"/>
    </row>
    <row r="29" spans="1:12" x14ac:dyDescent="0.25">
      <c r="A29" s="4"/>
      <c r="B29" s="104"/>
      <c r="C29" s="104" t="s">
        <v>3</v>
      </c>
      <c r="D29" s="38"/>
      <c r="E29" s="38"/>
      <c r="F29" s="178">
        <f>'25'!F24</f>
        <v>0.35267194156852588</v>
      </c>
      <c r="G29" s="179">
        <f>'25'!G24</f>
        <v>0.27349513917923773</v>
      </c>
      <c r="H29" s="179">
        <f>'25'!H24</f>
        <v>0.23931131925505941</v>
      </c>
      <c r="I29" s="179">
        <f>'25'!I24</f>
        <v>0.25173437799274195</v>
      </c>
      <c r="J29" s="180">
        <f>'25'!J24</f>
        <v>0.16572548311718169</v>
      </c>
      <c r="K29" s="181">
        <f t="shared" si="4"/>
        <v>1.2829382611127467</v>
      </c>
      <c r="L29" s="19"/>
    </row>
    <row r="30" spans="1:12" x14ac:dyDescent="0.25">
      <c r="A30" s="4"/>
      <c r="B30" s="104"/>
      <c r="C30" s="104" t="s">
        <v>183</v>
      </c>
      <c r="D30" s="38"/>
      <c r="E30" s="38"/>
      <c r="F30" s="178">
        <f>'26'!F24</f>
        <v>2.3772383622187494</v>
      </c>
      <c r="G30" s="179">
        <f>'26'!G24</f>
        <v>2.4111262692333919</v>
      </c>
      <c r="H30" s="179">
        <f>'26'!H24</f>
        <v>2.6398836224030617</v>
      </c>
      <c r="I30" s="179">
        <f>'26'!I24</f>
        <v>2.6953656819755647</v>
      </c>
      <c r="J30" s="180">
        <f>'26'!J24</f>
        <v>2.486141595659582</v>
      </c>
      <c r="K30" s="181">
        <f t="shared" si="4"/>
        <v>12.60975553149035</v>
      </c>
      <c r="L30" s="19"/>
    </row>
    <row r="31" spans="1:12" x14ac:dyDescent="0.25">
      <c r="A31" s="4"/>
      <c r="B31" s="104"/>
      <c r="C31" s="104" t="s">
        <v>184</v>
      </c>
      <c r="D31" s="38"/>
      <c r="E31" s="38"/>
      <c r="F31" s="178">
        <f>'27'!F24</f>
        <v>10.351908300581879</v>
      </c>
      <c r="G31" s="179">
        <f>'27'!G24</f>
        <v>15.213766705231071</v>
      </c>
      <c r="H31" s="179">
        <f>'27'!H24</f>
        <v>9.2852856088497369</v>
      </c>
      <c r="I31" s="179">
        <f>'27'!I24</f>
        <v>3.0704320675165708</v>
      </c>
      <c r="J31" s="180">
        <f>'27'!J24</f>
        <v>5.723189114087468</v>
      </c>
      <c r="K31" s="181">
        <f t="shared" si="4"/>
        <v>43.644581796266721</v>
      </c>
      <c r="L31" s="19"/>
    </row>
    <row r="32" spans="1:12" x14ac:dyDescent="0.25">
      <c r="A32" s="4"/>
      <c r="B32" s="104"/>
      <c r="C32" s="104" t="s">
        <v>185</v>
      </c>
      <c r="D32" s="38"/>
      <c r="E32" s="38"/>
      <c r="F32" s="178">
        <f>SUM(F33:F37)</f>
        <v>19.283345848703746</v>
      </c>
      <c r="G32" s="179">
        <f t="shared" ref="G32:J32" si="5">SUM(G33:G37)</f>
        <v>18.304511451749065</v>
      </c>
      <c r="H32" s="179">
        <f t="shared" si="5"/>
        <v>19.360066688816836</v>
      </c>
      <c r="I32" s="179">
        <f t="shared" si="5"/>
        <v>20.4746783953569</v>
      </c>
      <c r="J32" s="180">
        <f t="shared" si="5"/>
        <v>20.786372438091416</v>
      </c>
      <c r="K32" s="181">
        <f t="shared" si="4"/>
        <v>98.208974822717963</v>
      </c>
      <c r="L32" s="19"/>
    </row>
    <row r="33" spans="1:12" x14ac:dyDescent="0.25">
      <c r="A33" s="4"/>
      <c r="B33" s="104"/>
      <c r="C33" s="139" t="s">
        <v>186</v>
      </c>
      <c r="D33" s="140"/>
      <c r="E33" s="140"/>
      <c r="F33" s="182">
        <f>'15'!F26+'16'!F26+'17'!F26</f>
        <v>3.8479841158859092</v>
      </c>
      <c r="G33" s="183">
        <f>'15'!G26+'16'!G26+'17'!G26</f>
        <v>3.6692475311443618</v>
      </c>
      <c r="H33" s="183">
        <f>'15'!H26+'16'!H26+'17'!H26</f>
        <v>3.8990006559682908</v>
      </c>
      <c r="I33" s="183">
        <f>'15'!I26+'16'!I26+'17'!I26</f>
        <v>4.08098911174935</v>
      </c>
      <c r="J33" s="184">
        <f>'15'!J26+'16'!J26+'17'!J26</f>
        <v>4.156755826762045</v>
      </c>
      <c r="K33" s="185"/>
      <c r="L33" s="19"/>
    </row>
    <row r="34" spans="1:12" x14ac:dyDescent="0.25">
      <c r="A34" s="4"/>
      <c r="B34" s="104"/>
      <c r="C34" s="137" t="s">
        <v>187</v>
      </c>
      <c r="D34" s="69"/>
      <c r="E34" s="69"/>
      <c r="F34" s="186">
        <f>'20'!F26+'21'!F26+'22'!F26+'23'!F26</f>
        <v>11.740790143913634</v>
      </c>
      <c r="G34" s="187">
        <f>'20'!G26+'21'!G26+'22'!G26+'23'!G26</f>
        <v>11.16709688170813</v>
      </c>
      <c r="H34" s="187">
        <f>'20'!H26+'21'!H26+'22'!H26+'23'!H26</f>
        <v>11.715726450669658</v>
      </c>
      <c r="I34" s="187">
        <f>'20'!I26+'21'!I26+'22'!I26+'23'!I26</f>
        <v>12.454067931889345</v>
      </c>
      <c r="J34" s="188">
        <f>'20'!J26+'21'!J26+'22'!J26+'23'!J26</f>
        <v>12.712627817985554</v>
      </c>
      <c r="K34" s="179"/>
      <c r="L34" s="19"/>
    </row>
    <row r="35" spans="1:12" x14ac:dyDescent="0.25">
      <c r="A35" s="4"/>
      <c r="B35" s="104"/>
      <c r="C35" s="137" t="s">
        <v>188</v>
      </c>
      <c r="D35" s="69"/>
      <c r="E35" s="69"/>
      <c r="F35" s="186">
        <f>'18'!F26+'19'!F26</f>
        <v>3.4097599069364222</v>
      </c>
      <c r="G35" s="187">
        <f>'18'!G26+'19'!G26</f>
        <v>3.1808703012890165</v>
      </c>
      <c r="H35" s="187">
        <f>'18'!H26+'19'!H26</f>
        <v>3.454777016036136</v>
      </c>
      <c r="I35" s="187">
        <f>'18'!I26+'19'!I26</f>
        <v>3.6441459716901567</v>
      </c>
      <c r="J35" s="188">
        <f>'18'!J26+'19'!J26</f>
        <v>3.6181315090500545</v>
      </c>
      <c r="K35" s="179"/>
      <c r="L35" s="19"/>
    </row>
    <row r="36" spans="1:12" x14ac:dyDescent="0.25">
      <c r="A36" s="4"/>
      <c r="B36" s="104"/>
      <c r="C36" s="137" t="s">
        <v>189</v>
      </c>
      <c r="D36" s="69"/>
      <c r="E36" s="69"/>
      <c r="F36" s="186">
        <f>'30'!F24</f>
        <v>0.28481168196778051</v>
      </c>
      <c r="G36" s="187">
        <f>'30'!G24</f>
        <v>0.28729673760755792</v>
      </c>
      <c r="H36" s="187">
        <f>'30'!H24</f>
        <v>0.29056256614275378</v>
      </c>
      <c r="I36" s="187">
        <f>'30'!I24</f>
        <v>0.29547538002804835</v>
      </c>
      <c r="J36" s="188">
        <f>'30'!J24</f>
        <v>0.29885728429376096</v>
      </c>
      <c r="K36" s="179"/>
      <c r="L36" s="19"/>
    </row>
    <row r="37" spans="1:12" x14ac:dyDescent="0.25">
      <c r="A37" s="4"/>
      <c r="B37" s="104"/>
      <c r="C37" s="138" t="s">
        <v>190</v>
      </c>
      <c r="D37" s="85"/>
      <c r="E37" s="85"/>
      <c r="F37" s="189">
        <f>'32'!F24</f>
        <v>0</v>
      </c>
      <c r="G37" s="187">
        <f>'32'!G24</f>
        <v>0</v>
      </c>
      <c r="H37" s="187">
        <f>'32'!H24</f>
        <v>0</v>
      </c>
      <c r="I37" s="187">
        <f>'32'!I24</f>
        <v>0</v>
      </c>
      <c r="J37" s="190">
        <f>'32'!J24</f>
        <v>0</v>
      </c>
      <c r="K37" s="191"/>
      <c r="L37" s="19"/>
    </row>
    <row r="38" spans="1:12" x14ac:dyDescent="0.25">
      <c r="A38" s="4"/>
      <c r="B38" s="104"/>
      <c r="C38" s="104" t="s">
        <v>191</v>
      </c>
      <c r="D38" s="38"/>
      <c r="E38" s="38"/>
      <c r="F38" s="178">
        <f>'28'!F24</f>
        <v>2.4996912326431637</v>
      </c>
      <c r="G38" s="185">
        <f>'28'!G24</f>
        <v>2.311761886665658</v>
      </c>
      <c r="H38" s="185">
        <f>'28'!H24</f>
        <v>2.3286795953585573</v>
      </c>
      <c r="I38" s="185">
        <f>'28'!I24</f>
        <v>2.2125448634914076</v>
      </c>
      <c r="J38" s="192">
        <f>'28'!J24</f>
        <v>2.2222864178689115</v>
      </c>
      <c r="K38" s="181">
        <f t="shared" si="4"/>
        <v>11.574963996027698</v>
      </c>
      <c r="L38" s="19"/>
    </row>
    <row r="39" spans="1:12" x14ac:dyDescent="0.25">
      <c r="A39" s="4"/>
      <c r="B39" s="104"/>
      <c r="C39" s="104" t="s">
        <v>192</v>
      </c>
      <c r="D39" s="38"/>
      <c r="E39" s="38"/>
      <c r="F39" s="178">
        <f>'29'!F24</f>
        <v>1.5276270161536252</v>
      </c>
      <c r="G39" s="179">
        <f>'29'!G24</f>
        <v>1.1905496731001246</v>
      </c>
      <c r="H39" s="179">
        <f>'29'!H24</f>
        <v>1.0049819790634977</v>
      </c>
      <c r="I39" s="179">
        <f>'29'!I24</f>
        <v>1.0136672660007124</v>
      </c>
      <c r="J39" s="180">
        <f>'29'!J24</f>
        <v>1.0133137635041378</v>
      </c>
      <c r="K39" s="181">
        <f t="shared" si="4"/>
        <v>5.7501396978220978</v>
      </c>
      <c r="L39" s="19"/>
    </row>
    <row r="40" spans="1:12" ht="15.75" thickBot="1" x14ac:dyDescent="0.3">
      <c r="A40" s="4"/>
      <c r="B40" s="93"/>
      <c r="C40" s="93" t="s">
        <v>130</v>
      </c>
      <c r="D40" s="122"/>
      <c r="E40" s="122"/>
      <c r="F40" s="193">
        <f>SUM(F26:F32,F38:F39)</f>
        <v>80.096029790565026</v>
      </c>
      <c r="G40" s="194">
        <f t="shared" ref="G40:J40" si="6">SUM(G26:G32,G38:G39)</f>
        <v>83.422229555629428</v>
      </c>
      <c r="H40" s="194">
        <f t="shared" si="6"/>
        <v>79.385371627295967</v>
      </c>
      <c r="I40" s="194">
        <f t="shared" si="6"/>
        <v>74.735863697699358</v>
      </c>
      <c r="J40" s="194">
        <f t="shared" si="6"/>
        <v>75.358886758146696</v>
      </c>
      <c r="K40" s="193">
        <f>SUM(F40:J40)</f>
        <v>392.99838142933646</v>
      </c>
      <c r="L40" s="95"/>
    </row>
    <row r="41" spans="1:12" x14ac:dyDescent="0.25">
      <c r="A41" s="4"/>
      <c r="B41" s="94"/>
      <c r="C41" s="94"/>
      <c r="D41" s="136"/>
      <c r="E41" s="150" t="s">
        <v>24</v>
      </c>
      <c r="F41" s="150">
        <f>F40-'Capex Summary Forecast - Esc'!F47</f>
        <v>0</v>
      </c>
      <c r="G41" s="150">
        <f>G40-'Capex Summary Forecast - Esc'!G47</f>
        <v>0</v>
      </c>
      <c r="H41" s="150">
        <f>H40-'Capex Summary Forecast - Esc'!H47</f>
        <v>0</v>
      </c>
      <c r="I41" s="150">
        <f>I40-'Capex Summary Forecast - Esc'!I47</f>
        <v>0</v>
      </c>
      <c r="J41" s="150">
        <f>J40-'Capex Summary Forecast - Esc'!J47</f>
        <v>0</v>
      </c>
      <c r="K41" s="150">
        <f>K40-'Capex Summary Forecast - Esc'!K47</f>
        <v>0</v>
      </c>
      <c r="L41" s="95"/>
    </row>
    <row r="42" spans="1:12" x14ac:dyDescent="0.25">
      <c r="A42" s="4"/>
      <c r="B42" s="94"/>
      <c r="C42" s="94"/>
      <c r="D42" s="136"/>
      <c r="E42" s="49"/>
      <c r="F42" s="136"/>
      <c r="G42" s="136"/>
      <c r="H42" s="136"/>
      <c r="I42" s="136"/>
      <c r="J42" s="136"/>
      <c r="K42" s="136"/>
      <c r="L42" s="136"/>
    </row>
    <row r="43" spans="1:12" x14ac:dyDescent="0.25">
      <c r="A43" s="4"/>
      <c r="B43" s="30" t="s">
        <v>194</v>
      </c>
      <c r="C43" s="30"/>
      <c r="D43" s="30"/>
      <c r="E43" s="30"/>
      <c r="F43" s="30"/>
      <c r="G43" s="30"/>
      <c r="H43" s="30"/>
      <c r="I43" s="30"/>
      <c r="J43" s="30"/>
      <c r="K43" s="30"/>
      <c r="L43" s="95"/>
    </row>
    <row r="44" spans="1:12" x14ac:dyDescent="0.25">
      <c r="A44" s="4"/>
      <c r="B44" s="4"/>
      <c r="C44" s="22"/>
      <c r="D44" s="38"/>
      <c r="E44" s="69"/>
      <c r="F44" s="40"/>
      <c r="G44" s="69"/>
      <c r="H44" s="69"/>
      <c r="I44" s="69"/>
      <c r="J44" s="88"/>
      <c r="K44" s="69"/>
      <c r="L44" s="95"/>
    </row>
    <row r="45" spans="1:12" x14ac:dyDescent="0.25">
      <c r="A45" s="4"/>
      <c r="B45" s="103"/>
      <c r="C45" s="22" t="s">
        <v>180</v>
      </c>
      <c r="D45" s="38"/>
      <c r="E45" s="38"/>
      <c r="F45" s="40">
        <f t="shared" ref="F45:J58" si="7">F26-F8</f>
        <v>4.4570033130503575</v>
      </c>
      <c r="G45" s="69">
        <f t="shared" si="7"/>
        <v>4.5023910117867274</v>
      </c>
      <c r="H45" s="69">
        <f t="shared" si="7"/>
        <v>4.6022951008081208</v>
      </c>
      <c r="I45" s="69">
        <f t="shared" si="7"/>
        <v>4.8548276298354622</v>
      </c>
      <c r="J45" s="88">
        <f t="shared" si="7"/>
        <v>4.7279745089801963</v>
      </c>
      <c r="K45" s="38">
        <f>SUM(F45:J45)</f>
        <v>23.144491564460864</v>
      </c>
      <c r="L45" s="95"/>
    </row>
    <row r="46" spans="1:12" x14ac:dyDescent="0.25">
      <c r="A46" s="4"/>
      <c r="B46" s="104"/>
      <c r="C46" s="104" t="s">
        <v>181</v>
      </c>
      <c r="D46" s="105"/>
      <c r="E46" s="38"/>
      <c r="F46" s="40">
        <f t="shared" si="7"/>
        <v>0.5605411164486247</v>
      </c>
      <c r="G46" s="69">
        <f t="shared" si="7"/>
        <v>0.54017456159499577</v>
      </c>
      <c r="H46" s="69">
        <f t="shared" si="7"/>
        <v>0.50229081085928895</v>
      </c>
      <c r="I46" s="69">
        <f t="shared" si="7"/>
        <v>0.42224107560935487</v>
      </c>
      <c r="J46" s="88">
        <f t="shared" si="7"/>
        <v>0.32185166630264517</v>
      </c>
      <c r="K46" s="38">
        <f>SUM(F46:J46)</f>
        <v>2.3470992308149095</v>
      </c>
      <c r="L46" s="95"/>
    </row>
    <row r="47" spans="1:12" x14ac:dyDescent="0.25">
      <c r="A47" s="4"/>
      <c r="B47" s="104"/>
      <c r="C47" s="104" t="s">
        <v>182</v>
      </c>
      <c r="D47" s="38"/>
      <c r="E47" s="38"/>
      <c r="F47" s="40">
        <f t="shared" si="7"/>
        <v>8.2165892735487911E-2</v>
      </c>
      <c r="G47" s="69">
        <f t="shared" si="7"/>
        <v>6.7844106558528128E-2</v>
      </c>
      <c r="H47" s="69">
        <f t="shared" si="7"/>
        <v>0.15773478917080896</v>
      </c>
      <c r="I47" s="69">
        <f t="shared" si="7"/>
        <v>0.24251252539940604</v>
      </c>
      <c r="J47" s="88">
        <f t="shared" si="7"/>
        <v>2.3024008223023473E-2</v>
      </c>
      <c r="K47" s="38">
        <f t="shared" ref="K47:K51" si="8">SUM(F47:J47)</f>
        <v>0.57328132208725457</v>
      </c>
      <c r="L47" s="95"/>
    </row>
    <row r="48" spans="1:12" x14ac:dyDescent="0.25">
      <c r="A48" s="4"/>
      <c r="B48" s="104"/>
      <c r="C48" s="104" t="s">
        <v>3</v>
      </c>
      <c r="D48" s="38"/>
      <c r="E48" s="38"/>
      <c r="F48" s="40">
        <f t="shared" si="7"/>
        <v>4.1175984421634004E-2</v>
      </c>
      <c r="G48" s="69">
        <f t="shared" si="7"/>
        <v>3.2062482972841005E-2</v>
      </c>
      <c r="H48" s="69">
        <f t="shared" si="7"/>
        <v>2.8437003668486588E-2</v>
      </c>
      <c r="I48" s="69">
        <f t="shared" si="7"/>
        <v>3.1141092599493908E-2</v>
      </c>
      <c r="J48" s="88">
        <f t="shared" si="7"/>
        <v>1.9865785417170906E-2</v>
      </c>
      <c r="K48" s="38">
        <f t="shared" si="8"/>
        <v>0.15268234907962641</v>
      </c>
      <c r="L48" s="95"/>
    </row>
    <row r="49" spans="1:12" x14ac:dyDescent="0.25">
      <c r="A49" s="4"/>
      <c r="B49" s="104"/>
      <c r="C49" s="104" t="s">
        <v>183</v>
      </c>
      <c r="D49" s="38"/>
      <c r="E49" s="38"/>
      <c r="F49" s="40">
        <f t="shared" si="7"/>
        <v>0.27808276838708679</v>
      </c>
      <c r="G49" s="69">
        <f t="shared" si="7"/>
        <v>0.28359991220499881</v>
      </c>
      <c r="H49" s="69">
        <f t="shared" si="7"/>
        <v>0.31528292619398712</v>
      </c>
      <c r="I49" s="69">
        <f t="shared" si="7"/>
        <v>0.33575338675588196</v>
      </c>
      <c r="J49" s="88">
        <f t="shared" si="7"/>
        <v>0.30064307222462894</v>
      </c>
      <c r="K49" s="38">
        <f t="shared" si="8"/>
        <v>1.5133620657665836</v>
      </c>
      <c r="L49" s="95"/>
    </row>
    <row r="50" spans="1:12" x14ac:dyDescent="0.25">
      <c r="A50" s="4"/>
      <c r="B50" s="104"/>
      <c r="C50" s="104" t="s">
        <v>184</v>
      </c>
      <c r="D50" s="38"/>
      <c r="E50" s="38"/>
      <c r="F50" s="40">
        <f t="shared" si="7"/>
        <v>1.2088301430431283</v>
      </c>
      <c r="G50" s="69">
        <f t="shared" si="7"/>
        <v>1.7822336640765979</v>
      </c>
      <c r="H50" s="69">
        <f t="shared" si="7"/>
        <v>1.1015221594752571</v>
      </c>
      <c r="I50" s="69">
        <f t="shared" si="7"/>
        <v>0.37873127959217134</v>
      </c>
      <c r="J50" s="88">
        <f t="shared" si="7"/>
        <v>0.68226072131788484</v>
      </c>
      <c r="K50" s="38">
        <f t="shared" si="8"/>
        <v>5.1535779675050399</v>
      </c>
      <c r="L50" s="95"/>
    </row>
    <row r="51" spans="1:12" x14ac:dyDescent="0.25">
      <c r="A51" s="4"/>
      <c r="B51" s="104"/>
      <c r="C51" s="104" t="s">
        <v>185</v>
      </c>
      <c r="D51" s="38"/>
      <c r="E51" s="38"/>
      <c r="F51" s="40">
        <f t="shared" si="7"/>
        <v>2.2558224343683904</v>
      </c>
      <c r="G51" s="69">
        <f t="shared" si="7"/>
        <v>2.1553097671567585</v>
      </c>
      <c r="H51" s="69">
        <f t="shared" si="7"/>
        <v>2.3140569563798614</v>
      </c>
      <c r="I51" s="69">
        <f t="shared" si="7"/>
        <v>2.5526447048539502</v>
      </c>
      <c r="J51" s="88">
        <f t="shared" si="7"/>
        <v>2.5155737393706765</v>
      </c>
      <c r="K51" s="38">
        <f t="shared" si="8"/>
        <v>11.793407602129637</v>
      </c>
      <c r="L51" s="95"/>
    </row>
    <row r="52" spans="1:12" x14ac:dyDescent="0.25">
      <c r="A52" s="4"/>
      <c r="B52" s="104"/>
      <c r="C52" s="139" t="s">
        <v>186</v>
      </c>
      <c r="D52" s="140"/>
      <c r="E52" s="140"/>
      <c r="F52" s="142">
        <f t="shared" si="7"/>
        <v>0.44989886427545844</v>
      </c>
      <c r="G52" s="143">
        <f t="shared" si="7"/>
        <v>0.43135415327239235</v>
      </c>
      <c r="H52" s="143">
        <f t="shared" si="7"/>
        <v>0.4647299605878441</v>
      </c>
      <c r="I52" s="143">
        <f t="shared" si="7"/>
        <v>0.50669683720301428</v>
      </c>
      <c r="J52" s="144">
        <f t="shared" si="7"/>
        <v>0.49989176952434056</v>
      </c>
      <c r="K52" s="140"/>
      <c r="L52" s="95"/>
    </row>
    <row r="53" spans="1:12" x14ac:dyDescent="0.25">
      <c r="A53" s="4"/>
      <c r="B53" s="104"/>
      <c r="C53" s="137" t="s">
        <v>187</v>
      </c>
      <c r="D53" s="69"/>
      <c r="E53" s="69"/>
      <c r="F53" s="145">
        <f t="shared" si="7"/>
        <v>1.3738460734863871</v>
      </c>
      <c r="G53" s="50">
        <f t="shared" si="7"/>
        <v>1.315923647496712</v>
      </c>
      <c r="H53" s="50">
        <f t="shared" si="7"/>
        <v>1.4018141290313526</v>
      </c>
      <c r="I53" s="50">
        <f t="shared" si="7"/>
        <v>1.5546216217995976</v>
      </c>
      <c r="J53" s="146">
        <f t="shared" si="7"/>
        <v>1.5407900391565992</v>
      </c>
      <c r="K53" s="69"/>
      <c r="L53" s="95"/>
    </row>
    <row r="54" spans="1:12" x14ac:dyDescent="0.25">
      <c r="A54" s="4"/>
      <c r="B54" s="104"/>
      <c r="C54" s="137" t="s">
        <v>188</v>
      </c>
      <c r="D54" s="69"/>
      <c r="E54" s="69"/>
      <c r="F54" s="145">
        <f t="shared" si="7"/>
        <v>0.39884962021723513</v>
      </c>
      <c r="G54" s="50">
        <f t="shared" si="7"/>
        <v>0.37446571536918638</v>
      </c>
      <c r="H54" s="50">
        <f t="shared" si="7"/>
        <v>0.41320181021085123</v>
      </c>
      <c r="I54" s="50">
        <f t="shared" si="7"/>
        <v>0.45513250735819977</v>
      </c>
      <c r="J54" s="146">
        <f t="shared" si="7"/>
        <v>0.43964390830298861</v>
      </c>
      <c r="K54" s="69"/>
      <c r="L54" s="95"/>
    </row>
    <row r="55" spans="1:12" x14ac:dyDescent="0.25">
      <c r="A55" s="4"/>
      <c r="B55" s="104"/>
      <c r="C55" s="137" t="s">
        <v>189</v>
      </c>
      <c r="D55" s="69"/>
      <c r="E55" s="69"/>
      <c r="F55" s="145">
        <f t="shared" si="7"/>
        <v>3.3227876389310851E-2</v>
      </c>
      <c r="G55" s="50">
        <f t="shared" si="7"/>
        <v>3.356625101846844E-2</v>
      </c>
      <c r="H55" s="50">
        <f t="shared" si="7"/>
        <v>3.4311056549814922E-2</v>
      </c>
      <c r="I55" s="50">
        <f t="shared" si="7"/>
        <v>3.6193738493135619E-2</v>
      </c>
      <c r="J55" s="146">
        <f t="shared" si="7"/>
        <v>3.5248022386747513E-2</v>
      </c>
      <c r="K55" s="69"/>
      <c r="L55" s="95"/>
    </row>
    <row r="56" spans="1:12" x14ac:dyDescent="0.25">
      <c r="A56" s="4"/>
      <c r="B56" s="104"/>
      <c r="C56" s="138" t="s">
        <v>190</v>
      </c>
      <c r="D56" s="85"/>
      <c r="E56" s="85"/>
      <c r="F56" s="147">
        <f t="shared" si="7"/>
        <v>0</v>
      </c>
      <c r="G56" s="50">
        <f t="shared" si="7"/>
        <v>0</v>
      </c>
      <c r="H56" s="50">
        <f t="shared" si="7"/>
        <v>0</v>
      </c>
      <c r="I56" s="50">
        <f t="shared" si="7"/>
        <v>0</v>
      </c>
      <c r="J56" s="148">
        <f t="shared" si="7"/>
        <v>0</v>
      </c>
      <c r="K56" s="85"/>
      <c r="L56" s="95"/>
    </row>
    <row r="57" spans="1:12" x14ac:dyDescent="0.25">
      <c r="A57" s="4"/>
      <c r="B57" s="104"/>
      <c r="C57" s="104" t="s">
        <v>191</v>
      </c>
      <c r="D57" s="38"/>
      <c r="E57" s="38"/>
      <c r="F57" s="40">
        <f t="shared" si="7"/>
        <v>0.29228835010104515</v>
      </c>
      <c r="G57" s="140">
        <f t="shared" si="7"/>
        <v>0.27163421504193508</v>
      </c>
      <c r="H57" s="140">
        <f t="shared" si="7"/>
        <v>0.27763409006300588</v>
      </c>
      <c r="I57" s="140">
        <f t="shared" si="7"/>
        <v>0.27490157810214289</v>
      </c>
      <c r="J57" s="141">
        <f t="shared" si="7"/>
        <v>0.26770450026466097</v>
      </c>
      <c r="K57" s="38">
        <f t="shared" ref="K57:K58" si="9">SUM(F57:J57)</f>
        <v>1.38416273357279</v>
      </c>
      <c r="L57" s="95"/>
    </row>
    <row r="58" spans="1:12" x14ac:dyDescent="0.25">
      <c r="A58" s="4"/>
      <c r="B58" s="104"/>
      <c r="C58" s="104" t="s">
        <v>192</v>
      </c>
      <c r="D58" s="38"/>
      <c r="E58" s="38"/>
      <c r="F58" s="40">
        <f t="shared" si="7"/>
        <v>0.17903179798560687</v>
      </c>
      <c r="G58" s="85">
        <f t="shared" si="7"/>
        <v>0.14057545926534565</v>
      </c>
      <c r="H58" s="85">
        <f t="shared" si="7"/>
        <v>0.12077491905534854</v>
      </c>
      <c r="I58" s="85">
        <f t="shared" si="7"/>
        <v>0.12740195949583744</v>
      </c>
      <c r="J58" s="88">
        <f t="shared" si="7"/>
        <v>0.12407303880135134</v>
      </c>
      <c r="K58" s="38">
        <f t="shared" si="9"/>
        <v>0.69185717460348983</v>
      </c>
      <c r="L58" s="95"/>
    </row>
    <row r="59" spans="1:12" ht="15.75" thickBot="1" x14ac:dyDescent="0.3">
      <c r="A59" s="4"/>
      <c r="B59" s="93"/>
      <c r="C59" s="93" t="s">
        <v>130</v>
      </c>
      <c r="D59" s="122"/>
      <c r="E59" s="122"/>
      <c r="F59" s="123">
        <f>SUM(F45:F51,F57:F58)</f>
        <v>9.3549418005413632</v>
      </c>
      <c r="G59" s="149">
        <f t="shared" ref="G59:J59" si="10">SUM(G45:G51,G57:G58)</f>
        <v>9.7758251806587282</v>
      </c>
      <c r="H59" s="149">
        <f t="shared" si="10"/>
        <v>9.4200287556741653</v>
      </c>
      <c r="I59" s="149">
        <f t="shared" si="10"/>
        <v>9.2201552322437017</v>
      </c>
      <c r="J59" s="122">
        <f t="shared" si="10"/>
        <v>8.9829710409022372</v>
      </c>
      <c r="K59" s="123">
        <f>SUM(F59:J59)</f>
        <v>46.753922010020197</v>
      </c>
      <c r="L59" s="95"/>
    </row>
    <row r="60" spans="1:12" x14ac:dyDescent="0.25">
      <c r="A60" s="4"/>
      <c r="B60" s="94"/>
      <c r="C60" s="94"/>
      <c r="D60" s="136"/>
      <c r="E60" s="49"/>
      <c r="F60" s="136"/>
      <c r="G60" s="136"/>
      <c r="H60" s="136"/>
      <c r="I60" s="136"/>
      <c r="J60" s="136"/>
      <c r="K60" s="136"/>
      <c r="L60" s="95"/>
    </row>
    <row r="61" spans="1:12" x14ac:dyDescent="0.25">
      <c r="A61" s="4"/>
      <c r="B61" s="94"/>
      <c r="C61" s="94"/>
      <c r="D61" s="136"/>
      <c r="E61" s="49"/>
      <c r="F61" s="136"/>
      <c r="G61" s="136"/>
      <c r="H61" s="136"/>
      <c r="I61" s="136"/>
      <c r="J61" s="136"/>
      <c r="K61" s="136"/>
      <c r="L61" s="95"/>
    </row>
    <row r="62" spans="1:12" x14ac:dyDescent="0.25">
      <c r="B62" s="113"/>
      <c r="C62" s="113"/>
      <c r="D62" s="114"/>
      <c r="E62" s="114"/>
      <c r="F62" s="114"/>
      <c r="G62" s="114"/>
      <c r="H62" s="114"/>
      <c r="I62" s="114"/>
      <c r="J62" s="114"/>
      <c r="K62" s="114"/>
      <c r="L62" s="115"/>
    </row>
    <row r="63" spans="1:12" x14ac:dyDescent="0.25">
      <c r="B63" s="116"/>
      <c r="C63" s="116"/>
      <c r="D63" s="117"/>
      <c r="E63" s="117"/>
      <c r="F63" s="118"/>
      <c r="G63" s="118"/>
      <c r="H63" s="118"/>
      <c r="I63" s="118"/>
      <c r="J63" s="118"/>
      <c r="K63" s="117"/>
      <c r="L63" s="119"/>
    </row>
    <row r="65" spans="3:3" x14ac:dyDescent="0.25">
      <c r="C65" s="116"/>
    </row>
  </sheetData>
  <hyperlinks>
    <hyperlink ref="C3" location="Contents!A1" display="Contents!A1"/>
  </hyperlink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0"/>
  <sheetViews>
    <sheetView zoomScaleNormal="100" workbookViewId="0">
      <selection activeCell="C24" sqref="C24"/>
    </sheetView>
  </sheetViews>
  <sheetFormatPr defaultRowHeight="15" x14ac:dyDescent="0.25"/>
  <cols>
    <col min="1" max="1" width="2.85546875" style="3" customWidth="1"/>
    <col min="2" max="2" width="3.85546875" style="3" customWidth="1"/>
    <col min="3" max="3" width="32.5703125" style="3" customWidth="1"/>
    <col min="4" max="10" width="9.140625" style="3"/>
    <col min="11" max="11" width="13.710937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.75" x14ac:dyDescent="0.3">
      <c r="A2" s="1"/>
      <c r="B2" s="70" t="s">
        <v>230</v>
      </c>
      <c r="C2" s="71"/>
      <c r="D2" s="71"/>
      <c r="E2" s="72"/>
      <c r="F2" s="72"/>
      <c r="G2" s="72"/>
      <c r="H2" s="72"/>
      <c r="I2" s="72"/>
      <c r="J2" s="72"/>
      <c r="K2" s="6"/>
      <c r="L2" s="1"/>
    </row>
    <row r="3" spans="1:12" x14ac:dyDescent="0.25">
      <c r="A3" s="4"/>
      <c r="B3" s="4"/>
      <c r="C3" s="20" t="s">
        <v>40</v>
      </c>
      <c r="D3" s="4"/>
      <c r="E3" s="4"/>
      <c r="F3" s="4"/>
      <c r="G3" s="4"/>
      <c r="H3" s="4"/>
      <c r="I3" s="4"/>
      <c r="J3" s="4"/>
      <c r="K3" s="4"/>
      <c r="L3" s="4"/>
    </row>
    <row r="4" spans="1:12" x14ac:dyDescent="0.25">
      <c r="A4" s="4"/>
      <c r="B4" s="4"/>
      <c r="C4" s="20"/>
      <c r="D4" s="4"/>
      <c r="E4" s="4"/>
      <c r="F4" s="4"/>
      <c r="G4" s="4"/>
      <c r="H4" s="4"/>
      <c r="I4" s="4"/>
      <c r="J4" s="4"/>
      <c r="K4" s="4"/>
      <c r="L4" s="4"/>
    </row>
    <row r="5" spans="1:12" x14ac:dyDescent="0.25">
      <c r="A5" s="76"/>
      <c r="B5" s="30" t="s">
        <v>238</v>
      </c>
      <c r="C5" s="30"/>
      <c r="D5" s="30"/>
      <c r="E5" s="30"/>
      <c r="F5" s="30"/>
      <c r="G5" s="30"/>
      <c r="H5" s="30"/>
      <c r="I5" s="30"/>
      <c r="J5" s="30"/>
      <c r="K5" s="30"/>
      <c r="L5" s="76"/>
    </row>
    <row r="6" spans="1:12" x14ac:dyDescent="0.25">
      <c r="A6" s="4"/>
      <c r="B6" s="4"/>
      <c r="C6" s="22"/>
      <c r="D6" s="38"/>
      <c r="E6" s="69"/>
      <c r="F6" s="40"/>
      <c r="G6" s="69"/>
      <c r="H6" s="69"/>
      <c r="I6" s="69"/>
      <c r="J6" s="88"/>
      <c r="K6" s="69"/>
      <c r="L6" s="19"/>
    </row>
    <row r="7" spans="1:12" x14ac:dyDescent="0.25">
      <c r="A7" s="4"/>
      <c r="B7" s="103"/>
      <c r="C7" s="22" t="s">
        <v>224</v>
      </c>
      <c r="D7" s="38"/>
      <c r="E7" s="38"/>
      <c r="F7" s="40">
        <f>'Capex Summary Forecast - OHs'!F26+'Capex Summary Forecast - OHs'!F28+'Capex Summary Forecast - OHs'!F33+'Capex Summary Forecast - OHs'!F36+'Capex Summary Forecast - OHs'!F37</f>
        <v>43.03852686497649</v>
      </c>
      <c r="G7" s="69">
        <f>'Capex Summary Forecast - OHs'!G26+'Capex Summary Forecast - OHs'!G28+'Capex Summary Forecast - OHs'!G33+'Capex Summary Forecast - OHs'!G36+'Capex Summary Forecast - OHs'!G37</f>
        <v>43.074005901653265</v>
      </c>
      <c r="H7" s="69">
        <f>'Capex Summary Forecast - OHs'!H26+'Capex Summary Forecast - OHs'!H28+'Capex Summary Forecast - OHs'!H33+'Capex Summary Forecast - OHs'!H36+'Capex Summary Forecast - OHs'!H37</f>
        <v>44.502392740024987</v>
      </c>
      <c r="I7" s="69">
        <f>'Capex Summary Forecast - OHs'!I26+'Capex Summary Forecast - OHs'!I28+'Capex Summary Forecast - OHs'!I33+'Capex Summary Forecast - OHs'!I36+'Capex Summary Forecast - OHs'!I37</f>
        <v>45.995819980917261</v>
      </c>
      <c r="J7" s="88">
        <f>'Capex Summary Forecast - OHs'!J26+'Capex Summary Forecast - OHs'!J28+'Capex Summary Forecast - OHs'!J33+'Capex Summary Forecast - OHs'!J36+'Capex Summary Forecast - OHs'!J37</f>
        <v>44.749997036433257</v>
      </c>
      <c r="K7" s="38">
        <f>SUM(F7:J7)</f>
        <v>221.36074252400525</v>
      </c>
      <c r="L7" s="19"/>
    </row>
    <row r="8" spans="1:12" x14ac:dyDescent="0.25">
      <c r="A8" s="4"/>
      <c r="B8" s="104"/>
      <c r="C8" s="104" t="s">
        <v>225</v>
      </c>
      <c r="D8" s="105"/>
      <c r="E8" s="38"/>
      <c r="F8" s="40">
        <f>'Capex Summary Forecast - OHs'!F34</f>
        <v>11.740790143913634</v>
      </c>
      <c r="G8" s="69">
        <f>'Capex Summary Forecast - OHs'!G34</f>
        <v>11.16709688170813</v>
      </c>
      <c r="H8" s="69">
        <f>'Capex Summary Forecast - OHs'!H34</f>
        <v>11.715726450669658</v>
      </c>
      <c r="I8" s="69">
        <f>'Capex Summary Forecast - OHs'!I34</f>
        <v>12.454067931889345</v>
      </c>
      <c r="J8" s="88">
        <f>'Capex Summary Forecast - OHs'!J34</f>
        <v>12.712627817985554</v>
      </c>
      <c r="K8" s="38">
        <f>SUM(F8:J8)</f>
        <v>59.790309226166322</v>
      </c>
      <c r="L8" s="19"/>
    </row>
    <row r="9" spans="1:12" x14ac:dyDescent="0.25">
      <c r="A9" s="4"/>
      <c r="B9" s="104"/>
      <c r="C9" s="104" t="s">
        <v>226</v>
      </c>
      <c r="D9" s="38"/>
      <c r="E9" s="38"/>
      <c r="F9" s="40">
        <f>'Capex Summary Forecast - OHs'!F27+'Capex Summary Forecast - OHs'!F35</f>
        <v>8.2075759285089589</v>
      </c>
      <c r="G9" s="69">
        <f>'Capex Summary Forecast - OHs'!G27+'Capex Summary Forecast - OHs'!G35</f>
        <v>7.7804270988585396</v>
      </c>
      <c r="H9" s="69">
        <f>'Capex Summary Forecast - OHs'!H27+'Capex Summary Forecast - OHs'!H35</f>
        <v>7.669110311671421</v>
      </c>
      <c r="I9" s="69">
        <f>'Capex Summary Forecast - OHs'!I27+'Capex Summary Forecast - OHs'!I35</f>
        <v>7.0422315279157583</v>
      </c>
      <c r="J9" s="88">
        <f>'Capex Summary Forecast - OHs'!J27+'Capex Summary Forecast - OHs'!J35</f>
        <v>6.2856055294905921</v>
      </c>
      <c r="K9" s="38">
        <f t="shared" ref="K9:K13" si="0">SUM(F9:J9)</f>
        <v>36.984950396445271</v>
      </c>
      <c r="L9" s="19"/>
    </row>
    <row r="10" spans="1:12" x14ac:dyDescent="0.25">
      <c r="A10" s="4"/>
      <c r="B10" s="104"/>
      <c r="C10" s="104" t="s">
        <v>3</v>
      </c>
      <c r="D10" s="38"/>
      <c r="E10" s="38"/>
      <c r="F10" s="40">
        <f>'Capex Summary Forecast - OHs'!F29</f>
        <v>0.35267194156852588</v>
      </c>
      <c r="G10" s="69">
        <f>'Capex Summary Forecast - OHs'!G29</f>
        <v>0.27349513917923773</v>
      </c>
      <c r="H10" s="69">
        <f>'Capex Summary Forecast - OHs'!H29</f>
        <v>0.23931131925505941</v>
      </c>
      <c r="I10" s="69">
        <f>'Capex Summary Forecast - OHs'!I29</f>
        <v>0.25173437799274195</v>
      </c>
      <c r="J10" s="88">
        <f>'Capex Summary Forecast - OHs'!J29</f>
        <v>0.16572548311718169</v>
      </c>
      <c r="K10" s="38">
        <f t="shared" si="0"/>
        <v>1.2829382611127467</v>
      </c>
      <c r="L10" s="19"/>
    </row>
    <row r="11" spans="1:12" x14ac:dyDescent="0.25">
      <c r="A11" s="4"/>
      <c r="B11" s="104"/>
      <c r="C11" s="104" t="s">
        <v>227</v>
      </c>
      <c r="D11" s="38"/>
      <c r="E11" s="38"/>
      <c r="F11" s="40">
        <f>'Capex Summary Forecast - OHs'!F31</f>
        <v>10.351908300581879</v>
      </c>
      <c r="G11" s="69">
        <f>'Capex Summary Forecast - OHs'!G31</f>
        <v>15.213766705231071</v>
      </c>
      <c r="H11" s="69">
        <f>'Capex Summary Forecast - OHs'!H31</f>
        <v>9.2852856088497369</v>
      </c>
      <c r="I11" s="69">
        <f>'Capex Summary Forecast - OHs'!I31</f>
        <v>3.0704320675165708</v>
      </c>
      <c r="J11" s="88">
        <f>'Capex Summary Forecast - OHs'!J31</f>
        <v>5.723189114087468</v>
      </c>
      <c r="K11" s="38">
        <f t="shared" si="0"/>
        <v>43.644581796266721</v>
      </c>
      <c r="L11" s="19"/>
    </row>
    <row r="12" spans="1:12" x14ac:dyDescent="0.25">
      <c r="A12" s="4"/>
      <c r="B12" s="104"/>
      <c r="C12" s="104" t="s">
        <v>228</v>
      </c>
      <c r="D12" s="38"/>
      <c r="E12" s="38"/>
      <c r="F12" s="40">
        <f>'Capex Summary Forecast - OHs'!F38+'Capex Summary Forecast - OHs'!F30</f>
        <v>4.8769295948619131</v>
      </c>
      <c r="G12" s="69">
        <f>'Capex Summary Forecast - OHs'!G38+'Capex Summary Forecast - OHs'!G30</f>
        <v>4.7228881558990494</v>
      </c>
      <c r="H12" s="69">
        <f>'Capex Summary Forecast - OHs'!H38+'Capex Summary Forecast - OHs'!H30</f>
        <v>4.968563217761619</v>
      </c>
      <c r="I12" s="69">
        <f>'Capex Summary Forecast - OHs'!I38+'Capex Summary Forecast - OHs'!I30</f>
        <v>4.9079105454669723</v>
      </c>
      <c r="J12" s="88">
        <f>'Capex Summary Forecast - OHs'!J38+'Capex Summary Forecast - OHs'!J30</f>
        <v>4.7084280135284935</v>
      </c>
      <c r="K12" s="38">
        <f t="shared" si="0"/>
        <v>24.184719527518048</v>
      </c>
      <c r="L12" s="19"/>
    </row>
    <row r="13" spans="1:12" x14ac:dyDescent="0.25">
      <c r="A13" s="4"/>
      <c r="B13" s="104"/>
      <c r="C13" s="104" t="s">
        <v>229</v>
      </c>
      <c r="D13" s="38"/>
      <c r="E13" s="38"/>
      <c r="F13" s="40">
        <f>'Capex Summary Forecast - OHs'!F39</f>
        <v>1.5276270161536252</v>
      </c>
      <c r="G13" s="69">
        <f>'Capex Summary Forecast - OHs'!G39</f>
        <v>1.1905496731001246</v>
      </c>
      <c r="H13" s="69">
        <f>'Capex Summary Forecast - OHs'!H39</f>
        <v>1.0049819790634977</v>
      </c>
      <c r="I13" s="69">
        <f>'Capex Summary Forecast - OHs'!I39</f>
        <v>1.0136672660007124</v>
      </c>
      <c r="J13" s="88">
        <f>'Capex Summary Forecast - OHs'!J39</f>
        <v>1.0133137635041378</v>
      </c>
      <c r="K13" s="38">
        <f t="shared" si="0"/>
        <v>5.7501396978220978</v>
      </c>
      <c r="L13" s="19"/>
    </row>
    <row r="14" spans="1:12" ht="15.75" thickBot="1" x14ac:dyDescent="0.3">
      <c r="A14" s="4"/>
      <c r="B14" s="93"/>
      <c r="C14" s="93" t="s">
        <v>130</v>
      </c>
      <c r="D14" s="122"/>
      <c r="E14" s="122"/>
      <c r="F14" s="123">
        <f>SUM(F7:F13)</f>
        <v>80.096029790565026</v>
      </c>
      <c r="G14" s="122">
        <f t="shared" ref="G14:J14" si="1">SUM(G7:G13)</f>
        <v>83.422229555629428</v>
      </c>
      <c r="H14" s="122">
        <f t="shared" si="1"/>
        <v>79.385371627295982</v>
      </c>
      <c r="I14" s="122">
        <f t="shared" si="1"/>
        <v>74.735863697699372</v>
      </c>
      <c r="J14" s="122">
        <f t="shared" si="1"/>
        <v>75.358886758146681</v>
      </c>
      <c r="K14" s="123">
        <f>SUM(F14:J14)</f>
        <v>392.99838142933646</v>
      </c>
      <c r="L14" s="95"/>
    </row>
    <row r="15" spans="1:12" x14ac:dyDescent="0.25">
      <c r="A15" s="4"/>
      <c r="B15" s="94"/>
      <c r="C15" s="94"/>
      <c r="D15" s="136"/>
      <c r="E15" s="150" t="s">
        <v>24</v>
      </c>
      <c r="F15" s="150">
        <f>F14-'Capex Summary Forecast - Esc'!F47</f>
        <v>0</v>
      </c>
      <c r="G15" s="150">
        <f>G14-'Capex Summary Forecast - Esc'!G47</f>
        <v>0</v>
      </c>
      <c r="H15" s="150">
        <f>H14-'Capex Summary Forecast - Esc'!H47</f>
        <v>0</v>
      </c>
      <c r="I15" s="150">
        <f>I14-'Capex Summary Forecast - Esc'!I47</f>
        <v>0</v>
      </c>
      <c r="J15" s="150">
        <f>J14-'Capex Summary Forecast - Esc'!J47</f>
        <v>0</v>
      </c>
      <c r="K15" s="150">
        <f>K14-'Capex Summary Forecast - Esc'!K47</f>
        <v>0</v>
      </c>
      <c r="L15" s="95"/>
    </row>
    <row r="16" spans="1:12" x14ac:dyDescent="0.25">
      <c r="A16" s="4"/>
      <c r="B16" s="4"/>
      <c r="C16" s="20"/>
      <c r="D16" s="4"/>
      <c r="E16" s="4"/>
      <c r="F16" s="4"/>
      <c r="G16" s="4"/>
      <c r="H16" s="4"/>
      <c r="I16" s="4"/>
      <c r="J16" s="4"/>
      <c r="K16" s="4"/>
      <c r="L16" s="4"/>
    </row>
    <row r="17" spans="1:12" x14ac:dyDescent="0.25">
      <c r="A17" s="4"/>
      <c r="B17" s="30" t="s">
        <v>223</v>
      </c>
      <c r="C17" s="30"/>
      <c r="D17" s="30"/>
      <c r="E17" s="30"/>
      <c r="F17" s="30"/>
      <c r="G17" s="30"/>
      <c r="H17" s="30"/>
      <c r="I17" s="30"/>
      <c r="J17" s="30"/>
      <c r="K17" s="30"/>
      <c r="L17" s="4"/>
    </row>
    <row r="18" spans="1:12" x14ac:dyDescent="0.25">
      <c r="A18" s="4"/>
      <c r="B18" s="4"/>
      <c r="C18" s="22" t="s">
        <v>236</v>
      </c>
      <c r="D18" s="4"/>
      <c r="E18" s="4"/>
      <c r="F18" s="175">
        <v>1.0133000000000001</v>
      </c>
      <c r="G18" s="4"/>
      <c r="H18" s="4"/>
      <c r="I18" s="4"/>
      <c r="J18" s="4"/>
      <c r="K18" s="4"/>
      <c r="L18" s="4"/>
    </row>
    <row r="19" spans="1:12" x14ac:dyDescent="0.25">
      <c r="A19" s="4"/>
      <c r="B19" s="4"/>
      <c r="C19" s="20"/>
      <c r="D19" s="4"/>
      <c r="E19" s="4"/>
      <c r="F19" s="4"/>
      <c r="G19" s="4"/>
      <c r="H19" s="4"/>
      <c r="I19" s="4"/>
      <c r="J19" s="4"/>
      <c r="K19" s="4"/>
      <c r="L19" s="4"/>
    </row>
    <row r="20" spans="1:12" x14ac:dyDescent="0.25">
      <c r="A20" s="76"/>
      <c r="B20" s="30" t="s">
        <v>237</v>
      </c>
      <c r="C20" s="30"/>
      <c r="D20" s="30"/>
      <c r="E20" s="30"/>
      <c r="F20" s="30"/>
      <c r="G20" s="30"/>
      <c r="H20" s="30"/>
      <c r="I20" s="30"/>
      <c r="J20" s="30"/>
      <c r="K20" s="30"/>
      <c r="L20" s="76"/>
    </row>
    <row r="21" spans="1:12" x14ac:dyDescent="0.25">
      <c r="A21" s="4"/>
      <c r="B21" s="4"/>
      <c r="C21" s="22"/>
      <c r="D21" s="38"/>
      <c r="E21" s="69"/>
      <c r="F21" s="40"/>
      <c r="G21" s="69"/>
      <c r="H21" s="69"/>
      <c r="I21" s="69"/>
      <c r="J21" s="88"/>
      <c r="K21" s="69"/>
      <c r="L21" s="19"/>
    </row>
    <row r="22" spans="1:12" x14ac:dyDescent="0.25">
      <c r="A22" s="4"/>
      <c r="B22" s="103"/>
      <c r="C22" s="22" t="s">
        <v>224</v>
      </c>
      <c r="D22" s="38"/>
      <c r="E22" s="38"/>
      <c r="F22" s="40">
        <f>F7*$F$18</f>
        <v>43.610939272280682</v>
      </c>
      <c r="G22" s="69">
        <f t="shared" ref="G22:J22" si="2">G7*$F$18</f>
        <v>43.646890180145256</v>
      </c>
      <c r="H22" s="69">
        <f t="shared" si="2"/>
        <v>45.094274563467323</v>
      </c>
      <c r="I22" s="69">
        <f t="shared" si="2"/>
        <v>46.607564386663462</v>
      </c>
      <c r="J22" s="88">
        <f t="shared" si="2"/>
        <v>45.345171997017822</v>
      </c>
      <c r="K22" s="38">
        <f>SUM(F22:J22)</f>
        <v>224.30484039957452</v>
      </c>
      <c r="L22" s="19"/>
    </row>
    <row r="23" spans="1:12" x14ac:dyDescent="0.25">
      <c r="A23" s="4"/>
      <c r="B23" s="104"/>
      <c r="C23" s="104" t="s">
        <v>225</v>
      </c>
      <c r="D23" s="105"/>
      <c r="E23" s="38"/>
      <c r="F23" s="40">
        <f t="shared" ref="F23:J23" si="3">F8*$F$18</f>
        <v>11.896942652827686</v>
      </c>
      <c r="G23" s="69">
        <f t="shared" si="3"/>
        <v>11.315619270234849</v>
      </c>
      <c r="H23" s="69">
        <f t="shared" si="3"/>
        <v>11.871545612463565</v>
      </c>
      <c r="I23" s="69">
        <f t="shared" si="3"/>
        <v>12.619707035383474</v>
      </c>
      <c r="J23" s="88">
        <f t="shared" si="3"/>
        <v>12.881705767964764</v>
      </c>
      <c r="K23" s="38">
        <f>SUM(F23:J23)</f>
        <v>60.585520338874332</v>
      </c>
      <c r="L23" s="19"/>
    </row>
    <row r="24" spans="1:12" x14ac:dyDescent="0.25">
      <c r="A24" s="4"/>
      <c r="B24" s="104"/>
      <c r="C24" s="104" t="s">
        <v>226</v>
      </c>
      <c r="D24" s="38"/>
      <c r="E24" s="38"/>
      <c r="F24" s="40">
        <f t="shared" ref="F24:J24" si="4">F9*$F$18</f>
        <v>8.3167366883581284</v>
      </c>
      <c r="G24" s="69">
        <f t="shared" si="4"/>
        <v>7.8839067792733593</v>
      </c>
      <c r="H24" s="69">
        <f t="shared" si="4"/>
        <v>7.7711094788166513</v>
      </c>
      <c r="I24" s="69">
        <f t="shared" si="4"/>
        <v>7.1358932072370385</v>
      </c>
      <c r="J24" s="88">
        <f t="shared" si="4"/>
        <v>6.3692040830328178</v>
      </c>
      <c r="K24" s="38">
        <f t="shared" ref="K24:K28" si="5">SUM(F24:J24)</f>
        <v>37.476850236717993</v>
      </c>
      <c r="L24" s="19"/>
    </row>
    <row r="25" spans="1:12" x14ac:dyDescent="0.25">
      <c r="A25" s="4"/>
      <c r="B25" s="104"/>
      <c r="C25" s="104" t="s">
        <v>3</v>
      </c>
      <c r="D25" s="38"/>
      <c r="E25" s="38"/>
      <c r="F25" s="40">
        <f t="shared" ref="F25:J25" si="6">F10*$F$18</f>
        <v>0.35736247839138729</v>
      </c>
      <c r="G25" s="69">
        <f t="shared" si="6"/>
        <v>0.27713262453032161</v>
      </c>
      <c r="H25" s="69">
        <f t="shared" si="6"/>
        <v>0.24249415980115172</v>
      </c>
      <c r="I25" s="69">
        <f t="shared" si="6"/>
        <v>0.25508244522004542</v>
      </c>
      <c r="J25" s="88">
        <f t="shared" si="6"/>
        <v>0.16792963204264022</v>
      </c>
      <c r="K25" s="38">
        <f t="shared" si="5"/>
        <v>1.3000013399855463</v>
      </c>
      <c r="L25" s="19"/>
    </row>
    <row r="26" spans="1:12" x14ac:dyDescent="0.25">
      <c r="A26" s="4"/>
      <c r="B26" s="104"/>
      <c r="C26" s="104" t="s">
        <v>227</v>
      </c>
      <c r="D26" s="38"/>
      <c r="E26" s="38"/>
      <c r="F26" s="40">
        <f t="shared" ref="F26:J26" si="7">F11*$F$18</f>
        <v>10.489588680979619</v>
      </c>
      <c r="G26" s="69">
        <f t="shared" si="7"/>
        <v>15.416109802410647</v>
      </c>
      <c r="H26" s="69">
        <f t="shared" si="7"/>
        <v>9.408779907447439</v>
      </c>
      <c r="I26" s="69">
        <f t="shared" si="7"/>
        <v>3.1112688140145415</v>
      </c>
      <c r="J26" s="88">
        <f t="shared" si="7"/>
        <v>5.7993075293048317</v>
      </c>
      <c r="K26" s="38">
        <f t="shared" si="5"/>
        <v>44.225054734157084</v>
      </c>
      <c r="L26" s="19"/>
    </row>
    <row r="27" spans="1:12" x14ac:dyDescent="0.25">
      <c r="A27" s="4"/>
      <c r="B27" s="104"/>
      <c r="C27" s="104" t="s">
        <v>228</v>
      </c>
      <c r="D27" s="38"/>
      <c r="E27" s="38"/>
      <c r="F27" s="40">
        <f t="shared" ref="F27:J27" si="8">F12*$F$18</f>
        <v>4.9417927584735768</v>
      </c>
      <c r="G27" s="69">
        <f t="shared" si="8"/>
        <v>4.785702568372507</v>
      </c>
      <c r="H27" s="69">
        <f t="shared" si="8"/>
        <v>5.0346451085578492</v>
      </c>
      <c r="I27" s="69">
        <f t="shared" si="8"/>
        <v>4.9731857557216834</v>
      </c>
      <c r="J27" s="88">
        <f t="shared" si="8"/>
        <v>4.7710501061084232</v>
      </c>
      <c r="K27" s="38">
        <f t="shared" si="5"/>
        <v>24.506376297234038</v>
      </c>
      <c r="L27" s="19"/>
    </row>
    <row r="28" spans="1:12" x14ac:dyDescent="0.25">
      <c r="A28" s="4"/>
      <c r="B28" s="104"/>
      <c r="C28" s="104" t="s">
        <v>229</v>
      </c>
      <c r="D28" s="38"/>
      <c r="E28" s="38"/>
      <c r="F28" s="40">
        <f t="shared" ref="F28:J28" si="9">F13*$F$18</f>
        <v>1.5479444554684685</v>
      </c>
      <c r="G28" s="69">
        <f t="shared" si="9"/>
        <v>1.2063839837523564</v>
      </c>
      <c r="H28" s="69">
        <f t="shared" si="9"/>
        <v>1.0183482393850423</v>
      </c>
      <c r="I28" s="69">
        <f t="shared" si="9"/>
        <v>1.027149040638522</v>
      </c>
      <c r="J28" s="88">
        <f t="shared" si="9"/>
        <v>1.026790836558743</v>
      </c>
      <c r="K28" s="38">
        <f t="shared" si="5"/>
        <v>5.826616555803132</v>
      </c>
      <c r="L28" s="19"/>
    </row>
    <row r="29" spans="1:12" ht="15.75" thickBot="1" x14ac:dyDescent="0.3">
      <c r="A29" s="4"/>
      <c r="B29" s="93"/>
      <c r="C29" s="93" t="s">
        <v>130</v>
      </c>
      <c r="D29" s="122"/>
      <c r="E29" s="122"/>
      <c r="F29" s="123">
        <f>SUM(F22:F28)</f>
        <v>81.16130698677955</v>
      </c>
      <c r="G29" s="122">
        <f t="shared" ref="G29:K29" si="10">SUM(G22:G28)</f>
        <v>84.5317452087193</v>
      </c>
      <c r="H29" s="122">
        <f t="shared" si="10"/>
        <v>80.441197069939037</v>
      </c>
      <c r="I29" s="122">
        <f t="shared" si="10"/>
        <v>75.729850684878755</v>
      </c>
      <c r="J29" s="122">
        <f t="shared" si="10"/>
        <v>76.361159952030036</v>
      </c>
      <c r="K29" s="123">
        <f t="shared" si="10"/>
        <v>398.22525990234669</v>
      </c>
      <c r="L29" s="95"/>
    </row>
    <row r="30" spans="1:12" x14ac:dyDescent="0.25">
      <c r="A30" s="4"/>
      <c r="B30" s="94"/>
      <c r="C30" s="94"/>
      <c r="D30" s="136"/>
      <c r="E30" s="150" t="s">
        <v>24</v>
      </c>
      <c r="F30" s="150">
        <f>F29-'Capex Summary Forecast - Esc'!F62</f>
        <v>81.16130698677955</v>
      </c>
      <c r="G30" s="150">
        <f>G29-'Capex Summary Forecast - Esc'!G62</f>
        <v>84.5317452087193</v>
      </c>
      <c r="H30" s="150">
        <f>H29-'Capex Summary Forecast - Esc'!H62</f>
        <v>80.441197069939037</v>
      </c>
      <c r="I30" s="150">
        <f>I29-'Capex Summary Forecast - Esc'!I62</f>
        <v>75.729850684878755</v>
      </c>
      <c r="J30" s="150">
        <f>J29-'Capex Summary Forecast - Esc'!J62</f>
        <v>76.361159952030036</v>
      </c>
      <c r="K30" s="150">
        <f>K29-'Capex Summary Forecast - Esc'!K62</f>
        <v>398.22525990234669</v>
      </c>
      <c r="L30" s="95"/>
    </row>
  </sheetData>
  <hyperlinks>
    <hyperlink ref="C3" location="Contents!A1" display="Contents!A1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8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81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34.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3.8467410000000002</v>
      </c>
      <c r="G9" s="43">
        <v>3.6115919999999999</v>
      </c>
      <c r="H9" s="43">
        <v>3.2034029999999998</v>
      </c>
      <c r="I9" s="43">
        <v>2.4799310000000001</v>
      </c>
      <c r="J9" s="43">
        <v>1.715568</v>
      </c>
      <c r="K9" s="45">
        <v>14.857234999999999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0.34872214541484464</v>
      </c>
      <c r="D12" s="38"/>
      <c r="E12" s="36"/>
      <c r="F12" s="69">
        <f>$C12*F$9</f>
        <v>1.341443774375245</v>
      </c>
      <c r="G12" s="69">
        <f t="shared" ref="G12:J14" si="0">$C12*G$9</f>
        <v>1.2594421106030895</v>
      </c>
      <c r="H12" s="69">
        <f t="shared" si="0"/>
        <v>1.1170975667883496</v>
      </c>
      <c r="I12" s="69">
        <f t="shared" si="0"/>
        <v>0.86480685880078112</v>
      </c>
      <c r="J12" s="69">
        <f t="shared" si="0"/>
        <v>0.59825655356505414</v>
      </c>
      <c r="K12" s="40">
        <f>SUM(F12:J12)</f>
        <v>5.1810468641325196</v>
      </c>
      <c r="L12" s="22"/>
    </row>
    <row r="13" spans="1:12" x14ac:dyDescent="0.25">
      <c r="A13" s="22"/>
      <c r="B13" s="66" t="s">
        <v>1</v>
      </c>
      <c r="C13" s="86">
        <v>6.5458243945198918E-2</v>
      </c>
      <c r="D13" s="38"/>
      <c r="E13" s="36"/>
      <c r="F13" s="69">
        <f>$C13*F$9</f>
        <v>0.25180091077199845</v>
      </c>
      <c r="G13" s="69">
        <f t="shared" si="0"/>
        <v>0.23640847016652886</v>
      </c>
      <c r="H13" s="69">
        <f t="shared" si="0"/>
        <v>0.20968913502878203</v>
      </c>
      <c r="I13" s="69">
        <f t="shared" si="0"/>
        <v>0.16233192836526111</v>
      </c>
      <c r="J13" s="69">
        <f t="shared" si="0"/>
        <v>0.11229806864857701</v>
      </c>
      <c r="K13" s="40">
        <f t="shared" ref="K13:K14" si="1">SUM(F13:J13)</f>
        <v>0.97252851298114751</v>
      </c>
      <c r="L13" s="22"/>
    </row>
    <row r="14" spans="1:12" x14ac:dyDescent="0.25">
      <c r="A14" s="22"/>
      <c r="B14" s="66" t="s">
        <v>44</v>
      </c>
      <c r="C14" s="87">
        <v>0.58581961063995658</v>
      </c>
      <c r="D14" s="38"/>
      <c r="E14" s="39"/>
      <c r="F14" s="69">
        <f>$C14*F$9</f>
        <v>2.2534963148527574</v>
      </c>
      <c r="G14" s="69">
        <f t="shared" si="0"/>
        <v>2.1157414192303818</v>
      </c>
      <c r="H14" s="69">
        <f t="shared" si="0"/>
        <v>1.8766162981828687</v>
      </c>
      <c r="I14" s="69">
        <f t="shared" si="0"/>
        <v>1.4527922128339583</v>
      </c>
      <c r="J14" s="69">
        <f t="shared" si="0"/>
        <v>1.005013377786369</v>
      </c>
      <c r="K14" s="40">
        <f t="shared" si="1"/>
        <v>8.7036596228863345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3.8467410000000006</v>
      </c>
      <c r="G15" s="43">
        <f t="shared" ref="G15:J15" si="2">SUM(G12:G14)</f>
        <v>3.6115919999999999</v>
      </c>
      <c r="H15" s="43">
        <f t="shared" si="2"/>
        <v>3.2034030000000002</v>
      </c>
      <c r="I15" s="43">
        <f t="shared" si="2"/>
        <v>2.4799310000000006</v>
      </c>
      <c r="J15" s="43">
        <f t="shared" si="2"/>
        <v>1.7155680000000002</v>
      </c>
      <c r="K15" s="45">
        <f>SUM(K12:K14)</f>
        <v>14.857235000000003</v>
      </c>
      <c r="L15" s="22"/>
    </row>
    <row r="16" spans="1:12" x14ac:dyDescent="0.25">
      <c r="A16" s="22"/>
      <c r="B16" s="46" t="s">
        <v>24</v>
      </c>
      <c r="C16" s="131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5.4653053829708399E-2</v>
      </c>
      <c r="G17" s="233">
        <f>G$15/'Capex Summary Forecast - Unesc'!G$47</f>
        <v>4.960301617837385E-2</v>
      </c>
      <c r="H17" s="233">
        <f>H$15/'Capex Summary Forecast - Unesc'!H$47</f>
        <v>4.6671679815686762E-2</v>
      </c>
      <c r="I17" s="233">
        <f>I$15/'Capex Summary Forecast - Unesc'!I$47</f>
        <v>3.8939897142351257E-2</v>
      </c>
      <c r="J17" s="234">
        <f>J$15/'Capex Summary Forecast - Unesc'!J$47</f>
        <v>2.6926672253376902E-2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1.3575863733951332</v>
      </c>
      <c r="G19" s="55">
        <f>G12*(1+'Real Cost Escalation'!F19)</f>
        <v>1.2874713611147852</v>
      </c>
      <c r="H19" s="55">
        <f>H12*(1+'Real Cost Escalation'!G19)</f>
        <v>1.1560620904641803</v>
      </c>
      <c r="I19" s="55">
        <f>I12*(1+'Real Cost Escalation'!H19)</f>
        <v>0.9073668008550444</v>
      </c>
      <c r="J19" s="62">
        <f>J12*(1+'Real Cost Escalation'!I19)</f>
        <v>0.63705140368084634</v>
      </c>
      <c r="K19" s="69">
        <f>SUM(F19:J19)</f>
        <v>5.3455380295099895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0.25358690533529921</v>
      </c>
      <c r="G20" s="55">
        <f>G13*(1+'Real Cost Escalation'!F20)</f>
        <v>0.2404744861696714</v>
      </c>
      <c r="H20" s="55">
        <f>H13*(1+'Real Cost Escalation'!G20)</f>
        <v>0.21577378083765236</v>
      </c>
      <c r="I20" s="55">
        <f>I13*(1+'Real Cost Escalation'!H20)</f>
        <v>0.1693593623651356</v>
      </c>
      <c r="J20" s="62">
        <f>J13*(1+'Real Cost Escalation'!I20)</f>
        <v>0.11949261939691866</v>
      </c>
      <c r="K20" s="69">
        <f t="shared" ref="K20:K21" si="4">SUM(F20:J20)</f>
        <v>0.99868715410467734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2.2534963148527574</v>
      </c>
      <c r="G21" s="55">
        <f>G14*(1+'Real Cost Escalation'!F21)</f>
        <v>2.1157414192303818</v>
      </c>
      <c r="H21" s="55">
        <f>H14*(1+'Real Cost Escalation'!G21)</f>
        <v>1.8766162981828687</v>
      </c>
      <c r="I21" s="55">
        <f>I14*(1+'Real Cost Escalation'!H21)</f>
        <v>1.4527922128339583</v>
      </c>
      <c r="J21" s="62">
        <f>J14*(1+'Real Cost Escalation'!I21)</f>
        <v>1.005013377786369</v>
      </c>
      <c r="K21" s="69">
        <f t="shared" si="4"/>
        <v>8.7036596228863345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3.8646695935831898</v>
      </c>
      <c r="G22" s="43">
        <f t="shared" ref="G22:J22" si="5">SUM(G19:G21)</f>
        <v>3.6436872665148385</v>
      </c>
      <c r="H22" s="43">
        <f t="shared" si="5"/>
        <v>3.2484521694847013</v>
      </c>
      <c r="I22" s="43">
        <f t="shared" si="5"/>
        <v>2.5295183760541384</v>
      </c>
      <c r="J22" s="44">
        <f t="shared" si="5"/>
        <v>1.7615574008641341</v>
      </c>
      <c r="K22" s="43">
        <f>SUM(K19:K21)</f>
        <v>15.047884806501001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0.51127613779877612</v>
      </c>
      <c r="G25" s="236">
        <f>G$17*'[1]AGN overheads'!D$63</f>
        <v>0.48491041459316936</v>
      </c>
      <c r="H25" s="236">
        <f>H$17*'[1]AGN overheads'!E$63</f>
        <v>0.43964856593938673</v>
      </c>
      <c r="I25" s="236">
        <f>I$17*'[1]AGN overheads'!F$63</f>
        <v>0.35903189638008137</v>
      </c>
      <c r="J25" s="237">
        <f>J$17*'[1]AGN overheads'!G$63</f>
        <v>0.24188151707995059</v>
      </c>
      <c r="K25" s="69">
        <f>SUM(F25:J25)</f>
        <v>2.0367485317913641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4.3759457313819663</v>
      </c>
      <c r="G26" s="58">
        <f t="shared" ref="G26:J26" si="6">G22+G25</f>
        <v>4.1285976811080083</v>
      </c>
      <c r="H26" s="58">
        <f t="shared" si="6"/>
        <v>3.6881007354240882</v>
      </c>
      <c r="I26" s="58">
        <f t="shared" si="6"/>
        <v>2.8885502724342196</v>
      </c>
      <c r="J26" s="44">
        <f t="shared" si="6"/>
        <v>2.0034389179440848</v>
      </c>
      <c r="K26" s="43">
        <f>SUM(F26:J26)</f>
        <v>17.084633338292367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33.42578125" style="3" customWidth="1"/>
    <col min="3" max="3" width="8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82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0.37065999999999999</v>
      </c>
      <c r="G9" s="43">
        <v>0.411605</v>
      </c>
      <c r="H9" s="43">
        <v>0.45642899999999997</v>
      </c>
      <c r="I9" s="43">
        <v>0.43660300000000002</v>
      </c>
      <c r="J9" s="43">
        <v>0.56719600000000003</v>
      </c>
      <c r="K9" s="45">
        <v>2.2424930000000001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0.4028373261865747</v>
      </c>
      <c r="D12" s="38"/>
      <c r="E12" s="36"/>
      <c r="F12" s="69">
        <f>$C12*F$9</f>
        <v>0.14931568332431577</v>
      </c>
      <c r="G12" s="69">
        <f t="shared" ref="G12:J14" si="0">$C12*G$9</f>
        <v>0.16580985764502507</v>
      </c>
      <c r="H12" s="69">
        <f t="shared" si="0"/>
        <v>0.18386663795401209</v>
      </c>
      <c r="I12" s="69">
        <f t="shared" si="0"/>
        <v>0.17587998512503708</v>
      </c>
      <c r="J12" s="69">
        <f t="shared" si="0"/>
        <v>0.22848772006372042</v>
      </c>
      <c r="K12" s="40">
        <f>SUM(F12:J12)</f>
        <v>0.90335988411211043</v>
      </c>
      <c r="L12" s="22"/>
    </row>
    <row r="13" spans="1:12" x14ac:dyDescent="0.25">
      <c r="A13" s="22"/>
      <c r="B13" s="66" t="s">
        <v>1</v>
      </c>
      <c r="C13" s="86">
        <v>5.647820890727371E-2</v>
      </c>
      <c r="D13" s="38"/>
      <c r="E13" s="36"/>
      <c r="F13" s="69">
        <f>$C13*F$9</f>
        <v>2.0934212913570071E-2</v>
      </c>
      <c r="G13" s="69">
        <f t="shared" si="0"/>
        <v>2.3246713177278396E-2</v>
      </c>
      <c r="H13" s="69">
        <f t="shared" si="0"/>
        <v>2.5778292413338032E-2</v>
      </c>
      <c r="I13" s="69">
        <f t="shared" si="0"/>
        <v>2.4658555443542424E-2</v>
      </c>
      <c r="J13" s="69">
        <f t="shared" si="0"/>
        <v>3.2034214179370024E-2</v>
      </c>
      <c r="K13" s="40">
        <f t="shared" ref="K13:K14" si="1">SUM(F13:J13)</f>
        <v>0.12665198812709894</v>
      </c>
      <c r="L13" s="22"/>
    </row>
    <row r="14" spans="1:12" x14ac:dyDescent="0.25">
      <c r="A14" s="22"/>
      <c r="B14" s="66" t="s">
        <v>44</v>
      </c>
      <c r="C14" s="87">
        <v>0.54068446490615152</v>
      </c>
      <c r="D14" s="38"/>
      <c r="E14" s="39"/>
      <c r="F14" s="69">
        <f>$C14*F$9</f>
        <v>0.20041010376211413</v>
      </c>
      <c r="G14" s="69">
        <f t="shared" si="0"/>
        <v>0.22254842917769649</v>
      </c>
      <c r="H14" s="69">
        <f t="shared" si="0"/>
        <v>0.24678406963264982</v>
      </c>
      <c r="I14" s="69">
        <f t="shared" si="0"/>
        <v>0.23606445943142049</v>
      </c>
      <c r="J14" s="69">
        <f t="shared" si="0"/>
        <v>0.30667406575690953</v>
      </c>
      <c r="K14" s="40">
        <f t="shared" si="1"/>
        <v>1.2124811277607905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0.37065999999999999</v>
      </c>
      <c r="G15" s="43">
        <f t="shared" ref="G15:J15" si="2">SUM(G12:G14)</f>
        <v>0.41160499999999994</v>
      </c>
      <c r="H15" s="43">
        <f t="shared" si="2"/>
        <v>0.45642899999999997</v>
      </c>
      <c r="I15" s="43">
        <f t="shared" si="2"/>
        <v>0.43660299999999996</v>
      </c>
      <c r="J15" s="43">
        <f t="shared" si="2"/>
        <v>0.56719600000000003</v>
      </c>
      <c r="K15" s="45">
        <f>SUM(K12:K14)</f>
        <v>2.2424929999999996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5.2661983046219411E-3</v>
      </c>
      <c r="G17" s="233">
        <f>G$15/'Capex Summary Forecast - Unesc'!G$47</f>
        <v>5.6531439526113598E-3</v>
      </c>
      <c r="H17" s="233">
        <f>H$15/'Capex Summary Forecast - Unesc'!H$47</f>
        <v>6.6498995432651125E-3</v>
      </c>
      <c r="I17" s="233">
        <f>I$15/'Capex Summary Forecast - Unesc'!I$47</f>
        <v>6.8555439292633472E-3</v>
      </c>
      <c r="J17" s="234">
        <f>J$15/'Capex Summary Forecast - Unesc'!J$47</f>
        <v>8.9024164564892594E-3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0.15111251092851977</v>
      </c>
      <c r="G19" s="55">
        <f>G12*(1+'Real Cost Escalation'!F19)</f>
        <v>0.16950000425685743</v>
      </c>
      <c r="H19" s="55">
        <f>H12*(1+'Real Cost Escalation'!G19)</f>
        <v>0.19027993271066596</v>
      </c>
      <c r="I19" s="55">
        <f>I12*(1+'Real Cost Escalation'!H19)</f>
        <v>0.1845356079375183</v>
      </c>
      <c r="J19" s="62">
        <f>J12*(1+'Real Cost Escalation'!I19)</f>
        <v>0.24330435149107218</v>
      </c>
      <c r="K19" s="69">
        <f>SUM(F19:J19)</f>
        <v>0.9387324073246337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2.1082696850089552E-2</v>
      </c>
      <c r="G20" s="55">
        <f>G13*(1+'Real Cost Escalation'!F20)</f>
        <v>2.3646536025134467E-2</v>
      </c>
      <c r="H20" s="55">
        <f>H13*(1+'Real Cost Escalation'!G20)</f>
        <v>2.6526312947979091E-2</v>
      </c>
      <c r="I20" s="55">
        <f>I13*(1+'Real Cost Escalation'!H20)</f>
        <v>2.5726037193169835E-2</v>
      </c>
      <c r="J20" s="62">
        <f>J13*(1+'Real Cost Escalation'!I20)</f>
        <v>3.4086536025776451E-2</v>
      </c>
      <c r="K20" s="69">
        <f t="shared" ref="K20:K21" si="4">SUM(F20:J20)</f>
        <v>0.13106811904214938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0.20041010376211413</v>
      </c>
      <c r="G21" s="55">
        <f>G14*(1+'Real Cost Escalation'!F21)</f>
        <v>0.22254842917769649</v>
      </c>
      <c r="H21" s="55">
        <f>H14*(1+'Real Cost Escalation'!G21)</f>
        <v>0.24678406963264982</v>
      </c>
      <c r="I21" s="55">
        <f>I14*(1+'Real Cost Escalation'!H21)</f>
        <v>0.23606445943142049</v>
      </c>
      <c r="J21" s="62">
        <f>J14*(1+'Real Cost Escalation'!I21)</f>
        <v>0.30667406575690953</v>
      </c>
      <c r="K21" s="69">
        <f t="shared" si="4"/>
        <v>1.2124811277607905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0.37260531154072341</v>
      </c>
      <c r="G22" s="43">
        <f t="shared" ref="G22:J22" si="5">SUM(G19:G21)</f>
        <v>0.41569496945968842</v>
      </c>
      <c r="H22" s="43">
        <f t="shared" si="5"/>
        <v>0.46359031529129485</v>
      </c>
      <c r="I22" s="43">
        <f t="shared" si="5"/>
        <v>0.44632610456210864</v>
      </c>
      <c r="J22" s="44">
        <f t="shared" si="5"/>
        <v>0.58406495327375818</v>
      </c>
      <c r="K22" s="43">
        <f>SUM(K19:K21)</f>
        <v>2.2822816541275737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4.9264978649847836E-2</v>
      </c>
      <c r="G25" s="236">
        <f>G$17*'[1]AGN overheads'!D$63</f>
        <v>5.5264147001826747E-2</v>
      </c>
      <c r="H25" s="236">
        <f>H$17*'[1]AGN overheads'!E$63</f>
        <v>6.2642244919901849E-2</v>
      </c>
      <c r="I25" s="236">
        <f>I$17*'[1]AGN overheads'!F$63</f>
        <v>6.3209179229273979E-2</v>
      </c>
      <c r="J25" s="237">
        <f>J$17*'[1]AGN overheads'!G$63</f>
        <v>7.9970149222694561E-2</v>
      </c>
      <c r="K25" s="69">
        <f>SUM(F25:J25)</f>
        <v>0.31035069902354501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0.42187029019057126</v>
      </c>
      <c r="G26" s="43">
        <f t="shared" ref="G26:J26" si="6">G22+G25</f>
        <v>0.47095911646151517</v>
      </c>
      <c r="H26" s="43">
        <f t="shared" si="6"/>
        <v>0.52623256021119669</v>
      </c>
      <c r="I26" s="43">
        <f t="shared" si="6"/>
        <v>0.50953528379138258</v>
      </c>
      <c r="J26" s="44">
        <f t="shared" si="6"/>
        <v>0.6640351024964527</v>
      </c>
      <c r="K26" s="43">
        <f>SUM(F26:J26)</f>
        <v>2.5926323531511186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zoomScaleNormal="100"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83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7.2109934846409485E-2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0.78909283036215339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0.1387972347914371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84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7.2109934846409485E-2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0.78909283036215339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0.1387972347914371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L28"/>
  <sheetViews>
    <sheetView workbookViewId="0">
      <selection activeCell="B17" sqref="B17:E17"/>
    </sheetView>
  </sheetViews>
  <sheetFormatPr defaultRowHeight="15" x14ac:dyDescent="0.25"/>
  <cols>
    <col min="1" max="1" width="2.5703125" style="3" customWidth="1"/>
    <col min="2" max="2" width="19.42578125" style="3" customWidth="1"/>
    <col min="3" max="3" width="11.5703125" style="3" customWidth="1"/>
    <col min="4" max="5" width="9.140625" style="3"/>
    <col min="6" max="6" width="10" style="3" customWidth="1"/>
    <col min="7" max="10" width="9.140625" style="3"/>
    <col min="11" max="11" width="13.42578125" style="3" customWidth="1"/>
    <col min="12" max="16384" width="9.140625" style="3"/>
  </cols>
  <sheetData>
    <row r="1" spans="1:12" x14ac:dyDescent="0.25">
      <c r="A1" s="4"/>
      <c r="B1" s="4"/>
      <c r="C1" s="4"/>
      <c r="D1" s="4"/>
      <c r="E1" s="4"/>
      <c r="F1" s="4"/>
      <c r="G1" s="4"/>
      <c r="H1" s="4"/>
      <c r="I1" s="4"/>
      <c r="J1" s="4"/>
      <c r="K1" s="4"/>
      <c r="L1" s="4"/>
    </row>
    <row r="2" spans="1:12" ht="18" x14ac:dyDescent="0.25">
      <c r="A2" s="15"/>
      <c r="B2" s="16" t="s">
        <v>85</v>
      </c>
      <c r="C2" s="17"/>
      <c r="D2" s="18"/>
      <c r="E2" s="18"/>
      <c r="F2" s="18"/>
      <c r="G2" s="18"/>
      <c r="H2" s="18"/>
      <c r="I2" s="18"/>
      <c r="J2" s="18"/>
      <c r="K2" s="18"/>
      <c r="L2" s="19"/>
    </row>
    <row r="3" spans="1:12" x14ac:dyDescent="0.25">
      <c r="A3" s="4"/>
      <c r="B3" s="20" t="s">
        <v>40</v>
      </c>
      <c r="C3" s="21"/>
      <c r="D3" s="4"/>
      <c r="E3" s="4"/>
      <c r="F3" s="4"/>
      <c r="G3" s="4"/>
      <c r="H3" s="4"/>
      <c r="I3" s="4"/>
      <c r="J3" s="4"/>
      <c r="K3" s="4"/>
      <c r="L3" s="4"/>
    </row>
    <row r="4" spans="1:12" ht="23.25" x14ac:dyDescent="0.25">
      <c r="A4" s="22"/>
      <c r="B4" s="22"/>
      <c r="C4" s="23"/>
      <c r="D4" s="24" t="s">
        <v>41</v>
      </c>
      <c r="E4" s="25" t="s">
        <v>0</v>
      </c>
      <c r="F4" s="26" t="s">
        <v>19</v>
      </c>
      <c r="G4" s="25" t="s">
        <v>20</v>
      </c>
      <c r="H4" s="25" t="s">
        <v>21</v>
      </c>
      <c r="I4" s="25" t="s">
        <v>22</v>
      </c>
      <c r="J4" s="27" t="s">
        <v>23</v>
      </c>
      <c r="K4" s="24" t="s">
        <v>42</v>
      </c>
      <c r="L4" s="22"/>
    </row>
    <row r="5" spans="1:12" x14ac:dyDescent="0.25">
      <c r="A5" s="22"/>
      <c r="B5" s="22"/>
      <c r="C5" s="23"/>
      <c r="D5" s="28"/>
      <c r="E5" s="29"/>
      <c r="F5" s="29"/>
      <c r="G5" s="28"/>
      <c r="H5" s="28"/>
      <c r="I5" s="28"/>
      <c r="J5" s="28"/>
      <c r="K5" s="22"/>
      <c r="L5" s="22"/>
    </row>
    <row r="6" spans="1:12" x14ac:dyDescent="0.25">
      <c r="A6" s="22"/>
      <c r="B6" s="30" t="s">
        <v>45</v>
      </c>
      <c r="C6" s="31"/>
      <c r="D6" s="32"/>
      <c r="E6" s="33"/>
      <c r="F6" s="33"/>
      <c r="G6" s="32"/>
      <c r="H6" s="32"/>
      <c r="I6" s="32"/>
      <c r="J6" s="32"/>
      <c r="K6" s="34"/>
      <c r="L6" s="22"/>
    </row>
    <row r="7" spans="1:12" x14ac:dyDescent="0.25">
      <c r="A7" s="22"/>
      <c r="B7" s="66" t="s">
        <v>46</v>
      </c>
      <c r="C7" s="35"/>
      <c r="D7" s="38"/>
      <c r="E7" s="36"/>
      <c r="F7" s="225" t="s">
        <v>239</v>
      </c>
      <c r="G7" s="225" t="s">
        <v>239</v>
      </c>
      <c r="H7" s="225" t="s">
        <v>239</v>
      </c>
      <c r="I7" s="225" t="s">
        <v>239</v>
      </c>
      <c r="J7" s="225" t="s">
        <v>239</v>
      </c>
      <c r="K7" s="226" t="s">
        <v>239</v>
      </c>
      <c r="L7" s="22"/>
    </row>
    <row r="8" spans="1:12" x14ac:dyDescent="0.25">
      <c r="A8" s="22"/>
      <c r="B8" s="66" t="s">
        <v>76</v>
      </c>
      <c r="C8" s="37"/>
      <c r="D8" s="38"/>
      <c r="E8" s="39"/>
      <c r="F8" s="225" t="s">
        <v>239</v>
      </c>
      <c r="G8" s="225" t="s">
        <v>239</v>
      </c>
      <c r="H8" s="225" t="s">
        <v>239</v>
      </c>
      <c r="I8" s="225" t="s">
        <v>239</v>
      </c>
      <c r="J8" s="225" t="s">
        <v>239</v>
      </c>
      <c r="K8" s="40"/>
      <c r="L8" s="22"/>
    </row>
    <row r="9" spans="1:12" ht="15.75" thickBot="1" x14ac:dyDescent="0.3">
      <c r="A9" s="22"/>
      <c r="B9" s="41" t="s">
        <v>77</v>
      </c>
      <c r="C9" s="42"/>
      <c r="D9" s="43"/>
      <c r="E9" s="44"/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5">
        <v>0</v>
      </c>
      <c r="L9" s="22"/>
    </row>
    <row r="10" spans="1:12" x14ac:dyDescent="0.25">
      <c r="A10" s="22"/>
      <c r="B10" s="46"/>
      <c r="C10" s="47"/>
      <c r="D10" s="48"/>
      <c r="E10" s="48"/>
      <c r="F10" s="48"/>
      <c r="G10" s="48"/>
      <c r="H10" s="48"/>
      <c r="I10" s="48"/>
      <c r="J10" s="49"/>
      <c r="K10" s="50"/>
      <c r="L10" s="22"/>
    </row>
    <row r="11" spans="1:12" x14ac:dyDescent="0.25">
      <c r="A11" s="22"/>
      <c r="B11" s="30" t="s">
        <v>47</v>
      </c>
      <c r="C11" s="31"/>
      <c r="D11" s="32"/>
      <c r="E11" s="33"/>
      <c r="F11" s="33"/>
      <c r="G11" s="32"/>
      <c r="H11" s="32"/>
      <c r="I11" s="32"/>
      <c r="J11" s="32"/>
      <c r="K11" s="34"/>
      <c r="L11" s="22"/>
    </row>
    <row r="12" spans="1:12" x14ac:dyDescent="0.25">
      <c r="A12" s="22"/>
      <c r="B12" s="66" t="s">
        <v>43</v>
      </c>
      <c r="C12" s="86">
        <v>7.1080219796051308E-2</v>
      </c>
      <c r="D12" s="38"/>
      <c r="E12" s="36"/>
      <c r="F12" s="69">
        <f>$C12*F$9</f>
        <v>0</v>
      </c>
      <c r="G12" s="69">
        <f t="shared" ref="G12:J14" si="0">$C12*G$9</f>
        <v>0</v>
      </c>
      <c r="H12" s="69">
        <f t="shared" si="0"/>
        <v>0</v>
      </c>
      <c r="I12" s="69">
        <f t="shared" si="0"/>
        <v>0</v>
      </c>
      <c r="J12" s="69">
        <f t="shared" si="0"/>
        <v>0</v>
      </c>
      <c r="K12" s="40">
        <f>SUM(F12:J12)</f>
        <v>0</v>
      </c>
      <c r="L12" s="22"/>
    </row>
    <row r="13" spans="1:12" x14ac:dyDescent="0.25">
      <c r="A13" s="22"/>
      <c r="B13" s="66" t="s">
        <v>1</v>
      </c>
      <c r="C13" s="86">
        <v>0.73964935600842563</v>
      </c>
      <c r="D13" s="38"/>
      <c r="E13" s="36"/>
      <c r="F13" s="69">
        <f>$C13*F$9</f>
        <v>0</v>
      </c>
      <c r="G13" s="69">
        <f t="shared" si="0"/>
        <v>0</v>
      </c>
      <c r="H13" s="69">
        <f t="shared" si="0"/>
        <v>0</v>
      </c>
      <c r="I13" s="69">
        <f t="shared" si="0"/>
        <v>0</v>
      </c>
      <c r="J13" s="69">
        <f t="shared" si="0"/>
        <v>0</v>
      </c>
      <c r="K13" s="40">
        <f t="shared" ref="K13:K14" si="1">SUM(F13:J13)</f>
        <v>0</v>
      </c>
      <c r="L13" s="22"/>
    </row>
    <row r="14" spans="1:12" x14ac:dyDescent="0.25">
      <c r="A14" s="22"/>
      <c r="B14" s="66" t="s">
        <v>44</v>
      </c>
      <c r="C14" s="87">
        <v>0.18927042419552312</v>
      </c>
      <c r="D14" s="38"/>
      <c r="E14" s="39"/>
      <c r="F14" s="69">
        <f>$C14*F$9</f>
        <v>0</v>
      </c>
      <c r="G14" s="69">
        <f t="shared" si="0"/>
        <v>0</v>
      </c>
      <c r="H14" s="69">
        <f t="shared" si="0"/>
        <v>0</v>
      </c>
      <c r="I14" s="69">
        <f t="shared" si="0"/>
        <v>0</v>
      </c>
      <c r="J14" s="69">
        <f t="shared" si="0"/>
        <v>0</v>
      </c>
      <c r="K14" s="40">
        <f t="shared" si="1"/>
        <v>0</v>
      </c>
      <c r="L14" s="22"/>
    </row>
    <row r="15" spans="1:12" ht="15.75" thickBot="1" x14ac:dyDescent="0.3">
      <c r="A15" s="22"/>
      <c r="B15" s="41" t="s">
        <v>49</v>
      </c>
      <c r="C15" s="42"/>
      <c r="D15" s="43"/>
      <c r="E15" s="44"/>
      <c r="F15" s="43">
        <f>SUM(F12:F14)</f>
        <v>0</v>
      </c>
      <c r="G15" s="43">
        <f t="shared" ref="G15:J15" si="2">SUM(G12:G14)</f>
        <v>0</v>
      </c>
      <c r="H15" s="43">
        <f t="shared" si="2"/>
        <v>0</v>
      </c>
      <c r="I15" s="43">
        <f t="shared" si="2"/>
        <v>0</v>
      </c>
      <c r="J15" s="43">
        <f t="shared" si="2"/>
        <v>0</v>
      </c>
      <c r="K15" s="45">
        <f>SUM(K12:K14)</f>
        <v>0</v>
      </c>
      <c r="L15" s="22"/>
    </row>
    <row r="16" spans="1:12" x14ac:dyDescent="0.25">
      <c r="A16" s="22"/>
      <c r="B16" s="46" t="s">
        <v>24</v>
      </c>
      <c r="C16" s="132">
        <f>1-SUM(C12:C14)</f>
        <v>0</v>
      </c>
      <c r="D16" s="48"/>
      <c r="E16" s="50"/>
      <c r="F16" s="50">
        <f>F9-F15</f>
        <v>0</v>
      </c>
      <c r="G16" s="50">
        <f t="shared" ref="G16:K16" si="3">G9-G15</f>
        <v>0</v>
      </c>
      <c r="H16" s="50">
        <f t="shared" si="3"/>
        <v>0</v>
      </c>
      <c r="I16" s="50">
        <f t="shared" si="3"/>
        <v>0</v>
      </c>
      <c r="J16" s="50">
        <f t="shared" si="3"/>
        <v>0</v>
      </c>
      <c r="K16" s="50">
        <f t="shared" si="3"/>
        <v>0</v>
      </c>
      <c r="L16" s="22"/>
    </row>
    <row r="17" spans="1:12" x14ac:dyDescent="0.25">
      <c r="A17" s="22"/>
      <c r="B17" s="230" t="s">
        <v>246</v>
      </c>
      <c r="C17" s="231"/>
      <c r="D17" s="232"/>
      <c r="E17" s="232"/>
      <c r="F17" s="233">
        <f>F$15/'Capex Summary Forecast - Unesc'!F$47</f>
        <v>0</v>
      </c>
      <c r="G17" s="233">
        <f>G$15/'Capex Summary Forecast - Unesc'!G$47</f>
        <v>0</v>
      </c>
      <c r="H17" s="233">
        <f>H$15/'Capex Summary Forecast - Unesc'!H$47</f>
        <v>0</v>
      </c>
      <c r="I17" s="233">
        <f>I$15/'Capex Summary Forecast - Unesc'!I$47</f>
        <v>0</v>
      </c>
      <c r="J17" s="234">
        <f>J$15/'Capex Summary Forecast - Unesc'!J$47</f>
        <v>0</v>
      </c>
      <c r="K17" s="50"/>
      <c r="L17" s="22"/>
    </row>
    <row r="18" spans="1:12" x14ac:dyDescent="0.25">
      <c r="A18" s="22"/>
      <c r="B18" s="30" t="s">
        <v>48</v>
      </c>
      <c r="C18" s="52"/>
      <c r="D18" s="52"/>
      <c r="E18" s="52"/>
      <c r="F18" s="52"/>
      <c r="G18" s="52"/>
      <c r="H18" s="52"/>
      <c r="I18" s="52"/>
      <c r="J18" s="52"/>
      <c r="K18" s="52"/>
      <c r="L18" s="22"/>
    </row>
    <row r="19" spans="1:12" x14ac:dyDescent="0.25">
      <c r="A19" s="22"/>
      <c r="B19" s="63" t="str">
        <f>B12</f>
        <v>Labour</v>
      </c>
      <c r="C19" s="22"/>
      <c r="D19" s="22"/>
      <c r="E19" s="53"/>
      <c r="F19" s="54">
        <f>F12*(1+'Real Cost Escalation'!E19)</f>
        <v>0</v>
      </c>
      <c r="G19" s="55">
        <f>G12*(1+'Real Cost Escalation'!F19)</f>
        <v>0</v>
      </c>
      <c r="H19" s="55">
        <f>H12*(1+'Real Cost Escalation'!G19)</f>
        <v>0</v>
      </c>
      <c r="I19" s="55">
        <f>I12*(1+'Real Cost Escalation'!H19)</f>
        <v>0</v>
      </c>
      <c r="J19" s="62">
        <f>J12*(1+'Real Cost Escalation'!I19)</f>
        <v>0</v>
      </c>
      <c r="K19" s="69">
        <f>SUM(F19:J19)</f>
        <v>0</v>
      </c>
      <c r="L19" s="22"/>
    </row>
    <row r="20" spans="1:12" x14ac:dyDescent="0.25">
      <c r="A20" s="22"/>
      <c r="B20" s="63" t="str">
        <f>B13</f>
        <v>Construction</v>
      </c>
      <c r="C20" s="22"/>
      <c r="D20" s="22"/>
      <c r="E20" s="53"/>
      <c r="F20" s="54">
        <f>F13*(1+'Real Cost Escalation'!E20)</f>
        <v>0</v>
      </c>
      <c r="G20" s="55">
        <f>G13*(1+'Real Cost Escalation'!F20)</f>
        <v>0</v>
      </c>
      <c r="H20" s="55">
        <f>H13*(1+'Real Cost Escalation'!G20)</f>
        <v>0</v>
      </c>
      <c r="I20" s="55">
        <f>I13*(1+'Real Cost Escalation'!H20)</f>
        <v>0</v>
      </c>
      <c r="J20" s="62">
        <f>J13*(1+'Real Cost Escalation'!I20)</f>
        <v>0</v>
      </c>
      <c r="K20" s="69">
        <f t="shared" ref="K20:K21" si="4">SUM(F20:J20)</f>
        <v>0</v>
      </c>
      <c r="L20" s="22"/>
    </row>
    <row r="21" spans="1:12" x14ac:dyDescent="0.25">
      <c r="A21" s="22"/>
      <c r="B21" s="63" t="str">
        <f>B14</f>
        <v>Materials</v>
      </c>
      <c r="C21" s="22"/>
      <c r="D21" s="22"/>
      <c r="E21" s="53"/>
      <c r="F21" s="54">
        <f>F14*(1+'Real Cost Escalation'!E21)</f>
        <v>0</v>
      </c>
      <c r="G21" s="55">
        <f>G14*(1+'Real Cost Escalation'!F21)</f>
        <v>0</v>
      </c>
      <c r="H21" s="55">
        <f>H14*(1+'Real Cost Escalation'!G21)</f>
        <v>0</v>
      </c>
      <c r="I21" s="55">
        <f>I14*(1+'Real Cost Escalation'!H21)</f>
        <v>0</v>
      </c>
      <c r="J21" s="62">
        <f>J14*(1+'Real Cost Escalation'!I21)</f>
        <v>0</v>
      </c>
      <c r="K21" s="69">
        <f t="shared" si="4"/>
        <v>0</v>
      </c>
      <c r="L21" s="22"/>
    </row>
    <row r="22" spans="1:12" ht="15.75" thickBot="1" x14ac:dyDescent="0.3">
      <c r="A22" s="22"/>
      <c r="B22" s="57" t="s">
        <v>50</v>
      </c>
      <c r="C22" s="57"/>
      <c r="D22" s="57"/>
      <c r="E22" s="43"/>
      <c r="F22" s="45">
        <f>SUM(F19:F21)</f>
        <v>0</v>
      </c>
      <c r="G22" s="43">
        <f t="shared" ref="G22:J22" si="5">SUM(G19:G21)</f>
        <v>0</v>
      </c>
      <c r="H22" s="43">
        <f t="shared" si="5"/>
        <v>0</v>
      </c>
      <c r="I22" s="43">
        <f t="shared" si="5"/>
        <v>0</v>
      </c>
      <c r="J22" s="44">
        <f t="shared" si="5"/>
        <v>0</v>
      </c>
      <c r="K22" s="43">
        <f>SUM(K19:K21)</f>
        <v>0</v>
      </c>
      <c r="L22" s="22"/>
    </row>
    <row r="23" spans="1:12" x14ac:dyDescent="0.25">
      <c r="A23" s="22"/>
      <c r="B23" s="59"/>
      <c r="C23" s="59"/>
      <c r="D23" s="59"/>
      <c r="E23" s="59"/>
      <c r="F23" s="60"/>
      <c r="G23" s="59"/>
      <c r="H23" s="59"/>
      <c r="I23" s="59"/>
      <c r="J23" s="59"/>
      <c r="K23" s="61"/>
      <c r="L23" s="22"/>
    </row>
    <row r="24" spans="1:12" x14ac:dyDescent="0.25">
      <c r="A24" s="22"/>
      <c r="B24" s="30" t="s">
        <v>51</v>
      </c>
      <c r="C24" s="52"/>
      <c r="D24" s="52"/>
      <c r="E24" s="52"/>
      <c r="F24" s="52"/>
      <c r="G24" s="52"/>
      <c r="H24" s="52"/>
      <c r="I24" s="52"/>
      <c r="J24" s="52"/>
      <c r="K24" s="52"/>
      <c r="L24" s="22"/>
    </row>
    <row r="25" spans="1:12" x14ac:dyDescent="0.25">
      <c r="A25" s="22"/>
      <c r="B25" s="63" t="s">
        <v>195</v>
      </c>
      <c r="C25" s="22"/>
      <c r="D25" s="22"/>
      <c r="E25" s="165">
        <f>Overheads!$H$21</f>
        <v>9.6406085291957822E-2</v>
      </c>
      <c r="F25" s="235">
        <f>F$17*'[1]AGN overheads'!C$63</f>
        <v>0</v>
      </c>
      <c r="G25" s="236">
        <f>G$17*'[1]AGN overheads'!D$63</f>
        <v>0</v>
      </c>
      <c r="H25" s="236">
        <f>H$17*'[1]AGN overheads'!E$63</f>
        <v>0</v>
      </c>
      <c r="I25" s="236">
        <f>I$17*'[1]AGN overheads'!F$63</f>
        <v>0</v>
      </c>
      <c r="J25" s="237">
        <f>J$17*'[1]AGN overheads'!G$63</f>
        <v>0</v>
      </c>
      <c r="K25" s="69">
        <f>SUM(F25:J25)</f>
        <v>0</v>
      </c>
      <c r="L25" s="22"/>
    </row>
    <row r="26" spans="1:12" ht="15.75" thickBot="1" x14ac:dyDescent="0.3">
      <c r="A26" s="22"/>
      <c r="B26" s="57" t="s">
        <v>52</v>
      </c>
      <c r="C26" s="57"/>
      <c r="D26" s="57"/>
      <c r="E26" s="43"/>
      <c r="F26" s="45">
        <f>F22+F25</f>
        <v>0</v>
      </c>
      <c r="G26" s="43">
        <f t="shared" ref="G26:J26" si="6">G22+G25</f>
        <v>0</v>
      </c>
      <c r="H26" s="43">
        <f t="shared" si="6"/>
        <v>0</v>
      </c>
      <c r="I26" s="43">
        <f t="shared" si="6"/>
        <v>0</v>
      </c>
      <c r="J26" s="44">
        <f t="shared" si="6"/>
        <v>0</v>
      </c>
      <c r="K26" s="43">
        <f>SUM(F26:J26)</f>
        <v>0</v>
      </c>
      <c r="L26" s="22"/>
    </row>
    <row r="27" spans="1:12" x14ac:dyDescent="0.25">
      <c r="A27" s="22"/>
      <c r="B27" s="59"/>
      <c r="C27" s="59"/>
      <c r="D27" s="59"/>
      <c r="E27" s="59"/>
      <c r="F27" s="60"/>
      <c r="G27" s="59"/>
      <c r="H27" s="59"/>
      <c r="I27" s="59"/>
      <c r="J27" s="59"/>
      <c r="K27" s="61"/>
      <c r="L27" s="22"/>
    </row>
    <row r="28" spans="1:12" x14ac:dyDescent="0.25">
      <c r="D28" s="84"/>
      <c r="E28" s="84"/>
      <c r="F28" s="84"/>
      <c r="G28" s="84"/>
      <c r="H28" s="84"/>
      <c r="I28" s="84"/>
      <c r="J28" s="84"/>
    </row>
  </sheetData>
  <hyperlinks>
    <hyperlink ref="B3" location="Contents!A1" display="Contents!A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41</vt:i4>
      </vt:variant>
    </vt:vector>
  </HeadingPairs>
  <TitlesOfParts>
    <vt:vector size="41" baseType="lpstr">
      <vt:lpstr>Cover</vt:lpstr>
      <vt:lpstr>Contents</vt:lpstr>
      <vt:lpstr>Real Cost Escalation</vt:lpstr>
      <vt:lpstr>Overheads</vt:lpstr>
      <vt:lpstr>01</vt:lpstr>
      <vt:lpstr>02</vt:lpstr>
      <vt:lpstr>03</vt:lpstr>
      <vt:lpstr>04</vt:lpstr>
      <vt:lpstr>05</vt:lpstr>
      <vt:lpstr>06</vt:lpstr>
      <vt:lpstr>07</vt:lpstr>
      <vt:lpstr>08</vt:lpstr>
      <vt:lpstr>09</vt:lpstr>
      <vt:lpstr>10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22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Capex Summary Forecast - Unesc</vt:lpstr>
      <vt:lpstr>Capex Summary Forecast - Esc</vt:lpstr>
      <vt:lpstr>Capex Summary Forecast - OHs</vt:lpstr>
      <vt:lpstr>PTRM Input</vt:lpstr>
    </vt:vector>
  </TitlesOfParts>
  <Company>Envestra Limited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HSTAdmin</dc:creator>
  <cp:lastModifiedBy>del Mundo, Israel</cp:lastModifiedBy>
  <cp:lastPrinted>2015-06-30T15:22:35Z</cp:lastPrinted>
  <dcterms:created xsi:type="dcterms:W3CDTF">2009-12-15T22:43:41Z</dcterms:created>
  <dcterms:modified xsi:type="dcterms:W3CDTF">2015-11-18T02:06:51Z</dcterms:modified>
</cp:coreProperties>
</file>