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30" yWindow="1680" windowWidth="23490" windowHeight="10470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45621"/>
</workbook>
</file>

<file path=xl/calcChain.xml><?xml version="1.0" encoding="utf-8"?>
<calcChain xmlns="http://schemas.openxmlformats.org/spreadsheetml/2006/main">
  <c r="F8" i="44" l="1"/>
  <c r="P28" i="53" l="1"/>
  <c r="Q28" i="53"/>
  <c r="R28" i="53"/>
  <c r="S28" i="53"/>
  <c r="O28" i="53"/>
  <c r="Q38" i="2" l="1"/>
  <c r="R38" i="2"/>
  <c r="S38" i="2"/>
  <c r="T38" i="2"/>
  <c r="P38" i="2"/>
  <c r="K61" i="42" l="1"/>
  <c r="L61" i="42"/>
  <c r="M61" i="42"/>
  <c r="J61" i="42"/>
  <c r="F23" i="42" l="1"/>
  <c r="F21" i="42"/>
  <c r="F19" i="42"/>
  <c r="F54" i="55" l="1"/>
  <c r="F52" i="55"/>
  <c r="F53" i="55" l="1"/>
  <c r="F55" i="55"/>
  <c r="F56" i="55"/>
  <c r="F58" i="55"/>
  <c r="F51" i="55"/>
  <c r="F57" i="55" l="1"/>
  <c r="F60" i="55"/>
  <c r="F59" i="55"/>
  <c r="F24" i="42" l="1"/>
  <c r="E24" i="42"/>
  <c r="E23" i="42"/>
  <c r="F22" i="42"/>
  <c r="E22" i="42"/>
  <c r="E21" i="42"/>
  <c r="F20" i="42"/>
  <c r="E20" i="42"/>
  <c r="E19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65" i="58"/>
  <c r="E28" i="42" s="1"/>
  <c r="F35" i="42" l="1"/>
  <c r="E35" i="42"/>
  <c r="K53" i="58"/>
  <c r="L53" i="58"/>
  <c r="M53" i="58"/>
  <c r="N53" i="58"/>
  <c r="O53" i="58"/>
  <c r="P53" i="58"/>
  <c r="Q53" i="58"/>
  <c r="R53" i="58"/>
  <c r="S53" i="58"/>
  <c r="J53" i="58"/>
  <c r="K44" i="58"/>
  <c r="L44" i="58"/>
  <c r="M44" i="58"/>
  <c r="N44" i="58"/>
  <c r="O44" i="58"/>
  <c r="P44" i="58"/>
  <c r="Q44" i="58"/>
  <c r="R44" i="58"/>
  <c r="S44" i="58"/>
  <c r="J44" i="58"/>
  <c r="F44" i="58"/>
  <c r="E44" i="58"/>
  <c r="G70" i="4"/>
  <c r="G71" i="4" s="1"/>
  <c r="G72" i="4" s="1"/>
  <c r="G73" i="4" s="1"/>
  <c r="G74" i="4" s="1"/>
  <c r="G65" i="4"/>
  <c r="G69" i="4"/>
  <c r="G66" i="4"/>
  <c r="G67" i="4" s="1"/>
  <c r="G68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82" i="2" s="1"/>
  <c r="T4" i="2"/>
  <c r="S4" i="2"/>
  <c r="S82" i="2" s="1"/>
  <c r="R4" i="2"/>
  <c r="Q4" i="2"/>
  <c r="Q82" i="2" s="1"/>
  <c r="P4" i="2"/>
  <c r="O4" i="2"/>
  <c r="O82" i="2" s="1"/>
  <c r="N4" i="2"/>
  <c r="N82" i="2" s="1"/>
  <c r="M4" i="2"/>
  <c r="M82" i="2" s="1"/>
  <c r="L4" i="2"/>
  <c r="K4" i="2"/>
  <c r="K82" i="2" s="1"/>
  <c r="S4" i="58"/>
  <c r="R4" i="58"/>
  <c r="R34" i="58" s="1"/>
  <c r="Q4" i="58"/>
  <c r="P4" i="58"/>
  <c r="P57" i="58" s="1"/>
  <c r="O4" i="58"/>
  <c r="N4" i="58"/>
  <c r="N34" i="58" s="1"/>
  <c r="M4" i="58"/>
  <c r="L4" i="58"/>
  <c r="L57" i="58" s="1"/>
  <c r="K4" i="58"/>
  <c r="K57" i="58" s="1"/>
  <c r="J4" i="58"/>
  <c r="J57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P61" i="42" s="1"/>
  <c r="R75" i="2"/>
  <c r="S75" i="2"/>
  <c r="R61" i="42" s="1"/>
  <c r="T75" i="2"/>
  <c r="N75" i="2"/>
  <c r="S61" i="42" l="1"/>
  <c r="Q61" i="42"/>
  <c r="N61" i="42"/>
  <c r="O61" i="42"/>
  <c r="J35" i="42"/>
  <c r="J23" i="42"/>
  <c r="J19" i="42"/>
  <c r="J21" i="42"/>
  <c r="L23" i="42"/>
  <c r="L35" i="42"/>
  <c r="L21" i="42"/>
  <c r="L19" i="42"/>
  <c r="N19" i="42"/>
  <c r="N21" i="42"/>
  <c r="N23" i="42"/>
  <c r="P35" i="42"/>
  <c r="P21" i="42"/>
  <c r="P23" i="42"/>
  <c r="P19" i="42"/>
  <c r="R35" i="42"/>
  <c r="R23" i="42"/>
  <c r="R19" i="42"/>
  <c r="R21" i="42"/>
  <c r="K35" i="42"/>
  <c r="K21" i="42"/>
  <c r="K23" i="42"/>
  <c r="K19" i="42"/>
  <c r="M35" i="42"/>
  <c r="M19" i="42"/>
  <c r="M23" i="42"/>
  <c r="M21" i="42"/>
  <c r="O35" i="42"/>
  <c r="O21" i="42"/>
  <c r="O23" i="42"/>
  <c r="O19" i="42"/>
  <c r="Q35" i="42"/>
  <c r="Q21" i="42"/>
  <c r="Q23" i="42"/>
  <c r="Q19" i="42"/>
  <c r="S35" i="42"/>
  <c r="S21" i="42"/>
  <c r="S23" i="42"/>
  <c r="S19" i="42"/>
  <c r="J33" i="42"/>
  <c r="P33" i="42"/>
  <c r="R33" i="42"/>
  <c r="K33" i="42"/>
  <c r="O33" i="42"/>
  <c r="Q33" i="42"/>
  <c r="S33" i="42"/>
  <c r="L12" i="42"/>
  <c r="L33" i="42"/>
  <c r="J12" i="42"/>
  <c r="K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N57" i="58"/>
  <c r="R57" i="58"/>
  <c r="S10" i="2"/>
  <c r="O10" i="2"/>
  <c r="K10" i="2"/>
  <c r="M14" i="2"/>
  <c r="Q14" i="2"/>
  <c r="J23" i="2"/>
  <c r="K73" i="2"/>
  <c r="O73" i="2"/>
  <c r="S73" i="2"/>
  <c r="J62" i="2"/>
  <c r="Q62" i="2"/>
  <c r="M62" i="2"/>
  <c r="L10" i="58"/>
  <c r="P10" i="58"/>
  <c r="J34" i="58"/>
  <c r="J10" i="2"/>
  <c r="Q10" i="2"/>
  <c r="M10" i="2"/>
  <c r="K14" i="2"/>
  <c r="O14" i="2"/>
  <c r="S14" i="2"/>
  <c r="J47" i="2"/>
  <c r="M73" i="2"/>
  <c r="Q73" i="2"/>
  <c r="J95" i="2"/>
  <c r="S62" i="2"/>
  <c r="O62" i="2"/>
  <c r="K62" i="2"/>
  <c r="M34" i="58"/>
  <c r="M10" i="58"/>
  <c r="O57" i="58"/>
  <c r="O34" i="58"/>
  <c r="O10" i="58"/>
  <c r="S57" i="58"/>
  <c r="S34" i="58"/>
  <c r="S10" i="58"/>
  <c r="L62" i="2"/>
  <c r="L73" i="2"/>
  <c r="L14" i="2"/>
  <c r="L10" i="2"/>
  <c r="P62" i="2"/>
  <c r="P73" i="2"/>
  <c r="P14" i="2"/>
  <c r="P10" i="2"/>
  <c r="R62" i="2"/>
  <c r="R73" i="2"/>
  <c r="R14" i="2"/>
  <c r="R10" i="2"/>
  <c r="T62" i="2"/>
  <c r="T73" i="2"/>
  <c r="T14" i="2"/>
  <c r="T10" i="2"/>
  <c r="J26" i="53"/>
  <c r="J10" i="53"/>
  <c r="R26" i="53"/>
  <c r="R10" i="53"/>
  <c r="L49" i="42"/>
  <c r="M57" i="58"/>
  <c r="L23" i="2"/>
  <c r="P23" i="2"/>
  <c r="T23" i="2"/>
  <c r="R34" i="2"/>
  <c r="N34" i="2"/>
  <c r="N47" i="2"/>
  <c r="R47" i="2"/>
  <c r="L95" i="2"/>
  <c r="P95" i="2"/>
  <c r="T95" i="2"/>
  <c r="R82" i="2"/>
  <c r="L10" i="53"/>
  <c r="P26" i="53"/>
  <c r="K34" i="58"/>
  <c r="K10" i="58"/>
  <c r="Q57" i="58"/>
  <c r="Q34" i="58"/>
  <c r="Q10" i="58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95" i="2"/>
  <c r="R95" i="2"/>
  <c r="T82" i="2"/>
  <c r="P82" i="2"/>
  <c r="L8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95" i="2"/>
  <c r="M95" i="2"/>
  <c r="O95" i="2"/>
  <c r="Q95" i="2"/>
  <c r="S95" i="2"/>
  <c r="J31" i="42"/>
  <c r="R31" i="42"/>
  <c r="P31" i="42"/>
  <c r="L31" i="42"/>
  <c r="S31" i="42"/>
  <c r="Q31" i="42"/>
  <c r="O31" i="42"/>
  <c r="K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Q28" i="42" l="1"/>
  <c r="M28" i="42"/>
  <c r="S28" i="42"/>
  <c r="R28" i="42"/>
  <c r="P28" i="42"/>
  <c r="J28" i="42"/>
  <c r="O28" i="42"/>
  <c r="N28" i="42"/>
  <c r="K28" i="42"/>
  <c r="L28" i="42"/>
  <c r="E63" i="58"/>
  <c r="E49" i="42" s="1"/>
  <c r="E62" i="58"/>
  <c r="E46" i="42" s="1"/>
  <c r="E61" i="58"/>
  <c r="E43" i="42" s="1"/>
  <c r="E60" i="58"/>
  <c r="E40" i="42" s="1"/>
  <c r="E59" i="58"/>
  <c r="E37" i="42" s="1"/>
  <c r="F51" i="58"/>
  <c r="E51" i="58"/>
  <c r="F50" i="58"/>
  <c r="E50" i="58"/>
  <c r="F49" i="58"/>
  <c r="E49" i="58"/>
  <c r="F48" i="58"/>
  <c r="E48" i="58"/>
  <c r="F42" i="58"/>
  <c r="E42" i="58"/>
  <c r="F41" i="58"/>
  <c r="E41" i="58"/>
  <c r="F40" i="58"/>
  <c r="E40" i="58"/>
  <c r="F39" i="58"/>
  <c r="E39" i="58"/>
  <c r="F38" i="58"/>
  <c r="E38" i="58"/>
  <c r="F37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 s="1"/>
  <c r="C1" i="58"/>
  <c r="F16" i="44" l="1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K15" i="44" l="1"/>
  <c r="K16" i="44"/>
  <c r="K14" i="44"/>
  <c r="M15" i="44"/>
  <c r="M16" i="44"/>
  <c r="M14" i="44"/>
  <c r="J15" i="44"/>
  <c r="J16" i="44"/>
  <c r="J14" i="44"/>
  <c r="L15" i="44"/>
  <c r="L16" i="44"/>
  <c r="L14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J91" i="2"/>
  <c r="K99" i="2"/>
  <c r="T91" i="2"/>
  <c r="S99" i="2"/>
  <c r="R91" i="2"/>
  <c r="Q99" i="2"/>
  <c r="P91" i="2"/>
  <c r="O99" i="2"/>
  <c r="N91" i="2"/>
  <c r="M99" i="2"/>
  <c r="L91" i="2"/>
  <c r="C24" i="4"/>
  <c r="S9" i="54"/>
  <c r="K14" i="42" l="1"/>
  <c r="M14" i="42"/>
  <c r="O14" i="42"/>
  <c r="Q14" i="42"/>
  <c r="S14" i="42"/>
  <c r="N14" i="42"/>
  <c r="P14" i="42"/>
  <c r="R14" i="42"/>
  <c r="S91" i="2"/>
  <c r="Q91" i="2"/>
  <c r="O91" i="2"/>
  <c r="M91" i="2"/>
  <c r="K91" i="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J68" i="42" s="1" a="1"/>
  <c r="J68" i="42" s="1"/>
  <c r="L88" i="42"/>
  <c r="L72" i="42"/>
  <c r="L58" i="42"/>
  <c r="L68" i="42" s="1" a="1"/>
  <c r="L68" i="42" s="1"/>
  <c r="N88" i="42"/>
  <c r="N72" i="42"/>
  <c r="N58" i="42"/>
  <c r="P88" i="42"/>
  <c r="P72" i="42"/>
  <c r="P58" i="42"/>
  <c r="R88" i="42"/>
  <c r="R72" i="42"/>
  <c r="R58" i="42"/>
  <c r="K58" i="42"/>
  <c r="K68" i="42" s="1" a="1"/>
  <c r="K68" i="42" s="1"/>
  <c r="M58" i="42"/>
  <c r="M68" i="42" s="1" a="1"/>
  <c r="M68" i="42" s="1"/>
  <c r="O58" i="42"/>
  <c r="Q58" i="42"/>
  <c r="S58" i="42"/>
  <c r="K72" i="42"/>
  <c r="M72" i="42"/>
  <c r="O72" i="42"/>
  <c r="Q72" i="42"/>
  <c r="S72" i="42"/>
  <c r="K88" i="42"/>
  <c r="M88" i="42"/>
  <c r="O88" i="42"/>
  <c r="Q88" i="42"/>
  <c r="S88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99" i="2"/>
  <c r="L71" i="2"/>
  <c r="N58" i="2"/>
  <c r="N45" i="2"/>
  <c r="N99" i="2"/>
  <c r="N71" i="2"/>
  <c r="P58" i="2"/>
  <c r="P99" i="2"/>
  <c r="P71" i="2"/>
  <c r="R58" i="2"/>
  <c r="R99" i="2"/>
  <c r="R71" i="2"/>
  <c r="T58" i="2"/>
  <c r="T99" i="2"/>
  <c r="T71" i="2"/>
  <c r="J58" i="2"/>
  <c r="J12" i="2"/>
  <c r="J99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M71" i="2"/>
  <c r="K71" i="2"/>
  <c r="K100" i="42" l="1"/>
  <c r="K13" i="44" s="1"/>
  <c r="K101" i="42"/>
  <c r="K102" i="42" s="1"/>
  <c r="L101" i="42"/>
  <c r="L102" i="42" s="1"/>
  <c r="L100" i="42"/>
  <c r="L13" i="44" s="1"/>
  <c r="M100" i="42"/>
  <c r="M13" i="44" s="1"/>
  <c r="M101" i="42"/>
  <c r="M102" i="42" s="1"/>
  <c r="J100" i="42"/>
  <c r="J13" i="44" s="1"/>
  <c r="J101" i="42"/>
  <c r="J102" i="42" s="1"/>
  <c r="W71" i="2"/>
  <c r="W22" i="53"/>
  <c r="W40" i="53"/>
  <c r="W32" i="53"/>
  <c r="W58" i="2"/>
  <c r="W99" i="2"/>
  <c r="P45" i="2" l="1"/>
  <c r="S45" i="2"/>
  <c r="Q45" i="2"/>
  <c r="R45" i="2"/>
  <c r="T45" i="2"/>
  <c r="W45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 l="1"/>
  <c r="E102" i="42" l="1"/>
  <c r="F17" i="42" l="1"/>
  <c r="F15" i="42"/>
  <c r="F54" i="42"/>
  <c r="F52" i="42"/>
  <c r="C75" i="42" l="1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W91" i="2"/>
  <c r="S11" i="54"/>
  <c r="S14" i="54"/>
  <c r="G15" i="16"/>
  <c r="G16" i="16"/>
  <c r="T1" i="55"/>
  <c r="G11" i="16" s="1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S1" i="53"/>
  <c r="G14" i="16" s="1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97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 l="1"/>
  <c r="K67" i="42"/>
  <c r="L67" i="42"/>
  <c r="R67" i="42"/>
  <c r="T1" i="2"/>
  <c r="G13" i="16" s="1"/>
  <c r="S1" i="54"/>
  <c r="G10" i="16" s="1"/>
  <c r="N67" i="42"/>
  <c r="J67" i="42"/>
  <c r="N68" i="42" l="1" a="1"/>
  <c r="N68" i="42" s="1"/>
  <c r="S1" i="16"/>
  <c r="C25" i="2" a="1"/>
  <c r="C16" i="2" a="1"/>
  <c r="P67" i="42"/>
  <c r="O67" i="42"/>
  <c r="S67" i="42"/>
  <c r="Q67" i="42"/>
  <c r="S68" i="42" l="1" a="1"/>
  <c r="S68" i="42" s="1"/>
  <c r="Q68" i="42" a="1"/>
  <c r="Q68" i="42" s="1"/>
  <c r="R68" i="42" a="1"/>
  <c r="R68" i="42" s="1"/>
  <c r="O68" i="42" a="1"/>
  <c r="O68" i="42" s="1"/>
  <c r="P68" i="42" a="1"/>
  <c r="P68" i="42" s="1"/>
  <c r="W1" i="55"/>
  <c r="V1" i="58"/>
  <c r="V1" i="44"/>
  <c r="V1" i="42"/>
  <c r="V1" i="4"/>
  <c r="V1" i="54"/>
  <c r="W1" i="2"/>
  <c r="V1" i="53"/>
  <c r="C25" i="2"/>
  <c r="C27" i="2"/>
  <c r="C29" i="2"/>
  <c r="C26" i="2"/>
  <c r="C28" i="2"/>
  <c r="C30" i="2"/>
  <c r="C16" i="2"/>
  <c r="C18" i="2"/>
  <c r="C20" i="2"/>
  <c r="C17" i="2"/>
  <c r="C19" i="2"/>
  <c r="C21" i="2"/>
  <c r="M19" i="2" l="1"/>
  <c r="L19" i="2" s="1"/>
  <c r="K19" i="2" s="1"/>
  <c r="J19" i="2" s="1"/>
  <c r="N19" i="2"/>
  <c r="N20" i="2"/>
  <c r="M20" i="2" s="1"/>
  <c r="L20" i="2" s="1"/>
  <c r="K20" i="2" s="1"/>
  <c r="J20" i="2" s="1"/>
  <c r="J16" i="2"/>
  <c r="K16" i="2" s="1"/>
  <c r="L16" i="2" s="1"/>
  <c r="M16" i="2" s="1"/>
  <c r="N16" i="2" s="1"/>
  <c r="K17" i="2"/>
  <c r="J17" i="2" s="1"/>
  <c r="J26" i="2" s="1"/>
  <c r="L18" i="2"/>
  <c r="K18" i="2" s="1"/>
  <c r="J18" i="2" s="1"/>
  <c r="P21" i="2"/>
  <c r="R21" i="2"/>
  <c r="T21" i="2"/>
  <c r="D21" i="2"/>
  <c r="O21" i="2"/>
  <c r="N21" i="2" s="1"/>
  <c r="Q21" i="2"/>
  <c r="S21" i="2"/>
  <c r="E21" i="2"/>
  <c r="Q17" i="2"/>
  <c r="S17" i="2"/>
  <c r="D17" i="2"/>
  <c r="P17" i="2"/>
  <c r="R17" i="2"/>
  <c r="T17" i="2"/>
  <c r="E17" i="2"/>
  <c r="P18" i="2"/>
  <c r="R18" i="2"/>
  <c r="T18" i="2"/>
  <c r="E18" i="2"/>
  <c r="Q18" i="2"/>
  <c r="S18" i="2"/>
  <c r="D18" i="2"/>
  <c r="E30" i="2"/>
  <c r="D30" i="2"/>
  <c r="S30" i="2"/>
  <c r="R20" i="42" s="1"/>
  <c r="O30" i="2"/>
  <c r="N20" i="42" s="1"/>
  <c r="R30" i="2"/>
  <c r="Q20" i="42" s="1"/>
  <c r="P30" i="2"/>
  <c r="O20" i="42" s="1"/>
  <c r="Q30" i="2"/>
  <c r="P20" i="42" s="1"/>
  <c r="T30" i="2"/>
  <c r="S20" i="42" s="1"/>
  <c r="E26" i="2"/>
  <c r="D26" i="2"/>
  <c r="S26" i="2"/>
  <c r="R26" i="2"/>
  <c r="P26" i="2"/>
  <c r="Q26" i="2"/>
  <c r="T26" i="2"/>
  <c r="O19" i="2"/>
  <c r="Q19" i="2"/>
  <c r="S19" i="2"/>
  <c r="D19" i="2"/>
  <c r="P19" i="2"/>
  <c r="R19" i="2"/>
  <c r="T19" i="2"/>
  <c r="E19" i="2"/>
  <c r="O20" i="2"/>
  <c r="Q20" i="2"/>
  <c r="S20" i="2"/>
  <c r="E20" i="2"/>
  <c r="P20" i="2"/>
  <c r="R20" i="2"/>
  <c r="T20" i="2"/>
  <c r="D20" i="2"/>
  <c r="P16" i="2"/>
  <c r="R16" i="2"/>
  <c r="T16" i="2"/>
  <c r="E16" i="2"/>
  <c r="O16" i="2"/>
  <c r="S22" i="42" s="1"/>
  <c r="Q16" i="2"/>
  <c r="S16" i="2"/>
  <c r="K25" i="2"/>
  <c r="D16" i="2"/>
  <c r="N25" i="2"/>
  <c r="E28" i="2"/>
  <c r="D28" i="2"/>
  <c r="Q28" i="2"/>
  <c r="M28" i="2"/>
  <c r="T28" i="2"/>
  <c r="S28" i="2"/>
  <c r="O28" i="2"/>
  <c r="R28" i="2"/>
  <c r="P28" i="2"/>
  <c r="E29" i="2"/>
  <c r="D29" i="2"/>
  <c r="S29" i="2"/>
  <c r="O29" i="2"/>
  <c r="R29" i="2"/>
  <c r="P29" i="2"/>
  <c r="Q29" i="2"/>
  <c r="T29" i="2"/>
  <c r="D25" i="2"/>
  <c r="E25" i="2"/>
  <c r="Q25" i="2"/>
  <c r="T25" i="2"/>
  <c r="S25" i="2"/>
  <c r="O25" i="2"/>
  <c r="R25" i="2"/>
  <c r="P25" i="2"/>
  <c r="M25" i="2"/>
  <c r="E27" i="2"/>
  <c r="D27" i="2"/>
  <c r="Q27" i="2"/>
  <c r="T27" i="2"/>
  <c r="L27" i="2"/>
  <c r="S27" i="2"/>
  <c r="R27" i="2"/>
  <c r="P27" i="2"/>
  <c r="P41" i="42"/>
  <c r="J50" i="42"/>
  <c r="K50" i="42"/>
  <c r="Q50" i="42"/>
  <c r="N50" i="42"/>
  <c r="P50" i="42"/>
  <c r="M50" i="42"/>
  <c r="O50" i="42"/>
  <c r="R50" i="42"/>
  <c r="S50" i="42"/>
  <c r="L50" i="42"/>
  <c r="P47" i="42"/>
  <c r="S47" i="42"/>
  <c r="R47" i="42"/>
  <c r="J47" i="42"/>
  <c r="K47" i="42"/>
  <c r="N47" i="42"/>
  <c r="Q47" i="42"/>
  <c r="M47" i="42"/>
  <c r="O47" i="42"/>
  <c r="L47" i="42"/>
  <c r="S44" i="42"/>
  <c r="R44" i="42"/>
  <c r="J44" i="42"/>
  <c r="K44" i="42"/>
  <c r="P44" i="42"/>
  <c r="O44" i="42"/>
  <c r="L44" i="42"/>
  <c r="Q44" i="42"/>
  <c r="M44" i="42"/>
  <c r="N44" i="42"/>
  <c r="S41" i="42"/>
  <c r="R41" i="42"/>
  <c r="J41" i="42"/>
  <c r="K41" i="42"/>
  <c r="Q41" i="42"/>
  <c r="O41" i="42"/>
  <c r="L41" i="42"/>
  <c r="M41" i="42"/>
  <c r="N41" i="42"/>
  <c r="S38" i="42"/>
  <c r="R38" i="42"/>
  <c r="P38" i="42"/>
  <c r="Q38" i="42"/>
  <c r="M38" i="42"/>
  <c r="O38" i="42"/>
  <c r="N38" i="42"/>
  <c r="M15" i="42"/>
  <c r="J38" i="42"/>
  <c r="K38" i="42"/>
  <c r="L38" i="42"/>
  <c r="N13" i="42"/>
  <c r="N26" i="42" s="1"/>
  <c r="P13" i="42"/>
  <c r="P26" i="42" s="1"/>
  <c r="L17" i="42"/>
  <c r="S13" i="42"/>
  <c r="S26" i="42" s="1"/>
  <c r="O17" i="42"/>
  <c r="J74" i="42"/>
  <c r="O74" i="42"/>
  <c r="N74" i="42"/>
  <c r="R74" i="42"/>
  <c r="P74" i="42"/>
  <c r="L74" i="42"/>
  <c r="K74" i="42"/>
  <c r="L75" i="42"/>
  <c r="P75" i="42"/>
  <c r="J76" i="42"/>
  <c r="N76" i="42"/>
  <c r="R76" i="42"/>
  <c r="L77" i="42"/>
  <c r="P77" i="42"/>
  <c r="J78" i="42"/>
  <c r="N78" i="42"/>
  <c r="R78" i="42"/>
  <c r="L79" i="42"/>
  <c r="P79" i="42"/>
  <c r="J80" i="42"/>
  <c r="N80" i="42"/>
  <c r="R80" i="42"/>
  <c r="L81" i="42"/>
  <c r="P81" i="42"/>
  <c r="J82" i="42"/>
  <c r="N82" i="42"/>
  <c r="R82" i="42"/>
  <c r="L90" i="42"/>
  <c r="P90" i="42"/>
  <c r="P14" i="44" s="1"/>
  <c r="J91" i="42"/>
  <c r="N91" i="42"/>
  <c r="N15" i="44" s="1"/>
  <c r="R91" i="42"/>
  <c r="R15" i="44" s="1"/>
  <c r="L92" i="42"/>
  <c r="P92" i="42"/>
  <c r="P16" i="44" s="1"/>
  <c r="K75" i="42"/>
  <c r="O75" i="42"/>
  <c r="S75" i="42"/>
  <c r="M76" i="42"/>
  <c r="Q76" i="42"/>
  <c r="K77" i="42"/>
  <c r="O77" i="42"/>
  <c r="S77" i="42"/>
  <c r="M78" i="42"/>
  <c r="Q78" i="42"/>
  <c r="K79" i="42"/>
  <c r="O79" i="42"/>
  <c r="S79" i="42"/>
  <c r="M80" i="42"/>
  <c r="Q80" i="42"/>
  <c r="K81" i="42"/>
  <c r="O81" i="42"/>
  <c r="S81" i="42"/>
  <c r="M82" i="42"/>
  <c r="Q82" i="42"/>
  <c r="K90" i="42"/>
  <c r="O90" i="42"/>
  <c r="O14" i="44" s="1"/>
  <c r="S90" i="42"/>
  <c r="S14" i="44" s="1"/>
  <c r="M91" i="42"/>
  <c r="Q91" i="42"/>
  <c r="Q15" i="44" s="1"/>
  <c r="K92" i="42"/>
  <c r="O92" i="42"/>
  <c r="O16" i="44" s="1"/>
  <c r="S92" i="42"/>
  <c r="S16" i="44" s="1"/>
  <c r="M74" i="42"/>
  <c r="Q74" i="42"/>
  <c r="S74" i="42"/>
  <c r="J75" i="42"/>
  <c r="N75" i="42"/>
  <c r="R75" i="42"/>
  <c r="L76" i="42"/>
  <c r="P76" i="42"/>
  <c r="J77" i="42"/>
  <c r="N77" i="42"/>
  <c r="R77" i="42"/>
  <c r="L78" i="42"/>
  <c r="P78" i="42"/>
  <c r="J79" i="42"/>
  <c r="R79" i="42"/>
  <c r="P80" i="42"/>
  <c r="N81" i="42"/>
  <c r="L82" i="42"/>
  <c r="J90" i="42"/>
  <c r="R90" i="42"/>
  <c r="R14" i="44" s="1"/>
  <c r="P91" i="42"/>
  <c r="P15" i="44" s="1"/>
  <c r="N92" i="42"/>
  <c r="N16" i="44" s="1"/>
  <c r="M75" i="42"/>
  <c r="K76" i="42"/>
  <c r="S76" i="42"/>
  <c r="Q77" i="42"/>
  <c r="O78" i="42"/>
  <c r="M79" i="42"/>
  <c r="K80" i="42"/>
  <c r="S80" i="42"/>
  <c r="Q81" i="42"/>
  <c r="O82" i="42"/>
  <c r="M90" i="42"/>
  <c r="K91" i="42"/>
  <c r="S91" i="42"/>
  <c r="S15" i="44" s="1"/>
  <c r="Q92" i="42"/>
  <c r="Q16" i="44" s="1"/>
  <c r="N79" i="42"/>
  <c r="L80" i="42"/>
  <c r="J81" i="42"/>
  <c r="R81" i="42"/>
  <c r="P82" i="42"/>
  <c r="N90" i="42"/>
  <c r="N14" i="44" s="1"/>
  <c r="L91" i="42"/>
  <c r="J92" i="42"/>
  <c r="R92" i="42"/>
  <c r="R16" i="44" s="1"/>
  <c r="Q75" i="42"/>
  <c r="O76" i="42"/>
  <c r="M77" i="42"/>
  <c r="K78" i="42"/>
  <c r="S78" i="42"/>
  <c r="Q79" i="42"/>
  <c r="O80" i="42"/>
  <c r="M81" i="42"/>
  <c r="K82" i="42"/>
  <c r="S82" i="42"/>
  <c r="Q90" i="42"/>
  <c r="Q14" i="44" s="1"/>
  <c r="O91" i="42"/>
  <c r="O15" i="44" s="1"/>
  <c r="M92" i="42"/>
  <c r="R13" i="42"/>
  <c r="R26" i="42" s="1"/>
  <c r="K15" i="42"/>
  <c r="J15" i="42"/>
  <c r="J17" i="42"/>
  <c r="K17" i="42"/>
  <c r="R15" i="42"/>
  <c r="O13" i="42"/>
  <c r="O26" i="42" s="1"/>
  <c r="R17" i="42"/>
  <c r="Q15" i="42"/>
  <c r="S15" i="42"/>
  <c r="Q17" i="42"/>
  <c r="P17" i="42"/>
  <c r="N17" i="42"/>
  <c r="N15" i="42"/>
  <c r="O15" i="42"/>
  <c r="S17" i="42"/>
  <c r="P15" i="42"/>
  <c r="J24" i="42" l="1"/>
  <c r="P22" i="42"/>
  <c r="L24" i="42"/>
  <c r="P24" i="42"/>
  <c r="K24" i="42"/>
  <c r="Q22" i="42"/>
  <c r="N22" i="42"/>
  <c r="M24" i="42"/>
  <c r="Q24" i="42"/>
  <c r="J22" i="42"/>
  <c r="O22" i="42"/>
  <c r="L22" i="42"/>
  <c r="K22" i="42"/>
  <c r="N24" i="42"/>
  <c r="R24" i="42"/>
  <c r="M22" i="42"/>
  <c r="R22" i="42"/>
  <c r="O24" i="42"/>
  <c r="S24" i="42"/>
  <c r="M21" i="2"/>
  <c r="N30" i="2"/>
  <c r="M20" i="42" s="1"/>
  <c r="K26" i="2"/>
  <c r="M18" i="2"/>
  <c r="N18" i="2" s="1"/>
  <c r="O18" i="2" s="1"/>
  <c r="O27" i="2" s="1"/>
  <c r="L17" i="2"/>
  <c r="Q13" i="42"/>
  <c r="Q26" i="42" s="1"/>
  <c r="L29" i="42"/>
  <c r="O29" i="42"/>
  <c r="Q29" i="42"/>
  <c r="S29" i="42"/>
  <c r="K29" i="42"/>
  <c r="N29" i="42"/>
  <c r="P29" i="42"/>
  <c r="R29" i="42"/>
  <c r="J29" i="42"/>
  <c r="M29" i="42"/>
  <c r="N28" i="2"/>
  <c r="L28" i="2"/>
  <c r="J25" i="2"/>
  <c r="N29" i="2"/>
  <c r="J27" i="2"/>
  <c r="K27" i="2"/>
  <c r="M29" i="2"/>
  <c r="L25" i="2"/>
  <c r="L52" i="42"/>
  <c r="L54" i="42" s="1"/>
  <c r="J52" i="42"/>
  <c r="J54" i="42" s="1"/>
  <c r="P52" i="42"/>
  <c r="P54" i="42" s="1"/>
  <c r="S52" i="42"/>
  <c r="S54" i="42" s="1"/>
  <c r="K52" i="42"/>
  <c r="K54" i="42" s="1"/>
  <c r="O52" i="42"/>
  <c r="O54" i="42" s="1"/>
  <c r="Q52" i="42"/>
  <c r="Q54" i="42" s="1"/>
  <c r="R52" i="42"/>
  <c r="R54" i="42" s="1"/>
  <c r="N94" i="42"/>
  <c r="Q94" i="42"/>
  <c r="M94" i="42"/>
  <c r="J94" i="42"/>
  <c r="O94" i="42"/>
  <c r="L94" i="42"/>
  <c r="R94" i="42"/>
  <c r="S94" i="42"/>
  <c r="K94" i="42"/>
  <c r="P94" i="42"/>
  <c r="S84" i="42"/>
  <c r="M84" i="42"/>
  <c r="L84" i="42"/>
  <c r="R84" i="42"/>
  <c r="O84" i="42"/>
  <c r="Q84" i="42"/>
  <c r="K84" i="42"/>
  <c r="P84" i="42"/>
  <c r="N84" i="42"/>
  <c r="J84" i="42"/>
  <c r="L21" i="2" l="1"/>
  <c r="M30" i="2"/>
  <c r="L20" i="42" s="1"/>
  <c r="M17" i="2"/>
  <c r="L26" i="2"/>
  <c r="M13" i="42"/>
  <c r="M26" i="42" s="1"/>
  <c r="K28" i="2"/>
  <c r="J28" i="2"/>
  <c r="N27" i="2"/>
  <c r="M27" i="2"/>
  <c r="L29" i="2"/>
  <c r="L13" i="42"/>
  <c r="L30" i="2" l="1"/>
  <c r="K20" i="42" s="1"/>
  <c r="K21" i="2"/>
  <c r="N17" i="2"/>
  <c r="M26" i="2"/>
  <c r="K13" i="42"/>
  <c r="K26" i="42" s="1"/>
  <c r="J29" i="2"/>
  <c r="K29" i="2"/>
  <c r="L26" i="42"/>
  <c r="J21" i="2" l="1"/>
  <c r="J30" i="2" s="1"/>
  <c r="K30" i="2"/>
  <c r="J20" i="42" s="1"/>
  <c r="N35" i="42" s="1"/>
  <c r="O17" i="2"/>
  <c r="O26" i="2" s="1"/>
  <c r="N26" i="2"/>
  <c r="J13" i="42"/>
  <c r="J26" i="42" s="1"/>
  <c r="M16" i="42" l="1"/>
  <c r="M17" i="42" s="1"/>
  <c r="L14" i="42"/>
  <c r="L15" i="42" s="1"/>
  <c r="N31" i="42" l="1"/>
  <c r="M31" i="42"/>
  <c r="N33" i="42" l="1"/>
  <c r="M33" i="42"/>
  <c r="M52" i="42" l="1"/>
  <c r="M54" i="42" s="1"/>
  <c r="N52" i="42"/>
  <c r="N54" i="42" s="1"/>
  <c r="N100" i="42"/>
  <c r="N13" i="44" s="1"/>
  <c r="N101" i="42"/>
  <c r="P101" i="42" l="1"/>
  <c r="Q100" i="42"/>
  <c r="Q13" i="44" s="1"/>
  <c r="O101" i="42"/>
  <c r="O102" i="42" s="1"/>
  <c r="Q101" i="42"/>
  <c r="Q102" i="42" s="1"/>
  <c r="O100" i="42"/>
  <c r="O13" i="44" s="1"/>
  <c r="P100" i="42"/>
  <c r="P13" i="44" s="1"/>
  <c r="S101" i="42"/>
  <c r="S100" i="42"/>
  <c r="S13" i="44" s="1"/>
  <c r="R100" i="42"/>
  <c r="R13" i="44" s="1"/>
  <c r="R101" i="42"/>
  <c r="R102" i="42" s="1"/>
  <c r="N102" i="42"/>
  <c r="P102" i="42" l="1"/>
  <c r="S102" i="42"/>
</calcChain>
</file>

<file path=xl/sharedStrings.xml><?xml version="1.0" encoding="utf-8"?>
<sst xmlns="http://schemas.openxmlformats.org/spreadsheetml/2006/main" count="669" uniqueCount="193">
  <si>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</si>
  <si>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</si>
  <si>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</si>
  <si>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</si>
  <si>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</si>
  <si>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</si>
  <si>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</si>
  <si>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</si>
  <si>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</si>
  <si>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</si>
  <si>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</si>
  <si>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</si>
  <si>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</si>
  <si>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</si>
  <si>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</si>
  <si>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</si>
  <si>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</si>
  <si>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</si>
  <si>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</si>
  <si>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</si>
  <si>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</si>
  <si>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</si>
  <si>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</si>
  <si>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</si>
  <si>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</si>
  <si>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</si>
  <si>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</si>
  <si>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</si>
  <si>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</si>
  <si>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</si>
  <si>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</si>
  <si>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</si>
  <si>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</si>
  <si>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</si>
  <si>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</si>
  <si>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</si>
  <si>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</si>
  <si>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</si>
  <si>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</si>
  <si>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</si>
  <si>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</si>
  <si>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</si>
  <si>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</si>
  <si>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</si>
  <si>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</si>
  <si>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</si>
  <si>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</si>
  <si>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</si>
  <si>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</si>
  <si>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</si>
  <si>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</si>
  <si>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</si>
  <si>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</si>
  <si>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</si>
  <si>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</si>
  <si>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</si>
  <si>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</si>
  <si>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</si>
  <si>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</si>
  <si>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</si>
  <si>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</si>
  <si>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</si>
  <si>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</si>
  <si>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</si>
  <si>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</si>
  <si>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</si>
  <si>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</si>
  <si>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</si>
  <si>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</si>
  <si>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</si>
  <si>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</si>
  <si>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</si>
  <si>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</si>
  <si>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</si>
  <si>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</si>
  <si>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</si>
  <si>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</si>
  <si>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</si>
  <si>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</si>
  <si>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</si>
  <si>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</si>
  <si>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</si>
  <si>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</si>
  <si>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</si>
  <si>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</si>
  <si>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</si>
  <si>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</si>
  <si>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</si>
  <si>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</si>
  <si>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</si>
  <si>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</si>
  <si>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</si>
  <si>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</si>
  <si>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</si>
  <si>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</si>
  <si>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</si>
  <si>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</si>
  <si>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</si>
  <si>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</si>
  <si>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</si>
  <si>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</si>
  <si>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</si>
  <si>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</si>
  <si>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</si>
  <si>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</si>
  <si>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</si>
  <si>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</si>
  <si>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</si>
  <si>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</si>
  <si>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</si>
  <si>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</si>
  <si>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</si>
  <si>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</si>
  <si>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</si>
  <si>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Energy</t>
  </si>
  <si>
    <t>Weighted entry and exit connections</t>
  </si>
  <si>
    <t>Circuit length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</si>
  <si>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</si>
  <si>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</si>
  <si>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</si>
  <si>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</si>
  <si>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</si>
  <si>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</si>
  <si>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</si>
  <si>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</si>
  <si>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</si>
  <si>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</si>
  <si>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</si>
  <si>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Network support costs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</si>
  <si>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</si>
  <si>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</si>
  <si>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</si>
  <si>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</si>
  <si>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</si>
  <si>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</si>
  <si>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</si>
  <si>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</si>
  <si>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</si>
  <si>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</si>
  <si>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</si>
  <si>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</si>
  <si>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</si>
  <si>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</si>
  <si>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</si>
  <si>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</si>
  <si>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</si>
  <si>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</si>
  <si>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</si>
  <si>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</si>
  <si>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</si>
  <si>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</si>
  <si>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</si>
  <si>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</si>
  <si>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</si>
  <si>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</si>
  <si>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</si>
  <si>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</si>
  <si>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</si>
  <si>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</si>
  <si>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</si>
  <si>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</si>
  <si>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</si>
  <si>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</si>
  <si>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</si>
  <si>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</si>
  <si>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</si>
  <si>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</si>
  <si>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</si>
  <si>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</si>
  <si>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</si>
  <si>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</si>
  <si>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Remove non-recurrent efficiency gain in the base year</t>
  </si>
  <si>
    <t>Add back non-recurrent efficiency gains in the base year</t>
  </si>
  <si>
    <t>Allowances related to category specific forecasts</t>
  </si>
  <si>
    <t>Remove network support costs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</si>
  <si>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</si>
  <si>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</si>
  <si>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</si>
  <si>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</si>
  <si>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</si>
  <si>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</si>
  <si>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</si>
  <si>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</si>
  <si>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</si>
  <si>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</si>
  <si>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ElectraNet</t>
  </si>
  <si>
    <t>Average of forecast inflation.</t>
  </si>
  <si>
    <t>RBA statement of monetary policy inflation forecast,  August 2017, Table 6.1</t>
  </si>
  <si>
    <t>Ratcheted maximum demand (MVA)</t>
  </si>
  <si>
    <t>WPI - BIS Feb 2017</t>
  </si>
  <si>
    <t>WPI - DAE Feb 2017</t>
  </si>
  <si>
    <t>WPI - average of DAE and BIS</t>
  </si>
  <si>
    <t>Note. The dollar basis should be consistent with the post tax revenue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</si>
</sst>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_-* #,##0_-;[Red]\(#,##0\)_-;_-* &quot;-&quot;??_-;_-@_-"/>
    <numFmt numFmtId="207" formatCode="#,##0.000_ ;[Red]\-#,##0.000\ "/>
  </numFmts>
  <fonts count="9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</borders>
  <cellStyleXfs count="270">
    <xf numFmtId="0" fontId="0" fillId="0" borderId="0"/>
    <xf numFmtId="166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67" fontId="14" fillId="0" borderId="5">
      <alignment horizontal="right" vertical="center"/>
      <protection locked="0"/>
    </xf>
    <xf numFmtId="43" fontId="1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14" fillId="0" borderId="0"/>
    <xf numFmtId="174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42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75" fontId="21" fillId="4" borderId="0" applyNumberFormat="0" applyFont="0" applyBorder="0" applyAlignment="0">
      <alignment horizontal="right"/>
    </xf>
    <xf numFmtId="175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41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78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75" fontId="21" fillId="36" borderId="0" applyFont="0" applyBorder="0" applyAlignment="0">
      <alignment horizontal="right"/>
      <protection locked="0"/>
    </xf>
    <xf numFmtId="175" fontId="21" fillId="36" borderId="0" applyFont="0" applyBorder="0" applyAlignment="0">
      <alignment horizontal="right"/>
      <protection locked="0"/>
    </xf>
    <xf numFmtId="181" fontId="21" fillId="6" borderId="0" applyFont="0" applyBorder="0">
      <alignment horizontal="right"/>
      <protection locked="0"/>
    </xf>
    <xf numFmtId="181" fontId="21" fillId="6" borderId="0" applyFont="0" applyBorder="0">
      <alignment horizontal="right"/>
      <protection locked="0"/>
    </xf>
    <xf numFmtId="175" fontId="21" fillId="10" borderId="0" applyFont="0" applyBorder="0">
      <alignment horizontal="right"/>
      <protection locked="0"/>
    </xf>
    <xf numFmtId="175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2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3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4" fontId="21" fillId="0" borderId="0" applyFill="0" applyBorder="0"/>
    <xf numFmtId="184" fontId="21" fillId="0" borderId="0" applyFill="0" applyBorder="0"/>
    <xf numFmtId="184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5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6" fontId="21" fillId="0" borderId="0"/>
    <xf numFmtId="186" fontId="21" fillId="0" borderId="0"/>
    <xf numFmtId="186" fontId="21" fillId="0" borderId="0"/>
    <xf numFmtId="187" fontId="14" fillId="0" borderId="0" applyFill="0" applyBorder="0">
      <alignment horizontal="right" vertical="center"/>
    </xf>
    <xf numFmtId="188" fontId="14" fillId="0" borderId="0" applyFill="0" applyBorder="0">
      <alignment horizontal="right" vertical="center"/>
    </xf>
    <xf numFmtId="189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2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5" fillId="42" borderId="0"/>
    <xf numFmtId="200" fontId="76" fillId="0" borderId="23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4" applyNumberFormat="0" applyFont="0" applyAlignment="0"/>
    <xf numFmtId="0" fontId="83" fillId="7" borderId="25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4" applyNumberFormat="0" applyAlignment="0"/>
    <xf numFmtId="0" fontId="76" fillId="0" borderId="0" applyNumberFormat="0" applyFill="0" applyBorder="0"/>
    <xf numFmtId="0" fontId="89" fillId="49" borderId="24" applyNumberFormat="0">
      <protection locked="0"/>
    </xf>
    <xf numFmtId="0" fontId="2" fillId="0" borderId="0"/>
    <xf numFmtId="49" fontId="2" fillId="51" borderId="28" applyFont="0" applyAlignment="0">
      <alignment horizontal="left" vertical="center" wrapText="1"/>
      <protection locked="0"/>
    </xf>
    <xf numFmtId="206" fontId="91" fillId="51" borderId="29" applyBorder="0">
      <alignment horizontal="right"/>
      <protection locked="0"/>
    </xf>
    <xf numFmtId="0" fontId="92" fillId="50" borderId="0">
      <alignment vertical="center"/>
      <protection locked="0"/>
    </xf>
    <xf numFmtId="207" fontId="1" fillId="51" borderId="28">
      <protection locked="0"/>
    </xf>
    <xf numFmtId="207" fontId="1" fillId="52" borderId="28"/>
  </cellStyleXfs>
  <cellXfs count="212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4" fontId="5" fillId="3" borderId="0" xfId="0" applyNumberFormat="1" applyFont="1" applyFill="1"/>
    <xf numFmtId="164" fontId="6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 applyProtection="1"/>
    <xf numFmtId="0" fontId="5" fillId="5" borderId="0" xfId="0" applyFont="1" applyFill="1" applyBorder="1"/>
    <xf numFmtId="0" fontId="5" fillId="6" borderId="0" xfId="0" applyFont="1" applyFill="1" applyBorder="1"/>
    <xf numFmtId="164" fontId="11" fillId="0" borderId="0" xfId="0" applyNumberFormat="1" applyFont="1"/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 indent="1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43" fontId="11" fillId="0" borderId="6" xfId="0" applyNumberFormat="1" applyFont="1" applyBorder="1" applyAlignment="1">
      <alignment horizontal="center"/>
    </xf>
    <xf numFmtId="164" fontId="16" fillId="0" borderId="0" xfId="3" applyNumberFormat="1" applyFont="1" applyAlignment="1" applyProtection="1"/>
    <xf numFmtId="164" fontId="6" fillId="3" borderId="0" xfId="0" applyNumberFormat="1" applyFont="1" applyFill="1"/>
    <xf numFmtId="164" fontId="17" fillId="0" borderId="0" xfId="0" applyNumberFormat="1" applyFont="1" applyAlignment="1">
      <alignment horizontal="center"/>
    </xf>
    <xf numFmtId="169" fontId="14" fillId="0" borderId="0" xfId="5" applyNumberFormat="1" applyFont="1" applyFill="1" applyBorder="1" applyAlignment="1" applyProtection="1">
      <alignment horizontal="center" vertical="center"/>
    </xf>
    <xf numFmtId="170" fontId="11" fillId="0" borderId="0" xfId="5" applyNumberFormat="1" applyFont="1" applyFill="1" applyBorder="1" applyAlignment="1" applyProtection="1">
      <alignment horizontal="center" vertical="center"/>
    </xf>
    <xf numFmtId="170" fontId="19" fillId="0" borderId="0" xfId="5" applyNumberFormat="1" applyFont="1" applyFill="1" applyBorder="1" applyAlignment="1" applyProtection="1">
      <alignment horizontal="center" vertical="center"/>
    </xf>
    <xf numFmtId="171" fontId="5" fillId="0" borderId="0" xfId="0" applyNumberFormat="1" applyFont="1"/>
    <xf numFmtId="173" fontId="14" fillId="0" borderId="0" xfId="5" applyNumberFormat="1" applyFont="1" applyFill="1" applyBorder="1" applyAlignment="1" applyProtection="1">
      <alignment horizontal="center" vertical="center"/>
    </xf>
    <xf numFmtId="164" fontId="5" fillId="3" borderId="0" xfId="0" applyNumberFormat="1" applyFont="1" applyFill="1" applyProtection="1"/>
    <xf numFmtId="164" fontId="6" fillId="3" borderId="0" xfId="0" applyNumberFormat="1" applyFont="1" applyFill="1" applyAlignment="1" applyProtection="1">
      <alignment horizontal="center"/>
    </xf>
    <xf numFmtId="164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/>
    </xf>
    <xf numFmtId="164" fontId="11" fillId="0" borderId="0" xfId="0" applyNumberFormat="1" applyFont="1" applyProtection="1"/>
    <xf numFmtId="164" fontId="17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64" fontId="16" fillId="0" borderId="0" xfId="3" applyNumberFormat="1" applyFont="1" applyAlignment="1" applyProtection="1">
      <alignment horizontal="center"/>
    </xf>
    <xf numFmtId="0" fontId="70" fillId="38" borderId="0" xfId="0" applyFont="1" applyFill="1" applyBorder="1" applyAlignment="1">
      <alignment horizontal="left" vertical="center"/>
    </xf>
    <xf numFmtId="0" fontId="70" fillId="38" borderId="0" xfId="0" applyFont="1" applyFill="1" applyBorder="1" applyAlignment="1">
      <alignment horizontal="left" indent="9"/>
    </xf>
    <xf numFmtId="0" fontId="71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2" fillId="38" borderId="0" xfId="0" applyNumberFormat="1" applyFont="1" applyFill="1" applyBorder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39" borderId="4" xfId="0" applyFont="1" applyFill="1" applyBorder="1"/>
    <xf numFmtId="165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Border="1" applyAlignment="1">
      <alignment horizontal="left"/>
    </xf>
    <xf numFmtId="0" fontId="72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0" borderId="0" xfId="0" applyFont="1" applyFill="1" applyBorder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4" fontId="17" fillId="0" borderId="0" xfId="0" applyNumberFormat="1" applyFont="1" applyAlignment="1" applyProtection="1">
      <alignment horizontal="center" wrapText="1"/>
    </xf>
    <xf numFmtId="191" fontId="5" fillId="41" borderId="3" xfId="0" applyNumberFormat="1" applyFont="1" applyFill="1" applyBorder="1" applyAlignment="1" applyProtection="1">
      <alignment horizontal="center"/>
      <protection locked="0"/>
    </xf>
    <xf numFmtId="195" fontId="5" fillId="0" borderId="0" xfId="0" applyNumberFormat="1" applyFont="1" applyAlignment="1" applyProtection="1">
      <alignment horizontal="left"/>
    </xf>
    <xf numFmtId="193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 wrapText="1"/>
    </xf>
    <xf numFmtId="164" fontId="7" fillId="0" borderId="0" xfId="0" applyNumberFormat="1" applyFont="1" applyProtection="1"/>
    <xf numFmtId="164" fontId="18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0" fillId="38" borderId="0" xfId="0" applyFont="1" applyFill="1" applyBorder="1" applyAlignment="1" applyProtection="1">
      <alignment horizontal="left" vertical="center"/>
    </xf>
    <xf numFmtId="0" fontId="70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5" fillId="40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5" fillId="6" borderId="0" xfId="0" applyFont="1" applyFill="1" applyBorder="1" applyProtection="1"/>
    <xf numFmtId="43" fontId="22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2" fillId="38" borderId="1" xfId="0" applyFont="1" applyFill="1" applyBorder="1" applyAlignment="1" applyProtection="1">
      <alignment horizontal="left"/>
    </xf>
    <xf numFmtId="0" fontId="72" fillId="38" borderId="1" xfId="0" applyFont="1" applyFill="1" applyBorder="1" applyAlignment="1" applyProtection="1">
      <alignment horizontal="left" indent="9"/>
    </xf>
    <xf numFmtId="0" fontId="22" fillId="38" borderId="2" xfId="0" applyNumberFormat="1" applyFont="1" applyFill="1" applyBorder="1" applyProtection="1"/>
    <xf numFmtId="0" fontId="22" fillId="38" borderId="2" xfId="0" applyFont="1" applyFill="1" applyBorder="1" applyProtection="1"/>
    <xf numFmtId="0" fontId="73" fillId="38" borderId="2" xfId="0" applyNumberFormat="1" applyFont="1" applyFill="1" applyBorder="1" applyProtection="1"/>
    <xf numFmtId="0" fontId="73" fillId="39" borderId="4" xfId="0" applyFont="1" applyFill="1" applyBorder="1" applyProtection="1"/>
    <xf numFmtId="0" fontId="73" fillId="39" borderId="4" xfId="0" applyFont="1" applyFill="1" applyBorder="1" applyAlignment="1" applyProtection="1">
      <alignment horizontal="center"/>
    </xf>
    <xf numFmtId="0" fontId="18" fillId="39" borderId="4" xfId="0" applyFont="1" applyFill="1" applyBorder="1" applyAlignment="1" applyProtection="1">
      <alignment horizontal="center" vertical="center"/>
    </xf>
    <xf numFmtId="0" fontId="18" fillId="39" borderId="4" xfId="0" applyFont="1" applyFill="1" applyBorder="1" applyAlignment="1" applyProtection="1">
      <alignment vertical="center"/>
    </xf>
    <xf numFmtId="0" fontId="73" fillId="39" borderId="4" xfId="0" applyFont="1" applyFill="1" applyBorder="1" applyAlignment="1" applyProtection="1">
      <alignment wrapText="1"/>
    </xf>
    <xf numFmtId="44" fontId="18" fillId="39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39" borderId="4" xfId="0" applyFill="1" applyBorder="1" applyProtection="1"/>
    <xf numFmtId="0" fontId="22" fillId="39" borderId="4" xfId="0" applyFont="1" applyFill="1" applyBorder="1" applyProtection="1"/>
    <xf numFmtId="0" fontId="23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3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7" fillId="0" borderId="0" xfId="0" applyNumberFormat="1" applyFont="1" applyFill="1" applyBorder="1" applyProtection="1"/>
    <xf numFmtId="164" fontId="6" fillId="0" borderId="0" xfId="0" applyNumberFormat="1" applyFont="1" applyFill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Alignment="1" applyProtection="1">
      <alignment horizontal="center"/>
    </xf>
    <xf numFmtId="164" fontId="16" fillId="0" borderId="0" xfId="3" applyNumberFormat="1" applyFont="1" applyFill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left" indent="1"/>
    </xf>
    <xf numFmtId="164" fontId="6" fillId="0" borderId="7" xfId="0" applyNumberFormat="1" applyFont="1" applyBorder="1" applyAlignment="1" applyProtection="1">
      <alignment horizontal="center"/>
    </xf>
    <xf numFmtId="164" fontId="7" fillId="0" borderId="8" xfId="0" applyNumberFormat="1" applyFont="1" applyBorder="1" applyAlignment="1" applyProtection="1">
      <alignment horizontal="left" indent="1"/>
    </xf>
    <xf numFmtId="164" fontId="6" fillId="0" borderId="8" xfId="0" applyNumberFormat="1" applyFont="1" applyBorder="1" applyAlignment="1" applyProtection="1">
      <alignment horizontal="center"/>
    </xf>
    <xf numFmtId="196" fontId="7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4" fontId="7" fillId="0" borderId="8" xfId="0" applyNumberFormat="1" applyFont="1" applyBorder="1" applyProtection="1"/>
    <xf numFmtId="172" fontId="5" fillId="0" borderId="0" xfId="0" applyNumberFormat="1" applyFont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Fill="1" applyAlignment="1" applyProtection="1">
      <alignment horizontal="left" indent="2"/>
    </xf>
    <xf numFmtId="164" fontId="17" fillId="0" borderId="8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left" indent="1"/>
    </xf>
    <xf numFmtId="164" fontId="7" fillId="0" borderId="0" xfId="0" applyNumberFormat="1" applyFont="1" applyBorder="1" applyProtection="1"/>
    <xf numFmtId="193" fontId="7" fillId="0" borderId="0" xfId="0" applyNumberFormat="1" applyFont="1" applyBorder="1" applyAlignment="1" applyProtection="1">
      <alignment horizontal="center"/>
    </xf>
    <xf numFmtId="164" fontId="17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9" fontId="7" fillId="0" borderId="0" xfId="0" applyNumberFormat="1" applyFont="1" applyAlignment="1" applyProtection="1">
      <alignment horizontal="center"/>
    </xf>
    <xf numFmtId="197" fontId="11" fillId="0" borderId="4" xfId="5" applyNumberFormat="1" applyFont="1" applyFill="1" applyBorder="1" applyAlignment="1" applyProtection="1">
      <alignment horizontal="center" vertical="center"/>
    </xf>
    <xf numFmtId="49" fontId="6" fillId="41" borderId="22" xfId="0" applyNumberFormat="1" applyFont="1" applyFill="1" applyBorder="1" applyAlignment="1" applyProtection="1">
      <alignment horizontal="center"/>
      <protection locked="0"/>
    </xf>
    <xf numFmtId="43" fontId="11" fillId="0" borderId="3" xfId="0" applyNumberFormat="1" applyFont="1" applyBorder="1" applyAlignment="1" applyProtection="1">
      <alignment horizontal="center"/>
    </xf>
    <xf numFmtId="43" fontId="11" fillId="0" borderId="0" xfId="0" applyNumberFormat="1" applyFont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0" fontId="9" fillId="38" borderId="2" xfId="0" applyFont="1" applyFill="1" applyBorder="1" applyProtection="1"/>
    <xf numFmtId="0" fontId="10" fillId="38" borderId="2" xfId="0" applyNumberFormat="1" applyFont="1" applyFill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164" fontId="7" fillId="0" borderId="7" xfId="0" applyNumberFormat="1" applyFont="1" applyBorder="1" applyProtection="1"/>
    <xf numFmtId="164" fontId="5" fillId="0" borderId="7" xfId="0" applyNumberFormat="1" applyFont="1" applyBorder="1" applyProtection="1"/>
    <xf numFmtId="164" fontId="7" fillId="0" borderId="4" xfId="0" applyNumberFormat="1" applyFont="1" applyBorder="1" applyAlignment="1" applyProtection="1">
      <alignment horizontal="left"/>
    </xf>
    <xf numFmtId="164" fontId="6" fillId="0" borderId="4" xfId="0" applyNumberFormat="1" applyFont="1" applyBorder="1" applyAlignment="1" applyProtection="1">
      <alignment horizontal="center"/>
    </xf>
    <xf numFmtId="43" fontId="5" fillId="0" borderId="0" xfId="0" applyNumberFormat="1" applyFont="1" applyProtection="1"/>
    <xf numFmtId="164" fontId="5" fillId="0" borderId="0" xfId="0" applyNumberFormat="1" applyFont="1" applyBorder="1" applyProtection="1"/>
    <xf numFmtId="10" fontId="5" fillId="0" borderId="0" xfId="2" applyNumberFormat="1" applyFont="1" applyBorder="1" applyAlignment="1" applyProtection="1">
      <alignment horizontal="center"/>
    </xf>
    <xf numFmtId="164" fontId="6" fillId="0" borderId="0" xfId="6" applyNumberFormat="1" applyFont="1" applyAlignment="1" applyProtection="1">
      <alignment horizontal="center"/>
    </xf>
    <xf numFmtId="168" fontId="14" fillId="0" borderId="0" xfId="2" applyNumberFormat="1" applyFont="1" applyFill="1" applyBorder="1" applyAlignment="1" applyProtection="1">
      <alignment horizontal="center" vertical="center"/>
    </xf>
    <xf numFmtId="172" fontId="5" fillId="0" borderId="0" xfId="0" applyNumberFormat="1" applyFont="1" applyProtection="1"/>
    <xf numFmtId="164" fontId="5" fillId="0" borderId="0" xfId="0" applyNumberFormat="1" applyFont="1" applyAlignment="1" applyProtection="1">
      <alignment horizontal="left"/>
    </xf>
    <xf numFmtId="192" fontId="5" fillId="8" borderId="3" xfId="0" applyNumberFormat="1" applyFont="1" applyFill="1" applyBorder="1" applyAlignment="1" applyProtection="1">
      <alignment horizontal="left" indent="1"/>
    </xf>
    <xf numFmtId="0" fontId="74" fillId="39" borderId="4" xfId="0" applyFont="1" applyFill="1" applyBorder="1" applyAlignment="1" applyProtection="1"/>
    <xf numFmtId="194" fontId="6" fillId="41" borderId="3" xfId="2" applyNumberFormat="1" applyFont="1" applyFill="1" applyBorder="1" applyAlignment="1" applyProtection="1">
      <alignment horizontal="center"/>
      <protection locked="0"/>
    </xf>
    <xf numFmtId="198" fontId="7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Protection="1">
      <protection locked="0"/>
    </xf>
    <xf numFmtId="201" fontId="7" fillId="0" borderId="0" xfId="0" applyNumberFormat="1" applyFont="1" applyAlignment="1" applyProtection="1">
      <alignment horizontal="center"/>
    </xf>
    <xf numFmtId="202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3" fontId="73" fillId="39" borderId="4" xfId="0" applyNumberFormat="1" applyFont="1" applyFill="1" applyBorder="1" applyAlignment="1" applyProtection="1">
      <alignment horizontal="center" wrapText="1"/>
    </xf>
    <xf numFmtId="203" fontId="90" fillId="38" borderId="2" xfId="0" applyNumberFormat="1" applyFont="1" applyFill="1" applyBorder="1" applyAlignment="1" applyProtection="1">
      <alignment horizontal="center"/>
    </xf>
    <xf numFmtId="203" fontId="73" fillId="38" borderId="2" xfId="0" applyNumberFormat="1" applyFont="1" applyFill="1" applyBorder="1" applyAlignment="1" applyProtection="1">
      <alignment horizontal="left"/>
    </xf>
    <xf numFmtId="203" fontId="7" fillId="0" borderId="7" xfId="0" applyNumberFormat="1" applyFont="1" applyBorder="1" applyAlignment="1" applyProtection="1">
      <alignment horizontal="center"/>
    </xf>
    <xf numFmtId="203" fontId="5" fillId="0" borderId="0" xfId="0" applyNumberFormat="1" applyFont="1" applyAlignment="1">
      <alignment horizontal="left" indent="1"/>
    </xf>
    <xf numFmtId="203" fontId="6" fillId="0" borderId="0" xfId="0" applyNumberFormat="1" applyFont="1" applyAlignment="1" applyProtection="1">
      <alignment horizontal="center"/>
    </xf>
    <xf numFmtId="203" fontId="6" fillId="41" borderId="22" xfId="0" applyNumberFormat="1" applyFont="1" applyFill="1" applyBorder="1" applyAlignment="1" applyProtection="1">
      <alignment horizontal="center"/>
      <protection locked="0"/>
    </xf>
    <xf numFmtId="203" fontId="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Protection="1"/>
    <xf numFmtId="203" fontId="5" fillId="0" borderId="0" xfId="0" applyNumberFormat="1" applyFont="1" applyAlignment="1" applyProtection="1">
      <alignment horizontal="left" indent="1"/>
    </xf>
    <xf numFmtId="164" fontId="13" fillId="0" borderId="0" xfId="3" applyNumberFormat="1" applyAlignment="1" applyProtection="1">
      <alignment horizontal="center"/>
    </xf>
    <xf numFmtId="10" fontId="5" fillId="41" borderId="26" xfId="2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94" fontId="5" fillId="0" borderId="0" xfId="2" applyNumberFormat="1" applyFont="1" applyFill="1" applyBorder="1" applyAlignment="1" applyProtection="1">
      <alignment horizontal="center"/>
      <protection locked="0"/>
    </xf>
    <xf numFmtId="203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7" xfId="0" applyNumberFormat="1" applyFont="1" applyFill="1" applyBorder="1" applyAlignment="1" applyProtection="1"/>
    <xf numFmtId="203" fontId="18" fillId="40" borderId="9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Border="1" applyAlignment="1" applyProtection="1">
      <alignment horizontal="center"/>
    </xf>
    <xf numFmtId="203" fontId="17" fillId="0" borderId="0" xfId="0" applyNumberFormat="1" applyFont="1" applyAlignment="1" applyProtection="1">
      <alignment horizontal="center"/>
    </xf>
    <xf numFmtId="199" fontId="5" fillId="0" borderId="0" xfId="0" applyNumberFormat="1" applyFont="1" applyBorder="1" applyAlignment="1" applyProtection="1">
      <alignment horizontal="center"/>
    </xf>
    <xf numFmtId="199" fontId="7" fillId="0" borderId="0" xfId="0" applyNumberFormat="1" applyFont="1" applyBorder="1" applyAlignment="1" applyProtection="1">
      <alignment horizontal="center"/>
    </xf>
    <xf numFmtId="196" fontId="7" fillId="0" borderId="0" xfId="0" applyNumberFormat="1" applyFont="1" applyBorder="1" applyAlignment="1" applyProtection="1">
      <alignment horizontal="center"/>
    </xf>
    <xf numFmtId="164" fontId="7" fillId="0" borderId="7" xfId="0" applyNumberFormat="1" applyFont="1" applyBorder="1" applyAlignment="1" applyProtection="1">
      <alignment horizontal="left" indent="1"/>
    </xf>
    <xf numFmtId="203" fontId="6" fillId="0" borderId="7" xfId="0" applyNumberFormat="1" applyFont="1" applyBorder="1" applyAlignment="1" applyProtection="1">
      <alignment horizontal="center"/>
    </xf>
    <xf numFmtId="204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203" fontId="5" fillId="0" borderId="3" xfId="0" applyNumberFormat="1" applyFont="1" applyFill="1" applyBorder="1" applyAlignment="1" applyProtection="1">
      <alignment horizontal="center"/>
      <protection locked="0"/>
    </xf>
    <xf numFmtId="2" fontId="11" fillId="0" borderId="4" xfId="5" applyNumberFormat="1" applyFont="1" applyFill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3" fontId="5" fillId="0" borderId="0" xfId="0" applyNumberFormat="1" applyFont="1" applyProtection="1">
      <protection locked="0"/>
    </xf>
    <xf numFmtId="193" fontId="7" fillId="0" borderId="0" xfId="0" applyNumberFormat="1" applyFont="1" applyProtection="1">
      <protection locked="0"/>
    </xf>
    <xf numFmtId="49" fontId="6" fillId="0" borderId="22" xfId="0" applyNumberFormat="1" applyFont="1" applyFill="1" applyBorder="1" applyAlignment="1" applyProtection="1">
      <alignment horizontal="center"/>
    </xf>
    <xf numFmtId="203" fontId="6" fillId="0" borderId="22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</xf>
    <xf numFmtId="180" fontId="5" fillId="0" borderId="0" xfId="2" applyNumberFormat="1" applyFont="1" applyAlignment="1" applyProtection="1">
      <alignment horizontal="center"/>
      <protection locked="0"/>
    </xf>
    <xf numFmtId="170" fontId="11" fillId="0" borderId="0" xfId="5" applyNumberFormat="1" applyFont="1" applyFill="1" applyBorder="1" applyAlignment="1" applyProtection="1">
      <alignment horizontal="center" vertical="center"/>
      <protection locked="0"/>
    </xf>
    <xf numFmtId="164" fontId="14" fillId="0" borderId="0" xfId="5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Fill="1" applyProtection="1"/>
    <xf numFmtId="49" fontId="5" fillId="0" borderId="3" xfId="0" applyNumberFormat="1" applyFont="1" applyFill="1" applyBorder="1" applyAlignment="1" applyProtection="1">
      <alignment horizontal="left" indent="1"/>
      <protection locked="0"/>
    </xf>
    <xf numFmtId="203" fontId="5" fillId="0" borderId="0" xfId="2" applyNumberFormat="1" applyFont="1" applyFill="1" applyBorder="1" applyAlignment="1" applyProtection="1">
      <alignment horizontal="center"/>
      <protection locked="0"/>
    </xf>
    <xf numFmtId="164" fontId="17" fillId="0" borderId="0" xfId="0" applyNumberFormat="1" applyFont="1" applyFill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80" fontId="5" fillId="0" borderId="0" xfId="2" applyNumberFormat="1" applyFont="1" applyFill="1" applyBorder="1" applyAlignment="1" applyProtection="1">
      <alignment horizontal="center"/>
      <protection locked="0"/>
    </xf>
    <xf numFmtId="203" fontId="6" fillId="0" borderId="22" xfId="0" applyNumberFormat="1" applyFont="1" applyFill="1" applyBorder="1" applyAlignment="1" applyProtection="1">
      <alignment horizontal="center"/>
      <protection locked="0"/>
    </xf>
    <xf numFmtId="193" fontId="5" fillId="0" borderId="0" xfId="0" applyNumberFormat="1" applyFont="1" applyFill="1" applyProtection="1">
      <protection locked="0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05" fontId="5" fillId="0" borderId="0" xfId="0" applyNumberFormat="1" applyFont="1" applyProtection="1">
      <protection locked="0"/>
    </xf>
    <xf numFmtId="203" fontId="18" fillId="8" borderId="9" xfId="0" applyNumberFormat="1" applyFont="1" applyFill="1" applyBorder="1" applyAlignment="1" applyProtection="1">
      <alignment horizontal="center"/>
    </xf>
    <xf numFmtId="0" fontId="73" fillId="38" borderId="2" xfId="0" applyNumberFormat="1" applyFont="1" applyFill="1" applyBorder="1" applyAlignment="1" applyProtection="1">
      <alignment horizontal="center"/>
    </xf>
  </cellXfs>
  <cellStyles count="270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dms_NUM" xfId="266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Cell" xfId="268"/>
    <cellStyle name="InputCellText" xfId="265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nInputCell" xfId="269"/>
    <cellStyle name="Normal" xfId="0" builtinId="0"/>
    <cellStyle name="Normal - Style1" xfId="136"/>
    <cellStyle name="Normal 10" xfId="241"/>
    <cellStyle name="Normal 10 2" xfId="264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RIN_TB3" xfId="267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0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DAEEF3"/>
      <color rgb="FFC0C0C0"/>
      <color rgb="FF8DB4E2"/>
      <color rgb="FF00B2E4"/>
      <color rgb="FF0060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>
      <selection activeCell="A33" sqref="A33:XFD34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98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66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64</v>
      </c>
      <c r="D7" s="7" t="s">
        <v>65</v>
      </c>
    </row>
    <row r="8" spans="1:47">
      <c r="C8" s="19" t="s">
        <v>35</v>
      </c>
      <c r="D8" s="7" t="s">
        <v>100</v>
      </c>
    </row>
    <row r="9" spans="1:47">
      <c r="C9" s="19" t="s">
        <v>60</v>
      </c>
      <c r="D9" s="7" t="s">
        <v>61</v>
      </c>
    </row>
    <row r="10" spans="1:47">
      <c r="C10" s="19" t="s">
        <v>59</v>
      </c>
      <c r="D10" s="7" t="s">
        <v>51</v>
      </c>
    </row>
    <row r="11" spans="1:47">
      <c r="C11" s="19" t="s">
        <v>63</v>
      </c>
      <c r="D11" s="7" t="s">
        <v>52</v>
      </c>
    </row>
    <row r="12" spans="1:47">
      <c r="C12" s="19" t="s">
        <v>56</v>
      </c>
      <c r="D12" s="7" t="s">
        <v>183</v>
      </c>
    </row>
    <row r="13" spans="1:47">
      <c r="C13" s="19" t="s">
        <v>55</v>
      </c>
      <c r="D13" s="7" t="s">
        <v>184</v>
      </c>
    </row>
    <row r="14" spans="1:47">
      <c r="C14" s="19" t="s">
        <v>54</v>
      </c>
      <c r="D14" s="7" t="s">
        <v>62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tr">
        <f>IF(COUNTA($S$5:$S$15)=COUNTIF($S5:$S16,"OK"),"OK","Check")</f>
        <v>OK</v>
      </c>
      <c r="U1" s="189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96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97</v>
      </c>
      <c r="D6" s="32" t="s">
        <v>7</v>
      </c>
      <c r="E6" s="32"/>
      <c r="F6" s="33"/>
      <c r="G6" s="33" t="s">
        <v>70</v>
      </c>
      <c r="H6" s="33"/>
      <c r="I6" s="29"/>
    </row>
    <row r="7" spans="1:47">
      <c r="C7" s="29" t="s">
        <v>67</v>
      </c>
      <c r="D7" s="30" t="s">
        <v>71</v>
      </c>
      <c r="E7" s="29"/>
      <c r="F7" s="29"/>
      <c r="G7" s="52" t="s">
        <v>185</v>
      </c>
      <c r="H7" s="29"/>
      <c r="I7" s="29"/>
      <c r="S7" s="131" t="str">
        <f>IF(COUNTBLANK($G7),"Check","Ok")</f>
        <v>Ok</v>
      </c>
    </row>
    <row r="8" spans="1:47">
      <c r="C8" s="29" t="s">
        <v>147</v>
      </c>
      <c r="D8" s="30" t="s">
        <v>72</v>
      </c>
      <c r="E8" s="29"/>
      <c r="F8" s="29"/>
      <c r="G8" s="52" t="s">
        <v>148</v>
      </c>
      <c r="H8" s="29"/>
      <c r="I8" s="29"/>
      <c r="S8" s="131" t="str">
        <f>IF(COUNTBLANK($G8),"Check","Ok")</f>
        <v>Ok</v>
      </c>
    </row>
    <row r="9" spans="1:47">
      <c r="C9" s="29" t="s">
        <v>131</v>
      </c>
      <c r="D9" s="30" t="s">
        <v>71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162</v>
      </c>
      <c r="D10" s="30" t="s">
        <v>71</v>
      </c>
      <c r="E10" s="29"/>
      <c r="F10" s="29"/>
      <c r="G10" s="155">
        <v>2014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74</v>
      </c>
      <c r="D11" s="30" t="s">
        <v>71</v>
      </c>
      <c r="E11" s="29"/>
      <c r="F11" s="29"/>
      <c r="G11" s="155">
        <v>2016</v>
      </c>
      <c r="H11" s="29"/>
      <c r="I11" s="29"/>
      <c r="S11" s="131" t="str">
        <f t="shared" si="0"/>
        <v>Ok</v>
      </c>
    </row>
    <row r="12" spans="1:47">
      <c r="C12" s="29" t="s">
        <v>163</v>
      </c>
      <c r="D12" s="30" t="s">
        <v>71</v>
      </c>
      <c r="E12" s="29"/>
      <c r="F12" s="29"/>
      <c r="G12" s="155">
        <v>2018</v>
      </c>
      <c r="H12" s="29"/>
      <c r="I12" s="29"/>
      <c r="S12" s="131" t="str">
        <f t="shared" si="0"/>
        <v>Ok</v>
      </c>
    </row>
    <row r="13" spans="1:47">
      <c r="C13" s="29" t="s">
        <v>68</v>
      </c>
      <c r="D13" s="30" t="s">
        <v>71</v>
      </c>
      <c r="E13" s="29"/>
      <c r="F13" s="29"/>
      <c r="G13" s="155">
        <v>2019</v>
      </c>
      <c r="H13" s="29"/>
      <c r="I13" s="29"/>
      <c r="S13" s="131" t="str">
        <f t="shared" si="0"/>
        <v>Ok</v>
      </c>
    </row>
    <row r="14" spans="1:47">
      <c r="C14" s="29" t="s">
        <v>69</v>
      </c>
      <c r="D14" s="30" t="s">
        <v>71</v>
      </c>
      <c r="E14" s="29"/>
      <c r="F14" s="29"/>
      <c r="G14" s="155">
        <v>2023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199" priority="13" operator="equal">
      <formula>"Check"</formula>
    </cfRule>
    <cfRule type="cellIs" dxfId="198" priority="14" operator="equal">
      <formula>"Ok"</formula>
    </cfRule>
  </conditionalFormatting>
  <conditionalFormatting sqref="V1">
    <cfRule type="cellIs" dxfId="197" priority="3" operator="equal">
      <formula>"Check"</formula>
    </cfRule>
    <cfRule type="cellIs" dxfId="196" priority="4" operator="equal">
      <formula>"Ok"</formula>
    </cfRule>
  </conditionalFormatting>
  <conditionalFormatting sqref="S7:S14">
    <cfRule type="cellIs" dxfId="195" priority="5" operator="equal">
      <formula>"Check"</formula>
    </cfRule>
    <cfRule type="cellIs" dxfId="194" priority="6" operator="equal">
      <formula>"Ok"</formula>
    </cfRule>
  </conditionalFormatting>
  <conditionalFormatting sqref="S1">
    <cfRule type="cellIs" dxfId="193" priority="1" operator="equal">
      <formula>"Check"</formula>
    </cfRule>
    <cfRule type="cellIs" dxfId="192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G14</xm:sqref>
        </x14:dataValidation>
        <x14:dataValidation type="list" allowBlank="1" showInputMessage="1" showErrorMessage="1">
          <x14:formula1>
            <xm:f>'Lookup|Tables'!$G$41:$G$60</xm:f>
          </x14:formula1>
          <xm:sqref>G10 G11 G12 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topLeftCell="A22" workbookViewId="0">
      <selection activeCell="F51" sqref="F5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85</v>
      </c>
      <c r="T1" s="76" t="str">
        <f>IF(COUNTA($T$5:$T$65)=COUNTIF($T5:$T66,"OK"),"OK","Check")</f>
        <v>OK</v>
      </c>
      <c r="V1" s="189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96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101</v>
      </c>
      <c r="E6" s="62" t="s">
        <v>145</v>
      </c>
      <c r="F6" s="62" t="s">
        <v>101</v>
      </c>
      <c r="G6" s="62" t="s">
        <v>145</v>
      </c>
      <c r="H6" s="62"/>
      <c r="I6" s="29"/>
      <c r="J6" s="29"/>
    </row>
    <row r="7" spans="1:48">
      <c r="C7" s="67" t="s">
        <v>7</v>
      </c>
      <c r="D7" s="66" t="s">
        <v>99</v>
      </c>
      <c r="E7" s="66" t="s">
        <v>30</v>
      </c>
      <c r="F7" s="66" t="s">
        <v>99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86</v>
      </c>
      <c r="E8" s="66" t="s">
        <v>16</v>
      </c>
      <c r="F8" s="66" t="s">
        <v>86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90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90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90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90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90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90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90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90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90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90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90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90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90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90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90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90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90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90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90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90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90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90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90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90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90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90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90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90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90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91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f>AVERAGE(F50,F52)</f>
        <v>111.45</v>
      </c>
      <c r="G51" s="117">
        <f t="shared" si="1"/>
        <v>1.873857404021928E-2</v>
      </c>
      <c r="H51" s="206" t="s">
        <v>186</v>
      </c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f>F48*1.02</f>
        <v>112.2</v>
      </c>
      <c r="G52" s="117">
        <f t="shared" si="1"/>
        <v>2.0000000000000018E-2</v>
      </c>
      <c r="H52" s="190" t="s">
        <v>187</v>
      </c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f>AVERAGE(F52,F54)</f>
        <v>112.695375</v>
      </c>
      <c r="G53" s="117">
        <f t="shared" si="1"/>
        <v>1.986764705882349E-2</v>
      </c>
      <c r="H53" s="206" t="s">
        <v>186</v>
      </c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f>F50*1.0225</f>
        <v>113.19074999999999</v>
      </c>
      <c r="G54" s="117">
        <f t="shared" si="1"/>
        <v>2.2499999999999964E-2</v>
      </c>
      <c r="H54" s="190" t="s">
        <v>187</v>
      </c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f>AVERAGE(F54,F56)</f>
        <v>113.95762499999999</v>
      </c>
      <c r="G55" s="117">
        <f t="shared" si="1"/>
        <v>2.2499999999999964E-2</v>
      </c>
      <c r="H55" s="206" t="s">
        <v>186</v>
      </c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f>F52*1.0225</f>
        <v>114.72449999999999</v>
      </c>
      <c r="G56" s="117">
        <f t="shared" si="1"/>
        <v>2.2499999999999964E-2</v>
      </c>
      <c r="H56" s="190" t="s">
        <v>187</v>
      </c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f>AVERAGE(F56,F58)</f>
        <v>115.37250937499999</v>
      </c>
      <c r="G57" s="117">
        <f t="shared" si="1"/>
        <v>2.3755494624335682E-2</v>
      </c>
      <c r="H57" s="206" t="s">
        <v>186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f>F54*1.025</f>
        <v>116.02051874999998</v>
      </c>
      <c r="G58" s="117">
        <f t="shared" si="1"/>
        <v>2.4999999999999911E-2</v>
      </c>
      <c r="H58" s="190" t="s">
        <v>187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116.80656562499999</v>
      </c>
      <c r="G59" s="117">
        <f t="shared" si="1"/>
        <v>2.4999999999999911E-2</v>
      </c>
      <c r="H59" s="206" t="s">
        <v>186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F56*1.025</f>
        <v>117.59261249999999</v>
      </c>
      <c r="G60" s="117">
        <f t="shared" si="1"/>
        <v>2.4999999999999911E-2</v>
      </c>
      <c r="H60" s="190" t="s">
        <v>187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/>
      <c r="G61" s="117" t="str">
        <f t="shared" si="1"/>
        <v/>
      </c>
      <c r="H61" s="190"/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/>
      <c r="G62" s="117" t="str">
        <f t="shared" si="1"/>
        <v/>
      </c>
      <c r="H62" s="190"/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/>
      <c r="G63" s="117" t="str">
        <f t="shared" si="1"/>
        <v/>
      </c>
      <c r="H63" s="190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/>
      <c r="G64" s="117" t="str">
        <f t="shared" si="1"/>
        <v/>
      </c>
      <c r="H64" s="190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91" priority="11" operator="equal">
      <formula>"Check"</formula>
    </cfRule>
    <cfRule type="cellIs" dxfId="190" priority="12" operator="equal">
      <formula>"Ok"</formula>
    </cfRule>
  </conditionalFormatting>
  <conditionalFormatting sqref="W1">
    <cfRule type="cellIs" dxfId="189" priority="7" operator="equal">
      <formula>"Check"</formula>
    </cfRule>
    <cfRule type="cellIs" dxfId="188" priority="8" operator="equal">
      <formula>"Ok"</formula>
    </cfRule>
  </conditionalFormatting>
  <conditionalFormatting sqref="T1">
    <cfRule type="cellIs" dxfId="187" priority="5" operator="equal">
      <formula>"Check"</formula>
    </cfRule>
    <cfRule type="cellIs" dxfId="186" priority="6" operator="equal">
      <formula>"Ok"</formula>
    </cfRule>
  </conditionalFormatting>
  <conditionalFormatting sqref="X51:X57">
    <cfRule type="cellIs" dxfId="185" priority="3" operator="equal">
      <formula>"Check"</formula>
    </cfRule>
    <cfRule type="cellIs" dxfId="184" priority="4" operator="equal">
      <formula>"Ok"</formula>
    </cfRule>
  </conditionalFormatting>
  <conditionalFormatting sqref="X58:X62 T9:T64">
    <cfRule type="cellIs" dxfId="183" priority="1" operator="equal">
      <formula>"Check"</formula>
    </cfRule>
    <cfRule type="cellIs" dxfId="182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69"/>
  <sheetViews>
    <sheetView workbookViewId="0">
      <selection activeCell="S1" sqref="S1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85</v>
      </c>
      <c r="S1" s="76" t="str">
        <f>IF(COUNTA($W$37:$W$262)=COUNTIF($W$37:$W$262,"OK"),"OK","Check")</f>
        <v>OK</v>
      </c>
      <c r="T1" s="69"/>
      <c r="U1" s="189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131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41791</v>
      </c>
      <c r="K4" s="156">
        <f>DATE(PPFirstYear+1,MONTH('Input|General'!$G$9),1)</f>
        <v>42156</v>
      </c>
      <c r="L4" s="156">
        <f>DATE(PPFirstYear+2,MONTH('Input|General'!$G$9),1)</f>
        <v>42522</v>
      </c>
      <c r="M4" s="156">
        <f>DATE(PPFirstYear+3,MONTH('Input|General'!$G$9),1)</f>
        <v>42887</v>
      </c>
      <c r="N4" s="156">
        <f>DATE(PPFirstYear+4,MONTH('Input|General'!$G$9),1)</f>
        <v>43252</v>
      </c>
      <c r="O4" s="156">
        <f>DATE(PPFirstYear+5,MONTH('Input|General'!$G$9),1)</f>
        <v>43617</v>
      </c>
      <c r="P4" s="156">
        <f>DATE(PPFirstYear+6,MONTH('Input|General'!$G$9),1)</f>
        <v>43983</v>
      </c>
      <c r="Q4" s="156">
        <f>DATE(PPFirstYear+7,MONTH('Input|General'!$G$9),1)</f>
        <v>44348</v>
      </c>
      <c r="R4" s="156">
        <f>DATE(PPFirstYear+8,MONTH('Input|General'!$G$9),1)</f>
        <v>44713</v>
      </c>
      <c r="S4" s="156">
        <f>DATE(PPFirstYear+9,MONTH('Input|General'!$G$9),1)</f>
        <v>45078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41791</v>
      </c>
      <c r="K10" s="159">
        <f t="shared" si="0"/>
        <v>42156</v>
      </c>
      <c r="L10" s="159">
        <f t="shared" si="0"/>
        <v>42522</v>
      </c>
      <c r="M10" s="159">
        <f t="shared" si="0"/>
        <v>42887</v>
      </c>
      <c r="N10" s="159">
        <f t="shared" si="0"/>
        <v>43252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76</v>
      </c>
      <c r="D13" s="30" t="s">
        <v>72</v>
      </c>
      <c r="E13" s="172" t="s">
        <v>15</v>
      </c>
      <c r="F13" s="172">
        <v>41426</v>
      </c>
      <c r="G13" s="32"/>
      <c r="H13" s="32"/>
      <c r="I13" s="30"/>
      <c r="J13" s="164">
        <v>79.796690619178122</v>
      </c>
      <c r="K13" s="164">
        <v>82.827702203209554</v>
      </c>
      <c r="L13" s="164">
        <v>84.332483989649205</v>
      </c>
      <c r="M13" s="164">
        <v>88.868315186591261</v>
      </c>
      <c r="N13" s="164">
        <v>89.215412080194113</v>
      </c>
      <c r="O13" s="152"/>
      <c r="P13" s="152"/>
      <c r="Q13" s="152"/>
      <c r="R13" s="152"/>
      <c r="S13" s="152"/>
      <c r="T13" s="29"/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76</v>
      </c>
      <c r="D15" s="140" t="str">
        <f>D13</f>
        <v>AER</v>
      </c>
      <c r="E15" s="205" t="str">
        <f>E13</f>
        <v>$millions</v>
      </c>
      <c r="F15" s="205">
        <f>F13</f>
        <v>41426</v>
      </c>
      <c r="G15" s="32"/>
      <c r="H15" s="32"/>
      <c r="I15" s="30"/>
      <c r="J15" s="129">
        <f>J13</f>
        <v>79.796690619178122</v>
      </c>
      <c r="K15" s="129">
        <f t="shared" ref="K15:S15" si="1">K13</f>
        <v>82.827702203209554</v>
      </c>
      <c r="L15" s="129">
        <f t="shared" si="1"/>
        <v>84.332483989649205</v>
      </c>
      <c r="M15" s="129">
        <f t="shared" si="1"/>
        <v>88.868315186591261</v>
      </c>
      <c r="N15" s="129">
        <f t="shared" si="1"/>
        <v>89.215412080194113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173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110</v>
      </c>
      <c r="D19" s="30" t="s">
        <v>72</v>
      </c>
      <c r="E19" s="30" t="str">
        <f>$E$29</f>
        <v>$millions</v>
      </c>
      <c r="F19" s="161">
        <f t="shared" ref="F19:F27" si="2">$F$15</f>
        <v>41426</v>
      </c>
      <c r="G19" s="32"/>
      <c r="H19" s="32"/>
      <c r="I19" s="30"/>
      <c r="J19" s="164">
        <v>-1.1145169829638768</v>
      </c>
      <c r="K19" s="164">
        <v>-1.1886711673742183</v>
      </c>
      <c r="L19" s="164">
        <v>-1.2266278741122152</v>
      </c>
      <c r="M19" s="164">
        <v>-1.2758258243380154</v>
      </c>
      <c r="N19" s="164">
        <v>-1.291897709488357</v>
      </c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 t="s">
        <v>174</v>
      </c>
      <c r="D20" s="30" t="s">
        <v>72</v>
      </c>
      <c r="E20" s="30" t="str">
        <f t="shared" ref="E20:E27" si="3">$E$15</f>
        <v>$millions</v>
      </c>
      <c r="F20" s="161">
        <f t="shared" si="2"/>
        <v>41426</v>
      </c>
      <c r="G20" s="32"/>
      <c r="H20" s="32"/>
      <c r="I20" s="30"/>
      <c r="J20" s="164">
        <v>-8.2172745937058504</v>
      </c>
      <c r="K20" s="164">
        <v>-8.2843472016591999</v>
      </c>
      <c r="L20" s="164">
        <v>-8.3367622757600603</v>
      </c>
      <c r="M20" s="164">
        <v>-8.5969178597089755</v>
      </c>
      <c r="N20" s="164">
        <v>-8.6819088231110584</v>
      </c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72</v>
      </c>
      <c r="E21" s="30" t="str">
        <f t="shared" si="3"/>
        <v>$millions</v>
      </c>
      <c r="F21" s="161">
        <f t="shared" si="2"/>
        <v>41426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72</v>
      </c>
      <c r="E22" s="30" t="str">
        <f t="shared" si="3"/>
        <v>$millions</v>
      </c>
      <c r="F22" s="161">
        <f t="shared" si="2"/>
        <v>41426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72</v>
      </c>
      <c r="E23" s="30" t="str">
        <f t="shared" si="3"/>
        <v>$millions</v>
      </c>
      <c r="F23" s="161">
        <f t="shared" si="2"/>
        <v>41426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72</v>
      </c>
      <c r="E24" s="30" t="str">
        <f t="shared" si="3"/>
        <v>$millions</v>
      </c>
      <c r="F24" s="161">
        <f t="shared" si="2"/>
        <v>41426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72</v>
      </c>
      <c r="E25" s="30" t="str">
        <f t="shared" si="3"/>
        <v>$millions</v>
      </c>
      <c r="F25" s="161">
        <f t="shared" si="2"/>
        <v>41426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72</v>
      </c>
      <c r="E26" s="30" t="str">
        <f t="shared" si="3"/>
        <v>$millions</v>
      </c>
      <c r="F26" s="161">
        <f t="shared" si="2"/>
        <v>41426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72</v>
      </c>
      <c r="E27" s="30" t="str">
        <f t="shared" si="3"/>
        <v>$millions</v>
      </c>
      <c r="F27" s="161">
        <f t="shared" si="2"/>
        <v>41426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76</v>
      </c>
      <c r="D29" s="140" t="s">
        <v>30</v>
      </c>
      <c r="E29" s="130" t="s">
        <v>15</v>
      </c>
      <c r="F29" s="162">
        <f>F27</f>
        <v>41426</v>
      </c>
      <c r="G29" s="32"/>
      <c r="H29" s="32"/>
      <c r="I29" s="30"/>
      <c r="J29" s="129">
        <f>SUM(J19:J27)</f>
        <v>-9.3317915766697279</v>
      </c>
      <c r="K29" s="129">
        <f t="shared" ref="K29:S29" si="4">SUM(K19:K27)</f>
        <v>-9.4730183690334187</v>
      </c>
      <c r="L29" s="129">
        <f t="shared" si="4"/>
        <v>-9.5633901498722764</v>
      </c>
      <c r="M29" s="129">
        <f t="shared" si="4"/>
        <v>-9.8727436840469913</v>
      </c>
      <c r="N29" s="129">
        <f t="shared" si="4"/>
        <v>-9.973806532599415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/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60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77</v>
      </c>
      <c r="N33" s="164" t="s">
        <v>77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79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41791</v>
      </c>
      <c r="K34" s="159">
        <f t="shared" si="5"/>
        <v>42156</v>
      </c>
      <c r="L34" s="159">
        <f t="shared" si="5"/>
        <v>42522</v>
      </c>
      <c r="M34" s="159">
        <f t="shared" si="5"/>
        <v>42887</v>
      </c>
      <c r="N34" s="159">
        <f t="shared" si="5"/>
        <v>43252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76</v>
      </c>
      <c r="D37" s="30" t="s">
        <v>78</v>
      </c>
      <c r="E37" s="30" t="str">
        <f t="shared" ref="E37:E42" si="6">$E$53</f>
        <v>$millions</v>
      </c>
      <c r="F37" s="161" t="str">
        <f>$F$53</f>
        <v>nominal</v>
      </c>
      <c r="G37" s="32"/>
      <c r="H37" s="32"/>
      <c r="I37" s="30"/>
      <c r="J37" s="164">
        <v>75.5</v>
      </c>
      <c r="K37" s="164">
        <v>80.990000000000009</v>
      </c>
      <c r="L37" s="164">
        <v>84.710000000000008</v>
      </c>
      <c r="M37" s="164"/>
      <c r="N37" s="164"/>
      <c r="O37" s="152"/>
      <c r="P37" s="152"/>
      <c r="Q37" s="152"/>
      <c r="R37" s="152"/>
      <c r="S37" s="152"/>
      <c r="T37" s="29"/>
      <c r="U37" s="29"/>
      <c r="V37" s="29"/>
      <c r="W37" s="29"/>
    </row>
    <row r="38" spans="1:23">
      <c r="A38" s="29"/>
      <c r="B38" s="29"/>
      <c r="C38" s="61"/>
      <c r="D38" s="30" t="s">
        <v>78</v>
      </c>
      <c r="E38" s="30" t="str">
        <f t="shared" si="6"/>
        <v>$millions</v>
      </c>
      <c r="F38" s="161" t="str">
        <f t="shared" ref="F38:F42" si="7">$F$53</f>
        <v>nominal</v>
      </c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1"/>
      <c r="D39" s="30" t="s">
        <v>78</v>
      </c>
      <c r="E39" s="30" t="str">
        <f t="shared" si="6"/>
        <v>$millions</v>
      </c>
      <c r="F39" s="161" t="str">
        <f t="shared" si="7"/>
        <v>nominal</v>
      </c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1"/>
      <c r="D40" s="30" t="s">
        <v>78</v>
      </c>
      <c r="E40" s="30" t="str">
        <f t="shared" si="6"/>
        <v>$millions</v>
      </c>
      <c r="F40" s="161" t="str">
        <f t="shared" si="7"/>
        <v>nominal</v>
      </c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/>
      <c r="D41" s="30" t="s">
        <v>78</v>
      </c>
      <c r="E41" s="30" t="str">
        <f t="shared" si="6"/>
        <v>$millions</v>
      </c>
      <c r="F41" s="161" t="str">
        <f t="shared" si="7"/>
        <v>nominal</v>
      </c>
      <c r="G41" s="32"/>
      <c r="H41" s="32"/>
      <c r="I41" s="30"/>
      <c r="J41" s="164"/>
      <c r="K41" s="164"/>
      <c r="L41" s="164"/>
      <c r="M41" s="164"/>
      <c r="N41" s="164"/>
      <c r="O41" s="152"/>
      <c r="P41" s="152"/>
      <c r="Q41" s="152"/>
      <c r="R41" s="152"/>
      <c r="S41" s="152"/>
      <c r="T41" s="29"/>
      <c r="U41" s="29"/>
      <c r="V41" s="29"/>
      <c r="W41" s="29"/>
    </row>
    <row r="42" spans="1:23">
      <c r="A42" s="29"/>
      <c r="B42" s="29"/>
      <c r="C42" s="61" t="s">
        <v>118</v>
      </c>
      <c r="D42" s="30" t="s">
        <v>78</v>
      </c>
      <c r="E42" s="30" t="str">
        <f t="shared" si="6"/>
        <v>$millions</v>
      </c>
      <c r="F42" s="161" t="str">
        <f t="shared" si="7"/>
        <v>nominal</v>
      </c>
      <c r="G42" s="32"/>
      <c r="H42" s="32"/>
      <c r="I42" s="30"/>
      <c r="J42" s="164">
        <v>-1.361347755181499</v>
      </c>
      <c r="K42" s="164">
        <v>-1.2021353068231406</v>
      </c>
      <c r="L42" s="164">
        <v>-0.52412113948403494</v>
      </c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111"/>
      <c r="D43" s="30"/>
      <c r="E43" s="30"/>
      <c r="F43" s="30"/>
      <c r="G43" s="32"/>
      <c r="H43" s="32"/>
      <c r="I43" s="30"/>
      <c r="J43" s="29"/>
      <c r="K43" s="29"/>
      <c r="L43" s="29"/>
      <c r="M43" s="29"/>
      <c r="N43" s="141"/>
      <c r="O43" s="29"/>
      <c r="P43" s="29"/>
      <c r="Q43" s="29"/>
      <c r="R43" s="29"/>
      <c r="S43" s="29"/>
      <c r="T43" s="29"/>
      <c r="U43" s="29"/>
      <c r="V43" s="29"/>
      <c r="W43" s="29"/>
    </row>
    <row r="44" spans="1:23">
      <c r="A44" s="29"/>
      <c r="B44" s="29"/>
      <c r="C44" s="139" t="s">
        <v>76</v>
      </c>
      <c r="D44" s="140" t="s">
        <v>30</v>
      </c>
      <c r="E44" s="192" t="str">
        <f>$E$53</f>
        <v>$millions</v>
      </c>
      <c r="F44" s="193" t="str">
        <f t="shared" ref="F44" si="8">$F$53</f>
        <v>nominal</v>
      </c>
      <c r="G44" s="32"/>
      <c r="H44" s="32"/>
      <c r="I44" s="30"/>
      <c r="J44" s="129">
        <f>SUM(J37:J42)</f>
        <v>74.138652244818502</v>
      </c>
      <c r="K44" s="129">
        <f t="shared" ref="K44:S44" si="9">SUM(K37:K42)</f>
        <v>79.787864693176871</v>
      </c>
      <c r="L44" s="129">
        <f t="shared" si="9"/>
        <v>84.18587886051597</v>
      </c>
      <c r="M44" s="129">
        <f t="shared" si="9"/>
        <v>0</v>
      </c>
      <c r="N44" s="129">
        <f t="shared" si="9"/>
        <v>0</v>
      </c>
      <c r="O44" s="129">
        <f t="shared" si="9"/>
        <v>0</v>
      </c>
      <c r="P44" s="129">
        <f t="shared" si="9"/>
        <v>0</v>
      </c>
      <c r="Q44" s="129">
        <f t="shared" si="9"/>
        <v>0</v>
      </c>
      <c r="R44" s="129">
        <f t="shared" si="9"/>
        <v>0</v>
      </c>
      <c r="S44" s="129">
        <f t="shared" si="9"/>
        <v>0</v>
      </c>
      <c r="T44" s="29"/>
      <c r="U44" s="29"/>
      <c r="V44" s="29"/>
      <c r="W44" s="29"/>
    </row>
    <row r="45" spans="1:23">
      <c r="A45" s="29"/>
      <c r="B45" s="29"/>
      <c r="C45" s="29"/>
      <c r="D45" s="30"/>
      <c r="E45" s="30"/>
      <c r="F45" s="30"/>
      <c r="G45" s="30"/>
      <c r="H45" s="30"/>
      <c r="I45" s="30"/>
      <c r="J45" s="165"/>
      <c r="K45" s="165"/>
      <c r="L45" s="165"/>
      <c r="M45" s="165"/>
      <c r="N45" s="165"/>
      <c r="O45" s="29"/>
      <c r="P45" s="29"/>
      <c r="Q45" s="29"/>
      <c r="R45" s="29"/>
      <c r="S45" s="29"/>
      <c r="T45" s="29"/>
      <c r="U45" s="29"/>
      <c r="V45" s="29"/>
      <c r="W45" s="29"/>
    </row>
    <row r="46" spans="1:23">
      <c r="A46" s="29"/>
      <c r="B46" s="29"/>
      <c r="C46" s="67" t="s">
        <v>119</v>
      </c>
      <c r="D46" s="30"/>
      <c r="E46" s="30"/>
      <c r="F46" s="30"/>
      <c r="G46" s="30"/>
      <c r="H46" s="30"/>
      <c r="I46" s="30"/>
      <c r="J46" s="165"/>
      <c r="K46" s="165"/>
      <c r="L46" s="165"/>
      <c r="M46" s="165"/>
      <c r="N46" s="165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0"/>
      <c r="H47" s="30"/>
      <c r="I47" s="30"/>
      <c r="J47" s="165"/>
      <c r="K47" s="165"/>
      <c r="L47" s="165"/>
      <c r="M47" s="165"/>
      <c r="N47" s="165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61" t="s">
        <v>110</v>
      </c>
      <c r="D48" s="30" t="s">
        <v>78</v>
      </c>
      <c r="E48" s="30" t="str">
        <f>$E$53</f>
        <v>$millions</v>
      </c>
      <c r="F48" s="161" t="str">
        <f t="shared" ref="F48:F51" si="10">$F$53</f>
        <v>nominal</v>
      </c>
      <c r="G48" s="32"/>
      <c r="H48" s="32"/>
      <c r="I48" s="30"/>
      <c r="J48" s="164">
        <v>0</v>
      </c>
      <c r="K48" s="164">
        <v>0</v>
      </c>
      <c r="L48" s="164">
        <v>0</v>
      </c>
      <c r="M48" s="164"/>
      <c r="N48" s="164"/>
      <c r="O48" s="152"/>
      <c r="P48" s="152"/>
      <c r="Q48" s="152"/>
      <c r="R48" s="152"/>
      <c r="S48" s="152"/>
      <c r="T48" s="29"/>
      <c r="U48" s="29"/>
      <c r="V48" s="29"/>
      <c r="W48" s="29"/>
    </row>
    <row r="49" spans="1:23">
      <c r="A49" s="29"/>
      <c r="B49" s="29"/>
      <c r="C49" s="61" t="s">
        <v>174</v>
      </c>
      <c r="D49" s="30" t="s">
        <v>78</v>
      </c>
      <c r="E49" s="30" t="str">
        <f>$E$53</f>
        <v>$millions</v>
      </c>
      <c r="F49" s="161" t="str">
        <f t="shared" si="10"/>
        <v>nominal</v>
      </c>
      <c r="G49" s="32"/>
      <c r="H49" s="32"/>
      <c r="I49" s="30"/>
      <c r="J49" s="164">
        <v>-7.37</v>
      </c>
      <c r="K49" s="164">
        <v>-8.68</v>
      </c>
      <c r="L49" s="164">
        <v>-8.09</v>
      </c>
      <c r="M49" s="164"/>
      <c r="N49" s="164"/>
      <c r="O49" s="152"/>
      <c r="P49" s="152"/>
      <c r="Q49" s="152"/>
      <c r="R49" s="152"/>
      <c r="S49" s="152"/>
      <c r="T49" s="29"/>
      <c r="U49" s="29"/>
      <c r="V49" s="29"/>
      <c r="W49" s="29"/>
    </row>
    <row r="50" spans="1:23">
      <c r="A50" s="29"/>
      <c r="B50" s="29"/>
      <c r="C50" s="61"/>
      <c r="D50" s="30" t="s">
        <v>78</v>
      </c>
      <c r="E50" s="30" t="str">
        <f>$E$53</f>
        <v>$millions</v>
      </c>
      <c r="F50" s="161" t="str">
        <f t="shared" si="10"/>
        <v>nominal</v>
      </c>
      <c r="G50" s="32"/>
      <c r="H50" s="32"/>
      <c r="I50" s="30"/>
      <c r="J50" s="164"/>
      <c r="K50" s="164"/>
      <c r="L50" s="164"/>
      <c r="M50" s="164"/>
      <c r="N50" s="164"/>
      <c r="O50" s="152"/>
      <c r="P50" s="152"/>
      <c r="Q50" s="152"/>
      <c r="R50" s="152"/>
      <c r="S50" s="152"/>
      <c r="T50" s="29"/>
      <c r="U50" s="29"/>
      <c r="V50" s="29"/>
      <c r="W50" s="29"/>
    </row>
    <row r="51" spans="1:23">
      <c r="A51" s="29"/>
      <c r="B51" s="29"/>
      <c r="C51" s="61"/>
      <c r="D51" s="30" t="s">
        <v>78</v>
      </c>
      <c r="E51" s="30" t="str">
        <f>$E$53</f>
        <v>$millions</v>
      </c>
      <c r="F51" s="161" t="str">
        <f t="shared" si="10"/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/>
      <c r="U51" s="29"/>
      <c r="V51" s="29"/>
      <c r="W51" s="29"/>
    </row>
    <row r="52" spans="1:23">
      <c r="A52" s="29"/>
      <c r="B52" s="29"/>
      <c r="C52" s="111"/>
      <c r="D52" s="30"/>
      <c r="E52" s="30"/>
      <c r="F52" s="30"/>
      <c r="G52" s="32"/>
      <c r="H52" s="32"/>
      <c r="I52" s="30"/>
      <c r="J52" s="29"/>
      <c r="K52" s="29"/>
      <c r="L52" s="29"/>
      <c r="M52" s="29"/>
      <c r="N52" s="141"/>
      <c r="O52" s="29"/>
      <c r="P52" s="29"/>
      <c r="Q52" s="29"/>
      <c r="R52" s="29"/>
      <c r="S52" s="29"/>
      <c r="T52" s="29"/>
      <c r="U52" s="29"/>
      <c r="V52" s="29"/>
      <c r="W52" s="29"/>
    </row>
    <row r="53" spans="1:23">
      <c r="A53" s="29"/>
      <c r="B53" s="29"/>
      <c r="C53" s="139" t="s">
        <v>170</v>
      </c>
      <c r="D53" s="140" t="s">
        <v>30</v>
      </c>
      <c r="E53" s="130" t="s">
        <v>15</v>
      </c>
      <c r="F53" s="162" t="s">
        <v>104</v>
      </c>
      <c r="G53" s="32"/>
      <c r="H53" s="32"/>
      <c r="I53" s="30"/>
      <c r="J53" s="188">
        <f>SUM(J48:J51)</f>
        <v>-7.37</v>
      </c>
      <c r="K53" s="188">
        <f t="shared" ref="K53:S53" si="11">SUM(K48:K51)</f>
        <v>-8.68</v>
      </c>
      <c r="L53" s="188">
        <f t="shared" si="11"/>
        <v>-8.09</v>
      </c>
      <c r="M53" s="188">
        <f t="shared" si="11"/>
        <v>0</v>
      </c>
      <c r="N53" s="188">
        <f t="shared" si="11"/>
        <v>0</v>
      </c>
      <c r="O53" s="188">
        <f t="shared" si="11"/>
        <v>0</v>
      </c>
      <c r="P53" s="188">
        <f t="shared" si="11"/>
        <v>0</v>
      </c>
      <c r="Q53" s="188">
        <f t="shared" si="11"/>
        <v>0</v>
      </c>
      <c r="R53" s="188">
        <f t="shared" si="11"/>
        <v>0</v>
      </c>
      <c r="S53" s="188">
        <f t="shared" si="11"/>
        <v>0</v>
      </c>
      <c r="T53" s="29"/>
      <c r="U53" s="29"/>
      <c r="V53" s="29"/>
      <c r="W53" s="29"/>
    </row>
    <row r="54" spans="1:23">
      <c r="A54" s="29"/>
      <c r="B54" s="29"/>
      <c r="C54" s="29"/>
      <c r="D54" s="30"/>
      <c r="E54" s="30"/>
      <c r="F54" s="30"/>
      <c r="G54" s="32"/>
      <c r="H54" s="32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12.75">
      <c r="A55" s="94"/>
      <c r="B55" s="95" t="s">
        <v>120</v>
      </c>
      <c r="C55" s="94"/>
      <c r="D55" s="94"/>
      <c r="E55" s="94"/>
      <c r="F55" s="96"/>
      <c r="G55" s="96"/>
      <c r="H55" s="96"/>
      <c r="I55" s="96"/>
      <c r="J55" s="97"/>
      <c r="K55" s="98"/>
      <c r="L55" s="97"/>
      <c r="M55" s="98"/>
      <c r="N55" s="97"/>
      <c r="O55" s="97"/>
      <c r="P55" s="97"/>
      <c r="Q55" s="97"/>
      <c r="R55" s="97"/>
      <c r="S55" s="97"/>
      <c r="T55" s="97"/>
      <c r="U55" s="97"/>
      <c r="V55" s="98"/>
      <c r="W55" s="98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>
      <c r="A57" s="29"/>
      <c r="B57" s="29"/>
      <c r="C57" s="67" t="s">
        <v>121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9" t="str">
        <f t="shared" ref="J57:S57" si="12">IF(YEAR(J$4)=PPLastYear,J$4,"")</f>
        <v/>
      </c>
      <c r="K57" s="159" t="str">
        <f t="shared" si="12"/>
        <v/>
      </c>
      <c r="L57" s="159" t="str">
        <f t="shared" si="12"/>
        <v/>
      </c>
      <c r="M57" s="159" t="str">
        <f t="shared" si="12"/>
        <v/>
      </c>
      <c r="N57" s="159">
        <f t="shared" si="12"/>
        <v>43252</v>
      </c>
      <c r="O57" s="159" t="str">
        <f t="shared" si="12"/>
        <v/>
      </c>
      <c r="P57" s="159" t="str">
        <f t="shared" si="12"/>
        <v/>
      </c>
      <c r="Q57" s="159" t="str">
        <f t="shared" si="12"/>
        <v/>
      </c>
      <c r="R57" s="159" t="str">
        <f t="shared" si="12"/>
        <v/>
      </c>
      <c r="S57" s="159" t="str">
        <f t="shared" si="12"/>
        <v/>
      </c>
      <c r="T57" s="29"/>
      <c r="U57" s="29"/>
      <c r="V57" s="29"/>
      <c r="W57" s="29"/>
    </row>
    <row r="58" spans="1:23">
      <c r="A58" s="29"/>
      <c r="B58" s="29"/>
      <c r="C58" s="67"/>
      <c r="D58" s="32"/>
      <c r="E58" s="32"/>
      <c r="F58" s="32"/>
      <c r="G58" s="32"/>
      <c r="H58" s="32"/>
      <c r="I58" s="3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29"/>
      <c r="U58" s="29"/>
      <c r="V58" s="29"/>
      <c r="W58" s="29"/>
    </row>
    <row r="59" spans="1:23">
      <c r="A59" s="29"/>
      <c r="B59" s="29"/>
      <c r="C59" s="61" t="s">
        <v>122</v>
      </c>
      <c r="D59" s="30" t="s">
        <v>34</v>
      </c>
      <c r="E59" s="30" t="str">
        <f>$E$53</f>
        <v>$millions</v>
      </c>
      <c r="F59" s="172">
        <v>43252</v>
      </c>
      <c r="G59" s="32"/>
      <c r="H59" s="32"/>
      <c r="I59" s="32"/>
      <c r="J59" s="164"/>
      <c r="K59" s="164"/>
      <c r="L59" s="164"/>
      <c r="M59" s="164"/>
      <c r="N59" s="164">
        <v>0</v>
      </c>
      <c r="O59" s="164"/>
      <c r="P59" s="164"/>
      <c r="Q59" s="164"/>
      <c r="R59" s="164"/>
      <c r="S59" s="164"/>
      <c r="T59" s="124"/>
      <c r="U59" s="142"/>
      <c r="V59" s="142"/>
      <c r="W59" s="29"/>
    </row>
    <row r="60" spans="1:23">
      <c r="A60" s="29"/>
      <c r="B60" s="29"/>
      <c r="C60" s="61" t="s">
        <v>123</v>
      </c>
      <c r="D60" s="30" t="s">
        <v>34</v>
      </c>
      <c r="E60" s="30" t="str">
        <f t="shared" ref="E60:E65" si="13">$E$53</f>
        <v>$millions</v>
      </c>
      <c r="F60" s="172">
        <v>43252</v>
      </c>
      <c r="G60" s="32"/>
      <c r="H60" s="32"/>
      <c r="I60" s="32"/>
      <c r="J60" s="164"/>
      <c r="K60" s="164"/>
      <c r="L60" s="164"/>
      <c r="M60" s="164"/>
      <c r="N60" s="164">
        <v>0</v>
      </c>
      <c r="O60" s="164"/>
      <c r="P60" s="164"/>
      <c r="Q60" s="164"/>
      <c r="R60" s="164"/>
      <c r="S60" s="164"/>
      <c r="T60" s="124"/>
      <c r="U60" s="142"/>
      <c r="V60" s="142"/>
      <c r="W60" s="29"/>
    </row>
    <row r="61" spans="1:23">
      <c r="A61" s="29"/>
      <c r="B61" s="29"/>
      <c r="C61" s="61" t="s">
        <v>124</v>
      </c>
      <c r="D61" s="30" t="s">
        <v>34</v>
      </c>
      <c r="E61" s="30" t="str">
        <f t="shared" si="13"/>
        <v>$millions</v>
      </c>
      <c r="F61" s="172">
        <v>43252</v>
      </c>
      <c r="G61" s="32"/>
      <c r="H61" s="32"/>
      <c r="I61" s="32"/>
      <c r="J61" s="164"/>
      <c r="K61" s="164"/>
      <c r="L61" s="164"/>
      <c r="M61" s="164"/>
      <c r="N61" s="164">
        <v>0</v>
      </c>
      <c r="O61" s="164"/>
      <c r="P61" s="164"/>
      <c r="Q61" s="164"/>
      <c r="R61" s="164"/>
      <c r="S61" s="164"/>
      <c r="T61" s="124"/>
      <c r="U61" s="142"/>
      <c r="V61" s="142"/>
      <c r="W61" s="29"/>
    </row>
    <row r="62" spans="1:23">
      <c r="A62" s="29"/>
      <c r="B62" s="29"/>
      <c r="C62" s="61" t="s">
        <v>125</v>
      </c>
      <c r="D62" s="30" t="s">
        <v>34</v>
      </c>
      <c r="E62" s="30" t="str">
        <f t="shared" si="13"/>
        <v>$millions</v>
      </c>
      <c r="F62" s="172">
        <v>43252</v>
      </c>
      <c r="G62" s="32"/>
      <c r="H62" s="32"/>
      <c r="I62" s="32"/>
      <c r="J62" s="164"/>
      <c r="K62" s="164"/>
      <c r="L62" s="164"/>
      <c r="M62" s="164"/>
      <c r="N62" s="164">
        <v>0</v>
      </c>
      <c r="O62" s="164"/>
      <c r="P62" s="164"/>
      <c r="Q62" s="164"/>
      <c r="R62" s="164"/>
      <c r="S62" s="164"/>
      <c r="T62" s="124"/>
      <c r="U62" s="142"/>
      <c r="V62" s="142"/>
      <c r="W62" s="29"/>
    </row>
    <row r="63" spans="1:23">
      <c r="A63" s="29"/>
      <c r="B63" s="29"/>
      <c r="C63" s="61" t="s">
        <v>126</v>
      </c>
      <c r="D63" s="30" t="s">
        <v>34</v>
      </c>
      <c r="E63" s="30" t="str">
        <f t="shared" si="13"/>
        <v>$millions</v>
      </c>
      <c r="F63" s="172">
        <v>43252</v>
      </c>
      <c r="G63" s="32"/>
      <c r="H63" s="32"/>
      <c r="I63" s="32"/>
      <c r="J63" s="164"/>
      <c r="K63" s="164"/>
      <c r="L63" s="164"/>
      <c r="M63" s="164"/>
      <c r="N63" s="164">
        <v>0</v>
      </c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 s="102" customFormat="1">
      <c r="A64" s="199"/>
      <c r="B64" s="199"/>
      <c r="C64" s="200"/>
      <c r="D64" s="105"/>
      <c r="E64" s="105"/>
      <c r="F64" s="201"/>
      <c r="G64" s="202"/>
      <c r="H64" s="202"/>
      <c r="I64" s="202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104"/>
      <c r="U64" s="165"/>
      <c r="V64" s="165"/>
      <c r="W64" s="199"/>
    </row>
    <row r="65" spans="1:23">
      <c r="A65" s="29"/>
      <c r="B65" s="29"/>
      <c r="C65" s="61" t="s">
        <v>171</v>
      </c>
      <c r="D65" s="30" t="s">
        <v>34</v>
      </c>
      <c r="E65" s="30" t="str">
        <f t="shared" si="13"/>
        <v>$millions</v>
      </c>
      <c r="F65" s="172">
        <v>43252</v>
      </c>
      <c r="G65" s="32"/>
      <c r="H65" s="32"/>
      <c r="I65" s="32"/>
      <c r="J65" s="164"/>
      <c r="K65" s="164"/>
      <c r="L65" s="164"/>
      <c r="M65" s="164"/>
      <c r="N65" s="164">
        <v>0</v>
      </c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 s="102" customFormat="1">
      <c r="A66" s="199"/>
      <c r="B66" s="199"/>
      <c r="C66" s="200"/>
      <c r="D66" s="105"/>
      <c r="E66" s="105"/>
      <c r="F66" s="201"/>
      <c r="G66" s="202"/>
      <c r="H66" s="202"/>
      <c r="I66" s="202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104"/>
      <c r="U66" s="165"/>
      <c r="V66" s="165"/>
      <c r="W66" s="199"/>
    </row>
    <row r="67" spans="1:23">
      <c r="A67" s="29"/>
      <c r="B67" s="29"/>
      <c r="C67" s="61" t="s">
        <v>92</v>
      </c>
      <c r="D67" s="30" t="s">
        <v>34</v>
      </c>
      <c r="E67" s="30" t="s">
        <v>31</v>
      </c>
      <c r="F67" s="32"/>
      <c r="G67" s="32"/>
      <c r="H67" s="32"/>
      <c r="I67" s="32"/>
      <c r="J67" s="204"/>
      <c r="K67" s="204"/>
      <c r="L67" s="204"/>
      <c r="M67" s="204"/>
      <c r="N67" s="204">
        <v>0</v>
      </c>
      <c r="O67" s="204"/>
      <c r="P67" s="204"/>
      <c r="Q67" s="204"/>
      <c r="R67" s="204"/>
      <c r="S67" s="204"/>
      <c r="T67" s="124"/>
      <c r="U67" s="142"/>
      <c r="V67" s="142"/>
      <c r="W67" s="29"/>
    </row>
    <row r="68" spans="1:23">
      <c r="A68" s="29"/>
      <c r="B68" s="29"/>
      <c r="C68" s="111"/>
      <c r="D68" s="30"/>
      <c r="E68" s="30"/>
      <c r="F68" s="30"/>
      <c r="G68" s="32"/>
      <c r="H68" s="32"/>
      <c r="I68" s="3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ht="12.75">
      <c r="A69" s="94"/>
      <c r="B69" s="95" t="s">
        <v>21</v>
      </c>
      <c r="C69" s="94"/>
      <c r="D69" s="94"/>
      <c r="E69" s="94"/>
      <c r="F69" s="96"/>
      <c r="G69" s="96"/>
      <c r="H69" s="96"/>
      <c r="I69" s="96"/>
      <c r="J69" s="97"/>
      <c r="K69" s="98"/>
      <c r="L69" s="97"/>
      <c r="M69" s="98"/>
      <c r="N69" s="97"/>
      <c r="O69" s="97"/>
      <c r="P69" s="97"/>
      <c r="Q69" s="97"/>
      <c r="R69" s="97"/>
      <c r="S69" s="97"/>
      <c r="T69" s="97"/>
      <c r="U69" s="97"/>
      <c r="V69" s="98"/>
      <c r="W69" s="98"/>
    </row>
  </sheetData>
  <conditionalFormatting sqref="W37:W42 W48:W51">
    <cfRule type="cellIs" dxfId="181" priority="32" operator="equal">
      <formula>"Check"</formula>
    </cfRule>
    <cfRule type="cellIs" dxfId="180" priority="33" operator="equal">
      <formula>"Ok"</formula>
    </cfRule>
  </conditionalFormatting>
  <conditionalFormatting sqref="W53">
    <cfRule type="cellIs" dxfId="179" priority="30" operator="equal">
      <formula>"Check"</formula>
    </cfRule>
    <cfRule type="cellIs" dxfId="178" priority="31" operator="equal">
      <formula>"Ok"</formula>
    </cfRule>
  </conditionalFormatting>
  <conditionalFormatting sqref="W15">
    <cfRule type="cellIs" dxfId="177" priority="28" operator="equal">
      <formula>"Check"</formula>
    </cfRule>
    <cfRule type="cellIs" dxfId="176" priority="29" operator="equal">
      <formula>"Ok"</formula>
    </cfRule>
  </conditionalFormatting>
  <conditionalFormatting sqref="V1">
    <cfRule type="cellIs" dxfId="175" priority="26" operator="equal">
      <formula>"Check"</formula>
    </cfRule>
    <cfRule type="cellIs" dxfId="174" priority="27" operator="equal">
      <formula>"Ok"</formula>
    </cfRule>
  </conditionalFormatting>
  <conditionalFormatting sqref="S1">
    <cfRule type="cellIs" dxfId="173" priority="24" operator="equal">
      <formula>"Check"</formula>
    </cfRule>
    <cfRule type="cellIs" dxfId="172" priority="25" operator="equal">
      <formula>"Ok"</formula>
    </cfRule>
  </conditionalFormatting>
  <conditionalFormatting sqref="J15:S15">
    <cfRule type="cellIs" dxfId="171" priority="23" operator="equal">
      <formula>0</formula>
    </cfRule>
  </conditionalFormatting>
  <conditionalFormatting sqref="J53:S53">
    <cfRule type="cellIs" dxfId="170" priority="22" operator="equal">
      <formula>0</formula>
    </cfRule>
  </conditionalFormatting>
  <conditionalFormatting sqref="W45:W47">
    <cfRule type="cellIs" dxfId="169" priority="20" operator="equal">
      <formula>"Check"</formula>
    </cfRule>
    <cfRule type="cellIs" dxfId="168" priority="21" operator="equal">
      <formula>"Ok"</formula>
    </cfRule>
  </conditionalFormatting>
  <conditionalFormatting sqref="N37:S37 J33:S33 J48:S51 J38:S42">
    <cfRule type="expression" dxfId="167" priority="18">
      <formula>J$34=J$4</formula>
    </cfRule>
  </conditionalFormatting>
  <conditionalFormatting sqref="O13:S13 O19:S19 J20:S27">
    <cfRule type="expression" dxfId="166" priority="17">
      <formula>J$10=J$4</formula>
    </cfRule>
  </conditionalFormatting>
  <conditionalFormatting sqref="M37">
    <cfRule type="expression" dxfId="165" priority="14">
      <formula>M$10=M$4</formula>
    </cfRule>
  </conditionalFormatting>
  <conditionalFormatting sqref="W44">
    <cfRule type="cellIs" dxfId="164" priority="12" operator="equal">
      <formula>"Check"</formula>
    </cfRule>
    <cfRule type="cellIs" dxfId="163" priority="13" operator="equal">
      <formula>"Ok"</formula>
    </cfRule>
  </conditionalFormatting>
  <conditionalFormatting sqref="J44:S44">
    <cfRule type="cellIs" dxfId="162" priority="10" operator="equal">
      <formula>0</formula>
    </cfRule>
  </conditionalFormatting>
  <conditionalFormatting sqref="J59:S63 J65:S65 J67:S67">
    <cfRule type="expression" dxfId="161" priority="9">
      <formula>J$57=J$4</formula>
    </cfRule>
  </conditionalFormatting>
  <conditionalFormatting sqref="W29">
    <cfRule type="cellIs" dxfId="160" priority="5" operator="equal">
      <formula>"Check"</formula>
    </cfRule>
    <cfRule type="cellIs" dxfId="159" priority="6" operator="equal">
      <formula>"Ok"</formula>
    </cfRule>
  </conditionalFormatting>
  <conditionalFormatting sqref="J29:S29">
    <cfRule type="cellIs" dxfId="158" priority="4" operator="equal">
      <formula>0</formula>
    </cfRule>
  </conditionalFormatting>
  <conditionalFormatting sqref="J13:N13">
    <cfRule type="expression" dxfId="157" priority="3">
      <formula>J$10=J$4</formula>
    </cfRule>
  </conditionalFormatting>
  <conditionalFormatting sqref="J19:N19">
    <cfRule type="expression" dxfId="156" priority="2">
      <formula>J$10=J$4</formula>
    </cfRule>
  </conditionalFormatting>
  <conditionalFormatting sqref="J37:L37">
    <cfRule type="expression" dxfId="155" priority="1">
      <formula>J$10=J$4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'Lookup|Tables'!$H$41:$H$60</xm:f>
          </x14:formula1>
          <xm:sqref>F15 F59:F66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63"/>
  <sheetViews>
    <sheetView showGridLines="0" topLeftCell="A52" workbookViewId="0">
      <selection activeCell="R66" sqref="R66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85</v>
      </c>
      <c r="T1" s="76" t="str">
        <f>IF(COUNTIF(W5:W100,"Check")=0,"Ok","Check")</f>
        <v>Ok</v>
      </c>
      <c r="V1" s="189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4"/>
      <c r="E3" s="184"/>
      <c r="F3" s="184"/>
      <c r="G3" s="184"/>
      <c r="H3" s="184"/>
      <c r="I3" s="184"/>
      <c r="J3" s="158" t="s">
        <v>131</v>
      </c>
      <c r="K3" s="211"/>
      <c r="L3" s="211"/>
      <c r="M3" s="211"/>
      <c r="N3" s="184"/>
      <c r="O3" s="211"/>
      <c r="P3" s="211"/>
      <c r="Q3" s="211"/>
      <c r="R3" s="211"/>
      <c r="S3" s="211"/>
      <c r="T3" s="211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41426</v>
      </c>
      <c r="K4" s="156">
        <f>DATE(PPFirstYear,MONTH('Input|General'!$G$9),1)</f>
        <v>41791</v>
      </c>
      <c r="L4" s="156">
        <f>DATE(PPFirstYear+1,MONTH('Input|General'!$G$9),1)</f>
        <v>42156</v>
      </c>
      <c r="M4" s="156">
        <f>DATE(PPFirstYear+2,MONTH('Input|General'!$G$9),1)</f>
        <v>42522</v>
      </c>
      <c r="N4" s="156">
        <f>DATE(PPFirstYear+3,MONTH('Input|General'!$G$9),1)</f>
        <v>42887</v>
      </c>
      <c r="O4" s="156">
        <f>DATE(PPFirstYear+4,MONTH('Input|General'!$G$9),1)</f>
        <v>43252</v>
      </c>
      <c r="P4" s="156">
        <f>DATE(PPFirstYear+5,MONTH('Input|General'!$G$9),1)</f>
        <v>43617</v>
      </c>
      <c r="Q4" s="156">
        <f>DATE(PPFirstYear+6,MONTH('Input|General'!$G$9),1)</f>
        <v>43983</v>
      </c>
      <c r="R4" s="156">
        <f>DATE(PPFirstYear+7,MONTH('Input|General'!$G$9),1)</f>
        <v>44348</v>
      </c>
      <c r="S4" s="156">
        <f>DATE(PPFirstYear+8,MONTH('Input|General'!$G$9),1)</f>
        <v>44713</v>
      </c>
      <c r="T4" s="156">
        <f>DATE(PPFirstYear+9,MONTH('Input|General'!$G$9),1)</f>
        <v>45078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41426</v>
      </c>
      <c r="K10" s="159">
        <f t="shared" si="0"/>
        <v>41791</v>
      </c>
      <c r="L10" s="159">
        <f t="shared" si="0"/>
        <v>42156</v>
      </c>
      <c r="M10" s="159">
        <f t="shared" si="0"/>
        <v>42522</v>
      </c>
      <c r="N10" s="159">
        <f t="shared" si="0"/>
        <v>42887</v>
      </c>
      <c r="O10" s="159">
        <f t="shared" si="0"/>
        <v>43252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102</v>
      </c>
      <c r="E12" s="30" t="str">
        <f>percent</f>
        <v>Per cent</v>
      </c>
      <c r="J12" s="143">
        <f>IF(J10=J4,LOOKUP(EOMONTH(J4,0),'Input|Inflation'!$C$9:$C$64,'Input|Inflation'!$G$9:$G$64),"")</f>
        <v>2.3904382470119501E-2</v>
      </c>
      <c r="K12" s="143">
        <f>IF(K10=K4,LOOKUP(EOMONTH(K4,0),'Input|Inflation'!$C$9:$C$64,'Input|Inflation'!$G$9:$G$64),"")</f>
        <v>3.0155642023346418E-2</v>
      </c>
      <c r="L12" s="143">
        <f>IF(L10=L4,LOOKUP(EOMONTH(L4,0),'Input|Inflation'!$C$9:$C$64,'Input|Inflation'!$G$9:$G$64),"")</f>
        <v>1.5108593012275628E-2</v>
      </c>
      <c r="M12" s="143">
        <f>IF(M10=M4,LOOKUP(EOMONTH(M4,0),'Input|Inflation'!$C$9:$C$64,'Input|Inflation'!$G$9:$G$64),"")</f>
        <v>1.0232558139534831E-2</v>
      </c>
      <c r="N12" s="143">
        <f>IF(N10=N4,LOOKUP(EOMONTH(N4,0),'Input|Inflation'!$C$9:$C$64,'Input|Inflation'!$G$9:$G$64),"")</f>
        <v>1.9337016574585641E-2</v>
      </c>
      <c r="O12" s="143">
        <f>IF(O10=O4,LOOKUP(EOMONTH(O4,0),'Input|Inflation'!$C$9:$C$64,'Input|Inflation'!$G$9:$G$64),"")</f>
        <v>2.2499999999999964E-2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103</v>
      </c>
      <c r="I14" s="29"/>
      <c r="J14" s="159">
        <f t="shared" ref="J14:T14" si="1">IF(YEAR(J$4)&lt;=PPLastYear,J$4,"")</f>
        <v>41426</v>
      </c>
      <c r="K14" s="159">
        <f t="shared" si="1"/>
        <v>41791</v>
      </c>
      <c r="L14" s="159">
        <f t="shared" si="1"/>
        <v>42156</v>
      </c>
      <c r="M14" s="159">
        <f t="shared" si="1"/>
        <v>42522</v>
      </c>
      <c r="N14" s="159">
        <f t="shared" si="1"/>
        <v>42887</v>
      </c>
      <c r="O14" s="159">
        <f t="shared" si="1"/>
        <v>43252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41426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1.0301556420233464</v>
      </c>
      <c r="L16" s="22">
        <f t="shared" si="3"/>
        <v>1.0457198443579767</v>
      </c>
      <c r="M16" s="22">
        <f t="shared" si="3"/>
        <v>1.056420233463035</v>
      </c>
      <c r="N16" s="22">
        <f t="shared" si="3"/>
        <v>1.0768482490272373</v>
      </c>
      <c r="O16" s="22">
        <f t="shared" ref="O16:T16" si="4">IF(AND($C16&gt;O$14,ISNONTEXT($C16)),P16/(1+O$12),IF(AND($C16=O$14,O$14=O$4),1,IF(AND($C16&lt;O$14,O$14=O$4),N16*(1+O$12),0)))</f>
        <v>1.1010773346303502</v>
      </c>
      <c r="P16" s="22">
        <f t="shared" si="4"/>
        <v>0</v>
      </c>
      <c r="Q16" s="22">
        <f t="shared" si="4"/>
        <v>0</v>
      </c>
      <c r="R16" s="22">
        <f t="shared" si="4"/>
        <v>0</v>
      </c>
      <c r="S16" s="22">
        <f t="shared" si="4"/>
        <v>0</v>
      </c>
      <c r="T16" s="22">
        <f t="shared" si="4"/>
        <v>0</v>
      </c>
    </row>
    <row r="17" spans="1:50" ht="11.25" customHeight="1" outlineLevel="1">
      <c r="C17" s="166">
        <v>41791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0.97072710103871562</v>
      </c>
      <c r="K17" s="22">
        <f t="shared" si="6"/>
        <v>1</v>
      </c>
      <c r="L17" s="22">
        <f t="shared" si="6"/>
        <v>1.0151085930122756</v>
      </c>
      <c r="M17" s="22">
        <f t="shared" si="6"/>
        <v>1.0254957507082152</v>
      </c>
      <c r="N17" s="22">
        <f t="shared" si="6"/>
        <v>1.0453257790368271</v>
      </c>
      <c r="O17" s="22">
        <f t="shared" ref="O17:T17" si="7">IF(AND($C17&gt;O$14,ISNONTEXT($C17)),P17/(1+O$12),IF(AND($C17=O$14,O$14=O$4),1,IF(AND($C17&lt;O$14,O$14=O$4),N17*(1+O$12),0)))</f>
        <v>1.0688456090651557</v>
      </c>
      <c r="P17" s="22">
        <f t="shared" si="7"/>
        <v>0</v>
      </c>
      <c r="Q17" s="22">
        <f t="shared" si="7"/>
        <v>0</v>
      </c>
      <c r="R17" s="22">
        <f t="shared" si="7"/>
        <v>0</v>
      </c>
      <c r="S17" s="22">
        <f t="shared" si="7"/>
        <v>0</v>
      </c>
      <c r="T17" s="22">
        <f t="shared" si="7"/>
        <v>0</v>
      </c>
    </row>
    <row r="18" spans="1:50" ht="11.25" customHeight="1" outlineLevel="1">
      <c r="C18" s="166">
        <v>42156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0.95627906976744181</v>
      </c>
      <c r="K18" s="22">
        <f t="shared" si="8"/>
        <v>0.98511627906976751</v>
      </c>
      <c r="L18" s="22">
        <f t="shared" si="8"/>
        <v>1</v>
      </c>
      <c r="M18" s="22">
        <f t="shared" si="8"/>
        <v>1.0102325581395348</v>
      </c>
      <c r="N18" s="22">
        <f t="shared" si="8"/>
        <v>1.029767441860465</v>
      </c>
      <c r="O18" s="22">
        <f t="shared" ref="O18:T18" si="9">IF(AND($C18&gt;O$14,ISNONTEXT($C18)),P18/(1+O$12),IF(AND($C18=O$14,O$14=O$4),1,IF(AND($C18&lt;O$14,O$14=O$4),N18*(1+O$12),0)))</f>
        <v>1.0529372093023255</v>
      </c>
      <c r="P18" s="22">
        <f t="shared" si="9"/>
        <v>0</v>
      </c>
      <c r="Q18" s="22">
        <f t="shared" si="9"/>
        <v>0</v>
      </c>
      <c r="R18" s="22">
        <f t="shared" si="9"/>
        <v>0</v>
      </c>
      <c r="S18" s="22">
        <f t="shared" si="9"/>
        <v>0</v>
      </c>
      <c r="T18" s="22">
        <f t="shared" si="9"/>
        <v>0</v>
      </c>
    </row>
    <row r="19" spans="1:50" ht="11.25" customHeight="1" outlineLevel="1">
      <c r="C19" s="166">
        <v>42522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0.94659300184162076</v>
      </c>
      <c r="K19" s="22">
        <f t="shared" si="10"/>
        <v>0.97513812154696156</v>
      </c>
      <c r="L19" s="22">
        <f t="shared" si="10"/>
        <v>0.98987108655616951</v>
      </c>
      <c r="M19" s="22">
        <f t="shared" si="10"/>
        <v>1</v>
      </c>
      <c r="N19" s="22">
        <f t="shared" si="10"/>
        <v>1.0193370165745856</v>
      </c>
      <c r="O19" s="22">
        <f t="shared" ref="O19:T19" si="11">IF(AND($C19&gt;O$14,ISNONTEXT($C19)),P19/(1+O$12),IF(AND($C19=O$14,O$14=O$4),1,IF(AND($C19&lt;O$14,O$14=O$4),N19*(1+O$12),0)))</f>
        <v>1.0422720994475139</v>
      </c>
      <c r="P19" s="22">
        <f t="shared" si="11"/>
        <v>0</v>
      </c>
      <c r="Q19" s="22">
        <f t="shared" si="11"/>
        <v>0</v>
      </c>
      <c r="R19" s="22">
        <f t="shared" si="11"/>
        <v>0</v>
      </c>
      <c r="S19" s="22">
        <f t="shared" si="11"/>
        <v>0</v>
      </c>
      <c r="T19" s="22">
        <f t="shared" si="11"/>
        <v>0</v>
      </c>
    </row>
    <row r="20" spans="1:50" ht="11.25" customHeight="1" outlineLevel="1">
      <c r="C20" s="166">
        <v>42887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0.92863595302619706</v>
      </c>
      <c r="K20" s="22">
        <f t="shared" ref="K20:N20" si="12">IF(AND($C20&gt;K$14,ISNONTEXT($C20)),L20/(1+L$12),IF(AND($C20=K$14,K$14=K$4),1,IF(AND($C20&lt;K$14,K$14=K$4),J20*(1+K$12),0)))</f>
        <v>0.95663956639566416</v>
      </c>
      <c r="L20" s="22">
        <f t="shared" si="12"/>
        <v>0.97109304426377607</v>
      </c>
      <c r="M20" s="22">
        <f t="shared" si="12"/>
        <v>0.98102981029810299</v>
      </c>
      <c r="N20" s="22">
        <f t="shared" si="12"/>
        <v>1</v>
      </c>
      <c r="O20" s="22">
        <f t="shared" ref="O20:T20" si="13">IF(AND($C20&gt;O$14,ISNONTEXT($C20)),P20/(1+O$12),IF(AND($C20=O$14,O$14=O$4),1,IF(AND($C20&lt;O$14,O$14=O$4),N20*(1+O$12),0)))</f>
        <v>1.0225</v>
      </c>
      <c r="P20" s="22">
        <f t="shared" si="13"/>
        <v>0</v>
      </c>
      <c r="Q20" s="22">
        <f t="shared" si="13"/>
        <v>0</v>
      </c>
      <c r="R20" s="22">
        <f t="shared" si="13"/>
        <v>0</v>
      </c>
      <c r="S20" s="22">
        <f t="shared" si="13"/>
        <v>0</v>
      </c>
      <c r="T20" s="22">
        <f t="shared" si="13"/>
        <v>0</v>
      </c>
    </row>
    <row r="21" spans="1:50" ht="11.25" customHeight="1" outlineLevel="1">
      <c r="C21" s="166">
        <v>43252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 t="shared" ref="J21:T21" si="14">IF(AND($C21&gt;J$14,ISNONTEXT($C21)),K21/(1+J$12),IF(AND($C21=J$14,J$14=J$4),1,IF(AND($C21&lt;J$14,J$14=J$4),I21*(1+J$12),0)))</f>
        <v>0.90695573622402903</v>
      </c>
      <c r="K21" s="22">
        <f t="shared" si="14"/>
        <v>0.92863595302619706</v>
      </c>
      <c r="L21" s="22">
        <f t="shared" si="14"/>
        <v>0.95663956639566416</v>
      </c>
      <c r="M21" s="22">
        <f t="shared" si="14"/>
        <v>0.97109304426377607</v>
      </c>
      <c r="N21" s="22">
        <f t="shared" si="14"/>
        <v>0.98102981029810299</v>
      </c>
      <c r="O21" s="22">
        <f t="shared" si="14"/>
        <v>1</v>
      </c>
      <c r="P21" s="22">
        <f t="shared" si="14"/>
        <v>0</v>
      </c>
      <c r="Q21" s="22">
        <f t="shared" si="14"/>
        <v>0</v>
      </c>
      <c r="R21" s="22">
        <f t="shared" si="14"/>
        <v>0</v>
      </c>
      <c r="S21" s="22">
        <f t="shared" si="14"/>
        <v>0</v>
      </c>
      <c r="T21" s="22">
        <f t="shared" si="14"/>
        <v>0</v>
      </c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5">IF(YEAR(J$4)&lt;=PPLastYear,J$4,"")</f>
        <v>41426</v>
      </c>
      <c r="K23" s="159">
        <f t="shared" si="15"/>
        <v>41791</v>
      </c>
      <c r="L23" s="159">
        <f t="shared" si="15"/>
        <v>42156</v>
      </c>
      <c r="M23" s="159">
        <f t="shared" si="15"/>
        <v>42522</v>
      </c>
      <c r="N23" s="159">
        <f t="shared" si="15"/>
        <v>42887</v>
      </c>
      <c r="O23" s="159">
        <f t="shared" si="15"/>
        <v>43252</v>
      </c>
      <c r="P23" s="159" t="str">
        <f t="shared" si="15"/>
        <v/>
      </c>
      <c r="Q23" s="159" t="str">
        <f t="shared" si="15"/>
        <v/>
      </c>
      <c r="R23" s="159" t="str">
        <f t="shared" si="15"/>
        <v/>
      </c>
      <c r="S23" s="159" t="str">
        <f t="shared" si="15"/>
        <v/>
      </c>
      <c r="T23" s="159" t="str">
        <f t="shared" si="15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41426</v>
      </c>
      <c r="D25" s="144" t="str">
        <f t="shared" ref="D25:D30" si="16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1.0118816049667667</v>
      </c>
      <c r="K25" s="22">
        <f t="shared" ref="K25:T25" si="17">IF(AND(K$23=K$4,ISNONTEXT($C25)),1/K16*(1+K$12)^0.5,0)</f>
        <v>0.98525484065733759</v>
      </c>
      <c r="L25" s="22">
        <f t="shared" si="17"/>
        <v>0.96347600342683604</v>
      </c>
      <c r="M25" s="22">
        <f t="shared" si="17"/>
        <v>0.95142370963176837</v>
      </c>
      <c r="N25" s="22">
        <f t="shared" si="17"/>
        <v>0.93757148761740927</v>
      </c>
      <c r="O25" s="22">
        <f t="shared" si="17"/>
        <v>0.91836185252810287</v>
      </c>
      <c r="P25" s="22">
        <f t="shared" si="17"/>
        <v>0</v>
      </c>
      <c r="Q25" s="22">
        <f t="shared" si="17"/>
        <v>0</v>
      </c>
      <c r="R25" s="22">
        <f t="shared" si="17"/>
        <v>0</v>
      </c>
      <c r="S25" s="22">
        <f t="shared" si="17"/>
        <v>0</v>
      </c>
      <c r="T25" s="22">
        <f t="shared" si="17"/>
        <v>0</v>
      </c>
      <c r="U25" s="146"/>
      <c r="V25" s="146"/>
    </row>
    <row r="26" spans="1:50" ht="11.25" customHeight="1" outlineLevel="1">
      <c r="C26" s="166">
        <v>41791</v>
      </c>
      <c r="D26" s="144" t="str">
        <f t="shared" si="16"/>
        <v>calculated</v>
      </c>
      <c r="E26" s="30" t="str">
        <f t="shared" ref="E26:E30" si="18">IF(ISNONTEXT($C26),"index","")</f>
        <v>index</v>
      </c>
      <c r="I26" s="22"/>
      <c r="J26" s="22">
        <f t="shared" ref="J26:T26" si="19">IF(AND(J$23=J$4,ISNONTEXT($C26)),1/J17*(1+J$12)^0.5,0)</f>
        <v>1.0423955444161537</v>
      </c>
      <c r="K26" s="22">
        <f t="shared" si="19"/>
        <v>1.0149658329339695</v>
      </c>
      <c r="L26" s="22">
        <f t="shared" si="19"/>
        <v>0.99253024088426012</v>
      </c>
      <c r="M26" s="22">
        <f t="shared" si="19"/>
        <v>0.98011450243194831</v>
      </c>
      <c r="N26" s="22">
        <f t="shared" si="19"/>
        <v>0.96584455776929623</v>
      </c>
      <c r="O26" s="22">
        <f t="shared" si="19"/>
        <v>0.94605564380083751</v>
      </c>
      <c r="P26" s="22">
        <f t="shared" si="19"/>
        <v>0</v>
      </c>
      <c r="Q26" s="22">
        <f t="shared" si="19"/>
        <v>0</v>
      </c>
      <c r="R26" s="22">
        <f t="shared" si="19"/>
        <v>0</v>
      </c>
      <c r="S26" s="22">
        <f t="shared" si="19"/>
        <v>0</v>
      </c>
      <c r="T26" s="22">
        <f t="shared" si="19"/>
        <v>0</v>
      </c>
      <c r="U26" s="146"/>
      <c r="V26" s="146"/>
    </row>
    <row r="27" spans="1:50" ht="11.25" customHeight="1" outlineLevel="1">
      <c r="C27" s="166">
        <v>42156</v>
      </c>
      <c r="D27" s="144" t="str">
        <f t="shared" si="16"/>
        <v>calculated</v>
      </c>
      <c r="E27" s="30" t="str">
        <f t="shared" si="18"/>
        <v>index</v>
      </c>
      <c r="I27" s="22"/>
      <c r="J27" s="22">
        <f t="shared" ref="J27:T27" si="20">IF(AND(J$23=J$4,ISNONTEXT($C27)),1/J18*(1+J$12)^0.5,0)</f>
        <v>1.0581446744545469</v>
      </c>
      <c r="K27" s="22">
        <f t="shared" si="20"/>
        <v>1.030300538625134</v>
      </c>
      <c r="L27" s="22">
        <f t="shared" si="20"/>
        <v>1.0075259763461564</v>
      </c>
      <c r="M27" s="22">
        <f t="shared" si="20"/>
        <v>0.99492265355462162</v>
      </c>
      <c r="N27" s="22">
        <f t="shared" si="20"/>
        <v>0.98043711010575396</v>
      </c>
      <c r="O27" s="22">
        <f t="shared" si="20"/>
        <v>0.96034921348999081</v>
      </c>
      <c r="P27" s="22">
        <f t="shared" si="20"/>
        <v>0</v>
      </c>
      <c r="Q27" s="22">
        <f t="shared" si="20"/>
        <v>0</v>
      </c>
      <c r="R27" s="22">
        <f t="shared" si="20"/>
        <v>0</v>
      </c>
      <c r="S27" s="22">
        <f t="shared" si="20"/>
        <v>0</v>
      </c>
      <c r="T27" s="22">
        <f t="shared" si="20"/>
        <v>0</v>
      </c>
      <c r="U27" s="146"/>
      <c r="V27" s="146"/>
    </row>
    <row r="28" spans="1:50" ht="11.25" customHeight="1" outlineLevel="1">
      <c r="C28" s="166">
        <v>42522</v>
      </c>
      <c r="D28" s="144" t="str">
        <f t="shared" si="16"/>
        <v>calculated</v>
      </c>
      <c r="E28" s="30" t="str">
        <f t="shared" si="18"/>
        <v>index</v>
      </c>
      <c r="I28" s="22"/>
      <c r="J28" s="22">
        <f t="shared" ref="J28:T28" si="21">IF(AND(J$23=J$4,ISNONTEXT($C28)),1/J19*(1+J$12)^0.5,0)</f>
        <v>1.068972201355942</v>
      </c>
      <c r="K28" s="22">
        <f t="shared" si="21"/>
        <v>1.0408431487878098</v>
      </c>
      <c r="L28" s="22">
        <f t="shared" si="21"/>
        <v>1.0178355444762099</v>
      </c>
      <c r="M28" s="22">
        <f t="shared" si="21"/>
        <v>1.0051032574514596</v>
      </c>
      <c r="N28" s="22">
        <f t="shared" si="21"/>
        <v>0.99046948983706851</v>
      </c>
      <c r="O28" s="22">
        <f t="shared" si="21"/>
        <v>0.97017604265128365</v>
      </c>
      <c r="P28" s="22">
        <f t="shared" si="21"/>
        <v>0</v>
      </c>
      <c r="Q28" s="22">
        <f t="shared" si="21"/>
        <v>0</v>
      </c>
      <c r="R28" s="22">
        <f t="shared" si="21"/>
        <v>0</v>
      </c>
      <c r="S28" s="22">
        <f t="shared" si="21"/>
        <v>0</v>
      </c>
      <c r="T28" s="22">
        <f t="shared" si="21"/>
        <v>0</v>
      </c>
      <c r="U28" s="146"/>
      <c r="V28" s="146"/>
    </row>
    <row r="29" spans="1:50" ht="11.25" customHeight="1" outlineLevel="1">
      <c r="C29" s="166">
        <v>42887</v>
      </c>
      <c r="D29" s="144" t="str">
        <f t="shared" si="16"/>
        <v>calculated</v>
      </c>
      <c r="E29" s="30" t="str">
        <f t="shared" si="18"/>
        <v>index</v>
      </c>
      <c r="I29" s="22"/>
      <c r="J29" s="22">
        <f t="shared" ref="J29:T29" si="22">IF(AND(J$23=J$4,ISNONTEXT($C29)),1/J20*(1+J$12)^0.5,0)</f>
        <v>1.0896429345313334</v>
      </c>
      <c r="K29" s="22">
        <f t="shared" si="22"/>
        <v>1.0609699500074634</v>
      </c>
      <c r="L29" s="22">
        <f t="shared" si="22"/>
        <v>1.0375174472699489</v>
      </c>
      <c r="M29" s="22">
        <f t="shared" si="22"/>
        <v>1.0245389557999685</v>
      </c>
      <c r="N29" s="22">
        <f t="shared" si="22"/>
        <v>1.0096222147786693</v>
      </c>
      <c r="O29" s="22">
        <f t="shared" si="22"/>
        <v>0.98893635286829762</v>
      </c>
      <c r="P29" s="22">
        <f t="shared" si="22"/>
        <v>0</v>
      </c>
      <c r="Q29" s="22">
        <f t="shared" si="22"/>
        <v>0</v>
      </c>
      <c r="R29" s="22">
        <f t="shared" si="22"/>
        <v>0</v>
      </c>
      <c r="S29" s="22">
        <f t="shared" si="22"/>
        <v>0</v>
      </c>
      <c r="T29" s="22">
        <f t="shared" si="22"/>
        <v>0</v>
      </c>
      <c r="U29" s="146"/>
      <c r="V29" s="146"/>
    </row>
    <row r="30" spans="1:50" ht="11.25" customHeight="1" outlineLevel="1">
      <c r="C30" s="166">
        <v>43252</v>
      </c>
      <c r="D30" s="144" t="str">
        <f t="shared" si="16"/>
        <v>calculated</v>
      </c>
      <c r="E30" s="30" t="str">
        <f t="shared" si="18"/>
        <v>index</v>
      </c>
      <c r="I30" s="22"/>
      <c r="J30" s="22">
        <f t="shared" ref="J30:T30" si="23">IF(AND(J$23=J$4,ISNONTEXT($C30)),1/J21*(1+J$12)^0.5,0)</f>
        <v>1.1156901759942337</v>
      </c>
      <c r="K30" s="22">
        <f t="shared" si="23"/>
        <v>1.0929641800174166</v>
      </c>
      <c r="L30" s="22">
        <f t="shared" si="23"/>
        <v>1.0531928761238856</v>
      </c>
      <c r="M30" s="22">
        <f t="shared" si="23"/>
        <v>1.03502261023141</v>
      </c>
      <c r="N30" s="22">
        <f t="shared" si="23"/>
        <v>1.0291452962799144</v>
      </c>
      <c r="O30" s="22">
        <f t="shared" si="23"/>
        <v>1.0111874208078342</v>
      </c>
      <c r="P30" s="22">
        <f t="shared" si="23"/>
        <v>0</v>
      </c>
      <c r="Q30" s="22">
        <f t="shared" si="23"/>
        <v>0</v>
      </c>
      <c r="R30" s="22">
        <f t="shared" si="23"/>
        <v>0</v>
      </c>
      <c r="S30" s="22">
        <f t="shared" si="23"/>
        <v>0</v>
      </c>
      <c r="T30" s="22">
        <f t="shared" si="23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80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83</v>
      </c>
      <c r="D34" s="32" t="s">
        <v>7</v>
      </c>
      <c r="E34" s="32" t="s">
        <v>8</v>
      </c>
      <c r="J34" s="163" t="str">
        <f t="shared" ref="J34:T34" si="24">IF(YEAR(J$4)&gt;=FPFirstYear,IF(YEAR(J$4)&lt;=FPLastYear,J$4,""),"")</f>
        <v/>
      </c>
      <c r="K34" s="163" t="str">
        <f t="shared" si="24"/>
        <v/>
      </c>
      <c r="L34" s="163" t="str">
        <f t="shared" si="24"/>
        <v/>
      </c>
      <c r="M34" s="163" t="str">
        <f t="shared" si="24"/>
        <v/>
      </c>
      <c r="N34" s="163" t="str">
        <f t="shared" si="24"/>
        <v/>
      </c>
      <c r="O34" s="163" t="str">
        <f t="shared" si="24"/>
        <v/>
      </c>
      <c r="P34" s="163">
        <f t="shared" si="24"/>
        <v>43617</v>
      </c>
      <c r="Q34" s="163">
        <f t="shared" si="24"/>
        <v>43983</v>
      </c>
      <c r="R34" s="163">
        <f t="shared" si="24"/>
        <v>44348</v>
      </c>
      <c r="S34" s="163">
        <f t="shared" si="24"/>
        <v>44713</v>
      </c>
      <c r="T34" s="163">
        <f t="shared" si="24"/>
        <v>45078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190</v>
      </c>
      <c r="D36" s="30" t="s">
        <v>105</v>
      </c>
      <c r="E36" s="30" t="str">
        <f t="shared" ref="E36:E43" si="25">percent</f>
        <v>Per cent</v>
      </c>
      <c r="J36" s="208"/>
      <c r="K36" s="152"/>
      <c r="L36" s="152"/>
      <c r="M36" s="152"/>
      <c r="N36" s="152"/>
      <c r="O36" s="152"/>
      <c r="P36" s="168">
        <v>7.3489952196421626E-3</v>
      </c>
      <c r="Q36" s="168">
        <v>9.6629873841125313E-3</v>
      </c>
      <c r="R36" s="168">
        <v>8.7824758633199274E-3</v>
      </c>
      <c r="S36" s="168">
        <v>9.1359796664365334E-3</v>
      </c>
      <c r="T36" s="168">
        <v>9.8026580076842063E-3</v>
      </c>
    </row>
    <row r="37" spans="3:23" ht="11.25" customHeight="1" outlineLevel="1">
      <c r="C37" s="61" t="s">
        <v>189</v>
      </c>
      <c r="D37" s="30" t="s">
        <v>105</v>
      </c>
      <c r="E37" s="30" t="str">
        <f t="shared" si="25"/>
        <v>Per cent</v>
      </c>
      <c r="J37" s="208"/>
      <c r="K37" s="152"/>
      <c r="L37" s="152"/>
      <c r="M37" s="152"/>
      <c r="N37" s="152"/>
      <c r="O37" s="152"/>
      <c r="P37" s="168">
        <v>6.9999999999999993E-3</v>
      </c>
      <c r="Q37" s="168">
        <v>8.0000000000000002E-3</v>
      </c>
      <c r="R37" s="168">
        <v>1.1000000000000001E-2</v>
      </c>
      <c r="S37" s="168">
        <v>1.4999999999999999E-2</v>
      </c>
      <c r="T37" s="168">
        <v>1.6E-2</v>
      </c>
    </row>
    <row r="38" spans="3:23" ht="11.25" customHeight="1" outlineLevel="1">
      <c r="C38" s="61" t="s">
        <v>191</v>
      </c>
      <c r="D38" s="30" t="s">
        <v>105</v>
      </c>
      <c r="E38" s="30" t="str">
        <f t="shared" si="25"/>
        <v>Per cent</v>
      </c>
      <c r="J38" s="208"/>
      <c r="K38" s="152"/>
      <c r="L38" s="152"/>
      <c r="M38" s="152"/>
      <c r="N38" s="152"/>
      <c r="O38" s="152"/>
      <c r="P38" s="60">
        <f>AVERAGE(P36:P37)</f>
        <v>7.174497609821081E-3</v>
      </c>
      <c r="Q38" s="60">
        <f t="shared" ref="Q38:T38" si="26">AVERAGE(Q36:Q37)</f>
        <v>8.8314936920562657E-3</v>
      </c>
      <c r="R38" s="60">
        <f t="shared" si="26"/>
        <v>9.8912379316599651E-3</v>
      </c>
      <c r="S38" s="60">
        <f t="shared" si="26"/>
        <v>1.2067989833218266E-2</v>
      </c>
      <c r="T38" s="60">
        <f t="shared" si="26"/>
        <v>1.2901329003842103E-2</v>
      </c>
    </row>
    <row r="39" spans="3:23" ht="11.25" customHeight="1" outlineLevel="1">
      <c r="C39" s="61"/>
      <c r="D39" s="30" t="s">
        <v>105</v>
      </c>
      <c r="E39" s="30" t="str">
        <f t="shared" si="25"/>
        <v>Per cent</v>
      </c>
      <c r="J39" s="208"/>
      <c r="K39" s="152"/>
      <c r="L39" s="152"/>
      <c r="M39" s="152"/>
      <c r="N39" s="152"/>
      <c r="O39" s="152"/>
      <c r="P39" s="60"/>
      <c r="Q39" s="60"/>
      <c r="R39" s="60"/>
      <c r="S39" s="60"/>
      <c r="T39" s="60"/>
      <c r="U39" s="147"/>
    </row>
    <row r="40" spans="3:23" ht="11.25" customHeight="1" outlineLevel="1">
      <c r="C40" s="61"/>
      <c r="D40" s="30" t="s">
        <v>105</v>
      </c>
      <c r="E40" s="30" t="str">
        <f t="shared" si="25"/>
        <v>Per cent</v>
      </c>
      <c r="J40" s="208"/>
      <c r="K40" s="152"/>
      <c r="L40" s="152"/>
      <c r="M40" s="152"/>
      <c r="N40" s="152"/>
      <c r="O40" s="152"/>
      <c r="P40" s="60"/>
      <c r="Q40" s="60"/>
      <c r="R40" s="60"/>
      <c r="S40" s="60"/>
      <c r="T40" s="60"/>
    </row>
    <row r="41" spans="3:23" ht="11.25" customHeight="1" outlineLevel="1">
      <c r="C41" s="61"/>
      <c r="D41" s="30" t="s">
        <v>105</v>
      </c>
      <c r="E41" s="30" t="str">
        <f t="shared" si="25"/>
        <v>Per cent</v>
      </c>
      <c r="J41" s="208"/>
      <c r="K41" s="152"/>
      <c r="L41" s="152"/>
      <c r="M41" s="152"/>
      <c r="N41" s="152"/>
      <c r="O41" s="152"/>
      <c r="P41" s="60"/>
      <c r="Q41" s="60"/>
      <c r="R41" s="60"/>
      <c r="S41" s="60"/>
      <c r="T41" s="60"/>
    </row>
    <row r="42" spans="3:23" ht="11.25" customHeight="1" outlineLevel="1">
      <c r="C42" s="61"/>
      <c r="D42" s="30" t="s">
        <v>105</v>
      </c>
      <c r="E42" s="30" t="str">
        <f t="shared" si="25"/>
        <v>Per cent</v>
      </c>
      <c r="J42" s="208"/>
      <c r="K42" s="152"/>
      <c r="L42" s="152"/>
      <c r="M42" s="152"/>
      <c r="N42" s="152"/>
      <c r="O42" s="152"/>
      <c r="P42" s="60"/>
      <c r="Q42" s="60"/>
      <c r="R42" s="60"/>
      <c r="S42" s="60"/>
      <c r="T42" s="60"/>
    </row>
    <row r="43" spans="3:23" ht="11.25" customHeight="1" outlineLevel="1">
      <c r="C43" s="61" t="s">
        <v>84</v>
      </c>
      <c r="D43" s="30" t="s">
        <v>105</v>
      </c>
      <c r="E43" s="30" t="str">
        <f t="shared" si="25"/>
        <v>Per cent</v>
      </c>
      <c r="J43" s="208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60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102</v>
      </c>
      <c r="E45" s="30" t="s">
        <v>28</v>
      </c>
      <c r="F45" s="30" t="s">
        <v>36</v>
      </c>
      <c r="J45" s="132" t="str">
        <f t="shared" ref="J45:S45" si="27">IF(J34=J4,IF(COUNTA($C36:$C43)=COUNT(J36:J43),"Ok","Check"),"")</f>
        <v/>
      </c>
      <c r="K45" s="132" t="str">
        <f t="shared" si="27"/>
        <v/>
      </c>
      <c r="L45" s="132" t="str">
        <f t="shared" si="27"/>
        <v/>
      </c>
      <c r="M45" s="132" t="str">
        <f t="shared" si="27"/>
        <v/>
      </c>
      <c r="N45" s="132" t="str">
        <f t="shared" si="27"/>
        <v/>
      </c>
      <c r="O45" s="132" t="str">
        <f t="shared" si="27"/>
        <v/>
      </c>
      <c r="P45" s="132" t="str">
        <f t="shared" si="27"/>
        <v>Ok</v>
      </c>
      <c r="Q45" s="132" t="str">
        <f t="shared" si="27"/>
        <v>Ok</v>
      </c>
      <c r="R45" s="132" t="str">
        <f t="shared" si="27"/>
        <v>Ok</v>
      </c>
      <c r="S45" s="132" t="str">
        <f t="shared" si="27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28">IF(YEAR(J$4)&gt;=FPFirstYear,IF(YEAR(J$4)&lt;=FPLastYear,J$4,""),"")</f>
        <v/>
      </c>
      <c r="K47" s="163" t="str">
        <f t="shared" si="28"/>
        <v/>
      </c>
      <c r="L47" s="163" t="str">
        <f t="shared" si="28"/>
        <v/>
      </c>
      <c r="M47" s="163" t="str">
        <f t="shared" si="28"/>
        <v/>
      </c>
      <c r="N47" s="163" t="str">
        <f t="shared" si="28"/>
        <v/>
      </c>
      <c r="O47" s="163" t="str">
        <f t="shared" si="28"/>
        <v/>
      </c>
      <c r="P47" s="163">
        <f t="shared" si="28"/>
        <v>43617</v>
      </c>
      <c r="Q47" s="163">
        <f t="shared" si="28"/>
        <v>43983</v>
      </c>
      <c r="R47" s="163">
        <f t="shared" si="28"/>
        <v>44348</v>
      </c>
      <c r="S47" s="163">
        <f t="shared" si="28"/>
        <v>44713</v>
      </c>
      <c r="T47" s="163">
        <f t="shared" si="28"/>
        <v>45078</v>
      </c>
    </row>
    <row r="48" spans="3:23" ht="11.25" customHeight="1" outlineLevel="1"/>
    <row r="49" spans="1:50" ht="11.25" customHeight="1" outlineLevel="1">
      <c r="C49" s="148" t="str">
        <f t="shared" ref="C49:C56" si="29">C36</f>
        <v>WPI - DAE Feb 2017</v>
      </c>
      <c r="D49" s="30" t="s">
        <v>105</v>
      </c>
      <c r="E49" s="30" t="str">
        <f t="shared" ref="E49:E56" si="30">percent</f>
        <v>Per cent</v>
      </c>
      <c r="J49" s="208"/>
      <c r="K49" s="152"/>
      <c r="L49" s="152"/>
      <c r="M49" s="152"/>
      <c r="N49" s="152"/>
      <c r="O49" s="152"/>
      <c r="P49" s="60">
        <v>0</v>
      </c>
      <c r="Q49" s="60">
        <v>0</v>
      </c>
      <c r="R49" s="60">
        <v>0</v>
      </c>
      <c r="S49" s="60">
        <v>0</v>
      </c>
      <c r="T49" s="60">
        <v>0</v>
      </c>
    </row>
    <row r="50" spans="1:50" ht="11.25" customHeight="1" outlineLevel="1">
      <c r="C50" s="148" t="str">
        <f t="shared" si="29"/>
        <v>WPI - BIS Feb 2017</v>
      </c>
      <c r="D50" s="30" t="s">
        <v>105</v>
      </c>
      <c r="E50" s="30" t="str">
        <f t="shared" si="30"/>
        <v>Per cent</v>
      </c>
      <c r="J50" s="208"/>
      <c r="K50" s="152"/>
      <c r="L50" s="152"/>
      <c r="M50" s="152"/>
      <c r="N50" s="152"/>
      <c r="O50" s="152"/>
      <c r="P50" s="60">
        <v>0</v>
      </c>
      <c r="Q50" s="60">
        <v>0</v>
      </c>
      <c r="R50" s="60">
        <v>0</v>
      </c>
      <c r="S50" s="60">
        <v>0</v>
      </c>
      <c r="T50" s="60">
        <v>0</v>
      </c>
    </row>
    <row r="51" spans="1:50" ht="11.25" customHeight="1" outlineLevel="1">
      <c r="C51" s="148" t="str">
        <f t="shared" si="29"/>
        <v>WPI - average of DAE and BIS</v>
      </c>
      <c r="D51" s="30" t="s">
        <v>105</v>
      </c>
      <c r="E51" s="30" t="str">
        <f t="shared" si="30"/>
        <v>Per cent</v>
      </c>
      <c r="J51" s="208"/>
      <c r="K51" s="152"/>
      <c r="L51" s="152"/>
      <c r="M51" s="152"/>
      <c r="N51" s="152"/>
      <c r="O51" s="152"/>
      <c r="P51" s="60">
        <v>0.62</v>
      </c>
      <c r="Q51" s="60">
        <v>0.62</v>
      </c>
      <c r="R51" s="60">
        <v>0.62</v>
      </c>
      <c r="S51" s="60">
        <v>0.62</v>
      </c>
      <c r="T51" s="60">
        <v>0.62</v>
      </c>
    </row>
    <row r="52" spans="1:50" ht="11.25" customHeight="1" outlineLevel="1">
      <c r="C52" s="148">
        <f t="shared" si="29"/>
        <v>0</v>
      </c>
      <c r="D52" s="30" t="s">
        <v>105</v>
      </c>
      <c r="E52" s="30" t="str">
        <f t="shared" si="30"/>
        <v>Per cent</v>
      </c>
      <c r="J52" s="208"/>
      <c r="K52" s="152"/>
      <c r="L52" s="152"/>
      <c r="M52" s="152"/>
      <c r="N52" s="152"/>
      <c r="O52" s="152"/>
      <c r="P52" s="60"/>
      <c r="Q52" s="60"/>
      <c r="R52" s="60"/>
      <c r="S52" s="60"/>
      <c r="T52" s="60"/>
      <c r="U52" s="147"/>
    </row>
    <row r="53" spans="1:50" ht="11.25" customHeight="1" outlineLevel="1">
      <c r="C53" s="148">
        <f t="shared" si="29"/>
        <v>0</v>
      </c>
      <c r="D53" s="30" t="s">
        <v>105</v>
      </c>
      <c r="E53" s="30" t="str">
        <f t="shared" si="30"/>
        <v>Per cent</v>
      </c>
      <c r="J53" s="208"/>
      <c r="K53" s="152"/>
      <c r="L53" s="152"/>
      <c r="M53" s="152"/>
      <c r="N53" s="152"/>
      <c r="O53" s="152"/>
      <c r="P53" s="60"/>
      <c r="Q53" s="60"/>
      <c r="R53" s="60"/>
      <c r="S53" s="60"/>
      <c r="T53" s="60"/>
    </row>
    <row r="54" spans="1:50" ht="11.25" customHeight="1" outlineLevel="1">
      <c r="C54" s="148">
        <f t="shared" si="29"/>
        <v>0</v>
      </c>
      <c r="D54" s="30" t="s">
        <v>105</v>
      </c>
      <c r="E54" s="30" t="str">
        <f t="shared" si="30"/>
        <v>Per cent</v>
      </c>
      <c r="J54" s="208"/>
      <c r="K54" s="152"/>
      <c r="L54" s="152"/>
      <c r="M54" s="152"/>
      <c r="N54" s="152"/>
      <c r="O54" s="152"/>
      <c r="P54" s="60"/>
      <c r="Q54" s="60"/>
      <c r="R54" s="60"/>
      <c r="S54" s="60"/>
      <c r="T54" s="60"/>
    </row>
    <row r="55" spans="1:50" ht="11.25" customHeight="1" outlineLevel="1">
      <c r="C55" s="148">
        <f t="shared" si="29"/>
        <v>0</v>
      </c>
      <c r="D55" s="30" t="s">
        <v>105</v>
      </c>
      <c r="E55" s="30" t="str">
        <f t="shared" si="30"/>
        <v>Per cent</v>
      </c>
      <c r="J55" s="208"/>
      <c r="K55" s="152"/>
      <c r="L55" s="152"/>
      <c r="M55" s="152"/>
      <c r="N55" s="152"/>
      <c r="O55" s="152"/>
      <c r="P55" s="60"/>
      <c r="Q55" s="60"/>
      <c r="R55" s="60"/>
      <c r="S55" s="60"/>
      <c r="T55" s="60"/>
    </row>
    <row r="56" spans="1:50" ht="11.25" customHeight="1" outlineLevel="1">
      <c r="C56" s="148" t="str">
        <f t="shared" si="29"/>
        <v>CPI</v>
      </c>
      <c r="D56" s="30" t="s">
        <v>105</v>
      </c>
      <c r="E56" s="30" t="str">
        <f t="shared" si="30"/>
        <v>Per cent</v>
      </c>
      <c r="J56" s="208"/>
      <c r="K56" s="152"/>
      <c r="L56" s="152"/>
      <c r="M56" s="152"/>
      <c r="N56" s="152"/>
      <c r="O56" s="152"/>
      <c r="P56" s="60">
        <v>0.38</v>
      </c>
      <c r="Q56" s="60">
        <v>0.38</v>
      </c>
      <c r="R56" s="60">
        <v>0.38</v>
      </c>
      <c r="S56" s="60">
        <v>0.38</v>
      </c>
      <c r="T56" s="60">
        <v>0.38</v>
      </c>
    </row>
    <row r="57" spans="1:50" ht="11.25" customHeight="1" outlineLevel="1"/>
    <row r="58" spans="1:50" outlineLevel="1">
      <c r="C58" s="29" t="s">
        <v>40</v>
      </c>
      <c r="D58" s="30" t="s">
        <v>102</v>
      </c>
      <c r="E58" s="30" t="s">
        <v>28</v>
      </c>
      <c r="F58" s="30" t="s">
        <v>36</v>
      </c>
      <c r="J58" s="132" t="str">
        <f t="shared" ref="J58:S58" si="31">IF(J47=J$4,IF(SUM(J49:J56)=1,"Ok","Check"),"")</f>
        <v/>
      </c>
      <c r="K58" s="132" t="str">
        <f t="shared" si="31"/>
        <v/>
      </c>
      <c r="L58" s="132" t="str">
        <f t="shared" si="31"/>
        <v/>
      </c>
      <c r="M58" s="132" t="str">
        <f t="shared" si="31"/>
        <v/>
      </c>
      <c r="N58" s="132" t="str">
        <f t="shared" si="31"/>
        <v/>
      </c>
      <c r="O58" s="132" t="str">
        <f t="shared" si="31"/>
        <v/>
      </c>
      <c r="P58" s="132" t="str">
        <f t="shared" si="31"/>
        <v>Ok</v>
      </c>
      <c r="Q58" s="132" t="str">
        <f t="shared" si="31"/>
        <v>Ok</v>
      </c>
      <c r="R58" s="132" t="str">
        <f t="shared" si="31"/>
        <v>Ok</v>
      </c>
      <c r="S58" s="132" t="str">
        <f t="shared" si="31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87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88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2">IF(YEAR(J$4)&gt;=PPLastYear,IF(YEAR(J$4)&lt;=FPLastYear,J$4,""),"")</f>
        <v/>
      </c>
      <c r="K62" s="163" t="str">
        <f t="shared" si="32"/>
        <v/>
      </c>
      <c r="L62" s="163" t="str">
        <f t="shared" si="32"/>
        <v/>
      </c>
      <c r="M62" s="163" t="str">
        <f t="shared" si="32"/>
        <v/>
      </c>
      <c r="N62" s="163" t="str">
        <f t="shared" si="32"/>
        <v/>
      </c>
      <c r="O62" s="163">
        <f t="shared" si="32"/>
        <v>43252</v>
      </c>
      <c r="P62" s="163">
        <f t="shared" si="32"/>
        <v>43617</v>
      </c>
      <c r="Q62" s="163">
        <f t="shared" si="32"/>
        <v>43983</v>
      </c>
      <c r="R62" s="163">
        <f t="shared" si="32"/>
        <v>44348</v>
      </c>
      <c r="S62" s="163">
        <f t="shared" si="32"/>
        <v>44713</v>
      </c>
      <c r="T62" s="163">
        <f t="shared" si="32"/>
        <v>45078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114</v>
      </c>
      <c r="D64" s="30" t="s">
        <v>105</v>
      </c>
      <c r="E64" s="30" t="s">
        <v>18</v>
      </c>
      <c r="F64" s="30" t="s">
        <v>36</v>
      </c>
      <c r="G64" s="32"/>
      <c r="H64" s="32"/>
      <c r="J64" s="208"/>
      <c r="K64" s="197"/>
      <c r="L64" s="197"/>
      <c r="M64" s="197"/>
      <c r="N64" s="197"/>
      <c r="O64" s="198">
        <v>15044.099999999999</v>
      </c>
      <c r="P64" s="198">
        <v>15208.599999999999</v>
      </c>
      <c r="Q64" s="198">
        <v>15388.3</v>
      </c>
      <c r="R64" s="198">
        <v>15606.1</v>
      </c>
      <c r="S64" s="198">
        <v>15731.599999999999</v>
      </c>
      <c r="T64" s="198">
        <v>15882.699999999999</v>
      </c>
    </row>
    <row r="65" spans="3:23" outlineLevel="1">
      <c r="C65" s="61" t="s">
        <v>188</v>
      </c>
      <c r="D65" s="30" t="s">
        <v>105</v>
      </c>
      <c r="E65" s="30" t="s">
        <v>18</v>
      </c>
      <c r="F65" s="30" t="s">
        <v>36</v>
      </c>
      <c r="G65" s="32"/>
      <c r="H65" s="32"/>
      <c r="J65" s="208"/>
      <c r="K65" s="197"/>
      <c r="L65" s="197"/>
      <c r="M65" s="197"/>
      <c r="N65" s="197"/>
      <c r="O65" s="198">
        <v>4403.3212738811562</v>
      </c>
      <c r="P65" s="198">
        <v>4403.3212738811562</v>
      </c>
      <c r="Q65" s="198">
        <v>4403.3212738811562</v>
      </c>
      <c r="R65" s="198">
        <v>4403.3212738811562</v>
      </c>
      <c r="S65" s="198">
        <v>4403.3212738811562</v>
      </c>
      <c r="T65" s="198">
        <v>4403.3212738811562</v>
      </c>
    </row>
    <row r="66" spans="3:23" outlineLevel="1">
      <c r="C66" s="61" t="s">
        <v>115</v>
      </c>
      <c r="D66" s="30" t="s">
        <v>105</v>
      </c>
      <c r="E66" s="30" t="s">
        <v>18</v>
      </c>
      <c r="F66" s="30" t="s">
        <v>36</v>
      </c>
      <c r="G66" s="32"/>
      <c r="H66" s="32"/>
      <c r="J66" s="208"/>
      <c r="K66" s="197"/>
      <c r="L66" s="197"/>
      <c r="M66" s="197"/>
      <c r="N66" s="197"/>
      <c r="O66" s="198">
        <v>1103166.064</v>
      </c>
      <c r="P66" s="198">
        <v>1103166.064</v>
      </c>
      <c r="Q66" s="198">
        <v>1103166.064</v>
      </c>
      <c r="R66" s="198">
        <v>1103166.064</v>
      </c>
      <c r="S66" s="198">
        <v>1103166.064</v>
      </c>
      <c r="T66" s="198">
        <v>1103166.064</v>
      </c>
    </row>
    <row r="67" spans="3:23" outlineLevel="1">
      <c r="C67" s="61" t="s">
        <v>116</v>
      </c>
      <c r="D67" s="30" t="s">
        <v>105</v>
      </c>
      <c r="E67" s="30" t="s">
        <v>18</v>
      </c>
      <c r="F67" s="30" t="s">
        <v>36</v>
      </c>
      <c r="G67" s="32"/>
      <c r="H67" s="32"/>
      <c r="J67" s="208"/>
      <c r="K67" s="197"/>
      <c r="L67" s="197"/>
      <c r="M67" s="197"/>
      <c r="N67" s="197"/>
      <c r="O67" s="198">
        <v>5505.2489999999998</v>
      </c>
      <c r="P67" s="198">
        <v>5505.2489999999998</v>
      </c>
      <c r="Q67" s="198">
        <v>5505.2489999999998</v>
      </c>
      <c r="R67" s="198">
        <v>5505.2489999999998</v>
      </c>
      <c r="S67" s="198">
        <v>5505.2489999999998</v>
      </c>
      <c r="T67" s="198">
        <v>5505.2489999999998</v>
      </c>
    </row>
    <row r="68" spans="3:23" outlineLevel="1">
      <c r="C68" s="61"/>
      <c r="D68" s="30" t="s">
        <v>105</v>
      </c>
      <c r="E68" s="30" t="s">
        <v>18</v>
      </c>
      <c r="F68" s="30" t="s">
        <v>36</v>
      </c>
      <c r="G68" s="32"/>
      <c r="H68" s="32"/>
      <c r="J68" s="208"/>
      <c r="K68" s="197"/>
      <c r="L68" s="197"/>
      <c r="M68" s="197"/>
      <c r="N68" s="197"/>
      <c r="O68" s="198"/>
      <c r="P68" s="198"/>
      <c r="Q68" s="198"/>
      <c r="R68" s="198"/>
      <c r="S68" s="198"/>
      <c r="T68" s="198"/>
    </row>
    <row r="69" spans="3:23" outlineLevel="1">
      <c r="C69" s="61"/>
      <c r="D69" s="30" t="s">
        <v>105</v>
      </c>
      <c r="E69" s="30" t="s">
        <v>18</v>
      </c>
      <c r="F69" s="30" t="s">
        <v>36</v>
      </c>
      <c r="G69" s="32"/>
      <c r="H69" s="32"/>
      <c r="J69" s="208"/>
      <c r="K69" s="197"/>
      <c r="L69" s="197"/>
      <c r="M69" s="197"/>
      <c r="N69" s="197"/>
      <c r="O69" s="198"/>
      <c r="P69" s="198"/>
      <c r="Q69" s="198"/>
      <c r="R69" s="198"/>
      <c r="S69" s="198"/>
      <c r="T69" s="198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102</v>
      </c>
      <c r="E71" s="30" t="s">
        <v>28</v>
      </c>
      <c r="F71" s="30" t="s">
        <v>36</v>
      </c>
      <c r="J71" s="132" t="str">
        <f t="shared" ref="J71:S71" si="33">IF(J62=J$4,IF(COUNTA($C64:$C69)=COUNT(J64:J69),"Ok","Check"),"")</f>
        <v/>
      </c>
      <c r="K71" s="132" t="str">
        <f t="shared" si="33"/>
        <v/>
      </c>
      <c r="L71" s="132" t="str">
        <f t="shared" si="33"/>
        <v/>
      </c>
      <c r="M71" s="132" t="str">
        <f t="shared" si="33"/>
        <v/>
      </c>
      <c r="N71" s="132" t="str">
        <f t="shared" si="33"/>
        <v/>
      </c>
      <c r="O71" s="132" t="str">
        <f t="shared" si="33"/>
        <v>Ok</v>
      </c>
      <c r="P71" s="132" t="str">
        <f t="shared" si="33"/>
        <v>Ok</v>
      </c>
      <c r="Q71" s="132" t="str">
        <f t="shared" si="33"/>
        <v>Ok</v>
      </c>
      <c r="R71" s="132" t="str">
        <f t="shared" si="33"/>
        <v>Ok</v>
      </c>
      <c r="S71" s="132" t="str">
        <f t="shared" si="33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91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4">IF(YEAR(J$4)&gt;=FPFirstYear,IF(YEAR(J$4)&lt;=FPLastYear,J$4,""),"")</f>
        <v/>
      </c>
      <c r="K73" s="163" t="str">
        <f t="shared" si="34"/>
        <v/>
      </c>
      <c r="L73" s="163" t="str">
        <f t="shared" si="34"/>
        <v/>
      </c>
      <c r="M73" s="163" t="str">
        <f t="shared" si="34"/>
        <v/>
      </c>
      <c r="N73" s="163" t="str">
        <f t="shared" si="34"/>
        <v/>
      </c>
      <c r="O73" s="163" t="str">
        <f t="shared" si="34"/>
        <v/>
      </c>
      <c r="P73" s="163">
        <f t="shared" si="34"/>
        <v>43617</v>
      </c>
      <c r="Q73" s="163">
        <f t="shared" si="34"/>
        <v>43983</v>
      </c>
      <c r="R73" s="163">
        <f t="shared" si="34"/>
        <v>44348</v>
      </c>
      <c r="S73" s="163">
        <f t="shared" si="34"/>
        <v>44713</v>
      </c>
      <c r="T73" s="163">
        <f t="shared" si="34"/>
        <v>45078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Energy</v>
      </c>
      <c r="D75" s="30" t="s">
        <v>102</v>
      </c>
      <c r="E75" s="30" t="s">
        <v>18</v>
      </c>
      <c r="F75" s="30" t="s">
        <v>36</v>
      </c>
      <c r="G75" s="32"/>
      <c r="H75" s="32"/>
      <c r="J75" s="117" t="str">
        <f t="shared" ref="J75:M75" si="35">IF(ISBLANK(I64),"",IF(ISBLANK(J64),"",LN(J64)-LN(I64)))</f>
        <v/>
      </c>
      <c r="K75" s="117" t="str">
        <f t="shared" si="35"/>
        <v/>
      </c>
      <c r="L75" s="117" t="str">
        <f t="shared" si="35"/>
        <v/>
      </c>
      <c r="M75" s="117" t="str">
        <f t="shared" si="35"/>
        <v/>
      </c>
      <c r="N75" s="117" t="str">
        <f>IF(ISBLANK(M64),"",IF(ISBLANK(N64),"",LN(N64)-LN(M64)))</f>
        <v/>
      </c>
      <c r="O75" s="117" t="str">
        <f t="shared" ref="O75:T75" si="36">IF(ISBLANK(N64),"",IF(ISBLANK(O64),"",LN(O64)-LN(N64)))</f>
        <v/>
      </c>
      <c r="P75" s="117">
        <f t="shared" si="36"/>
        <v>1.0875169573093757E-2</v>
      </c>
      <c r="Q75" s="117">
        <f t="shared" si="36"/>
        <v>1.1746423083554447E-2</v>
      </c>
      <c r="R75" s="117">
        <f t="shared" si="36"/>
        <v>1.4054383054961761E-2</v>
      </c>
      <c r="S75" s="117">
        <f t="shared" si="36"/>
        <v>8.0095648968558919E-3</v>
      </c>
      <c r="T75" s="117">
        <f t="shared" si="36"/>
        <v>9.559038192492153E-3</v>
      </c>
    </row>
    <row r="76" spans="3:23" outlineLevel="1">
      <c r="C76" s="148" t="str">
        <f t="shared" ref="C76:C80" si="37">C65</f>
        <v>Ratcheted maximum demand (MVA)</v>
      </c>
      <c r="D76" s="30" t="s">
        <v>102</v>
      </c>
      <c r="E76" s="30" t="s">
        <v>18</v>
      </c>
      <c r="F76" s="30" t="s">
        <v>36</v>
      </c>
      <c r="G76" s="32"/>
      <c r="H76" s="32"/>
      <c r="J76" s="117" t="str">
        <f t="shared" ref="J76:T76" si="38">IF(ISBLANK(I65),"",IF(ISBLANK(J65),"",LN(J65)-LN(I65)))</f>
        <v/>
      </c>
      <c r="K76" s="117" t="str">
        <f t="shared" si="38"/>
        <v/>
      </c>
      <c r="L76" s="117" t="str">
        <f t="shared" si="38"/>
        <v/>
      </c>
      <c r="M76" s="117" t="str">
        <f t="shared" si="38"/>
        <v/>
      </c>
      <c r="N76" s="117" t="str">
        <f t="shared" si="38"/>
        <v/>
      </c>
      <c r="O76" s="117" t="str">
        <f t="shared" si="38"/>
        <v/>
      </c>
      <c r="P76" s="117">
        <f t="shared" si="38"/>
        <v>0</v>
      </c>
      <c r="Q76" s="117">
        <f t="shared" si="38"/>
        <v>0</v>
      </c>
      <c r="R76" s="117">
        <f t="shared" si="38"/>
        <v>0</v>
      </c>
      <c r="S76" s="117">
        <f t="shared" si="38"/>
        <v>0</v>
      </c>
      <c r="T76" s="117">
        <f t="shared" si="38"/>
        <v>0</v>
      </c>
    </row>
    <row r="77" spans="3:23" outlineLevel="1">
      <c r="C77" s="148" t="str">
        <f t="shared" si="37"/>
        <v>Weighted entry and exit connections</v>
      </c>
      <c r="D77" s="30" t="s">
        <v>102</v>
      </c>
      <c r="E77" s="30" t="s">
        <v>18</v>
      </c>
      <c r="F77" s="30" t="s">
        <v>36</v>
      </c>
      <c r="G77" s="32"/>
      <c r="H77" s="32"/>
      <c r="J77" s="117" t="str">
        <f t="shared" ref="J77:T77" si="39">IF(ISBLANK(I66),"",IF(ISBLANK(J66),"",LN(J66)-LN(I66)))</f>
        <v/>
      </c>
      <c r="K77" s="117" t="str">
        <f t="shared" si="39"/>
        <v/>
      </c>
      <c r="L77" s="117" t="str">
        <f t="shared" si="39"/>
        <v/>
      </c>
      <c r="M77" s="117" t="str">
        <f t="shared" si="39"/>
        <v/>
      </c>
      <c r="N77" s="117" t="str">
        <f t="shared" si="39"/>
        <v/>
      </c>
      <c r="O77" s="117" t="str">
        <f t="shared" si="39"/>
        <v/>
      </c>
      <c r="P77" s="117">
        <f t="shared" si="39"/>
        <v>0</v>
      </c>
      <c r="Q77" s="117">
        <f t="shared" si="39"/>
        <v>0</v>
      </c>
      <c r="R77" s="117">
        <f t="shared" si="39"/>
        <v>0</v>
      </c>
      <c r="S77" s="117">
        <f t="shared" si="39"/>
        <v>0</v>
      </c>
      <c r="T77" s="117">
        <f t="shared" si="39"/>
        <v>0</v>
      </c>
    </row>
    <row r="78" spans="3:23" outlineLevel="1">
      <c r="C78" s="148" t="str">
        <f t="shared" si="37"/>
        <v>Circuit length</v>
      </c>
      <c r="D78" s="30" t="s">
        <v>102</v>
      </c>
      <c r="E78" s="30" t="s">
        <v>18</v>
      </c>
      <c r="F78" s="30" t="s">
        <v>36</v>
      </c>
      <c r="G78" s="32"/>
      <c r="H78" s="32"/>
      <c r="J78" s="117" t="str">
        <f t="shared" ref="J78:T78" si="40">IF(ISBLANK(I67),"",IF(ISBLANK(J67),"",LN(J67)-LN(I67)))</f>
        <v/>
      </c>
      <c r="K78" s="117" t="str">
        <f t="shared" si="40"/>
        <v/>
      </c>
      <c r="L78" s="117" t="str">
        <f t="shared" si="40"/>
        <v/>
      </c>
      <c r="M78" s="117" t="str">
        <f t="shared" si="40"/>
        <v/>
      </c>
      <c r="N78" s="117" t="str">
        <f t="shared" si="40"/>
        <v/>
      </c>
      <c r="O78" s="117" t="str">
        <f t="shared" si="40"/>
        <v/>
      </c>
      <c r="P78" s="117">
        <f t="shared" si="40"/>
        <v>0</v>
      </c>
      <c r="Q78" s="117">
        <f t="shared" si="40"/>
        <v>0</v>
      </c>
      <c r="R78" s="117">
        <f t="shared" si="40"/>
        <v>0</v>
      </c>
      <c r="S78" s="117">
        <f t="shared" si="40"/>
        <v>0</v>
      </c>
      <c r="T78" s="117">
        <f t="shared" si="40"/>
        <v>0</v>
      </c>
    </row>
    <row r="79" spans="3:23" outlineLevel="1">
      <c r="C79" s="148">
        <f t="shared" si="37"/>
        <v>0</v>
      </c>
      <c r="D79" s="30" t="s">
        <v>102</v>
      </c>
      <c r="E79" s="30" t="s">
        <v>18</v>
      </c>
      <c r="F79" s="30" t="s">
        <v>36</v>
      </c>
      <c r="G79" s="32"/>
      <c r="H79" s="32"/>
      <c r="J79" s="117" t="str">
        <f t="shared" ref="J79:T79" si="41">IF(ISBLANK(I68),"",IF(ISBLANK(J68),"",LN(J68)-LN(I68)))</f>
        <v/>
      </c>
      <c r="K79" s="117" t="str">
        <f t="shared" si="41"/>
        <v/>
      </c>
      <c r="L79" s="117" t="str">
        <f t="shared" si="41"/>
        <v/>
      </c>
      <c r="M79" s="117" t="str">
        <f t="shared" si="41"/>
        <v/>
      </c>
      <c r="N79" s="117" t="str">
        <f t="shared" si="41"/>
        <v/>
      </c>
      <c r="O79" s="117" t="str">
        <f t="shared" si="41"/>
        <v/>
      </c>
      <c r="P79" s="117" t="str">
        <f t="shared" si="41"/>
        <v/>
      </c>
      <c r="Q79" s="117" t="str">
        <f t="shared" si="41"/>
        <v/>
      </c>
      <c r="R79" s="117" t="str">
        <f t="shared" si="41"/>
        <v/>
      </c>
      <c r="S79" s="117" t="str">
        <f t="shared" si="41"/>
        <v/>
      </c>
      <c r="T79" s="117" t="str">
        <f t="shared" si="41"/>
        <v/>
      </c>
    </row>
    <row r="80" spans="3:23" outlineLevel="1">
      <c r="C80" s="148">
        <f t="shared" si="37"/>
        <v>0</v>
      </c>
      <c r="D80" s="30" t="s">
        <v>102</v>
      </c>
      <c r="E80" s="30" t="s">
        <v>18</v>
      </c>
      <c r="F80" s="30" t="s">
        <v>36</v>
      </c>
      <c r="G80" s="32"/>
      <c r="H80" s="32"/>
      <c r="J80" s="117" t="str">
        <f t="shared" ref="J80:T80" si="42">IF(ISBLANK(I69),"",IF(ISBLANK(J69),"",LN(J69)-LN(I69)))</f>
        <v/>
      </c>
      <c r="K80" s="117" t="str">
        <f t="shared" si="42"/>
        <v/>
      </c>
      <c r="L80" s="117" t="str">
        <f t="shared" si="42"/>
        <v/>
      </c>
      <c r="M80" s="117" t="str">
        <f t="shared" si="42"/>
        <v/>
      </c>
      <c r="N80" s="117" t="str">
        <f t="shared" si="42"/>
        <v/>
      </c>
      <c r="O80" s="117" t="str">
        <f t="shared" si="42"/>
        <v/>
      </c>
      <c r="P80" s="117" t="str">
        <f t="shared" si="42"/>
        <v/>
      </c>
      <c r="Q80" s="117" t="str">
        <f t="shared" si="42"/>
        <v/>
      </c>
      <c r="R80" s="117" t="str">
        <f t="shared" si="42"/>
        <v/>
      </c>
      <c r="S80" s="117" t="str">
        <f t="shared" si="42"/>
        <v/>
      </c>
      <c r="T80" s="117" t="str">
        <f t="shared" si="42"/>
        <v/>
      </c>
    </row>
    <row r="81" spans="1:50" outlineLevel="1">
      <c r="C81" s="111"/>
      <c r="G81" s="32"/>
      <c r="H81" s="32"/>
      <c r="K81" s="23"/>
      <c r="L81" s="23"/>
      <c r="M81" s="23"/>
      <c r="N81" s="23"/>
      <c r="O81" s="23"/>
    </row>
    <row r="82" spans="1:50" outlineLevel="1">
      <c r="C82" s="67" t="s">
        <v>43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163" t="str">
        <f t="shared" ref="J82:T82" si="43">IF(YEAR(J$4)=PPLastYear,J$4,"")</f>
        <v/>
      </c>
      <c r="K82" s="163" t="str">
        <f t="shared" si="43"/>
        <v/>
      </c>
      <c r="L82" s="163" t="str">
        <f t="shared" si="43"/>
        <v/>
      </c>
      <c r="M82" s="163" t="str">
        <f t="shared" si="43"/>
        <v/>
      </c>
      <c r="N82" s="163" t="str">
        <f t="shared" si="43"/>
        <v/>
      </c>
      <c r="O82" s="163">
        <f t="shared" si="43"/>
        <v>43252</v>
      </c>
      <c r="P82" s="163" t="str">
        <f t="shared" si="43"/>
        <v/>
      </c>
      <c r="Q82" s="163" t="str">
        <f t="shared" si="43"/>
        <v/>
      </c>
      <c r="R82" s="163" t="str">
        <f t="shared" si="43"/>
        <v/>
      </c>
      <c r="S82" s="163" t="str">
        <f t="shared" si="43"/>
        <v/>
      </c>
      <c r="T82" s="163" t="str">
        <f t="shared" si="43"/>
        <v/>
      </c>
    </row>
    <row r="83" spans="1:50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1:50" outlineLevel="1">
      <c r="C84" s="148" t="str">
        <f>C64</f>
        <v>Energy</v>
      </c>
      <c r="D84" s="30" t="s">
        <v>105</v>
      </c>
      <c r="E84" s="30" t="s">
        <v>18</v>
      </c>
      <c r="F84" s="30" t="s">
        <v>36</v>
      </c>
      <c r="G84" s="32"/>
      <c r="H84" s="32"/>
      <c r="J84" s="195"/>
      <c r="K84" s="195"/>
      <c r="L84" s="195"/>
      <c r="M84" s="195"/>
      <c r="N84" s="195"/>
      <c r="O84" s="195">
        <v>0.214</v>
      </c>
      <c r="P84" s="195"/>
      <c r="Q84" s="195"/>
      <c r="R84" s="195"/>
      <c r="S84" s="195"/>
      <c r="T84" s="195"/>
    </row>
    <row r="85" spans="1:50" outlineLevel="1">
      <c r="C85" s="148" t="str">
        <f t="shared" ref="C85:C89" si="44">C65</f>
        <v>Ratcheted maximum demand (MVA)</v>
      </c>
      <c r="D85" s="30" t="s">
        <v>105</v>
      </c>
      <c r="E85" s="30" t="s">
        <v>18</v>
      </c>
      <c r="F85" s="30" t="s">
        <v>36</v>
      </c>
      <c r="G85" s="32"/>
      <c r="H85" s="32"/>
      <c r="J85" s="195"/>
      <c r="K85" s="195"/>
      <c r="L85" s="195"/>
      <c r="M85" s="195"/>
      <c r="N85" s="195"/>
      <c r="O85" s="195">
        <v>0.221</v>
      </c>
      <c r="P85" s="195"/>
      <c r="Q85" s="195"/>
      <c r="R85" s="195"/>
      <c r="S85" s="195"/>
      <c r="T85" s="195"/>
    </row>
    <row r="86" spans="1:50" outlineLevel="1">
      <c r="C86" s="148" t="str">
        <f t="shared" si="44"/>
        <v>Weighted entry and exit connections</v>
      </c>
      <c r="D86" s="30" t="s">
        <v>105</v>
      </c>
      <c r="E86" s="30" t="s">
        <v>18</v>
      </c>
      <c r="F86" s="30" t="s">
        <v>36</v>
      </c>
      <c r="G86" s="32"/>
      <c r="H86" s="32"/>
      <c r="J86" s="195"/>
      <c r="K86" s="195"/>
      <c r="L86" s="195"/>
      <c r="M86" s="195"/>
      <c r="N86" s="195"/>
      <c r="O86" s="195">
        <v>0.27800000000000002</v>
      </c>
      <c r="P86" s="195"/>
      <c r="Q86" s="195"/>
      <c r="R86" s="195"/>
      <c r="S86" s="195"/>
      <c r="T86" s="195"/>
    </row>
    <row r="87" spans="1:50" outlineLevel="1">
      <c r="C87" s="148" t="str">
        <f t="shared" si="44"/>
        <v>Circuit length</v>
      </c>
      <c r="D87" s="30" t="s">
        <v>105</v>
      </c>
      <c r="E87" s="30" t="s">
        <v>18</v>
      </c>
      <c r="F87" s="30" t="s">
        <v>36</v>
      </c>
      <c r="G87" s="32"/>
      <c r="H87" s="32"/>
      <c r="J87" s="195"/>
      <c r="K87" s="195"/>
      <c r="L87" s="195"/>
      <c r="M87" s="195"/>
      <c r="N87" s="195"/>
      <c r="O87" s="195">
        <v>0.28699999999999998</v>
      </c>
      <c r="P87" s="195"/>
      <c r="Q87" s="195"/>
      <c r="R87" s="195"/>
      <c r="S87" s="195"/>
      <c r="T87" s="195"/>
    </row>
    <row r="88" spans="1:50" outlineLevel="1">
      <c r="C88" s="148">
        <f t="shared" si="44"/>
        <v>0</v>
      </c>
      <c r="D88" s="30" t="s">
        <v>105</v>
      </c>
      <c r="E88" s="30" t="s">
        <v>18</v>
      </c>
      <c r="F88" s="30" t="s">
        <v>36</v>
      </c>
      <c r="G88" s="32"/>
      <c r="H88" s="32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</row>
    <row r="89" spans="1:50" outlineLevel="1">
      <c r="C89" s="148">
        <f t="shared" si="44"/>
        <v>0</v>
      </c>
      <c r="D89" s="30" t="s">
        <v>105</v>
      </c>
      <c r="E89" s="30" t="s">
        <v>18</v>
      </c>
      <c r="F89" s="30" t="s">
        <v>36</v>
      </c>
      <c r="G89" s="32"/>
      <c r="H89" s="32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</row>
    <row r="90" spans="1:50" outlineLevel="1">
      <c r="G90" s="32"/>
      <c r="H90" s="32"/>
    </row>
    <row r="91" spans="1:50" outlineLevel="1">
      <c r="C91" s="29" t="s">
        <v>40</v>
      </c>
      <c r="D91" s="30" t="s">
        <v>102</v>
      </c>
      <c r="E91" s="30" t="s">
        <v>28</v>
      </c>
      <c r="F91" s="30" t="s">
        <v>36</v>
      </c>
      <c r="J91" s="132" t="str">
        <f t="shared" ref="J91:N91" si="45">IF(J82=J$4,IF(SUM(J84:J89)=1,"Ok","Check"),"")</f>
        <v/>
      </c>
      <c r="K91" s="132" t="str">
        <f t="shared" si="45"/>
        <v/>
      </c>
      <c r="L91" s="132" t="str">
        <f t="shared" si="45"/>
        <v/>
      </c>
      <c r="M91" s="132" t="str">
        <f t="shared" si="45"/>
        <v/>
      </c>
      <c r="N91" s="132" t="str">
        <f t="shared" si="45"/>
        <v/>
      </c>
      <c r="O91" s="132" t="str">
        <f>IF(O82=O$4,IF(SUM(O84:O89)=1,"Ok","Check"),"")</f>
        <v>Ok</v>
      </c>
      <c r="P91" s="132" t="str">
        <f t="shared" ref="P91:T91" si="46">IF(P82=P$4,IF(SUM(P84:P89)=1,"Ok","Check"),"")</f>
        <v/>
      </c>
      <c r="Q91" s="132" t="str">
        <f t="shared" si="46"/>
        <v/>
      </c>
      <c r="R91" s="132" t="str">
        <f t="shared" si="46"/>
        <v/>
      </c>
      <c r="S91" s="132" t="str">
        <f t="shared" si="46"/>
        <v/>
      </c>
      <c r="T91" s="132" t="str">
        <f t="shared" si="46"/>
        <v/>
      </c>
      <c r="U91" s="24"/>
      <c r="W91" s="131" t="str">
        <f>IF(COUNTIF(K91:T91,"Check")=0,"Ok","Check")</f>
        <v>Ok</v>
      </c>
    </row>
    <row r="92" spans="1:50"/>
    <row r="93" spans="1:50" s="103" customFormat="1" ht="12.75">
      <c r="A93" s="94"/>
      <c r="B93" s="95" t="s">
        <v>81</v>
      </c>
      <c r="C93" s="94"/>
      <c r="D93" s="94"/>
      <c r="E93" s="94"/>
      <c r="F93" s="96"/>
      <c r="G93" s="96"/>
      <c r="H93" s="96"/>
      <c r="I93" s="96"/>
      <c r="J93" s="96"/>
      <c r="K93" s="97"/>
      <c r="L93" s="98"/>
      <c r="M93" s="97"/>
      <c r="N93" s="98"/>
      <c r="O93" s="97"/>
      <c r="P93" s="97"/>
      <c r="Q93" s="97"/>
      <c r="R93" s="97"/>
      <c r="S93" s="97"/>
      <c r="T93" s="97"/>
      <c r="U93" s="97"/>
      <c r="V93" s="97"/>
      <c r="W93" s="98"/>
      <c r="X93" s="99"/>
      <c r="Y93" s="99"/>
      <c r="Z93" s="99"/>
      <c r="AA93" s="99"/>
      <c r="AB93" s="99"/>
      <c r="AC93" s="99"/>
      <c r="AD93" s="99"/>
      <c r="AE93" s="100"/>
      <c r="AF93" s="101"/>
      <c r="AG93" s="101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</row>
    <row r="94" spans="1:50" outlineLevel="1">
      <c r="G94" s="32"/>
      <c r="H94" s="32"/>
    </row>
    <row r="95" spans="1:50" outlineLevel="1">
      <c r="C95" s="67" t="s">
        <v>48</v>
      </c>
      <c r="D95" s="32" t="s">
        <v>7</v>
      </c>
      <c r="E95" s="32" t="s">
        <v>8</v>
      </c>
      <c r="F95" s="32" t="s">
        <v>22</v>
      </c>
      <c r="G95" s="32"/>
      <c r="H95" s="32"/>
      <c r="J95" s="163" t="str">
        <f t="shared" ref="J95:T95" si="47">IF(YEAR(J$4)&gt;=FPFirstYear,IF(YEAR(J$4)&lt;=FPLastYear,J$4,""),"")</f>
        <v/>
      </c>
      <c r="K95" s="163" t="str">
        <f t="shared" si="47"/>
        <v/>
      </c>
      <c r="L95" s="163" t="str">
        <f t="shared" si="47"/>
        <v/>
      </c>
      <c r="M95" s="163" t="str">
        <f t="shared" si="47"/>
        <v/>
      </c>
      <c r="N95" s="163" t="str">
        <f t="shared" si="47"/>
        <v/>
      </c>
      <c r="O95" s="163" t="str">
        <f t="shared" si="47"/>
        <v/>
      </c>
      <c r="P95" s="163">
        <f t="shared" si="47"/>
        <v>43617</v>
      </c>
      <c r="Q95" s="163">
        <f t="shared" si="47"/>
        <v>43983</v>
      </c>
      <c r="R95" s="163">
        <f t="shared" si="47"/>
        <v>44348</v>
      </c>
      <c r="S95" s="163">
        <f t="shared" si="47"/>
        <v>44713</v>
      </c>
      <c r="T95" s="163">
        <f t="shared" si="47"/>
        <v>45078</v>
      </c>
    </row>
    <row r="96" spans="1:50" outlineLevel="1">
      <c r="C96" s="111"/>
      <c r="G96" s="32"/>
      <c r="H96" s="32"/>
      <c r="K96" s="23"/>
      <c r="L96" s="23"/>
      <c r="M96" s="23"/>
      <c r="N96" s="23"/>
      <c r="O96" s="23"/>
    </row>
    <row r="97" spans="1:50" outlineLevel="1">
      <c r="C97" s="111" t="s">
        <v>48</v>
      </c>
      <c r="D97" s="30" t="s">
        <v>105</v>
      </c>
      <c r="E97" s="30" t="str">
        <f>percent</f>
        <v>Per cent</v>
      </c>
      <c r="F97" s="30" t="s">
        <v>36</v>
      </c>
      <c r="G97" s="32"/>
      <c r="H97" s="32"/>
      <c r="J97" s="207"/>
      <c r="K97" s="196"/>
      <c r="L97" s="196"/>
      <c r="M97" s="196"/>
      <c r="N97" s="196"/>
      <c r="O97" s="170"/>
      <c r="P97" s="170">
        <v>2E-3</v>
      </c>
      <c r="Q97" s="170">
        <v>2E-3</v>
      </c>
      <c r="R97" s="170">
        <v>2E-3</v>
      </c>
      <c r="S97" s="170">
        <v>2E-3</v>
      </c>
      <c r="T97" s="170">
        <v>2E-3</v>
      </c>
    </row>
    <row r="98" spans="1:50" outlineLevel="1">
      <c r="C98" s="111"/>
      <c r="G98" s="32"/>
      <c r="H98" s="32"/>
      <c r="J98" s="169"/>
      <c r="K98" s="23"/>
      <c r="L98" s="23"/>
      <c r="M98" s="23"/>
      <c r="N98" s="23"/>
      <c r="O98" s="23"/>
      <c r="P98" s="194"/>
      <c r="Q98" s="194"/>
      <c r="R98" s="194"/>
      <c r="S98" s="194"/>
      <c r="T98" s="194"/>
    </row>
    <row r="99" spans="1:50" outlineLevel="1">
      <c r="C99" s="29" t="s">
        <v>40</v>
      </c>
      <c r="D99" s="30" t="s">
        <v>102</v>
      </c>
      <c r="E99" s="30" t="s">
        <v>28</v>
      </c>
      <c r="F99" s="30" t="s">
        <v>36</v>
      </c>
      <c r="J99" s="132" t="str">
        <f t="shared" ref="J99:S99" si="48">IF(J95=J$4,IF(ISBLANK(J97),"Check","Ok"),"")</f>
        <v/>
      </c>
      <c r="K99" s="132" t="str">
        <f t="shared" si="48"/>
        <v/>
      </c>
      <c r="L99" s="132" t="str">
        <f t="shared" si="48"/>
        <v/>
      </c>
      <c r="M99" s="132" t="str">
        <f t="shared" si="48"/>
        <v/>
      </c>
      <c r="N99" s="132" t="str">
        <f t="shared" si="48"/>
        <v/>
      </c>
      <c r="O99" s="132" t="str">
        <f t="shared" si="48"/>
        <v/>
      </c>
      <c r="P99" s="132" t="str">
        <f t="shared" si="48"/>
        <v>Ok</v>
      </c>
      <c r="Q99" s="132" t="str">
        <f t="shared" si="48"/>
        <v>Ok</v>
      </c>
      <c r="R99" s="132" t="str">
        <f t="shared" si="48"/>
        <v>Ok</v>
      </c>
      <c r="S99" s="132" t="str">
        <f t="shared" si="48"/>
        <v>Ok</v>
      </c>
      <c r="T99" s="132" t="str">
        <f>IF(T95=T$4,IF(ISBLANK(T97),"Check","Ok"),"")</f>
        <v>Ok</v>
      </c>
      <c r="U99" s="24"/>
      <c r="W99" s="131" t="str">
        <f>IF(COUNTIF(J99:T99,"Check")=0,"Ok","Check")</f>
        <v>Ok</v>
      </c>
    </row>
    <row r="100" spans="1:50" outlineLevel="1">
      <c r="C100" s="111"/>
      <c r="G100" s="32"/>
      <c r="H100" s="32"/>
      <c r="K100" s="23"/>
      <c r="L100" s="23"/>
      <c r="M100" s="23"/>
      <c r="N100" s="23"/>
      <c r="O100" s="23"/>
    </row>
    <row r="101" spans="1:50" s="103" customFormat="1" ht="12.75">
      <c r="A101" s="94"/>
      <c r="B101" s="95" t="s">
        <v>21</v>
      </c>
      <c r="C101" s="94"/>
      <c r="D101" s="94"/>
      <c r="E101" s="94"/>
      <c r="F101" s="96"/>
      <c r="G101" s="96"/>
      <c r="H101" s="96"/>
      <c r="I101" s="96"/>
      <c r="J101" s="96"/>
      <c r="K101" s="97"/>
      <c r="L101" s="98"/>
      <c r="M101" s="97"/>
      <c r="N101" s="98"/>
      <c r="O101" s="97"/>
      <c r="P101" s="97"/>
      <c r="Q101" s="97"/>
      <c r="R101" s="97"/>
      <c r="S101" s="97"/>
      <c r="T101" s="97"/>
      <c r="U101" s="97"/>
      <c r="V101" s="97"/>
      <c r="W101" s="98"/>
      <c r="X101" s="99"/>
      <c r="Y101" s="99"/>
      <c r="Z101" s="99"/>
      <c r="AA101" s="99"/>
      <c r="AB101" s="99"/>
      <c r="AC101" s="99"/>
      <c r="AD101" s="99"/>
      <c r="AE101" s="100"/>
      <c r="AF101" s="101"/>
      <c r="AG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</row>
    <row r="102" spans="1:50" hidden="1"/>
    <row r="103" spans="1:50" hidden="1"/>
    <row r="104" spans="1:50" hidden="1"/>
    <row r="105" spans="1:50" hidden="1"/>
    <row r="106" spans="1:50" hidden="1"/>
    <row r="107" spans="1:50" hidden="1"/>
    <row r="108" spans="1:50" hidden="1"/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</sheetData>
  <mergeCells count="2">
    <mergeCell ref="K3:M3"/>
    <mergeCell ref="O3:T3"/>
  </mergeCells>
  <conditionalFormatting sqref="W1">
    <cfRule type="cellIs" dxfId="154" priority="104" operator="equal">
      <formula>"Check"</formula>
    </cfRule>
    <cfRule type="cellIs" dxfId="153" priority="105" operator="equal">
      <formula>"Ok"</formula>
    </cfRule>
  </conditionalFormatting>
  <conditionalFormatting sqref="T1">
    <cfRule type="cellIs" dxfId="152" priority="68" operator="equal">
      <formula>"Check"</formula>
    </cfRule>
    <cfRule type="cellIs" dxfId="151" priority="69" operator="equal">
      <formula>"Ok"</formula>
    </cfRule>
  </conditionalFormatting>
  <conditionalFormatting sqref="W58">
    <cfRule type="cellIs" dxfId="150" priority="56" operator="equal">
      <formula>"Check"</formula>
    </cfRule>
    <cfRule type="cellIs" dxfId="149" priority="57" operator="equal">
      <formula>"Ok"</formula>
    </cfRule>
  </conditionalFormatting>
  <conditionalFormatting sqref="W91">
    <cfRule type="cellIs" dxfId="148" priority="52" operator="equal">
      <formula>"Check"</formula>
    </cfRule>
    <cfRule type="cellIs" dxfId="147" priority="53" operator="equal">
      <formula>"Ok"</formula>
    </cfRule>
  </conditionalFormatting>
  <conditionalFormatting sqref="J58:T58">
    <cfRule type="cellIs" dxfId="146" priority="48" operator="equal">
      <formula>"Check"</formula>
    </cfRule>
    <cfRule type="cellIs" dxfId="145" priority="49" operator="equal">
      <formula>"Ok"</formula>
    </cfRule>
  </conditionalFormatting>
  <conditionalFormatting sqref="J34:T34">
    <cfRule type="expression" dxfId="144" priority="39">
      <formula>J$34=J$4</formula>
    </cfRule>
  </conditionalFormatting>
  <conditionalFormatting sqref="J39:R43 J36:T38">
    <cfRule type="expression" dxfId="143" priority="37">
      <formula>J$34=J$4</formula>
    </cfRule>
  </conditionalFormatting>
  <conditionalFormatting sqref="J49:T56">
    <cfRule type="expression" dxfId="142" priority="36">
      <formula>J$47=J$4</formula>
    </cfRule>
  </conditionalFormatting>
  <conditionalFormatting sqref="J97:T97">
    <cfRule type="expression" dxfId="141" priority="32">
      <formula>J$95=J$4</formula>
    </cfRule>
  </conditionalFormatting>
  <conditionalFormatting sqref="W99">
    <cfRule type="cellIs" dxfId="140" priority="30" operator="equal">
      <formula>"Check"</formula>
    </cfRule>
    <cfRule type="cellIs" dxfId="139" priority="31" operator="equal">
      <formula>"Ok"</formula>
    </cfRule>
  </conditionalFormatting>
  <conditionalFormatting sqref="J99:T99">
    <cfRule type="cellIs" dxfId="138" priority="28" operator="equal">
      <formula>"Check"</formula>
    </cfRule>
    <cfRule type="cellIs" dxfId="137" priority="29" operator="equal">
      <formula>"Ok"</formula>
    </cfRule>
  </conditionalFormatting>
  <conditionalFormatting sqref="W45">
    <cfRule type="cellIs" dxfId="136" priority="26" operator="equal">
      <formula>"Check"</formula>
    </cfRule>
    <cfRule type="cellIs" dxfId="135" priority="27" operator="equal">
      <formula>"Ok"</formula>
    </cfRule>
  </conditionalFormatting>
  <conditionalFormatting sqref="J45:T45">
    <cfRule type="cellIs" dxfId="134" priority="24" operator="equal">
      <formula>"Check"</formula>
    </cfRule>
    <cfRule type="cellIs" dxfId="133" priority="25" operator="equal">
      <formula>"Ok"</formula>
    </cfRule>
  </conditionalFormatting>
  <conditionalFormatting sqref="W71">
    <cfRule type="cellIs" dxfId="132" priority="22" operator="equal">
      <formula>"Check"</formula>
    </cfRule>
    <cfRule type="cellIs" dxfId="131" priority="23" operator="equal">
      <formula>"Ok"</formula>
    </cfRule>
  </conditionalFormatting>
  <conditionalFormatting sqref="J71:T71">
    <cfRule type="cellIs" dxfId="130" priority="20" operator="equal">
      <formula>"Check"</formula>
    </cfRule>
    <cfRule type="cellIs" dxfId="129" priority="21" operator="equal">
      <formula>"Ok"</formula>
    </cfRule>
  </conditionalFormatting>
  <conditionalFormatting sqref="J82:T82">
    <cfRule type="expression" dxfId="128" priority="18">
      <formula>J$82=J$4</formula>
    </cfRule>
  </conditionalFormatting>
  <conditionalFormatting sqref="J84:T89">
    <cfRule type="expression" dxfId="127" priority="17">
      <formula>J$82=J$4</formula>
    </cfRule>
  </conditionalFormatting>
  <conditionalFormatting sqref="J91:T91">
    <cfRule type="cellIs" dxfId="126" priority="15" operator="equal">
      <formula>"Check"</formula>
    </cfRule>
    <cfRule type="cellIs" dxfId="125" priority="16" operator="equal">
      <formula>"Ok"</formula>
    </cfRule>
  </conditionalFormatting>
  <conditionalFormatting sqref="J62:T62">
    <cfRule type="expression" dxfId="124" priority="14">
      <formula>J$62=J$4</formula>
    </cfRule>
  </conditionalFormatting>
  <conditionalFormatting sqref="J64:T65 J67:T69 J66:N66">
    <cfRule type="expression" dxfId="123" priority="12">
      <formula>J$62=J$4</formula>
    </cfRule>
  </conditionalFormatting>
  <conditionalFormatting sqref="J47:T47">
    <cfRule type="expression" dxfId="122" priority="9">
      <formula>J$34=J$4</formula>
    </cfRule>
  </conditionalFormatting>
  <conditionalFormatting sqref="J73:T73">
    <cfRule type="expression" dxfId="121" priority="8">
      <formula>J$34=J$4</formula>
    </cfRule>
  </conditionalFormatting>
  <conditionalFormatting sqref="J95:T95">
    <cfRule type="expression" dxfId="120" priority="7">
      <formula>J$34=J$4</formula>
    </cfRule>
  </conditionalFormatting>
  <conditionalFormatting sqref="J25:T30">
    <cfRule type="cellIs" dxfId="119" priority="5" operator="equal">
      <formula>0</formula>
    </cfRule>
  </conditionalFormatting>
  <conditionalFormatting sqref="J16:T21">
    <cfRule type="cellIs" dxfId="118" priority="4" operator="equal">
      <formula>0</formula>
    </cfRule>
  </conditionalFormatting>
  <conditionalFormatting sqref="S39:T43">
    <cfRule type="expression" dxfId="117" priority="2">
      <formula>S$34=S$4</formula>
    </cfRule>
  </conditionalFormatting>
  <conditionalFormatting sqref="O66:T66">
    <cfRule type="expression" dxfId="116" priority="1">
      <formula>O$62=O$4</formula>
    </cfRule>
  </conditionalFormatting>
  <dataValidations disablePrompts="1" count="1">
    <dataValidation type="list" allowBlank="1" showInputMessage="1" showErrorMessage="1" sqref="F100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>
      <selection activeCell="S1" sqref="S1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tr">
        <f>IF(COUNTA($W$8:$W$235)=COUNTIF($W$8:$W$235,"OK"),"OK","Check")</f>
        <v>OK</v>
      </c>
      <c r="U1" s="189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4"/>
      <c r="E3" s="184"/>
      <c r="F3" s="184"/>
      <c r="G3" s="184"/>
      <c r="H3" s="184"/>
      <c r="I3" s="184"/>
      <c r="J3" s="158" t="s">
        <v>131</v>
      </c>
      <c r="K3" s="173"/>
      <c r="L3" s="173"/>
      <c r="M3" s="184"/>
      <c r="N3" s="211"/>
      <c r="O3" s="211"/>
      <c r="P3" s="211"/>
      <c r="Q3" s="211"/>
      <c r="R3" s="211"/>
      <c r="S3" s="211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41791</v>
      </c>
      <c r="K4" s="156">
        <f>DATE(PPFirstYear+1,MONTH('Input|General'!$G$9),1)</f>
        <v>42156</v>
      </c>
      <c r="L4" s="156">
        <f>DATE(PPFirstYear+2,MONTH('Input|General'!$G$9),1)</f>
        <v>42522</v>
      </c>
      <c r="M4" s="156">
        <f>DATE(PPFirstYear+3,MONTH('Input|General'!$G$9),1)</f>
        <v>42887</v>
      </c>
      <c r="N4" s="156">
        <f>DATE(PPFirstYear+4,MONTH('Input|General'!$G$9),1)</f>
        <v>43252</v>
      </c>
      <c r="O4" s="156">
        <f>DATE(PPFirstYear+5,MONTH('Input|General'!$G$9),1)</f>
        <v>43617</v>
      </c>
      <c r="P4" s="156">
        <f>DATE(PPFirstYear+6,MONTH('Input|General'!$G$9),1)</f>
        <v>43983</v>
      </c>
      <c r="Q4" s="156">
        <f>DATE(PPFirstYear+7,MONTH('Input|General'!$G$9),1)</f>
        <v>44348</v>
      </c>
      <c r="R4" s="156">
        <f>DATE(PPFirstYear+8,MONTH('Input|General'!$G$9),1)</f>
        <v>44713</v>
      </c>
      <c r="S4" s="156">
        <f>DATE(PPFirstYear+9,MONTH('Input|General'!$G$9),1)</f>
        <v>45078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82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43617</v>
      </c>
      <c r="P10" s="163">
        <f t="shared" si="0"/>
        <v>43983</v>
      </c>
      <c r="Q10" s="163">
        <f t="shared" si="0"/>
        <v>44348</v>
      </c>
      <c r="R10" s="163">
        <f t="shared" si="0"/>
        <v>44713</v>
      </c>
      <c r="S10" s="163">
        <f t="shared" si="0"/>
        <v>45078</v>
      </c>
    </row>
    <row r="11" spans="1:47" outlineLevel="1">
      <c r="G11" s="32"/>
      <c r="H11" s="32"/>
    </row>
    <row r="12" spans="1:47" outlineLevel="1">
      <c r="C12" s="61"/>
      <c r="D12" s="30" t="s">
        <v>72</v>
      </c>
      <c r="E12" s="150" t="s">
        <v>15</v>
      </c>
      <c r="F12" s="172">
        <v>43252</v>
      </c>
      <c r="G12" s="32"/>
      <c r="H12" s="32"/>
      <c r="J12" s="152"/>
      <c r="K12" s="152"/>
      <c r="L12" s="152"/>
      <c r="M12" s="152"/>
      <c r="N12" s="152"/>
      <c r="O12" s="171"/>
      <c r="P12" s="171"/>
      <c r="Q12" s="171"/>
      <c r="R12" s="171"/>
      <c r="S12" s="171"/>
    </row>
    <row r="13" spans="1:47" outlineLevel="1">
      <c r="C13" s="61"/>
      <c r="D13" s="30" t="s">
        <v>72</v>
      </c>
      <c r="E13" s="150" t="s">
        <v>15</v>
      </c>
      <c r="F13" s="172">
        <v>43252</v>
      </c>
      <c r="G13" s="32"/>
      <c r="H13" s="32"/>
      <c r="J13" s="152"/>
      <c r="K13" s="152"/>
      <c r="L13" s="152"/>
      <c r="M13" s="152"/>
      <c r="N13" s="152"/>
      <c r="O13" s="171"/>
      <c r="P13" s="171"/>
      <c r="Q13" s="171"/>
      <c r="R13" s="171"/>
      <c r="S13" s="171"/>
    </row>
    <row r="14" spans="1:47" outlineLevel="1">
      <c r="C14" s="61"/>
      <c r="D14" s="30" t="s">
        <v>72</v>
      </c>
      <c r="E14" s="150" t="s">
        <v>15</v>
      </c>
      <c r="F14" s="172">
        <v>43252</v>
      </c>
      <c r="G14" s="32"/>
      <c r="H14" s="32"/>
      <c r="J14" s="152"/>
      <c r="K14" s="152"/>
      <c r="L14" s="152"/>
      <c r="M14" s="152"/>
      <c r="N14" s="152"/>
      <c r="O14" s="171"/>
      <c r="P14" s="171"/>
      <c r="Q14" s="171"/>
      <c r="R14" s="171"/>
      <c r="S14" s="171"/>
    </row>
    <row r="15" spans="1:47" outlineLevel="1">
      <c r="C15" s="61"/>
      <c r="D15" s="30" t="s">
        <v>72</v>
      </c>
      <c r="E15" s="150" t="s">
        <v>15</v>
      </c>
      <c r="F15" s="172">
        <v>43252</v>
      </c>
      <c r="G15" s="32"/>
      <c r="H15" s="32"/>
      <c r="J15" s="152"/>
      <c r="K15" s="152"/>
      <c r="L15" s="152"/>
      <c r="M15" s="152"/>
      <c r="N15" s="152"/>
      <c r="O15" s="171"/>
      <c r="P15" s="171"/>
      <c r="Q15" s="171"/>
      <c r="R15" s="171"/>
      <c r="S15" s="171"/>
    </row>
    <row r="16" spans="1:47" outlineLevel="1">
      <c r="C16" s="61"/>
      <c r="D16" s="30" t="s">
        <v>72</v>
      </c>
      <c r="E16" s="150" t="s">
        <v>15</v>
      </c>
      <c r="F16" s="172">
        <v>43252</v>
      </c>
      <c r="G16" s="32"/>
      <c r="H16" s="32"/>
      <c r="J16" s="152"/>
      <c r="K16" s="152"/>
      <c r="L16" s="152"/>
      <c r="M16" s="152"/>
      <c r="N16" s="152"/>
      <c r="O16" s="171"/>
      <c r="P16" s="171"/>
      <c r="Q16" s="171"/>
      <c r="R16" s="171"/>
      <c r="S16" s="171"/>
    </row>
    <row r="17" spans="1:47" outlineLevel="1">
      <c r="C17" s="61"/>
      <c r="D17" s="30" t="s">
        <v>72</v>
      </c>
      <c r="E17" s="150" t="s">
        <v>15</v>
      </c>
      <c r="F17" s="172">
        <v>43252</v>
      </c>
      <c r="G17" s="32"/>
      <c r="H17" s="32"/>
      <c r="J17" s="152"/>
      <c r="K17" s="152"/>
      <c r="L17" s="152"/>
      <c r="M17" s="152"/>
      <c r="N17" s="152"/>
      <c r="O17" s="171"/>
      <c r="P17" s="171"/>
      <c r="Q17" s="171"/>
      <c r="R17" s="171"/>
      <c r="S17" s="171"/>
    </row>
    <row r="18" spans="1:47" outlineLevel="1">
      <c r="C18" s="61"/>
      <c r="D18" s="30" t="s">
        <v>72</v>
      </c>
      <c r="E18" s="150" t="s">
        <v>15</v>
      </c>
      <c r="F18" s="172">
        <v>43252</v>
      </c>
      <c r="G18" s="32"/>
      <c r="H18" s="32"/>
      <c r="J18" s="152"/>
      <c r="K18" s="152"/>
      <c r="L18" s="152"/>
      <c r="M18" s="152"/>
      <c r="N18" s="152"/>
      <c r="O18" s="171"/>
      <c r="P18" s="171"/>
      <c r="Q18" s="171"/>
      <c r="R18" s="171"/>
      <c r="S18" s="171"/>
    </row>
    <row r="19" spans="1:47" outlineLevel="1">
      <c r="C19" s="61"/>
      <c r="D19" s="30" t="s">
        <v>72</v>
      </c>
      <c r="E19" s="150" t="s">
        <v>15</v>
      </c>
      <c r="F19" s="172">
        <v>43252</v>
      </c>
      <c r="G19" s="32"/>
      <c r="H19" s="32"/>
      <c r="J19" s="152"/>
      <c r="K19" s="152"/>
      <c r="L19" s="152"/>
      <c r="M19" s="152"/>
      <c r="N19" s="152"/>
      <c r="O19" s="171"/>
      <c r="P19" s="171"/>
      <c r="Q19" s="171"/>
      <c r="R19" s="171"/>
      <c r="S19" s="171"/>
    </row>
    <row r="20" spans="1:47" outlineLevel="1">
      <c r="C20" s="61"/>
      <c r="D20" s="30" t="s">
        <v>72</v>
      </c>
      <c r="E20" s="150" t="s">
        <v>15</v>
      </c>
      <c r="F20" s="172">
        <v>43252</v>
      </c>
      <c r="G20" s="32"/>
      <c r="H20" s="32"/>
      <c r="J20" s="152"/>
      <c r="K20" s="152"/>
      <c r="L20" s="152"/>
      <c r="M20" s="152"/>
      <c r="N20" s="152"/>
      <c r="O20" s="171"/>
      <c r="P20" s="171"/>
      <c r="Q20" s="171"/>
      <c r="R20" s="171"/>
      <c r="S20" s="171"/>
    </row>
    <row r="21" spans="1:47" outlineLevel="1">
      <c r="G21" s="32"/>
      <c r="H21" s="32"/>
    </row>
    <row r="22" spans="1:47" outlineLevel="1">
      <c r="C22" s="29" t="s">
        <v>40</v>
      </c>
      <c r="D22" s="30" t="s">
        <v>102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127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117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43617</v>
      </c>
      <c r="P26" s="163">
        <f t="shared" si="2"/>
        <v>43983</v>
      </c>
      <c r="Q26" s="163">
        <f t="shared" si="2"/>
        <v>44348</v>
      </c>
      <c r="R26" s="163">
        <f t="shared" si="2"/>
        <v>44713</v>
      </c>
      <c r="S26" s="163">
        <f t="shared" si="2"/>
        <v>45078</v>
      </c>
    </row>
    <row r="27" spans="1:47" outlineLevel="1">
      <c r="G27" s="32"/>
      <c r="H27" s="32"/>
    </row>
    <row r="28" spans="1:47" outlineLevel="1">
      <c r="C28" s="61" t="s">
        <v>128</v>
      </c>
      <c r="D28" s="30" t="s">
        <v>72</v>
      </c>
      <c r="E28" s="150" t="s">
        <v>15</v>
      </c>
      <c r="F28" s="172">
        <v>43252</v>
      </c>
      <c r="G28" s="32"/>
      <c r="H28" s="32"/>
      <c r="J28" s="152"/>
      <c r="K28" s="152"/>
      <c r="L28" s="152"/>
      <c r="M28" s="152"/>
      <c r="N28" s="171"/>
      <c r="O28" s="171">
        <f>-'Input|Reported opex'!$L$49*'Input|Rate of change'!$M$30</f>
        <v>8.3733329167721067</v>
      </c>
      <c r="P28" s="171">
        <f>-'Input|Reported opex'!$L$49*'Input|Rate of change'!$M$30</f>
        <v>8.3733329167721067</v>
      </c>
      <c r="Q28" s="171">
        <f>-'Input|Reported opex'!$L$49*'Input|Rate of change'!$M$30</f>
        <v>8.3733329167721067</v>
      </c>
      <c r="R28" s="171">
        <f>-'Input|Reported opex'!$L$49*'Input|Rate of change'!$M$30</f>
        <v>8.3733329167721067</v>
      </c>
      <c r="S28" s="171">
        <f>-'Input|Reported opex'!$L$49*'Input|Rate of change'!$M$30</f>
        <v>8.3733329167721067</v>
      </c>
    </row>
    <row r="29" spans="1:47" outlineLevel="1">
      <c r="C29" s="61"/>
      <c r="D29" s="30" t="s">
        <v>72</v>
      </c>
      <c r="E29" s="150" t="s">
        <v>15</v>
      </c>
      <c r="F29" s="172">
        <v>43252</v>
      </c>
      <c r="G29" s="32"/>
      <c r="H29" s="32"/>
      <c r="J29" s="152"/>
      <c r="K29" s="152"/>
      <c r="L29" s="152"/>
      <c r="M29" s="152"/>
      <c r="N29" s="171"/>
      <c r="O29" s="171"/>
      <c r="P29" s="171"/>
      <c r="Q29" s="171"/>
      <c r="R29" s="171"/>
      <c r="S29" s="171"/>
    </row>
    <row r="30" spans="1:47" outlineLevel="1">
      <c r="C30" s="61"/>
      <c r="D30" s="30" t="s">
        <v>72</v>
      </c>
      <c r="E30" s="150" t="s">
        <v>15</v>
      </c>
      <c r="F30" s="172">
        <v>43252</v>
      </c>
      <c r="G30" s="32"/>
      <c r="H30" s="32"/>
      <c r="J30" s="152"/>
      <c r="K30" s="152"/>
      <c r="L30" s="152"/>
      <c r="M30" s="152"/>
      <c r="N30" s="171"/>
      <c r="O30" s="171"/>
      <c r="P30" s="171"/>
      <c r="Q30" s="171"/>
      <c r="R30" s="171"/>
      <c r="S30" s="171"/>
    </row>
    <row r="31" spans="1:47" outlineLevel="1">
      <c r="G31" s="32"/>
      <c r="H31" s="32"/>
    </row>
    <row r="32" spans="1:47" outlineLevel="1">
      <c r="C32" s="29" t="s">
        <v>40</v>
      </c>
      <c r="D32" s="30" t="s">
        <v>102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43617</v>
      </c>
      <c r="P36" s="163">
        <f t="shared" si="4"/>
        <v>43983</v>
      </c>
      <c r="Q36" s="163">
        <f t="shared" si="4"/>
        <v>44348</v>
      </c>
      <c r="R36" s="163">
        <f t="shared" si="4"/>
        <v>44713</v>
      </c>
      <c r="S36" s="163">
        <f t="shared" si="4"/>
        <v>45078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75</v>
      </c>
      <c r="E38" s="30" t="s">
        <v>15</v>
      </c>
      <c r="F38" s="172">
        <v>43252</v>
      </c>
      <c r="G38" s="32"/>
      <c r="H38" s="32"/>
      <c r="J38" s="171"/>
      <c r="K38" s="171"/>
      <c r="L38" s="171"/>
      <c r="M38" s="171"/>
      <c r="N38" s="171"/>
      <c r="O38" s="171">
        <v>1.2785139267346306</v>
      </c>
      <c r="P38" s="171">
        <v>1.2757420542980369</v>
      </c>
      <c r="Q38" s="171">
        <v>1.2656058832298536</v>
      </c>
      <c r="R38" s="171">
        <v>1.2587774723891625</v>
      </c>
      <c r="S38" s="171">
        <v>1.2473246346296596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102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5" priority="28" operator="equal">
      <formula>"Check"</formula>
    </cfRule>
    <cfRule type="cellIs" dxfId="114" priority="29" operator="equal">
      <formula>"Ok"</formula>
    </cfRule>
  </conditionalFormatting>
  <conditionalFormatting sqref="V1">
    <cfRule type="cellIs" dxfId="113" priority="30" operator="equal">
      <formula>"Check"</formula>
    </cfRule>
    <cfRule type="cellIs" dxfId="112" priority="31" operator="equal">
      <formula>"Ok"</formula>
    </cfRule>
  </conditionalFormatting>
  <conditionalFormatting sqref="J10:S10">
    <cfRule type="expression" dxfId="111" priority="26">
      <formula>J$10=J$4</formula>
    </cfRule>
  </conditionalFormatting>
  <conditionalFormatting sqref="J12:S20">
    <cfRule type="expression" dxfId="110" priority="25">
      <formula>J$10=J$4</formula>
    </cfRule>
  </conditionalFormatting>
  <conditionalFormatting sqref="W22">
    <cfRule type="cellIs" dxfId="109" priority="21" operator="equal">
      <formula>"Check"</formula>
    </cfRule>
    <cfRule type="cellIs" dxfId="108" priority="22" operator="equal">
      <formula>"Ok"</formula>
    </cfRule>
  </conditionalFormatting>
  <conditionalFormatting sqref="J22:T22">
    <cfRule type="cellIs" dxfId="107" priority="19" operator="equal">
      <formula>"Check"</formula>
    </cfRule>
    <cfRule type="cellIs" dxfId="106" priority="20" operator="equal">
      <formula>"Ok"</formula>
    </cfRule>
  </conditionalFormatting>
  <conditionalFormatting sqref="W32">
    <cfRule type="cellIs" dxfId="105" priority="17" operator="equal">
      <formula>"Check"</formula>
    </cfRule>
    <cfRule type="cellIs" dxfId="104" priority="18" operator="equal">
      <formula>"Ok"</formula>
    </cfRule>
  </conditionalFormatting>
  <conditionalFormatting sqref="J32:T32">
    <cfRule type="cellIs" dxfId="103" priority="15" operator="equal">
      <formula>"Check"</formula>
    </cfRule>
    <cfRule type="cellIs" dxfId="102" priority="16" operator="equal">
      <formula>"Ok"</formula>
    </cfRule>
  </conditionalFormatting>
  <conditionalFormatting sqref="J28:M30 O29:S30">
    <cfRule type="expression" dxfId="101" priority="14">
      <formula>J$26=J$4</formula>
    </cfRule>
  </conditionalFormatting>
  <conditionalFormatting sqref="W40">
    <cfRule type="cellIs" dxfId="100" priority="12" operator="equal">
      <formula>"Check"</formula>
    </cfRule>
    <cfRule type="cellIs" dxfId="99" priority="13" operator="equal">
      <formula>"Ok"</formula>
    </cfRule>
  </conditionalFormatting>
  <conditionalFormatting sqref="J40:T40">
    <cfRule type="cellIs" dxfId="98" priority="10" operator="equal">
      <formula>"Check"</formula>
    </cfRule>
    <cfRule type="cellIs" dxfId="97" priority="11" operator="equal">
      <formula>"Ok"</formula>
    </cfRule>
  </conditionalFormatting>
  <conditionalFormatting sqref="N28:N30">
    <cfRule type="expression" dxfId="96" priority="8">
      <formula>N$10=N$4</formula>
    </cfRule>
  </conditionalFormatting>
  <conditionalFormatting sqref="J38:N38">
    <cfRule type="expression" dxfId="95" priority="5">
      <formula>J$36=J$4</formula>
    </cfRule>
  </conditionalFormatting>
  <conditionalFormatting sqref="J26:S26">
    <cfRule type="expression" dxfId="94" priority="4">
      <formula>J$10=J$4</formula>
    </cfRule>
  </conditionalFormatting>
  <conditionalFormatting sqref="J36:S36">
    <cfRule type="expression" dxfId="93" priority="3">
      <formula>J$10=J$4</formula>
    </cfRule>
  </conditionalFormatting>
  <conditionalFormatting sqref="O28:S28">
    <cfRule type="expression" dxfId="92" priority="2">
      <formula>O$10=O$4</formula>
    </cfRule>
  </conditionalFormatting>
  <conditionalFormatting sqref="O38:S38">
    <cfRule type="expression" dxfId="91" priority="1">
      <formula>O$36=O$4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topLeftCell="A70" workbookViewId="0">
      <selection activeCell="V1" sqref="V1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">
        <v>36</v>
      </c>
      <c r="U1" s="189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4"/>
      <c r="E3" s="184"/>
      <c r="F3" s="184"/>
      <c r="G3" s="184"/>
      <c r="H3" s="184"/>
      <c r="I3" s="184"/>
      <c r="J3" s="173" t="s">
        <v>131</v>
      </c>
      <c r="K3" s="173"/>
      <c r="L3" s="173"/>
      <c r="M3" s="184"/>
      <c r="N3" s="211"/>
      <c r="O3" s="211"/>
      <c r="P3" s="211"/>
      <c r="Q3" s="211"/>
      <c r="R3" s="211"/>
      <c r="S3" s="211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41791</v>
      </c>
      <c r="K4" s="156">
        <f>DATE(PPFirstYear+1,MONTH('Input|General'!$G$9),1)</f>
        <v>42156</v>
      </c>
      <c r="L4" s="156">
        <f>DATE(PPFirstYear+2,MONTH('Input|General'!$G$9),1)</f>
        <v>42522</v>
      </c>
      <c r="M4" s="156">
        <f>DATE(PPFirstYear+3,MONTH('Input|General'!$G$9),1)</f>
        <v>42887</v>
      </c>
      <c r="N4" s="156">
        <f>DATE(PPFirstYear+4,MONTH('Input|General'!$G$9),1)</f>
        <v>43252</v>
      </c>
      <c r="O4" s="156">
        <f>DATE(PPFirstYear+5,MONTH('Input|General'!$G$9),1)</f>
        <v>43617</v>
      </c>
      <c r="P4" s="156">
        <f>DATE(PPFirstYear+6,MONTH('Input|General'!$G$9),1)</f>
        <v>43983</v>
      </c>
      <c r="Q4" s="156">
        <f>DATE(PPFirstYear+7,MONTH('Input|General'!$G$9),1)</f>
        <v>44348</v>
      </c>
      <c r="R4" s="156">
        <f>DATE(PPFirstYear+8,MONTH('Input|General'!$G$9),1)</f>
        <v>44713</v>
      </c>
      <c r="S4" s="156">
        <f>DATE(PPFirstYear+9,MONTH('Input|General'!$G$9),1)</f>
        <v>45078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89</v>
      </c>
      <c r="C8" s="94"/>
      <c r="D8" s="94"/>
      <c r="E8" s="68" t="s">
        <v>15</v>
      </c>
      <c r="F8" s="174">
        <v>43252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41791</v>
      </c>
      <c r="K10" s="163">
        <f t="shared" si="0"/>
        <v>42156</v>
      </c>
      <c r="L10" s="163">
        <f t="shared" si="0"/>
        <v>42522</v>
      </c>
      <c r="M10" s="163">
        <f t="shared" si="0"/>
        <v>42887</v>
      </c>
      <c r="N10" s="163">
        <f t="shared" si="0"/>
        <v>43252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175</v>
      </c>
      <c r="D12" s="108" t="s">
        <v>95</v>
      </c>
      <c r="E12" s="30" t="str">
        <f>'Input|Reported opex'!E53</f>
        <v>$millions</v>
      </c>
      <c r="F12" s="161" t="str">
        <f>'Input|Reported opex'!F53</f>
        <v>nominal</v>
      </c>
      <c r="J12" s="109">
        <f>IF(YEAR(J$4)=BaseYear,'Input|Reported opex'!J44,0)</f>
        <v>0</v>
      </c>
      <c r="K12" s="109">
        <f>IF(YEAR(K$4)=BaseYear,'Input|Reported opex'!K44,0)</f>
        <v>0</v>
      </c>
      <c r="L12" s="109">
        <f>IF(YEAR(L$4)=BaseYear,'Input|Reported opex'!L44,0)</f>
        <v>84.18587886051597</v>
      </c>
      <c r="M12" s="109">
        <f>IF(YEAR(M$4)=BaseYear,'Input|Reported opex'!M44,0)</f>
        <v>0</v>
      </c>
      <c r="N12" s="109">
        <f>IF(YEAR(N$4)=BaseYear,'Input|Reported opex'!N44,0)</f>
        <v>0</v>
      </c>
      <c r="O12" s="109">
        <f>IF(YEAR(O$4)=BaseYear,'Input|Reported opex'!O44,0)</f>
        <v>0</v>
      </c>
      <c r="P12" s="109">
        <f>IF(YEAR(P$4)=BaseYear,'Input|Reported opex'!P44,0)</f>
        <v>0</v>
      </c>
      <c r="Q12" s="109">
        <f>IF(YEAR(Q$4)=BaseYear,'Input|Reported opex'!Q44,0)</f>
        <v>0</v>
      </c>
      <c r="R12" s="109">
        <f>IF(YEAR(R$4)=BaseYear,'Input|Reported opex'!R44,0)</f>
        <v>0</v>
      </c>
      <c r="S12" s="109">
        <f>IF(YEAR(S$4)=BaseYear,'Input|Reported opex'!S44,0)</f>
        <v>0</v>
      </c>
    </row>
    <row r="13" spans="1:47" outlineLevel="1">
      <c r="C13" s="106" t="s">
        <v>175</v>
      </c>
      <c r="D13" s="110" t="s">
        <v>30</v>
      </c>
      <c r="E13" s="30" t="str">
        <f>$E$8</f>
        <v>$millions</v>
      </c>
      <c r="F13" s="161">
        <f>$F$8</f>
        <v>43252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87.13428808283652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176</v>
      </c>
      <c r="D14" s="108" t="s">
        <v>95</v>
      </c>
      <c r="E14" s="30" t="str">
        <f>'Input|Reported opex'!E15</f>
        <v>$millions</v>
      </c>
      <c r="F14" s="161">
        <f>'Input|Reported opex'!F15</f>
        <v>41426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84.332483989649205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176</v>
      </c>
      <c r="D15" s="110" t="s">
        <v>30</v>
      </c>
      <c r="E15" s="30" t="str">
        <f>$E$8</f>
        <v>$millions</v>
      </c>
      <c r="F15" s="161">
        <f>$F$8</f>
        <v>43252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92.856586694079624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177</v>
      </c>
      <c r="D16" s="108" t="s">
        <v>95</v>
      </c>
      <c r="E16" s="30" t="str">
        <f>'Input|Reported opex'!E15</f>
        <v>$millions</v>
      </c>
      <c r="F16" s="161">
        <f>'Input|Reported opex'!F15</f>
        <v>41426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89.215412080194113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177</v>
      </c>
      <c r="D17" s="110" t="s">
        <v>30</v>
      </c>
      <c r="E17" s="30" t="str">
        <f>$E$8</f>
        <v>$millions</v>
      </c>
      <c r="F17" s="161">
        <f>$F$8</f>
        <v>43252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98.233068141208463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178</v>
      </c>
      <c r="D19" s="108" t="s">
        <v>95</v>
      </c>
      <c r="E19" s="30" t="str">
        <f>'Input|Reported opex'!E60</f>
        <v>$millions</v>
      </c>
      <c r="F19" s="161" t="str">
        <f>'Input|Reported opex'!$F$53</f>
        <v>nominal</v>
      </c>
      <c r="J19" s="109">
        <f>IF(YEAR(J$4)=BaseYear,'Input|Reported opex'!J53,0)</f>
        <v>0</v>
      </c>
      <c r="K19" s="109">
        <f>IF(YEAR(K$4)=BaseYear,'Input|Reported opex'!K53,0)</f>
        <v>0</v>
      </c>
      <c r="L19" s="109">
        <f>IF(YEAR(L$4)=BaseYear,'Input|Reported opex'!L53,0)</f>
        <v>-8.09</v>
      </c>
      <c r="M19" s="109">
        <f>IF(YEAR(M$4)=BaseYear,'Input|Reported opex'!M53,0)</f>
        <v>0</v>
      </c>
      <c r="N19" s="109">
        <f>IF(YEAR(N$4)=BaseYear,'Input|Reported opex'!N53,0)</f>
        <v>0</v>
      </c>
      <c r="O19" s="109">
        <f>IF(YEAR(O$4)=BaseYear,'Input|Reported opex'!O53,0)</f>
        <v>0</v>
      </c>
      <c r="P19" s="109">
        <f>IF(YEAR(P$4)=BaseYear,'Input|Reported opex'!P53,0)</f>
        <v>0</v>
      </c>
      <c r="Q19" s="109">
        <f>IF(YEAR(Q$4)=BaseYear,'Input|Reported opex'!Q53,0)</f>
        <v>0</v>
      </c>
      <c r="R19" s="109">
        <f>IF(YEAR(R$4)=BaseYear,'Input|Reported opex'!R53,0)</f>
        <v>0</v>
      </c>
      <c r="S19" s="109">
        <f>IF(YEAR(S$4)=BaseYear,'Input|Reported opex'!S53,0)</f>
        <v>0</v>
      </c>
    </row>
    <row r="20" spans="3:19" outlineLevel="1">
      <c r="C20" s="106" t="s">
        <v>178</v>
      </c>
      <c r="D20" s="110" t="s">
        <v>30</v>
      </c>
      <c r="E20" s="30" t="str">
        <f>$E$8</f>
        <v>$millions</v>
      </c>
      <c r="F20" s="161">
        <f>$F$8</f>
        <v>43252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-8.3733329167721067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179</v>
      </c>
      <c r="D21" s="108" t="s">
        <v>95</v>
      </c>
      <c r="E21" s="30" t="str">
        <f>'Input|Reported opex'!E22</f>
        <v>$millions</v>
      </c>
      <c r="F21" s="161">
        <f>'Input|Reported opex'!$F$29</f>
        <v>41426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-9.5633901498722764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179</v>
      </c>
      <c r="D22" s="110" t="s">
        <v>30</v>
      </c>
      <c r="E22" s="30" t="str">
        <f>$E$8</f>
        <v>$millions</v>
      </c>
      <c r="F22" s="161">
        <f>$F$8</f>
        <v>43252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-10.530032136251512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180</v>
      </c>
      <c r="D23" s="108" t="s">
        <v>95</v>
      </c>
      <c r="E23" s="30" t="str">
        <f>'Input|Reported opex'!E22</f>
        <v>$millions</v>
      </c>
      <c r="F23" s="161">
        <f>'Input|Reported opex'!$F$29</f>
        <v>41426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-9.973806532599415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180</v>
      </c>
      <c r="D24" s="110" t="s">
        <v>30</v>
      </c>
      <c r="E24" s="30" t="str">
        <f>$E$8</f>
        <v>$millions</v>
      </c>
      <c r="F24" s="161">
        <f>$F$8</f>
        <v>43252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-10.981932313033338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5"/>
      <c r="K25" s="175"/>
      <c r="L25" s="175"/>
      <c r="M25" s="175"/>
      <c r="N25" s="175"/>
      <c r="O25" s="175"/>
      <c r="P25" s="175"/>
      <c r="Q25" s="175"/>
      <c r="R25" s="175"/>
      <c r="S25" s="175"/>
    </row>
    <row r="26" spans="3:19" outlineLevel="1">
      <c r="C26" s="113" t="s">
        <v>149</v>
      </c>
      <c r="D26" s="114" t="s">
        <v>30</v>
      </c>
      <c r="E26" s="114" t="str">
        <f>$E$8</f>
        <v>$millions</v>
      </c>
      <c r="F26" s="161">
        <f>$F$8</f>
        <v>43252</v>
      </c>
      <c r="J26" s="115">
        <f>J13</f>
        <v>0</v>
      </c>
      <c r="K26" s="115">
        <f t="shared" ref="K26:S26" si="1">K13</f>
        <v>0</v>
      </c>
      <c r="L26" s="115">
        <f t="shared" si="1"/>
        <v>87.13428808283652</v>
      </c>
      <c r="M26" s="115">
        <f t="shared" si="1"/>
        <v>0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172</v>
      </c>
      <c r="D28" s="108" t="s">
        <v>95</v>
      </c>
      <c r="E28" s="110" t="str">
        <f>'Input|Reported opex'!E65</f>
        <v>$millions</v>
      </c>
      <c r="F28" s="161">
        <f>'Input|Reported opex'!F65</f>
        <v>43252</v>
      </c>
      <c r="J28" s="115">
        <f>IF('Input|Reported opex'!J$57='Input|Reported opex'!J$10,'Input|Reported opex'!J65,0)</f>
        <v>0</v>
      </c>
      <c r="K28" s="115">
        <f>IF('Input|Reported opex'!K$57='Input|Reported opex'!K$10,'Input|Reported opex'!K65,0)</f>
        <v>0</v>
      </c>
      <c r="L28" s="115">
        <f>IF('Input|Reported opex'!L$57='Input|Reported opex'!L$10,'Input|Reported opex'!L65,0)</f>
        <v>0</v>
      </c>
      <c r="M28" s="115">
        <f>IF('Input|Reported opex'!M$57='Input|Reported opex'!M$10,'Input|Reported opex'!M65,0)</f>
        <v>0</v>
      </c>
      <c r="N28" s="115">
        <f>IF('Input|Reported opex'!N$57='Input|Reported opex'!N$10,'Input|Reported opex'!N65,0)</f>
        <v>0</v>
      </c>
      <c r="O28" s="115">
        <f>IF('Input|Reported opex'!O$57='Input|Reported opex'!O$10,'Input|Reported opex'!O65,0)</f>
        <v>0</v>
      </c>
      <c r="P28" s="115">
        <f>IF('Input|Reported opex'!P$57='Input|Reported opex'!P$10,'Input|Reported opex'!P65,0)</f>
        <v>0</v>
      </c>
      <c r="Q28" s="115">
        <f>IF('Input|Reported opex'!Q$57='Input|Reported opex'!Q$10,'Input|Reported opex'!Q65,0)</f>
        <v>0</v>
      </c>
      <c r="R28" s="115">
        <f>IF('Input|Reported opex'!R$57='Input|Reported opex'!R$10,'Input|Reported opex'!R65,0)</f>
        <v>0</v>
      </c>
      <c r="S28" s="115">
        <f>IF('Input|Reported opex'!S$57='Input|Reported opex'!S$10,'Input|Reported opex'!S65,0)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43252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169</v>
      </c>
      <c r="D31" s="110" t="s">
        <v>30</v>
      </c>
      <c r="E31" s="110" t="str">
        <f>$E$8</f>
        <v>$millions</v>
      </c>
      <c r="F31" s="161">
        <f>$F$8</f>
        <v>43252</v>
      </c>
      <c r="G31" s="110"/>
      <c r="H31" s="110"/>
      <c r="I31" s="110"/>
      <c r="J31" s="179">
        <f t="shared" ref="J31:S31" si="2">IF(YEAR(J$4)=PPLastYear,-SUM($J15:$S15)+SUM($J17:$S17),0)</f>
        <v>0</v>
      </c>
      <c r="K31" s="179">
        <f t="shared" si="2"/>
        <v>0</v>
      </c>
      <c r="L31" s="179">
        <f t="shared" si="2"/>
        <v>0</v>
      </c>
      <c r="M31" s="179">
        <f t="shared" si="2"/>
        <v>0</v>
      </c>
      <c r="N31" s="179">
        <f t="shared" si="2"/>
        <v>5.3764814471288389</v>
      </c>
      <c r="O31" s="179">
        <f t="shared" si="2"/>
        <v>0</v>
      </c>
      <c r="P31" s="179">
        <f t="shared" si="2"/>
        <v>0</v>
      </c>
      <c r="Q31" s="179">
        <f t="shared" si="2"/>
        <v>0</v>
      </c>
      <c r="R31" s="179">
        <f t="shared" si="2"/>
        <v>0</v>
      </c>
      <c r="S31" s="179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9"/>
      <c r="K32" s="179"/>
      <c r="L32" s="179"/>
      <c r="M32" s="179"/>
      <c r="N32" s="179"/>
      <c r="O32" s="179"/>
      <c r="P32" s="179"/>
      <c r="Q32" s="179"/>
      <c r="R32" s="179"/>
      <c r="S32" s="179"/>
    </row>
    <row r="33" spans="3:19" outlineLevel="1">
      <c r="C33" s="123" t="s">
        <v>109</v>
      </c>
      <c r="D33" s="110" t="s">
        <v>30</v>
      </c>
      <c r="E33" s="110" t="str">
        <f>$E$8</f>
        <v>$millions</v>
      </c>
      <c r="F33" s="161">
        <f>$F$8</f>
        <v>43252</v>
      </c>
      <c r="J33" s="179">
        <f t="shared" ref="J33:S33" si="3">IF(YEAR(J$4)=PPLastYear,SUM($J26:$S26,$J29:$S29,$J31:$S31),0)</f>
        <v>0</v>
      </c>
      <c r="K33" s="179">
        <f t="shared" si="3"/>
        <v>0</v>
      </c>
      <c r="L33" s="179">
        <f t="shared" si="3"/>
        <v>0</v>
      </c>
      <c r="M33" s="179">
        <f t="shared" si="3"/>
        <v>0</v>
      </c>
      <c r="N33" s="179">
        <f t="shared" si="3"/>
        <v>92.510769529965359</v>
      </c>
      <c r="O33" s="179">
        <f t="shared" si="3"/>
        <v>0</v>
      </c>
      <c r="P33" s="179">
        <f t="shared" si="3"/>
        <v>0</v>
      </c>
      <c r="Q33" s="179">
        <f t="shared" si="3"/>
        <v>0</v>
      </c>
      <c r="R33" s="179">
        <f t="shared" si="3"/>
        <v>0</v>
      </c>
      <c r="S33" s="179">
        <f t="shared" si="3"/>
        <v>0</v>
      </c>
    </row>
    <row r="34" spans="3:19" outlineLevel="1">
      <c r="C34" s="123"/>
      <c r="D34" s="110"/>
      <c r="E34" s="110"/>
      <c r="F34" s="161"/>
      <c r="J34" s="179"/>
      <c r="K34" s="179"/>
      <c r="L34" s="179"/>
      <c r="M34" s="179"/>
      <c r="N34" s="179"/>
      <c r="O34" s="179"/>
      <c r="P34" s="179"/>
      <c r="Q34" s="179"/>
      <c r="R34" s="179"/>
      <c r="S34" s="179"/>
    </row>
    <row r="35" spans="3:19" outlineLevel="1">
      <c r="C35" s="123" t="s">
        <v>181</v>
      </c>
      <c r="D35" s="110" t="s">
        <v>30</v>
      </c>
      <c r="E35" s="110" t="str">
        <f>$E$8</f>
        <v>$millions</v>
      </c>
      <c r="F35" s="161">
        <f>$F$8</f>
        <v>43252</v>
      </c>
      <c r="J35" s="115">
        <f t="shared" ref="J35:S35" si="4">IF(YEAR(J$4)=PPLastYear,SUM($J20:$S20)-SUM($J22:$S22)+SUM($J24:$S24),0)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-8.8252330935539334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opex'!$C$59</f>
        <v>Adjustment 1</v>
      </c>
      <c r="D37" s="108" t="s">
        <v>95</v>
      </c>
      <c r="E37" s="110" t="str">
        <f>'Input|Reported opex'!E59</f>
        <v>$millions</v>
      </c>
      <c r="F37" s="161">
        <f>'Input|Reported opex'!F59</f>
        <v>43252</v>
      </c>
      <c r="J37" s="109">
        <f>IF(YEAR(J$4)=PPLastYear,'Input|Reported opex'!J59,0)</f>
        <v>0</v>
      </c>
      <c r="K37" s="109">
        <f>IF(YEAR(K$4)=PPLastYear,'Input|Reported opex'!K59,0)</f>
        <v>0</v>
      </c>
      <c r="L37" s="109">
        <f>IF(YEAR(L$4)=PPLastYear,'Input|Reported opex'!L59,0)</f>
        <v>0</v>
      </c>
      <c r="M37" s="109">
        <f>IF(YEAR(M$4)=PPLastYear,'Input|Reported opex'!M59,0)</f>
        <v>0</v>
      </c>
      <c r="N37" s="109">
        <f>IF(YEAR(N$4)=PPLastYear,'Input|Reported opex'!N59,0)</f>
        <v>0</v>
      </c>
      <c r="O37" s="109">
        <f>IF(YEAR(O$4)=PPLastYear,'Input|Reported opex'!O59,0)</f>
        <v>0</v>
      </c>
      <c r="P37" s="109">
        <f>IF(YEAR(P$4)=PPLastYear,'Input|Reported opex'!P59,0)</f>
        <v>0</v>
      </c>
      <c r="Q37" s="109">
        <f>IF(YEAR(Q$4)=PPLastYear,'Input|Reported opex'!Q59,0)</f>
        <v>0</v>
      </c>
      <c r="R37" s="109">
        <f>IF(YEAR(R$4)=PPLastYear,'Input|Reported opex'!R59,0)</f>
        <v>0</v>
      </c>
      <c r="S37" s="109">
        <f>IF(YEAR(S$4)=PPLastYear,'Input|Reported opex'!S59,0)</f>
        <v>0</v>
      </c>
    </row>
    <row r="38" spans="3:19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43252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opex'!$C$60</f>
        <v>Adjustment 2</v>
      </c>
      <c r="D40" s="108" t="s">
        <v>95</v>
      </c>
      <c r="E40" s="30" t="str">
        <f>'Input|Reported opex'!$E$60</f>
        <v>$millions</v>
      </c>
      <c r="F40" s="161">
        <f>'Input|Reported opex'!$F$60</f>
        <v>43252</v>
      </c>
      <c r="J40" s="109">
        <f>IF(YEAR(J$4)=PPLastYear,'Input|Reported opex'!J60,0)</f>
        <v>0</v>
      </c>
      <c r="K40" s="109">
        <f>IF(YEAR(K$4)=PPLastYear,'Input|Reported opex'!K60,0)</f>
        <v>0</v>
      </c>
      <c r="L40" s="109">
        <f>IF(YEAR(L$4)=PPLastYear,'Input|Reported opex'!L60,0)</f>
        <v>0</v>
      </c>
      <c r="M40" s="109">
        <f>IF(YEAR(M$4)=PPLastYear,'Input|Reported opex'!M60,0)</f>
        <v>0</v>
      </c>
      <c r="N40" s="109">
        <f>IF(YEAR(N$4)=PPLastYear,'Input|Reported opex'!N60,0)</f>
        <v>0</v>
      </c>
      <c r="O40" s="109">
        <f>IF(YEAR(O$4)=PPLastYear,'Input|Reported opex'!O60,0)</f>
        <v>0</v>
      </c>
      <c r="P40" s="109">
        <f>IF(YEAR(P$4)=PPLastYear,'Input|Reported opex'!P60,0)</f>
        <v>0</v>
      </c>
      <c r="Q40" s="109">
        <f>IF(YEAR(Q$4)=PPLastYear,'Input|Reported opex'!Q60,0)</f>
        <v>0</v>
      </c>
      <c r="R40" s="109">
        <f>IF(YEAR(R$4)=PPLastYear,'Input|Reported opex'!R60,0)</f>
        <v>0</v>
      </c>
      <c r="S40" s="109">
        <f>IF(YEAR(S$4)=PPLastYear,'Input|Reported opex'!S60,0)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43252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opex'!$C$61</f>
        <v>Adjustment 3</v>
      </c>
      <c r="D43" s="108" t="s">
        <v>95</v>
      </c>
      <c r="E43" s="30" t="str">
        <f>'Input|Reported opex'!$E$61</f>
        <v>$millions</v>
      </c>
      <c r="F43" s="161">
        <f>'Input|Reported opex'!$F$61</f>
        <v>43252</v>
      </c>
      <c r="J43" s="109">
        <f>IF(YEAR(J$4)=PPLastYear,'Input|Reported opex'!J61,0)</f>
        <v>0</v>
      </c>
      <c r="K43" s="109">
        <f>IF(YEAR(K$4)=PPLastYear,'Input|Reported opex'!K61,0)</f>
        <v>0</v>
      </c>
      <c r="L43" s="109">
        <f>IF(YEAR(L$4)=PPLastYear,'Input|Reported opex'!L61,0)</f>
        <v>0</v>
      </c>
      <c r="M43" s="109">
        <f>IF(YEAR(M$4)=PPLastYear,'Input|Reported opex'!M61,0)</f>
        <v>0</v>
      </c>
      <c r="N43" s="109">
        <f>IF(YEAR(N$4)=PPLastYear,'Input|Reported opex'!N61,0)</f>
        <v>0</v>
      </c>
      <c r="O43" s="109">
        <f>IF(YEAR(O$4)=PPLastYear,'Input|Reported opex'!O61,0)</f>
        <v>0</v>
      </c>
      <c r="P43" s="109">
        <f>IF(YEAR(P$4)=PPLastYear,'Input|Reported opex'!P61,0)</f>
        <v>0</v>
      </c>
      <c r="Q43" s="109">
        <f>IF(YEAR(Q$4)=PPLastYear,'Input|Reported opex'!Q61,0)</f>
        <v>0</v>
      </c>
      <c r="R43" s="109">
        <f>IF(YEAR(R$4)=PPLastYear,'Input|Reported opex'!R61,0)</f>
        <v>0</v>
      </c>
      <c r="S43" s="109">
        <f>IF(YEAR(S$4)=PPLastYear,'Input|Reported opex'!S61,0)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43252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opex'!$C$62</f>
        <v>Adjustment 4</v>
      </c>
      <c r="D46" s="108" t="s">
        <v>95</v>
      </c>
      <c r="E46" s="30" t="str">
        <f>'Input|Reported opex'!$E$62</f>
        <v>$millions</v>
      </c>
      <c r="F46" s="161">
        <f>'Input|Reported opex'!$F$62</f>
        <v>43252</v>
      </c>
      <c r="J46" s="109">
        <f>IF(YEAR(J$4)=PPLastYear,'Input|Reported opex'!J62,0)</f>
        <v>0</v>
      </c>
      <c r="K46" s="109">
        <f>IF(YEAR(K$4)=PPLastYear,'Input|Reported opex'!K62,0)</f>
        <v>0</v>
      </c>
      <c r="L46" s="109">
        <f>IF(YEAR(L$4)=PPLastYear,'Input|Reported opex'!L62,0)</f>
        <v>0</v>
      </c>
      <c r="M46" s="109">
        <f>IF(YEAR(M$4)=PPLastYear,'Input|Reported opex'!M62,0)</f>
        <v>0</v>
      </c>
      <c r="N46" s="109">
        <f>IF(YEAR(N$4)=PPLastYear,'Input|Reported opex'!N62,0)</f>
        <v>0</v>
      </c>
      <c r="O46" s="109">
        <f>IF(YEAR(O$4)=PPLastYear,'Input|Reported opex'!O62,0)</f>
        <v>0</v>
      </c>
      <c r="P46" s="109">
        <f>IF(YEAR(P$4)=PPLastYear,'Input|Reported opex'!P62,0)</f>
        <v>0</v>
      </c>
      <c r="Q46" s="109">
        <f>IF(YEAR(Q$4)=PPLastYear,'Input|Reported opex'!Q62,0)</f>
        <v>0</v>
      </c>
      <c r="R46" s="109">
        <f>IF(YEAR(R$4)=PPLastYear,'Input|Reported opex'!R62,0)</f>
        <v>0</v>
      </c>
      <c r="S46" s="109">
        <f>IF(YEAR(S$4)=PPLastYear,'Input|Reported opex'!S62,0)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43252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opex'!$C$63</f>
        <v>Adjustment 5</v>
      </c>
      <c r="D49" s="108" t="s">
        <v>95</v>
      </c>
      <c r="E49" s="30" t="str">
        <f>'Input|Reported opex'!$E$63</f>
        <v>$millions</v>
      </c>
      <c r="F49" s="161">
        <f>'Input|Reported opex'!$F$63</f>
        <v>43252</v>
      </c>
      <c r="J49" s="109">
        <f>IF(YEAR(J$4)=PPLastYear,'Input|Reported opex'!J63,0)</f>
        <v>0</v>
      </c>
      <c r="K49" s="109">
        <f>IF(YEAR(K$4)=PPLastYear,'Input|Reported opex'!K63,0)</f>
        <v>0</v>
      </c>
      <c r="L49" s="109">
        <f>IF(YEAR(L$4)=PPLastYear,'Input|Reported opex'!L63,0)</f>
        <v>0</v>
      </c>
      <c r="M49" s="109">
        <f>IF(YEAR(M$4)=PPLastYear,'Input|Reported opex'!M63,0)</f>
        <v>0</v>
      </c>
      <c r="N49" s="109">
        <f>IF(YEAR(N$4)=PPLastYear,'Input|Reported opex'!N63,0)</f>
        <v>0</v>
      </c>
      <c r="O49" s="109">
        <f>IF(YEAR(O$4)=PPLastYear,'Input|Reported opex'!O63,0)</f>
        <v>0</v>
      </c>
      <c r="P49" s="109">
        <f>IF(YEAR(P$4)=PPLastYear,'Input|Reported opex'!P63,0)</f>
        <v>0</v>
      </c>
      <c r="Q49" s="109">
        <f>IF(YEAR(Q$4)=PPLastYear,'Input|Reported opex'!Q63,0)</f>
        <v>0</v>
      </c>
      <c r="R49" s="109">
        <f>IF(YEAR(R$4)=PPLastYear,'Input|Reported opex'!R63,0)</f>
        <v>0</v>
      </c>
      <c r="S49" s="109">
        <f>IF(YEAR(S$4)=PPLastYear,'Input|Reported opex'!S63,0)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43252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92</v>
      </c>
      <c r="D52" s="110" t="s">
        <v>102</v>
      </c>
      <c r="E52" s="110" t="str">
        <f>$E$8</f>
        <v>$millions</v>
      </c>
      <c r="F52" s="161">
        <f>$F$8</f>
        <v>43252</v>
      </c>
      <c r="J52" s="115">
        <f>SUM(J33,J38,J41,J44,J47,J50)*'Input|Reported opex'!J67</f>
        <v>0</v>
      </c>
      <c r="K52" s="115">
        <f>SUM(K33,K38,K41,K44,K47,K50)*'Input|Reported opex'!K67</f>
        <v>0</v>
      </c>
      <c r="L52" s="115">
        <f>SUM(L33,L38,L41,L44,L47,L50)*'Input|Reported opex'!L67</f>
        <v>0</v>
      </c>
      <c r="M52" s="115">
        <f>SUM(M33,M38,M41,M44,M47,M50)*'Input|Reported opex'!M67</f>
        <v>0</v>
      </c>
      <c r="N52" s="115">
        <f>SUM(N33,N38,N41,N44,N47,N50)*'Input|Reported opex'!N67</f>
        <v>0</v>
      </c>
      <c r="O52" s="115">
        <f>SUM(O33,O38,O41,O44,O47,O50)*'Input|Reported opex'!O67</f>
        <v>0</v>
      </c>
      <c r="P52" s="115">
        <f>SUM(P33,P38,P41,P44,P47,P50)*'Input|Reported opex'!P67</f>
        <v>0</v>
      </c>
      <c r="Q52" s="115">
        <f>SUM(Q33,Q38,Q41,Q44,Q47,Q50)*'Input|Reported opex'!Q67</f>
        <v>0</v>
      </c>
      <c r="R52" s="115">
        <f>SUM(R33,R38,R41,R44,R47,R50)*'Input|Reported opex'!R67</f>
        <v>0</v>
      </c>
      <c r="S52" s="115">
        <f>SUM(S33,S38,S41,S44,S47,S50)*'Input|Reported opex'!S67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80" t="s">
        <v>182</v>
      </c>
      <c r="D54" s="112" t="s">
        <v>102</v>
      </c>
      <c r="E54" s="112" t="str">
        <f>$E$8</f>
        <v>$millions</v>
      </c>
      <c r="F54" s="181">
        <f>$F$8</f>
        <v>43252</v>
      </c>
      <c r="J54" s="179">
        <f>SUM(J33,J35,J38,J41,J44,J47,J50,J52)</f>
        <v>0</v>
      </c>
      <c r="K54" s="179">
        <f t="shared" ref="K54:S54" si="5">SUM(K33,K35,K38,K41,K44,K47,K50,K52)</f>
        <v>0</v>
      </c>
      <c r="L54" s="179">
        <f t="shared" si="5"/>
        <v>0</v>
      </c>
      <c r="M54" s="179">
        <f t="shared" si="5"/>
        <v>0</v>
      </c>
      <c r="N54" s="179">
        <f t="shared" si="5"/>
        <v>83.685536436411425</v>
      </c>
      <c r="O54" s="179">
        <f t="shared" si="5"/>
        <v>0</v>
      </c>
      <c r="P54" s="179">
        <f t="shared" si="5"/>
        <v>0</v>
      </c>
      <c r="Q54" s="179">
        <f t="shared" si="5"/>
        <v>0</v>
      </c>
      <c r="R54" s="179">
        <f t="shared" si="5"/>
        <v>0</v>
      </c>
      <c r="S54" s="179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90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43617</v>
      </c>
      <c r="P58" s="163">
        <f>IF(YEAR(P$4)&gt;='Input|General'!$G$13,IF(YEAR(P$4)&lt;='Input|General'!$G$14,P$4,""),"")</f>
        <v>43983</v>
      </c>
      <c r="Q58" s="163">
        <f>IF(YEAR(Q$4)&gt;='Input|General'!$G$13,IF(YEAR(Q$4)&lt;='Input|General'!$G$14,Q$4,""),"")</f>
        <v>44348</v>
      </c>
      <c r="R58" s="163">
        <f>IF(YEAR(R$4)&gt;='Input|General'!$G$13,IF(YEAR(R$4)&lt;='Input|General'!$G$14,R$4,""),"")</f>
        <v>44713</v>
      </c>
      <c r="S58" s="163">
        <f>IF(YEAR(S$4)&gt;='Input|General'!$G$13,IF(YEAR(S$4)&lt;='Input|General'!$G$14,S$4,""),"")</f>
        <v>45078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111</v>
      </c>
      <c r="D61" s="110" t="s">
        <v>30</v>
      </c>
      <c r="E61" s="30" t="s">
        <v>31</v>
      </c>
      <c r="F61" s="30" t="s">
        <v>36</v>
      </c>
      <c r="J61" s="117">
        <f>SUMPRODUCT('Input|Rate of change'!K75:K80,'Input|Rate of change'!$O$84:$O$89)</f>
        <v>0</v>
      </c>
      <c r="K61" s="117">
        <f>SUMPRODUCT('Input|Rate of change'!L75:L80,'Input|Rate of change'!$O$84:$O$89)</f>
        <v>0</v>
      </c>
      <c r="L61" s="117">
        <f>SUMPRODUCT('Input|Rate of change'!M75:M80,'Input|Rate of change'!$O$84:$O$89)</f>
        <v>0</v>
      </c>
      <c r="M61" s="117">
        <f>SUMPRODUCT('Input|Rate of change'!N75:N80,'Input|Rate of change'!$O$84:$O$89)</f>
        <v>0</v>
      </c>
      <c r="N61" s="117">
        <f>SUMPRODUCT('Input|Rate of change'!O75:O80,'Input|Rate of change'!$O$84:$O$89)</f>
        <v>0</v>
      </c>
      <c r="O61" s="117">
        <f>SUMPRODUCT('Input|Rate of change'!P75:P80,'Input|Rate of change'!$O$84:$O$89)</f>
        <v>2.3272862886420638E-3</v>
      </c>
      <c r="P61" s="117">
        <f>SUMPRODUCT('Input|Rate of change'!Q75:Q80,'Input|Rate of change'!$O$84:$O$89)</f>
        <v>2.5137345398806516E-3</v>
      </c>
      <c r="Q61" s="117">
        <f>SUMPRODUCT('Input|Rate of change'!R75:R80,'Input|Rate of change'!$O$84:$O$89)</f>
        <v>3.0076379737618169E-3</v>
      </c>
      <c r="R61" s="117">
        <f>SUMPRODUCT('Input|Rate of change'!S75:S80,'Input|Rate of change'!$O$84:$O$89)</f>
        <v>1.7140468879271609E-3</v>
      </c>
      <c r="S61" s="117">
        <f>SUMPRODUCT('Input|Rate of change'!T75:T80,'Input|Rate of change'!$O$84:$O$89)</f>
        <v>2.0456341731933205E-3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83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4.4481885180890704E-3</v>
      </c>
      <c r="P63" s="117">
        <f>SUMPRODUCT('Input|Rate of change'!Q36:Q43,'Input|Rate of change'!Q49:Q56)</f>
        <v>5.4755260890748851E-3</v>
      </c>
      <c r="Q63" s="117">
        <f>SUMPRODUCT('Input|Rate of change'!R36:R43,'Input|Rate of change'!R49:R56)</f>
        <v>6.1325675176291785E-3</v>
      </c>
      <c r="R63" s="117">
        <f>SUMPRODUCT('Input|Rate of change'!S36:S43,'Input|Rate of change'!S49:S56)</f>
        <v>7.4821536965953249E-3</v>
      </c>
      <c r="S63" s="117">
        <f>SUMPRODUCT('Input|Rate of change'!T36:T43,'Input|Rate of change'!T49:T56)</f>
        <v>7.9988239823821031E-3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106</v>
      </c>
      <c r="D65" s="110" t="s">
        <v>30</v>
      </c>
      <c r="E65" s="30" t="s">
        <v>31</v>
      </c>
      <c r="F65" s="30" t="s">
        <v>36</v>
      </c>
      <c r="J65" s="117">
        <f>'Input|Rate of change'!K97</f>
        <v>0</v>
      </c>
      <c r="K65" s="117">
        <f>'Input|Rate of change'!L97</f>
        <v>0</v>
      </c>
      <c r="L65" s="117">
        <f>'Input|Rate of change'!M97</f>
        <v>0</v>
      </c>
      <c r="M65" s="117">
        <f>'Input|Rate of change'!N97</f>
        <v>0</v>
      </c>
      <c r="N65" s="117">
        <f>'Input|Rate of change'!O97</f>
        <v>0</v>
      </c>
      <c r="O65" s="117">
        <f>'Input|Rate of change'!P97</f>
        <v>2E-3</v>
      </c>
      <c r="P65" s="117">
        <f>'Input|Rate of change'!Q97</f>
        <v>2E-3</v>
      </c>
      <c r="Q65" s="117">
        <f>'Input|Rate of change'!R97</f>
        <v>2E-3</v>
      </c>
      <c r="R65" s="117">
        <f>'Input|Rate of change'!S97</f>
        <v>2E-3</v>
      </c>
      <c r="S65" s="117">
        <f>'Input|Rate of change'!T97</f>
        <v>2E-3</v>
      </c>
    </row>
    <row r="66" spans="1:47" outlineLevel="1">
      <c r="C66" s="111"/>
      <c r="J66" s="175"/>
      <c r="K66" s="175"/>
      <c r="L66" s="175"/>
      <c r="M66" s="175"/>
      <c r="N66" s="175"/>
      <c r="O66" s="175"/>
      <c r="P66" s="175"/>
      <c r="Q66" s="175"/>
      <c r="R66" s="175"/>
      <c r="S66" s="175"/>
    </row>
    <row r="67" spans="1:47" outlineLevel="1">
      <c r="C67" s="118" t="s">
        <v>150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0</v>
      </c>
      <c r="M67" s="143">
        <f t="shared" si="6"/>
        <v>0</v>
      </c>
      <c r="N67" s="143">
        <f t="shared" si="6"/>
        <v>0</v>
      </c>
      <c r="O67" s="143">
        <f t="shared" si="6"/>
        <v>4.7722553608489093E-3</v>
      </c>
      <c r="P67" s="143">
        <f t="shared" si="6"/>
        <v>5.9870185987136448E-3</v>
      </c>
      <c r="Q67" s="143">
        <f t="shared" si="6"/>
        <v>7.1403327342649536E-3</v>
      </c>
      <c r="R67" s="143">
        <f t="shared" si="6"/>
        <v>7.1906072960874479E-3</v>
      </c>
      <c r="S67" s="143">
        <f t="shared" si="6"/>
        <v>8.0406991816126538E-3</v>
      </c>
    </row>
    <row r="68" spans="1:47" outlineLevel="1">
      <c r="C68" s="124" t="s">
        <v>151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ref="O68">IF(O$58=O$4,PRODUCT(1+$J67:O67)-1,"")</f>
        <v>4.7722553608489093E-3</v>
      </c>
      <c r="P68" s="117">
        <f t="array" ref="P68">IF(P$58=P$4,PRODUCT(1+$J67:P67)-1,"")</f>
        <v>1.0787845541165852E-2</v>
      </c>
      <c r="Q68" s="117">
        <f t="array" ref="Q68">IF(Q$58=Q$4,PRODUCT(1+$J67:Q67)-1,"")</f>
        <v>1.8005207082080643E-2</v>
      </c>
      <c r="R68" s="117">
        <f t="array" ref="R68">IF(R$58=R$4,PRODUCT(1+$J67:R67)-1,"")</f>
        <v>2.5325282751579969E-2</v>
      </c>
      <c r="S68" s="117">
        <f t="array" ref="S68">IF(S$58=S$4,PRODUCT(1+$J67:S67)-1,"")</f>
        <v>3.3569614913487422E-2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93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107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43617</v>
      </c>
      <c r="P72" s="163">
        <f>IF(YEAR(P$4)&gt;='Input|General'!$G$13,IF(YEAR(P$4)&lt;='Input|General'!$G$14,P$4,""),"")</f>
        <v>43983</v>
      </c>
      <c r="Q72" s="163">
        <f>IF(YEAR(Q$4)&gt;='Input|General'!$G$13,IF(YEAR(Q$4)&lt;='Input|General'!$G$14,Q$4,""),"")</f>
        <v>44348</v>
      </c>
      <c r="R72" s="163">
        <f>IF(YEAR(R$4)&gt;='Input|General'!$G$13,IF(YEAR(R$4)&lt;='Input|General'!$G$14,R$4,""),"")</f>
        <v>44713</v>
      </c>
      <c r="S72" s="163">
        <f>IF(YEAR(S$4)&gt;='Input|General'!$G$13,IF(YEAR(S$4)&lt;='Input|General'!$G$14,S$4,""),"")</f>
        <v>45078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>
        <f>'Input|Step changes'!C12</f>
        <v>0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43252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</row>
    <row r="75" spans="1:47" outlineLevel="1">
      <c r="C75" s="121">
        <f>'Input|Step changes'!C13</f>
        <v>0</v>
      </c>
      <c r="D75" s="110" t="s">
        <v>30</v>
      </c>
      <c r="E75" s="30" t="str">
        <f t="shared" si="7"/>
        <v>$millions</v>
      </c>
      <c r="F75" s="161">
        <f t="shared" si="8"/>
        <v>43252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43252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43252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43252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43252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43252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43252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43252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7"/>
      <c r="K83" s="177"/>
      <c r="L83" s="177"/>
      <c r="M83" s="177"/>
      <c r="N83" s="177"/>
      <c r="O83" s="177"/>
      <c r="P83" s="177"/>
      <c r="Q83" s="177"/>
      <c r="R83" s="177"/>
      <c r="S83" s="177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6">
        <f t="shared" si="8"/>
        <v>43252</v>
      </c>
      <c r="G84" s="32"/>
      <c r="H84" s="32"/>
      <c r="I84" s="32"/>
      <c r="J84" s="178">
        <f>SUM(J73:J83)</f>
        <v>0</v>
      </c>
      <c r="K84" s="178">
        <f t="shared" ref="K84:S84" si="9">SUM(K73:K83)</f>
        <v>0</v>
      </c>
      <c r="L84" s="178">
        <f t="shared" si="9"/>
        <v>0</v>
      </c>
      <c r="M84" s="178">
        <f t="shared" si="9"/>
        <v>0</v>
      </c>
      <c r="N84" s="178">
        <f t="shared" si="9"/>
        <v>0</v>
      </c>
      <c r="O84" s="178">
        <f t="shared" si="9"/>
        <v>0</v>
      </c>
      <c r="P84" s="178">
        <f t="shared" si="9"/>
        <v>0</v>
      </c>
      <c r="Q84" s="178">
        <f t="shared" si="9"/>
        <v>0</v>
      </c>
      <c r="R84" s="178">
        <f t="shared" si="9"/>
        <v>0</v>
      </c>
      <c r="S84" s="178">
        <f t="shared" si="9"/>
        <v>0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129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117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43617</v>
      </c>
      <c r="P88" s="163">
        <f>IF(YEAR(P$4)&gt;='Input|General'!$G$13,IF(YEAR(P$4)&lt;='Input|General'!$G$14,P$4,""),"")</f>
        <v>43983</v>
      </c>
      <c r="Q88" s="163">
        <f>IF(YEAR(Q$4)&gt;='Input|General'!$G$13,IF(YEAR(Q$4)&lt;='Input|General'!$G$14,Q$4,""),"")</f>
        <v>44348</v>
      </c>
      <c r="R88" s="163">
        <f>IF(YEAR(R$4)&gt;='Input|General'!$G$13,IF(YEAR(R$4)&lt;='Input|General'!$G$14,R$4,""),"")</f>
        <v>44713</v>
      </c>
      <c r="S88" s="163">
        <f>IF(YEAR(S$4)&gt;='Input|General'!$G$13,IF(YEAR(S$4)&lt;='Input|General'!$G$14,S$4,""),"")</f>
        <v>45078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 t="str">
        <f>'Input|Step changes'!C28</f>
        <v>Network support costs</v>
      </c>
      <c r="D90" s="110" t="s">
        <v>30</v>
      </c>
      <c r="E90" s="30" t="str">
        <f t="shared" si="7"/>
        <v>$millions</v>
      </c>
      <c r="F90" s="161">
        <f t="shared" ref="F90:F92" si="10">$F$8</f>
        <v>43252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8.3733329167721067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8.3733329167721067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8.3733329167721067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8.3733329167721067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8.3733329167721067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 t="shared" si="10"/>
        <v>43252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43252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130</v>
      </c>
      <c r="D94" s="122" t="s">
        <v>30</v>
      </c>
      <c r="E94" s="122" t="str">
        <f>$E$8</f>
        <v>$millions</v>
      </c>
      <c r="F94" s="176">
        <f t="shared" ref="F94" si="11">$F$8</f>
        <v>43252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8.3733329167721067</v>
      </c>
      <c r="P94" s="128">
        <f t="shared" si="12"/>
        <v>8.3733329167721067</v>
      </c>
      <c r="Q94" s="128">
        <f t="shared" si="12"/>
        <v>8.3733329167721067</v>
      </c>
      <c r="R94" s="128">
        <f t="shared" si="12"/>
        <v>8.3733329167721067</v>
      </c>
      <c r="S94" s="128">
        <f t="shared" si="12"/>
        <v>8.3733329167721067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94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43617</v>
      </c>
      <c r="P98" s="163">
        <f>IF(YEAR(P$4)&gt;='Input|General'!$G$13,IF(YEAR(P$4)&lt;='Input|General'!$G$14,P$4,""),"")</f>
        <v>43983</v>
      </c>
      <c r="Q98" s="163">
        <f>IF(YEAR(Q$4)&gt;='Input|General'!$G$13,IF(YEAR(Q$4)&lt;='Input|General'!$G$14,Q$4,""),"")</f>
        <v>44348</v>
      </c>
      <c r="R98" s="163">
        <f>IF(YEAR(R$4)&gt;='Input|General'!$G$13,IF(YEAR(R$4)&lt;='Input|General'!$G$14,R$4,""),"")</f>
        <v>44713</v>
      </c>
      <c r="S98" s="163">
        <f>IF(YEAR(S$4)&gt;='Input|General'!$G$13,IF(YEAR(S$4)&lt;='Input|General'!$G$14,S$4,""),"")</f>
        <v>45078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146</v>
      </c>
      <c r="D100" s="126" t="s">
        <v>30</v>
      </c>
      <c r="E100" s="126" t="str">
        <f>$E$8</f>
        <v>$millions</v>
      </c>
      <c r="F100" s="176">
        <f t="shared" ref="F100:F102" si="13">$F$8</f>
        <v>43252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si="14"/>
        <v>84.0849051862956</v>
      </c>
      <c r="P100" s="151">
        <f t="shared" si="14"/>
        <v>84.588323077517032</v>
      </c>
      <c r="Q100" s="151">
        <f t="shared" si="14"/>
        <v>85.192311849724021</v>
      </c>
      <c r="R100" s="151">
        <f t="shared" si="14"/>
        <v>85.804896308881197</v>
      </c>
      <c r="S100" s="151">
        <f t="shared" si="14"/>
        <v>86.49482766841038</v>
      </c>
    </row>
    <row r="101" spans="1:47" outlineLevel="1">
      <c r="C101" s="123" t="s">
        <v>112</v>
      </c>
      <c r="D101" s="126" t="s">
        <v>30</v>
      </c>
      <c r="E101" s="126" t="str">
        <f>$E$8</f>
        <v>$millions</v>
      </c>
      <c r="F101" s="176">
        <f t="shared" si="13"/>
        <v>43252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si="15"/>
        <v>92.458238103067714</v>
      </c>
      <c r="P101" s="151">
        <f t="shared" si="15"/>
        <v>92.961655994289146</v>
      </c>
      <c r="Q101" s="151">
        <f t="shared" si="15"/>
        <v>93.565644766496121</v>
      </c>
      <c r="R101" s="151">
        <f t="shared" si="15"/>
        <v>94.178229225653297</v>
      </c>
      <c r="S101" s="151">
        <f t="shared" si="15"/>
        <v>94.868160585182494</v>
      </c>
    </row>
    <row r="102" spans="1:47" outlineLevel="1">
      <c r="C102" s="123" t="s">
        <v>113</v>
      </c>
      <c r="D102" s="126" t="s">
        <v>30</v>
      </c>
      <c r="E102" s="126" t="str">
        <f>$E$8</f>
        <v>$millions</v>
      </c>
      <c r="F102" s="176">
        <f t="shared" si="13"/>
        <v>43252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>IF(YEAR(O$4)&gt;=FPFirstYear,IF(YEAR(O$4)&lt;=FPLastYear,O101+'Input|Step changes'!O38,""),"")</f>
        <v>93.736752029802346</v>
      </c>
      <c r="P102" s="151">
        <f>IF(YEAR(P$4)&gt;=FPFirstYear,IF(YEAR(P$4)&lt;=FPLastYear,P101+'Input|Step changes'!P38,""),"")</f>
        <v>94.237398048587181</v>
      </c>
      <c r="Q102" s="151">
        <f>IF(YEAR(Q$4)&gt;=FPFirstYear,IF(YEAR(Q$4)&lt;=FPLastYear,Q101+'Input|Step changes'!Q38,""),"")</f>
        <v>94.831250649725973</v>
      </c>
      <c r="R102" s="151">
        <f>IF(YEAR(R$4)&gt;=FPFirstYear,IF(YEAR(R$4)&lt;=FPLastYear,R101+'Input|Step changes'!R38,""),"")</f>
        <v>95.437006698042453</v>
      </c>
      <c r="S102" s="151">
        <f>IF(YEAR(S$4)&gt;=FPFirstYear,IF(YEAR(S$4)&lt;=FPLastYear,S101+'Input|Step changes'!S38,""),"")</f>
        <v>96.115485219812157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90" priority="99" operator="equal">
      <formula>"Check"</formula>
    </cfRule>
    <cfRule type="cellIs" dxfId="89" priority="100" operator="equal">
      <formula>"Ok"</formula>
    </cfRule>
  </conditionalFormatting>
  <conditionalFormatting sqref="V1">
    <cfRule type="cellIs" dxfId="88" priority="101" operator="equal">
      <formula>"Check"</formula>
    </cfRule>
    <cfRule type="cellIs" dxfId="87" priority="102" operator="equal">
      <formula>"Ok"</formula>
    </cfRule>
  </conditionalFormatting>
  <conditionalFormatting sqref="R39:S39 R42:S42 R45:S45 R48:S48 J12:S18">
    <cfRule type="cellIs" dxfId="86" priority="98" operator="equal">
      <formula>0</formula>
    </cfRule>
  </conditionalFormatting>
  <conditionalFormatting sqref="J13:S13">
    <cfRule type="cellIs" dxfId="85" priority="97" operator="equal">
      <formula>0</formula>
    </cfRule>
  </conditionalFormatting>
  <conditionalFormatting sqref="J14:S14">
    <cfRule type="cellIs" dxfId="84" priority="96" operator="equal">
      <formula>0</formula>
    </cfRule>
  </conditionalFormatting>
  <conditionalFormatting sqref="J15:S15">
    <cfRule type="cellIs" dxfId="83" priority="95" operator="equal">
      <formula>0</formula>
    </cfRule>
  </conditionalFormatting>
  <conditionalFormatting sqref="J16:S16">
    <cfRule type="cellIs" dxfId="82" priority="94" operator="equal">
      <formula>0</formula>
    </cfRule>
  </conditionalFormatting>
  <conditionalFormatting sqref="J17:S18">
    <cfRule type="cellIs" dxfId="81" priority="93" operator="equal">
      <formula>0</formula>
    </cfRule>
  </conditionalFormatting>
  <conditionalFormatting sqref="J61:S65">
    <cfRule type="cellIs" dxfId="80" priority="92" operator="equal">
      <formula>0</formula>
    </cfRule>
  </conditionalFormatting>
  <conditionalFormatting sqref="J74:S82 J90:S92">
    <cfRule type="cellIs" dxfId="79" priority="90" operator="equal">
      <formula>0</formula>
    </cfRule>
  </conditionalFormatting>
  <conditionalFormatting sqref="J36:S36 J33:S34 J51:S54">
    <cfRule type="cellIs" dxfId="78" priority="87" operator="equal">
      <formula>0</formula>
    </cfRule>
  </conditionalFormatting>
  <conditionalFormatting sqref="J101:S102">
    <cfRule type="cellIs" dxfId="77" priority="86" operator="equal">
      <formula>0</formula>
    </cfRule>
  </conditionalFormatting>
  <conditionalFormatting sqref="J101:S102">
    <cfRule type="cellIs" dxfId="76" priority="85" operator="equal">
      <formula>0</formula>
    </cfRule>
  </conditionalFormatting>
  <conditionalFormatting sqref="J46:S46">
    <cfRule type="cellIs" dxfId="75" priority="48" operator="equal">
      <formula>0</formula>
    </cfRule>
  </conditionalFormatting>
  <conditionalFormatting sqref="J39:Q39 J42:Q42 J45:Q45">
    <cfRule type="cellIs" dxfId="74" priority="66" operator="equal">
      <formula>0</formula>
    </cfRule>
  </conditionalFormatting>
  <conditionalFormatting sqref="J39:Q39 J42:Q42 J45:Q45">
    <cfRule type="cellIs" dxfId="73" priority="65" operator="equal">
      <formula>0</formula>
    </cfRule>
  </conditionalFormatting>
  <conditionalFormatting sqref="J37:S37">
    <cfRule type="cellIs" dxfId="72" priority="61" operator="equal">
      <formula>0</formula>
    </cfRule>
  </conditionalFormatting>
  <conditionalFormatting sqref="J37:S37">
    <cfRule type="cellIs" dxfId="71" priority="60" operator="equal">
      <formula>0</formula>
    </cfRule>
  </conditionalFormatting>
  <conditionalFormatting sqref="J48:Q48">
    <cfRule type="cellIs" dxfId="70" priority="51" operator="equal">
      <formula>0</formula>
    </cfRule>
  </conditionalFormatting>
  <conditionalFormatting sqref="J48:Q48">
    <cfRule type="cellIs" dxfId="69" priority="50" operator="equal">
      <formula>0</formula>
    </cfRule>
  </conditionalFormatting>
  <conditionalFormatting sqref="J40:S40">
    <cfRule type="cellIs" dxfId="68" priority="57" operator="equal">
      <formula>0</formula>
    </cfRule>
  </conditionalFormatting>
  <conditionalFormatting sqref="J40:S40">
    <cfRule type="cellIs" dxfId="67" priority="56" operator="equal">
      <formula>0</formula>
    </cfRule>
  </conditionalFormatting>
  <conditionalFormatting sqref="J46:S46">
    <cfRule type="cellIs" dxfId="66" priority="49" operator="equal">
      <formula>0</formula>
    </cfRule>
  </conditionalFormatting>
  <conditionalFormatting sqref="J43:S43">
    <cfRule type="cellIs" dxfId="65" priority="53" operator="equal">
      <formula>0</formula>
    </cfRule>
  </conditionalFormatting>
  <conditionalFormatting sqref="J43:S43">
    <cfRule type="cellIs" dxfId="64" priority="52" operator="equal">
      <formula>0</formula>
    </cfRule>
  </conditionalFormatting>
  <conditionalFormatting sqref="J49:S49">
    <cfRule type="cellIs" dxfId="63" priority="43" operator="equal">
      <formula>0</formula>
    </cfRule>
  </conditionalFormatting>
  <conditionalFormatting sqref="J49:S49">
    <cfRule type="cellIs" dxfId="62" priority="44" operator="equal">
      <formula>0</formula>
    </cfRule>
  </conditionalFormatting>
  <conditionalFormatting sqref="J38:S38">
    <cfRule type="cellIs" dxfId="61" priority="42" operator="equal">
      <formula>0</formula>
    </cfRule>
  </conditionalFormatting>
  <conditionalFormatting sqref="J38:S38">
    <cfRule type="cellIs" dxfId="60" priority="41" operator="equal">
      <formula>0</formula>
    </cfRule>
  </conditionalFormatting>
  <conditionalFormatting sqref="J41:S41">
    <cfRule type="cellIs" dxfId="59" priority="40" operator="equal">
      <formula>0</formula>
    </cfRule>
  </conditionalFormatting>
  <conditionalFormatting sqref="J41:S41">
    <cfRule type="cellIs" dxfId="58" priority="39" operator="equal">
      <formula>0</formula>
    </cfRule>
  </conditionalFormatting>
  <conditionalFormatting sqref="J44:S44">
    <cfRule type="cellIs" dxfId="57" priority="38" operator="equal">
      <formula>0</formula>
    </cfRule>
  </conditionalFormatting>
  <conditionalFormatting sqref="J44:S44">
    <cfRule type="cellIs" dxfId="56" priority="37" operator="equal">
      <formula>0</formula>
    </cfRule>
  </conditionalFormatting>
  <conditionalFormatting sqref="J47:S47">
    <cfRule type="cellIs" dxfId="55" priority="36" operator="equal">
      <formula>0</formula>
    </cfRule>
  </conditionalFormatting>
  <conditionalFormatting sqref="J47:S47">
    <cfRule type="cellIs" dxfId="54" priority="35" operator="equal">
      <formula>0</formula>
    </cfRule>
  </conditionalFormatting>
  <conditionalFormatting sqref="J50:S50">
    <cfRule type="cellIs" dxfId="53" priority="34" operator="equal">
      <formula>0</formula>
    </cfRule>
  </conditionalFormatting>
  <conditionalFormatting sqref="J50:S50">
    <cfRule type="cellIs" dxfId="52" priority="33" operator="equal">
      <formula>0</formula>
    </cfRule>
  </conditionalFormatting>
  <conditionalFormatting sqref="J100:S100">
    <cfRule type="cellIs" dxfId="51" priority="22" operator="equal">
      <formula>0</formula>
    </cfRule>
  </conditionalFormatting>
  <conditionalFormatting sqref="J100:S100">
    <cfRule type="cellIs" dxfId="50" priority="21" operator="equal">
      <formula>0</formula>
    </cfRule>
  </conditionalFormatting>
  <conditionalFormatting sqref="J10:S10">
    <cfRule type="expression" dxfId="49" priority="20">
      <formula>J$10=J$4</formula>
    </cfRule>
  </conditionalFormatting>
  <conditionalFormatting sqref="J25:S25">
    <cfRule type="expression" dxfId="48" priority="19">
      <formula>J$10=J$4</formula>
    </cfRule>
  </conditionalFormatting>
  <conditionalFormatting sqref="J54:S54">
    <cfRule type="expression" dxfId="47" priority="18">
      <formula>J$10=J$4</formula>
    </cfRule>
  </conditionalFormatting>
  <conditionalFormatting sqref="J26:S28 J30:S30">
    <cfRule type="cellIs" dxfId="46" priority="15" operator="equal">
      <formula>0</formula>
    </cfRule>
  </conditionalFormatting>
  <conditionalFormatting sqref="J31:S32">
    <cfRule type="cellIs" dxfId="45" priority="14" operator="equal">
      <formula>0</formula>
    </cfRule>
  </conditionalFormatting>
  <conditionalFormatting sqref="J68:S68">
    <cfRule type="cellIs" dxfId="44" priority="11" operator="equal">
      <formula>0</formula>
    </cfRule>
  </conditionalFormatting>
  <conditionalFormatting sqref="J35:S35">
    <cfRule type="cellIs" dxfId="43" priority="10" operator="equal">
      <formula>0</formula>
    </cfRule>
  </conditionalFormatting>
  <conditionalFormatting sqref="J35:S35">
    <cfRule type="cellIs" dxfId="42" priority="9" operator="equal">
      <formula>0</formula>
    </cfRule>
  </conditionalFormatting>
  <conditionalFormatting sqref="J29:S29">
    <cfRule type="cellIs" dxfId="41" priority="8" operator="equal">
      <formula>0</formula>
    </cfRule>
  </conditionalFormatting>
  <conditionalFormatting sqref="J29:S29">
    <cfRule type="cellIs" dxfId="40" priority="7" operator="equal">
      <formula>0</formula>
    </cfRule>
  </conditionalFormatting>
  <conditionalFormatting sqref="J19:S24">
    <cfRule type="cellIs" dxfId="39" priority="6" operator="equal">
      <formula>0</formula>
    </cfRule>
  </conditionalFormatting>
  <conditionalFormatting sqref="J20:S20">
    <cfRule type="cellIs" dxfId="38" priority="5" operator="equal">
      <formula>0</formula>
    </cfRule>
  </conditionalFormatting>
  <conditionalFormatting sqref="J21:S21">
    <cfRule type="cellIs" dxfId="37" priority="4" operator="equal">
      <formula>0</formula>
    </cfRule>
  </conditionalFormatting>
  <conditionalFormatting sqref="J22:S22">
    <cfRule type="cellIs" dxfId="36" priority="3" operator="equal">
      <formula>0</formula>
    </cfRule>
  </conditionalFormatting>
  <conditionalFormatting sqref="J23:S23">
    <cfRule type="cellIs" dxfId="35" priority="2" operator="equal">
      <formula>0</formula>
    </cfRule>
  </conditionalFormatting>
  <conditionalFormatting sqref="J24:S24">
    <cfRule type="cellIs" dxfId="34" priority="1" operator="equal">
      <formula>0</formula>
    </cfRule>
  </conditionalFormatting>
  <conditionalFormatting sqref="J67:S67">
    <cfRule type="expression" dxfId="33" priority="104">
      <formula>J$58=J$4</formula>
    </cfRule>
    <cfRule type="cellIs" dxfId="32" priority="105" operator="equal">
      <formula>0</formula>
    </cfRule>
  </conditionalFormatting>
  <conditionalFormatting sqref="J94:S94">
    <cfRule type="expression" dxfId="31" priority="106">
      <formula>J$88=J$4</formula>
    </cfRule>
    <cfRule type="cellIs" dxfId="30" priority="107" operator="equal">
      <formula>0</formula>
    </cfRule>
  </conditionalFormatting>
  <conditionalFormatting sqref="J84:S84">
    <cfRule type="expression" dxfId="29" priority="108">
      <formula>J$72=J$4</formula>
    </cfRule>
    <cfRule type="cellIs" dxfId="28" priority="109" operator="equal">
      <formula>0</formula>
    </cfRule>
  </conditionalFormatting>
  <conditionalFormatting sqref="J58:S58 J72:S72 J88:S88">
    <cfRule type="expression" dxfId="27" priority="110">
      <formula>J$58=J$4</formula>
    </cfRule>
  </conditionalFormatting>
  <conditionalFormatting sqref="J98:S98">
    <cfRule type="expression" dxfId="26" priority="113">
      <formula>J$98=J$4</formula>
    </cfRule>
  </conditionalFormatting>
  <dataValidations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>
      <selection activeCell="F8" sqref="F8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">
        <v>36</v>
      </c>
      <c r="U1" s="189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4"/>
      <c r="E3" s="184"/>
      <c r="F3" s="184"/>
      <c r="G3" s="184"/>
      <c r="H3" s="184"/>
      <c r="I3" s="184"/>
      <c r="J3" s="173" t="s">
        <v>131</v>
      </c>
      <c r="K3" s="173"/>
      <c r="L3" s="173"/>
      <c r="M3" s="184"/>
      <c r="N3" s="211"/>
      <c r="O3" s="211"/>
      <c r="P3" s="211"/>
      <c r="Q3" s="211"/>
      <c r="R3" s="211"/>
      <c r="S3" s="211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41791</v>
      </c>
      <c r="K4" s="156">
        <f>DATE(PPFirstYear+1,MONTH('Input|General'!$G$9),1)</f>
        <v>42156</v>
      </c>
      <c r="L4" s="156">
        <f>DATE(PPFirstYear+2,MONTH('Input|General'!$G$9),1)</f>
        <v>42522</v>
      </c>
      <c r="M4" s="156">
        <f>DATE(PPFirstYear+3,MONTH('Input|General'!$G$9),1)</f>
        <v>42887</v>
      </c>
      <c r="N4" s="156">
        <f>DATE(PPFirstYear+4,MONTH('Input|General'!$G$9),1)</f>
        <v>43252</v>
      </c>
      <c r="O4" s="156">
        <f>DATE(PPFirstYear+5,MONTH('Input|General'!$G$9),1)</f>
        <v>43617</v>
      </c>
      <c r="P4" s="156">
        <f>DATE(PPFirstYear+6,MONTH('Input|General'!$G$9),1)</f>
        <v>43983</v>
      </c>
      <c r="Q4" s="156">
        <f>DATE(PPFirstYear+7,MONTH('Input|General'!$G$9),1)</f>
        <v>44348</v>
      </c>
      <c r="R4" s="156">
        <f>DATE(PPFirstYear+8,MONTH('Input|General'!$G$9),1)</f>
        <v>44713</v>
      </c>
      <c r="S4" s="156">
        <f>DATE(PPFirstYear+9,MONTH('Input|General'!$G$9),1)</f>
        <v>45078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58</v>
      </c>
      <c r="C8" s="94"/>
      <c r="D8" s="94"/>
      <c r="E8" s="68" t="s">
        <v>15</v>
      </c>
      <c r="F8" s="210">
        <f>DATE(PPLastYear,MONTH('Input|General'!$G$9),1)</f>
        <v>43252</v>
      </c>
      <c r="G8" s="96"/>
      <c r="H8" s="96"/>
      <c r="I8" s="96"/>
      <c r="J8" s="149" t="s">
        <v>192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43617</v>
      </c>
      <c r="P11" s="163">
        <f>IF(YEAR(P$4)&gt;='Input|General'!$G$13,IF(YEAR(P$4)&lt;='Input|General'!$G$14,P$4,""),"")</f>
        <v>43983</v>
      </c>
      <c r="Q11" s="163">
        <f>IF(YEAR(Q$4)&gt;='Input|General'!$G$13,IF(YEAR(Q$4)&lt;='Input|General'!$G$14,Q$4,""),"")</f>
        <v>44348</v>
      </c>
      <c r="R11" s="163">
        <f>IF(YEAR(R$4)&gt;='Input|General'!$G$13,IF(YEAR(R$4)&lt;='Input|General'!$G$14,R$4,""),"")</f>
        <v>44713</v>
      </c>
      <c r="S11" s="163">
        <f>IF(YEAR(S$4)&gt;='Input|General'!$G$13,IF(YEAR(S$4)&lt;='Input|General'!$G$14,S$4,""),"")</f>
        <v>45078</v>
      </c>
      <c r="U11" s="137" t="s">
        <v>57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108</v>
      </c>
      <c r="E13" s="30" t="str">
        <f>$E$8</f>
        <v>$millions</v>
      </c>
      <c r="F13" s="161">
        <f>$F$8</f>
        <v>43252</v>
      </c>
      <c r="H13" s="32"/>
      <c r="I13" s="32"/>
      <c r="J13" s="182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2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2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82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82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82">
        <f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84.0849051862956</v>
      </c>
      <c r="P13" s="182">
        <f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84.588323077517032</v>
      </c>
      <c r="Q13" s="182">
        <f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85.192311849724021</v>
      </c>
      <c r="R13" s="182">
        <f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85.804896308881197</v>
      </c>
      <c r="S13" s="182">
        <f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86.49482766841038</v>
      </c>
      <c r="T13" s="111"/>
      <c r="U13" s="152"/>
    </row>
    <row r="14" spans="1:26">
      <c r="C14" s="111" t="str">
        <f>'Input|Step changes'!C28</f>
        <v>Network support costs</v>
      </c>
      <c r="D14" s="34" t="s">
        <v>108</v>
      </c>
      <c r="E14" s="30" t="str">
        <f t="shared" ref="E14:E16" si="0">$E$8</f>
        <v>$millions</v>
      </c>
      <c r="F14" s="161">
        <f t="shared" ref="F14:F16" si="1">$F$8</f>
        <v>43252</v>
      </c>
      <c r="H14" s="32"/>
      <c r="I14" s="32"/>
      <c r="J14" s="182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2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2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2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2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82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8.3733329167721067</v>
      </c>
      <c r="P14" s="182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8.3733329167721067</v>
      </c>
      <c r="Q14" s="182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8.3733329167721067</v>
      </c>
      <c r="R14" s="182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8.3733329167721067</v>
      </c>
      <c r="S14" s="182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8.3733329167721067</v>
      </c>
      <c r="T14" s="111"/>
      <c r="U14" s="152"/>
    </row>
    <row r="15" spans="1:26">
      <c r="C15" s="111">
        <f>'Input|Step changes'!C29</f>
        <v>0</v>
      </c>
      <c r="D15" s="34" t="s">
        <v>108</v>
      </c>
      <c r="E15" s="30" t="str">
        <f t="shared" si="0"/>
        <v>$millions</v>
      </c>
      <c r="F15" s="161">
        <f t="shared" si="1"/>
        <v>43252</v>
      </c>
      <c r="H15" s="32"/>
      <c r="I15" s="32"/>
      <c r="J15" s="182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2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2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2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2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2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82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82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82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82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108</v>
      </c>
      <c r="E16" s="30" t="str">
        <f t="shared" si="0"/>
        <v>$millions</v>
      </c>
      <c r="F16" s="161">
        <f t="shared" si="1"/>
        <v>43252</v>
      </c>
      <c r="H16" s="32"/>
      <c r="I16" s="32"/>
      <c r="J16" s="182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2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2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2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2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2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82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82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2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2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9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1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3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72</v>
      </c>
      <c r="E10" s="16"/>
      <c r="F10" s="16"/>
      <c r="G10" s="52" t="s">
        <v>12</v>
      </c>
    </row>
    <row r="11" spans="1:47">
      <c r="C11" s="15" t="s">
        <v>13</v>
      </c>
      <c r="D11" s="16" t="s">
        <v>72</v>
      </c>
      <c r="E11" s="16"/>
      <c r="F11" s="16"/>
      <c r="G11" s="52" t="s">
        <v>20</v>
      </c>
    </row>
    <row r="12" spans="1:47">
      <c r="C12" s="15" t="s">
        <v>14</v>
      </c>
      <c r="D12" s="16" t="s">
        <v>72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72</v>
      </c>
      <c r="E14" s="16"/>
      <c r="F14" s="16"/>
      <c r="G14" s="52" t="s">
        <v>31</v>
      </c>
    </row>
    <row r="15" spans="1:47">
      <c r="C15" s="15" t="s">
        <v>8</v>
      </c>
      <c r="D15" s="16" t="s">
        <v>72</v>
      </c>
      <c r="E15" s="16"/>
      <c r="F15" s="16"/>
      <c r="G15" s="52" t="s">
        <v>11</v>
      </c>
    </row>
    <row r="16" spans="1:47">
      <c r="C16" s="15" t="s">
        <v>17</v>
      </c>
      <c r="D16" s="16" t="s">
        <v>72</v>
      </c>
      <c r="E16" s="16"/>
      <c r="F16" s="16"/>
      <c r="G16" s="52" t="s">
        <v>18</v>
      </c>
    </row>
    <row r="17" spans="1:47">
      <c r="C17" s="15" t="s">
        <v>37</v>
      </c>
      <c r="D17" s="16" t="s">
        <v>72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72</v>
      </c>
      <c r="E19" s="16"/>
      <c r="F19" s="16"/>
      <c r="G19" s="52" t="s">
        <v>23</v>
      </c>
    </row>
    <row r="20" spans="1:47">
      <c r="C20" s="15" t="s">
        <v>77</v>
      </c>
      <c r="D20" s="16" t="s">
        <v>72</v>
      </c>
      <c r="E20" s="16"/>
      <c r="F20" s="16"/>
      <c r="G20" s="52" t="s">
        <v>77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132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133</v>
      </c>
      <c r="D25" s="16" t="s">
        <v>72</v>
      </c>
      <c r="E25" s="16"/>
      <c r="F25" s="16"/>
      <c r="G25" s="154">
        <v>36526</v>
      </c>
      <c r="H25" s="14"/>
    </row>
    <row r="26" spans="1:47">
      <c r="C26" s="15" t="s">
        <v>134</v>
      </c>
      <c r="D26" s="16" t="s">
        <v>72</v>
      </c>
      <c r="E26" s="16"/>
      <c r="F26" s="16"/>
      <c r="G26" s="154">
        <v>36557</v>
      </c>
      <c r="H26" s="14"/>
    </row>
    <row r="27" spans="1:47">
      <c r="C27" s="15" t="s">
        <v>135</v>
      </c>
      <c r="D27" s="16" t="s">
        <v>72</v>
      </c>
      <c r="E27" s="16"/>
      <c r="F27" s="16"/>
      <c r="G27" s="154">
        <v>36586</v>
      </c>
      <c r="H27" s="14"/>
    </row>
    <row r="28" spans="1:47">
      <c r="C28" s="15" t="s">
        <v>136</v>
      </c>
      <c r="D28" s="16" t="s">
        <v>72</v>
      </c>
      <c r="E28" s="16"/>
      <c r="F28" s="16"/>
      <c r="G28" s="154">
        <v>36617</v>
      </c>
    </row>
    <row r="29" spans="1:47">
      <c r="C29" s="15" t="s">
        <v>137</v>
      </c>
      <c r="D29" s="16" t="s">
        <v>72</v>
      </c>
      <c r="E29" s="16"/>
      <c r="F29" s="16"/>
      <c r="G29" s="154">
        <v>36647</v>
      </c>
    </row>
    <row r="30" spans="1:47">
      <c r="C30" s="15" t="s">
        <v>138</v>
      </c>
      <c r="D30" s="16" t="s">
        <v>72</v>
      </c>
      <c r="E30" s="16"/>
      <c r="F30" s="16"/>
      <c r="G30" s="154">
        <v>36678</v>
      </c>
      <c r="T30" s="17"/>
    </row>
    <row r="31" spans="1:47">
      <c r="C31" s="15" t="s">
        <v>139</v>
      </c>
      <c r="D31" s="16" t="s">
        <v>72</v>
      </c>
      <c r="E31" s="16"/>
      <c r="F31" s="16"/>
      <c r="G31" s="154">
        <v>36708</v>
      </c>
      <c r="T31" s="17"/>
    </row>
    <row r="32" spans="1:47">
      <c r="C32" s="15" t="s">
        <v>140</v>
      </c>
      <c r="D32" s="16" t="s">
        <v>72</v>
      </c>
      <c r="E32" s="16"/>
      <c r="F32" s="16"/>
      <c r="G32" s="154">
        <v>36739</v>
      </c>
      <c r="T32" s="17"/>
    </row>
    <row r="33" spans="1:47">
      <c r="C33" s="15" t="s">
        <v>141</v>
      </c>
      <c r="D33" s="16" t="s">
        <v>72</v>
      </c>
      <c r="E33" s="16"/>
      <c r="F33" s="16"/>
      <c r="G33" s="154">
        <v>36770</v>
      </c>
      <c r="T33" s="17"/>
    </row>
    <row r="34" spans="1:47">
      <c r="C34" s="15" t="s">
        <v>142</v>
      </c>
      <c r="D34" s="16" t="s">
        <v>72</v>
      </c>
      <c r="E34" s="16"/>
      <c r="F34" s="16"/>
      <c r="G34" s="154">
        <v>36800</v>
      </c>
      <c r="T34" s="17"/>
    </row>
    <row r="35" spans="1:47">
      <c r="C35" s="15" t="s">
        <v>143</v>
      </c>
      <c r="D35" s="16" t="s">
        <v>72</v>
      </c>
      <c r="E35" s="16"/>
      <c r="F35" s="16"/>
      <c r="G35" s="154">
        <v>36831</v>
      </c>
      <c r="T35" s="17"/>
    </row>
    <row r="36" spans="1:47">
      <c r="C36" s="15" t="s">
        <v>144</v>
      </c>
      <c r="D36" s="16" t="s">
        <v>72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73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168</v>
      </c>
      <c r="H40" s="14" t="s">
        <v>166</v>
      </c>
      <c r="I40" s="14" t="s">
        <v>167</v>
      </c>
    </row>
    <row r="41" spans="1:47">
      <c r="C41" s="160">
        <v>40695</v>
      </c>
      <c r="D41" s="16" t="s">
        <v>72</v>
      </c>
      <c r="E41" s="16"/>
      <c r="F41" s="16"/>
      <c r="G41" s="155">
        <v>2011</v>
      </c>
      <c r="H41" s="187">
        <f>DATE(G41,MONTH('Input|General'!$G$9),1)</f>
        <v>40695</v>
      </c>
      <c r="I41" s="185" t="str">
        <f>G41-1&amp;"–"&amp;RIGHT(G41,2)</f>
        <v>2010–11</v>
      </c>
    </row>
    <row r="42" spans="1:47">
      <c r="C42" s="160">
        <v>41061</v>
      </c>
      <c r="D42" s="16" t="s">
        <v>72</v>
      </c>
      <c r="E42" s="16"/>
      <c r="F42" s="16"/>
      <c r="G42" s="155">
        <v>2012</v>
      </c>
      <c r="H42" s="187">
        <f>DATE(G42,MONTH('Input|General'!$G$9),1)</f>
        <v>41061</v>
      </c>
      <c r="I42" s="185" t="str">
        <f t="shared" ref="I42:I60" si="0">G42-1&amp;"–"&amp;RIGHT(G42,2)</f>
        <v>2011–12</v>
      </c>
    </row>
    <row r="43" spans="1:47">
      <c r="C43" s="160">
        <v>41426</v>
      </c>
      <c r="D43" s="16" t="s">
        <v>72</v>
      </c>
      <c r="E43" s="16"/>
      <c r="F43" s="16"/>
      <c r="G43" s="155">
        <v>2013</v>
      </c>
      <c r="H43" s="187">
        <f>DATE(G43,MONTH('Input|General'!$G$9),1)</f>
        <v>41426</v>
      </c>
      <c r="I43" s="185" t="str">
        <f t="shared" si="0"/>
        <v>2012–13</v>
      </c>
    </row>
    <row r="44" spans="1:47">
      <c r="C44" s="160">
        <v>41791</v>
      </c>
      <c r="D44" s="16" t="s">
        <v>72</v>
      </c>
      <c r="E44" s="16"/>
      <c r="F44" s="16"/>
      <c r="G44" s="155">
        <v>2014</v>
      </c>
      <c r="H44" s="187">
        <f>DATE(G44,MONTH('Input|General'!$G$9),1)</f>
        <v>41791</v>
      </c>
      <c r="I44" s="185" t="str">
        <f t="shared" si="0"/>
        <v>2013–14</v>
      </c>
    </row>
    <row r="45" spans="1:47">
      <c r="C45" s="160">
        <v>42156</v>
      </c>
      <c r="D45" s="16" t="s">
        <v>72</v>
      </c>
      <c r="E45" s="16"/>
      <c r="F45" s="16"/>
      <c r="G45" s="155">
        <v>2015</v>
      </c>
      <c r="H45" s="187">
        <f>DATE(G45,MONTH('Input|General'!$G$9),1)</f>
        <v>42156</v>
      </c>
      <c r="I45" s="185" t="str">
        <f t="shared" si="0"/>
        <v>2014–15</v>
      </c>
      <c r="T45" s="17"/>
    </row>
    <row r="46" spans="1:47">
      <c r="C46" s="160">
        <v>42522</v>
      </c>
      <c r="D46" s="16" t="s">
        <v>72</v>
      </c>
      <c r="E46" s="16"/>
      <c r="F46" s="16"/>
      <c r="G46" s="155">
        <v>2016</v>
      </c>
      <c r="H46" s="187">
        <f>DATE(G46,MONTH('Input|General'!$G$9),1)</f>
        <v>42522</v>
      </c>
      <c r="I46" s="185" t="str">
        <f t="shared" si="0"/>
        <v>2015–16</v>
      </c>
      <c r="T46" s="17"/>
    </row>
    <row r="47" spans="1:47">
      <c r="C47" s="160">
        <v>42887</v>
      </c>
      <c r="D47" s="16" t="s">
        <v>72</v>
      </c>
      <c r="E47" s="16"/>
      <c r="F47" s="16"/>
      <c r="G47" s="155">
        <v>2017</v>
      </c>
      <c r="H47" s="187">
        <f>DATE(G47,MONTH('Input|General'!$G$9),1)</f>
        <v>42887</v>
      </c>
      <c r="I47" s="185" t="str">
        <f t="shared" si="0"/>
        <v>2016–17</v>
      </c>
      <c r="T47" s="17"/>
    </row>
    <row r="48" spans="1:47">
      <c r="C48" s="160">
        <v>43252</v>
      </c>
      <c r="D48" s="16" t="s">
        <v>72</v>
      </c>
      <c r="E48" s="16"/>
      <c r="F48" s="16"/>
      <c r="G48" s="155">
        <v>2018</v>
      </c>
      <c r="H48" s="187">
        <f>DATE(G48,MONTH('Input|General'!$G$9),1)</f>
        <v>43252</v>
      </c>
      <c r="I48" s="185" t="str">
        <f t="shared" si="0"/>
        <v>2017–18</v>
      </c>
      <c r="T48" s="17"/>
    </row>
    <row r="49" spans="1:47">
      <c r="C49" s="160">
        <v>43617</v>
      </c>
      <c r="D49" s="16" t="s">
        <v>72</v>
      </c>
      <c r="E49" s="16"/>
      <c r="F49" s="16"/>
      <c r="G49" s="155">
        <v>2019</v>
      </c>
      <c r="H49" s="187">
        <f>DATE(G49,MONTH('Input|General'!$G$9),1)</f>
        <v>43617</v>
      </c>
      <c r="I49" s="185" t="str">
        <f t="shared" si="0"/>
        <v>2018–19</v>
      </c>
      <c r="T49" s="17"/>
    </row>
    <row r="50" spans="1:47">
      <c r="C50" s="160">
        <v>43983</v>
      </c>
      <c r="D50" s="16" t="s">
        <v>72</v>
      </c>
      <c r="E50" s="16"/>
      <c r="F50" s="16"/>
      <c r="G50" s="155">
        <v>2020</v>
      </c>
      <c r="H50" s="187">
        <f>DATE(G50,MONTH('Input|General'!$G$9),1)</f>
        <v>43983</v>
      </c>
      <c r="I50" s="185" t="str">
        <f t="shared" si="0"/>
        <v>2019–20</v>
      </c>
      <c r="T50" s="17"/>
    </row>
    <row r="51" spans="1:47">
      <c r="C51" s="160">
        <v>44348</v>
      </c>
      <c r="D51" s="16" t="s">
        <v>72</v>
      </c>
      <c r="E51" s="16"/>
      <c r="F51" s="16"/>
      <c r="G51" s="155">
        <v>2021</v>
      </c>
      <c r="H51" s="187">
        <f>DATE(G51,MONTH('Input|General'!$G$9),1)</f>
        <v>44348</v>
      </c>
      <c r="I51" s="185" t="str">
        <f t="shared" si="0"/>
        <v>2020–21</v>
      </c>
      <c r="T51" s="17"/>
    </row>
    <row r="52" spans="1:47">
      <c r="C52" s="160">
        <v>44713</v>
      </c>
      <c r="D52" s="16" t="s">
        <v>72</v>
      </c>
      <c r="E52" s="16"/>
      <c r="F52" s="16"/>
      <c r="G52" s="155">
        <v>2022</v>
      </c>
      <c r="H52" s="187">
        <f>DATE(G52,MONTH('Input|General'!$G$9),1)</f>
        <v>44713</v>
      </c>
      <c r="I52" s="185" t="str">
        <f t="shared" si="0"/>
        <v>2021–22</v>
      </c>
      <c r="T52" s="17"/>
    </row>
    <row r="53" spans="1:47">
      <c r="C53" s="160">
        <v>45078</v>
      </c>
      <c r="D53" s="16" t="s">
        <v>72</v>
      </c>
      <c r="E53" s="16"/>
      <c r="F53" s="16"/>
      <c r="G53" s="155">
        <v>2023</v>
      </c>
      <c r="H53" s="187">
        <f>DATE(G53,MONTH('Input|General'!$G$9),1)</f>
        <v>45078</v>
      </c>
      <c r="I53" s="185" t="str">
        <f t="shared" si="0"/>
        <v>2022–23</v>
      </c>
      <c r="T53" s="17"/>
    </row>
    <row r="54" spans="1:47">
      <c r="C54" s="160">
        <v>45444</v>
      </c>
      <c r="D54" s="16" t="s">
        <v>72</v>
      </c>
      <c r="E54" s="16"/>
      <c r="F54" s="16"/>
      <c r="G54" s="155">
        <v>2024</v>
      </c>
      <c r="H54" s="187">
        <f>DATE(G54,MONTH('Input|General'!$G$9),1)</f>
        <v>45444</v>
      </c>
      <c r="I54" s="185" t="str">
        <f t="shared" si="0"/>
        <v>2023–24</v>
      </c>
      <c r="T54" s="17"/>
    </row>
    <row r="55" spans="1:47">
      <c r="C55" s="160">
        <v>45809</v>
      </c>
      <c r="D55" s="16" t="s">
        <v>72</v>
      </c>
      <c r="E55" s="16"/>
      <c r="F55" s="16"/>
      <c r="G55" s="155">
        <v>2025</v>
      </c>
      <c r="H55" s="187">
        <f>DATE(G55,MONTH('Input|General'!$G$9),1)</f>
        <v>45809</v>
      </c>
      <c r="I55" s="185" t="str">
        <f t="shared" si="0"/>
        <v>2024–25</v>
      </c>
      <c r="T55" s="17"/>
    </row>
    <row r="56" spans="1:47">
      <c r="C56" s="160">
        <v>46174</v>
      </c>
      <c r="D56" s="16" t="s">
        <v>72</v>
      </c>
      <c r="E56" s="16"/>
      <c r="F56" s="16"/>
      <c r="G56" s="155">
        <v>2026</v>
      </c>
      <c r="H56" s="187">
        <f>DATE(G56,MONTH('Input|General'!$G$9),1)</f>
        <v>46174</v>
      </c>
      <c r="I56" s="185" t="str">
        <f t="shared" si="0"/>
        <v>2025–26</v>
      </c>
      <c r="T56" s="17"/>
    </row>
    <row r="57" spans="1:47">
      <c r="C57" s="160">
        <v>46539</v>
      </c>
      <c r="D57" s="16" t="s">
        <v>72</v>
      </c>
      <c r="E57" s="16"/>
      <c r="F57" s="16"/>
      <c r="G57" s="155">
        <v>2027</v>
      </c>
      <c r="H57" s="187">
        <f>DATE(G57,MONTH('Input|General'!$G$9),1)</f>
        <v>46539</v>
      </c>
      <c r="I57" s="185" t="str">
        <f t="shared" si="0"/>
        <v>2026–27</v>
      </c>
      <c r="T57" s="17"/>
    </row>
    <row r="58" spans="1:47">
      <c r="C58" s="160">
        <v>46905</v>
      </c>
      <c r="D58" s="16" t="s">
        <v>72</v>
      </c>
      <c r="E58" s="16"/>
      <c r="F58" s="16"/>
      <c r="G58" s="155">
        <v>2028</v>
      </c>
      <c r="H58" s="187">
        <f>DATE(G58,MONTH('Input|General'!$G$9),1)</f>
        <v>46905</v>
      </c>
      <c r="I58" s="185" t="str">
        <f t="shared" si="0"/>
        <v>2027–28</v>
      </c>
      <c r="T58" s="17"/>
    </row>
    <row r="59" spans="1:47">
      <c r="C59" s="160">
        <v>47270</v>
      </c>
      <c r="D59" s="16" t="s">
        <v>72</v>
      </c>
      <c r="E59" s="16"/>
      <c r="F59" s="16"/>
      <c r="G59" s="155">
        <v>2029</v>
      </c>
      <c r="H59" s="187">
        <f>DATE(G59,MONTH('Input|General'!$G$9),1)</f>
        <v>47270</v>
      </c>
      <c r="I59" s="185" t="str">
        <f t="shared" si="0"/>
        <v>2028–29</v>
      </c>
      <c r="T59" s="17"/>
    </row>
    <row r="60" spans="1:47">
      <c r="C60" s="160">
        <v>47635</v>
      </c>
      <c r="D60" s="16" t="s">
        <v>72</v>
      </c>
      <c r="E60" s="16"/>
      <c r="F60" s="16"/>
      <c r="G60" s="155">
        <v>2030</v>
      </c>
      <c r="H60" s="187">
        <f>DATE(G60,MONTH('Input|General'!$G$9),1)</f>
        <v>47635</v>
      </c>
      <c r="I60" s="185" t="str">
        <f t="shared" si="0"/>
        <v>2029–30</v>
      </c>
      <c r="T60" s="17"/>
    </row>
    <row r="61" spans="1:47"/>
    <row r="62" spans="1:47" customFormat="1" ht="12.75">
      <c r="A62" s="43"/>
      <c r="B62" s="51" t="s">
        <v>164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165</v>
      </c>
      <c r="H64" s="14" t="s">
        <v>131</v>
      </c>
    </row>
    <row r="65" spans="1:47">
      <c r="C65" s="15" t="s">
        <v>152</v>
      </c>
      <c r="D65" s="16" t="s">
        <v>102</v>
      </c>
      <c r="E65" s="16"/>
      <c r="F65" s="16"/>
      <c r="G65" s="185" t="str">
        <f>IF(MONTH('Input|General'!$G$9)=12,PPFirstYear,PPFirstYear-1&amp;"–"&amp;RIGHT(PPFirstYear,2))</f>
        <v>2013–14</v>
      </c>
      <c r="H65" s="187">
        <f>DATE(PPFirstYear,MONTH('Input|General'!$G$9),1)</f>
        <v>41791</v>
      </c>
    </row>
    <row r="66" spans="1:47">
      <c r="C66" s="15" t="s">
        <v>153</v>
      </c>
      <c r="D66" s="16" t="s">
        <v>102</v>
      </c>
      <c r="E66" s="16"/>
      <c r="F66" s="16"/>
      <c r="G66" s="186" t="str">
        <f>IF(PPLastYear-PPFirstYear&lt;1,"",LEFT(G65,4)+1&amp;"–"&amp;RIGHT(G65,2)+1)</f>
        <v>2014–15</v>
      </c>
      <c r="H66" s="187">
        <f>IF(PPLastYear-PPFirstYear&lt;1,"",DATE(PPFirstYear+1,MONTH('Input|General'!$G$9),1))</f>
        <v>42156</v>
      </c>
    </row>
    <row r="67" spans="1:47">
      <c r="C67" s="15" t="s">
        <v>154</v>
      </c>
      <c r="D67" s="16" t="s">
        <v>102</v>
      </c>
      <c r="E67" s="16"/>
      <c r="F67" s="16"/>
      <c r="G67" s="186" t="str">
        <f>IF(PPLastYear-PPFirstYear&lt;2,"",LEFT(G66,4)+1&amp;"–"&amp;RIGHT(G66,2)+1)</f>
        <v>2015–16</v>
      </c>
      <c r="H67" s="187">
        <f>IF(PPLastYear-PPFirstYear&lt;2,"",DATE(PPFirstYear+2,MONTH('Input|General'!$G$9),1))</f>
        <v>42522</v>
      </c>
    </row>
    <row r="68" spans="1:47">
      <c r="C68" s="15" t="s">
        <v>155</v>
      </c>
      <c r="D68" s="16" t="s">
        <v>102</v>
      </c>
      <c r="E68" s="16"/>
      <c r="F68" s="16"/>
      <c r="G68" s="186" t="str">
        <f>IF(PPLastYear-PPFirstYear&lt;3,"",LEFT(G67,4)+1&amp;"–"&amp;RIGHT(G67,2)+1)</f>
        <v>2016–17</v>
      </c>
      <c r="H68" s="187">
        <f>IF(PPLastYear-PPFirstYear&lt;3,"",DATE(PPFirstYear+3,MONTH('Input|General'!$G$9),1))</f>
        <v>42887</v>
      </c>
    </row>
    <row r="69" spans="1:47">
      <c r="C69" s="15" t="s">
        <v>156</v>
      </c>
      <c r="D69" s="16" t="s">
        <v>102</v>
      </c>
      <c r="E69" s="16"/>
      <c r="F69" s="16"/>
      <c r="G69" s="186" t="str">
        <f>IF(PPLastYear-PPFirstYear&lt;4,"",LEFT(G68,4)+1&amp;"–"&amp;RIGHT(G68,2)+1)</f>
        <v>2017–18</v>
      </c>
      <c r="H69" s="187">
        <f>IF(PPLastYear-PPFirstYear&lt;4,"",DATE(PPFirstYear+4,MONTH('Input|General'!$G$9),1))</f>
        <v>43252</v>
      </c>
    </row>
    <row r="70" spans="1:47">
      <c r="C70" s="15" t="s">
        <v>157</v>
      </c>
      <c r="D70" s="16" t="s">
        <v>102</v>
      </c>
      <c r="E70" s="16"/>
      <c r="F70" s="16"/>
      <c r="G70" s="186" t="str">
        <f>IF(MONTH('Input|General'!$G$9)=12,FPFirstYear,FPFirstYear-1&amp;"–"&amp;RIGHT(FPFirstYear,2))</f>
        <v>2018–19</v>
      </c>
      <c r="H70" s="187">
        <f>DATE(FPFirstYear,MONTH('Input|General'!$G$9),1)</f>
        <v>43617</v>
      </c>
      <c r="T70" s="17"/>
    </row>
    <row r="71" spans="1:47">
      <c r="C71" s="15" t="s">
        <v>158</v>
      </c>
      <c r="D71" s="16" t="s">
        <v>102</v>
      </c>
      <c r="E71" s="16"/>
      <c r="F71" s="16"/>
      <c r="G71" s="186" t="str">
        <f>IF(FPLastYear-FPFirstYear&lt;1,"",LEFT(G70,4)+1&amp;"–"&amp;RIGHT(G70,2)+1)</f>
        <v>2019–20</v>
      </c>
      <c r="H71" s="187">
        <f>IF(FPLastYear-FPFirstYear&lt;1,"",DATE(FPFirstYear+1,MONTH('Input|General'!$G$9),1))</f>
        <v>43983</v>
      </c>
      <c r="T71" s="17"/>
    </row>
    <row r="72" spans="1:47">
      <c r="C72" s="15" t="s">
        <v>159</v>
      </c>
      <c r="D72" s="16" t="s">
        <v>102</v>
      </c>
      <c r="E72" s="16"/>
      <c r="F72" s="16"/>
      <c r="G72" s="186" t="str">
        <f>IF(FPLastYear-FPFirstYear&lt;2,"",LEFT(G71,4)+1&amp;"–"&amp;RIGHT(G71,2)+1)</f>
        <v>2020–21</v>
      </c>
      <c r="H72" s="187">
        <f>IF(FPLastYear-FPFirstYear&lt;2,"",DATE(FPFirstYear+2,MONTH('Input|General'!$G$9),1))</f>
        <v>44348</v>
      </c>
      <c r="T72" s="17"/>
    </row>
    <row r="73" spans="1:47">
      <c r="C73" s="15" t="s">
        <v>160</v>
      </c>
      <c r="D73" s="16" t="s">
        <v>102</v>
      </c>
      <c r="E73" s="16"/>
      <c r="F73" s="16"/>
      <c r="G73" s="186" t="str">
        <f>IF(FPLastYear-FPFirstYear&lt;3,"",LEFT(G72,4)+1&amp;"–"&amp;RIGHT(G72,2)+1)</f>
        <v>2021–22</v>
      </c>
      <c r="H73" s="187">
        <f>IF(FPLastYear-FPFirstYear&lt;3,"",DATE(FPFirstYear+3,MONTH('Input|General'!$G$9),1))</f>
        <v>44713</v>
      </c>
      <c r="T73" s="17"/>
    </row>
    <row r="74" spans="1:47">
      <c r="C74" s="15" t="s">
        <v>161</v>
      </c>
      <c r="D74" s="16" t="s">
        <v>102</v>
      </c>
      <c r="E74" s="16"/>
      <c r="F74" s="16"/>
      <c r="G74" s="186" t="str">
        <f>IF(FPLastYear-FPFirstYear&lt;4,"",LEFT(G73,4)+1&amp;"–"&amp;RIGHT(G73,2)+1)</f>
        <v>2022–23</v>
      </c>
      <c r="H74" s="187">
        <f>IF(FPLastYear-FPFirstYear&lt;4,"",DATE(FPFirstYear+4,MONTH('Input|General'!$G$9),1))</f>
        <v>45078</v>
      </c>
      <c r="T74" s="17"/>
    </row>
    <row r="75" spans="1:47"/>
    <row r="76" spans="1:47" customFormat="1" ht="12.75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>
      <selection activeCell="G13" sqref="G13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3" t="s">
        <v>24</v>
      </c>
      <c r="S1" s="40" t="str">
        <f>IF(COUNTIF(G10:G17,"Check")=0,"Ok","Check")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  <c r="D17" s="34"/>
      <c r="E17" s="16"/>
      <c r="G17" s="18"/>
    </row>
    <row r="18" spans="1:47">
      <c r="C18" s="15"/>
    </row>
    <row r="19" spans="1:47" customFormat="1" ht="12.75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>
      <c r="C23" s="15"/>
    </row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7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 Rate of change'!A1" display="'Input| 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Tsafack, Esther</dc:creator>
  <cp:lastModifiedBy>Manahan, Jess</cp:lastModifiedBy>
  <dcterms:created xsi:type="dcterms:W3CDTF">2017-10-18T00:25:46Z</dcterms:created>
  <dcterms:modified xsi:type="dcterms:W3CDTF">2017-10-23T01:14:44Z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